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oogle Drive\web-projects\sbs\docs\"/>
    </mc:Choice>
  </mc:AlternateContent>
  <bookViews>
    <workbookView xWindow="0" yWindow="0" windowWidth="14760" windowHeight="9735"/>
  </bookViews>
  <sheets>
    <sheet name="SQUARE FOOT AND PRICE" sheetId="35" r:id="rId1"/>
    <sheet name="8X10 bid sheet" sheetId="22" r:id="rId2"/>
    <sheet name="concrete 8X10" sheetId="23" r:id="rId3"/>
    <sheet name="10x10 bid sheet" sheetId="14" r:id="rId4"/>
    <sheet name="Concrete 10by10" sheetId="21" r:id="rId5"/>
    <sheet name="12X12 Bid Sheet" sheetId="40" r:id="rId6"/>
    <sheet name="12X12 Concrete" sheetId="41" r:id="rId7"/>
    <sheet name="Bonding" sheetId="20" state="hidden" r:id="rId8"/>
    <sheet name="14x14 BID SHEET" sheetId="36" r:id="rId9"/>
    <sheet name="14x14 CONCRETE" sheetId="37" r:id="rId10"/>
    <sheet name="16X16 Bid Sheet" sheetId="30" r:id="rId11"/>
    <sheet name="Concrete 16X16 " sheetId="32" r:id="rId12"/>
    <sheet name="18X18 Bid Sheet" sheetId="38" r:id="rId13"/>
    <sheet name="18X18 Concrete" sheetId="39" r:id="rId14"/>
    <sheet name="20X20 Bid Sheet" sheetId="33" r:id="rId15"/>
    <sheet name="20X20 Concrete" sheetId="34" r:id="rId16"/>
    <sheet name="21x20 Bid Sheet" sheetId="26" r:id="rId17"/>
    <sheet name="Concrete 21x20" sheetId="27" r:id="rId18"/>
    <sheet name="20x16 bid sheet" sheetId="24" r:id="rId19"/>
    <sheet name="Concrete 20x16" sheetId="25" r:id="rId20"/>
    <sheet name="16x32 bid sheet" sheetId="28" r:id="rId21"/>
    <sheet name="Concrete 16x32" sheetId="29" r:id="rId22"/>
    <sheet name="20X40 Bid Sheet" sheetId="42" r:id="rId23"/>
    <sheet name="20X40 Concrete" sheetId="43" r:id="rId24"/>
  </sheets>
  <definedNames>
    <definedName name="_xlnm.Print_Area" localSheetId="3">'10x10 bid sheet'!$B$1:$Q$106</definedName>
  </definedNames>
  <calcPr calcId="171026"/>
</workbook>
</file>

<file path=xl/calcChain.xml><?xml version="1.0" encoding="utf-8"?>
<calcChain xmlns="http://schemas.openxmlformats.org/spreadsheetml/2006/main">
  <c r="C5" i="35" l="1"/>
  <c r="C9" i="35"/>
  <c r="C11" i="35" s="1"/>
  <c r="C13" i="35"/>
  <c r="C15" i="35" s="1"/>
  <c r="C17" i="35"/>
  <c r="C19" i="35" s="1"/>
  <c r="C23" i="35"/>
  <c r="C25" i="35"/>
  <c r="C27" i="35"/>
  <c r="C29" i="35"/>
  <c r="J8" i="35" l="1"/>
  <c r="K8" i="35" s="1"/>
  <c r="L8" i="35" s="1"/>
  <c r="M48" i="33"/>
  <c r="M49" i="30"/>
  <c r="M48" i="30"/>
  <c r="M49" i="36"/>
  <c r="N67" i="36" s="1"/>
  <c r="M49" i="40"/>
  <c r="M48" i="40"/>
  <c r="G5" i="35"/>
  <c r="F5" i="35"/>
  <c r="B5" i="35"/>
  <c r="J3" i="22"/>
  <c r="M48" i="22"/>
  <c r="M49" i="22"/>
  <c r="M48" i="42"/>
  <c r="M49" i="42"/>
  <c r="C62" i="42"/>
  <c r="I109" i="43"/>
  <c r="I108" i="43"/>
  <c r="I107" i="43"/>
  <c r="I106" i="43"/>
  <c r="I104" i="43"/>
  <c r="I103" i="43"/>
  <c r="F94" i="43"/>
  <c r="F93" i="43"/>
  <c r="F92" i="43"/>
  <c r="J91" i="43"/>
  <c r="F91" i="43"/>
  <c r="G88" i="43"/>
  <c r="F87" i="43"/>
  <c r="F86" i="43"/>
  <c r="F88" i="43" s="1"/>
  <c r="H88" i="43" s="1"/>
  <c r="J84" i="43"/>
  <c r="F84" i="43"/>
  <c r="G79" i="43"/>
  <c r="F79" i="43"/>
  <c r="H79" i="43" s="1"/>
  <c r="F78" i="43"/>
  <c r="F77" i="43"/>
  <c r="J75" i="43"/>
  <c r="F75" i="43"/>
  <c r="G71" i="43"/>
  <c r="F70" i="43"/>
  <c r="F71" i="43" s="1"/>
  <c r="H71" i="43" s="1"/>
  <c r="F69" i="43"/>
  <c r="J67" i="43"/>
  <c r="F67" i="43"/>
  <c r="G63" i="43"/>
  <c r="F62" i="43"/>
  <c r="F61" i="43"/>
  <c r="J59" i="43"/>
  <c r="F59" i="43"/>
  <c r="F63" i="43" s="1"/>
  <c r="H63" i="43" s="1"/>
  <c r="G55" i="43"/>
  <c r="F54" i="43"/>
  <c r="F53" i="43"/>
  <c r="J51" i="43"/>
  <c r="J97" i="43" s="1"/>
  <c r="J99" i="43" s="1"/>
  <c r="F51" i="43"/>
  <c r="F55" i="43" s="1"/>
  <c r="H55" i="43" s="1"/>
  <c r="G46" i="43"/>
  <c r="F45" i="43"/>
  <c r="F44" i="43"/>
  <c r="J42" i="43"/>
  <c r="F42" i="43"/>
  <c r="F46" i="43" s="1"/>
  <c r="G37" i="43"/>
  <c r="F36" i="43"/>
  <c r="D35" i="43"/>
  <c r="C35" i="43"/>
  <c r="F35" i="43" s="1"/>
  <c r="J33" i="43"/>
  <c r="F33" i="43"/>
  <c r="H26" i="43"/>
  <c r="H25" i="43"/>
  <c r="H24" i="43"/>
  <c r="J22" i="43"/>
  <c r="H22" i="43"/>
  <c r="J21" i="43"/>
  <c r="H21" i="43"/>
  <c r="H19" i="43"/>
  <c r="H17" i="43"/>
  <c r="H16" i="43"/>
  <c r="H15" i="43"/>
  <c r="H14" i="43"/>
  <c r="G9" i="43"/>
  <c r="C9" i="43"/>
  <c r="F8" i="43"/>
  <c r="F7" i="43"/>
  <c r="D6" i="43"/>
  <c r="C6" i="43"/>
  <c r="F6" i="43" s="1"/>
  <c r="F5" i="43"/>
  <c r="F4" i="43"/>
  <c r="I3" i="42"/>
  <c r="P89" i="42"/>
  <c r="H86" i="42"/>
  <c r="P85" i="42"/>
  <c r="F84" i="42"/>
  <c r="K84" i="42" s="1"/>
  <c r="L84" i="42" s="1"/>
  <c r="N84" i="42" s="1"/>
  <c r="O84" i="42" s="1"/>
  <c r="P84" i="42" s="1"/>
  <c r="F83" i="42"/>
  <c r="K83" i="42" s="1"/>
  <c r="L83" i="42" s="1"/>
  <c r="N83" i="42" s="1"/>
  <c r="O83" i="42" s="1"/>
  <c r="P83" i="42" s="1"/>
  <c r="F82" i="42"/>
  <c r="K82" i="42" s="1"/>
  <c r="L82" i="42" s="1"/>
  <c r="N82" i="42" s="1"/>
  <c r="O82" i="42" s="1"/>
  <c r="P82" i="42" s="1"/>
  <c r="F81" i="42"/>
  <c r="F80" i="42"/>
  <c r="K80" i="42" s="1"/>
  <c r="M79" i="42"/>
  <c r="J79" i="42"/>
  <c r="P75" i="42"/>
  <c r="F74" i="42"/>
  <c r="F73" i="42"/>
  <c r="F69" i="42"/>
  <c r="K69" i="42" s="1"/>
  <c r="K68" i="42"/>
  <c r="F68" i="42"/>
  <c r="H68" i="42" s="1"/>
  <c r="M67" i="42"/>
  <c r="J67" i="42"/>
  <c r="H67" i="42"/>
  <c r="F63" i="42"/>
  <c r="K63" i="42" s="1"/>
  <c r="F62" i="42"/>
  <c r="K61" i="42"/>
  <c r="F61" i="42"/>
  <c r="H61" i="42" s="1"/>
  <c r="C60" i="42"/>
  <c r="F60" i="42" s="1"/>
  <c r="H59" i="42"/>
  <c r="F59" i="42"/>
  <c r="K59" i="42" s="1"/>
  <c r="F58" i="42"/>
  <c r="H57" i="42"/>
  <c r="F57" i="42"/>
  <c r="F56" i="42"/>
  <c r="C55" i="42"/>
  <c r="F55" i="42" s="1"/>
  <c r="K54" i="42"/>
  <c r="F54" i="42"/>
  <c r="F53" i="42"/>
  <c r="H53" i="42" s="1"/>
  <c r="F52" i="42"/>
  <c r="K52" i="42" s="1"/>
  <c r="K51" i="42"/>
  <c r="F51" i="42"/>
  <c r="H51" i="42" s="1"/>
  <c r="H50" i="42"/>
  <c r="F50" i="42"/>
  <c r="J49" i="42"/>
  <c r="P44" i="42"/>
  <c r="C43" i="42"/>
  <c r="C44" i="42" s="1"/>
  <c r="I42" i="42"/>
  <c r="E42" i="42"/>
  <c r="G42" i="42" s="1"/>
  <c r="G41" i="42"/>
  <c r="L41" i="42" s="1"/>
  <c r="N41" i="42" s="1"/>
  <c r="O41" i="42" s="1"/>
  <c r="P41" i="42" s="1"/>
  <c r="E41" i="42"/>
  <c r="I41" i="42" s="1"/>
  <c r="E40" i="42"/>
  <c r="I40" i="42" s="1"/>
  <c r="A40" i="42"/>
  <c r="E39" i="42"/>
  <c r="A39" i="42"/>
  <c r="E38" i="42"/>
  <c r="I38" i="42" s="1"/>
  <c r="A38" i="42"/>
  <c r="E37" i="42"/>
  <c r="A37" i="42"/>
  <c r="E36" i="42"/>
  <c r="I36" i="42" s="1"/>
  <c r="A36" i="42"/>
  <c r="E35" i="42"/>
  <c r="I35" i="42" s="1"/>
  <c r="A34" i="42"/>
  <c r="E34" i="42" s="1"/>
  <c r="A33" i="42"/>
  <c r="E33" i="42" s="1"/>
  <c r="G32" i="42"/>
  <c r="E32" i="42"/>
  <c r="C29" i="42"/>
  <c r="E28" i="42"/>
  <c r="D27" i="42"/>
  <c r="E27" i="42" s="1"/>
  <c r="D26" i="42"/>
  <c r="E26" i="42" s="1"/>
  <c r="D25" i="42"/>
  <c r="E25" i="42" s="1"/>
  <c r="D24" i="42"/>
  <c r="E24" i="42" s="1"/>
  <c r="E23" i="42"/>
  <c r="G22" i="42"/>
  <c r="E22" i="42"/>
  <c r="M19" i="42"/>
  <c r="H19" i="42"/>
  <c r="I23" i="42" s="1"/>
  <c r="E16" i="42"/>
  <c r="E15" i="42"/>
  <c r="D21" i="42" s="1"/>
  <c r="E21" i="42" s="1"/>
  <c r="C59" i="40"/>
  <c r="C56" i="40"/>
  <c r="C50" i="40"/>
  <c r="F50" i="40" s="1"/>
  <c r="H50" i="40" s="1"/>
  <c r="G31" i="41"/>
  <c r="H26" i="41"/>
  <c r="H25" i="41"/>
  <c r="H24" i="41"/>
  <c r="J22" i="41"/>
  <c r="H22" i="41"/>
  <c r="J21" i="41"/>
  <c r="H21" i="41"/>
  <c r="H19" i="41"/>
  <c r="H17" i="41"/>
  <c r="H16" i="41"/>
  <c r="H15" i="41"/>
  <c r="H14" i="41"/>
  <c r="G9" i="41"/>
  <c r="F8" i="41"/>
  <c r="F7" i="41"/>
  <c r="D6" i="41"/>
  <c r="C6" i="41"/>
  <c r="F6" i="41" s="1"/>
  <c r="F9" i="41" s="1"/>
  <c r="H9" i="41" s="1"/>
  <c r="F5" i="41"/>
  <c r="F4" i="41"/>
  <c r="I3" i="40"/>
  <c r="P88" i="40"/>
  <c r="H86" i="40"/>
  <c r="P85" i="40"/>
  <c r="F85" i="40"/>
  <c r="F84" i="40"/>
  <c r="F83" i="40"/>
  <c r="F82" i="40"/>
  <c r="F81" i="40"/>
  <c r="F80" i="40"/>
  <c r="M79" i="40"/>
  <c r="J79" i="40"/>
  <c r="P75" i="40"/>
  <c r="F74" i="40"/>
  <c r="F73" i="40"/>
  <c r="H73" i="40" s="1"/>
  <c r="F69" i="40"/>
  <c r="H69" i="40" s="1"/>
  <c r="F68" i="40"/>
  <c r="M67" i="40"/>
  <c r="J67" i="40"/>
  <c r="H67" i="40"/>
  <c r="F63" i="40"/>
  <c r="H63" i="40" s="1"/>
  <c r="F62" i="40"/>
  <c r="F61" i="40"/>
  <c r="H61" i="40" s="1"/>
  <c r="F60" i="40"/>
  <c r="C60" i="40"/>
  <c r="F59" i="40"/>
  <c r="F58" i="40"/>
  <c r="F57" i="40"/>
  <c r="F56" i="40"/>
  <c r="C54" i="40"/>
  <c r="C55" i="40" s="1"/>
  <c r="F55" i="40" s="1"/>
  <c r="F53" i="40"/>
  <c r="F52" i="40"/>
  <c r="F51" i="40"/>
  <c r="H51" i="40" s="1"/>
  <c r="J49" i="40"/>
  <c r="P44" i="40"/>
  <c r="C43" i="40"/>
  <c r="E42" i="40"/>
  <c r="E41" i="40"/>
  <c r="G41" i="40" s="1"/>
  <c r="A40" i="40"/>
  <c r="E40" i="40" s="1"/>
  <c r="A39" i="40"/>
  <c r="E39" i="40" s="1"/>
  <c r="G39" i="40" s="1"/>
  <c r="A38" i="40"/>
  <c r="E38" i="40" s="1"/>
  <c r="G38" i="40" s="1"/>
  <c r="A37" i="40"/>
  <c r="E37" i="40" s="1"/>
  <c r="G37" i="40" s="1"/>
  <c r="A36" i="40"/>
  <c r="E36" i="40" s="1"/>
  <c r="G36" i="40" s="1"/>
  <c r="E35" i="40"/>
  <c r="G35" i="40" s="1"/>
  <c r="A34" i="40"/>
  <c r="E34" i="40" s="1"/>
  <c r="G34" i="40" s="1"/>
  <c r="A33" i="40"/>
  <c r="E33" i="40" s="1"/>
  <c r="E32" i="40"/>
  <c r="G32" i="40" s="1"/>
  <c r="C29" i="40"/>
  <c r="E27" i="40"/>
  <c r="I27" i="40" s="1"/>
  <c r="E24" i="40"/>
  <c r="E23" i="40"/>
  <c r="D21" i="40"/>
  <c r="E21" i="40" s="1"/>
  <c r="M19" i="40"/>
  <c r="H19" i="40"/>
  <c r="E16" i="40"/>
  <c r="D26" i="40" s="1"/>
  <c r="E26" i="40" s="1"/>
  <c r="E15" i="40"/>
  <c r="D20" i="40" s="1"/>
  <c r="E20" i="40" s="1"/>
  <c r="C56" i="38"/>
  <c r="F56" i="38" s="1"/>
  <c r="C50" i="38"/>
  <c r="F50" i="38" s="1"/>
  <c r="G31" i="39"/>
  <c r="H26" i="39"/>
  <c r="H25" i="39"/>
  <c r="H24" i="39"/>
  <c r="J22" i="39"/>
  <c r="H22" i="39"/>
  <c r="J21" i="39"/>
  <c r="H21" i="39"/>
  <c r="H19" i="39"/>
  <c r="H17" i="39"/>
  <c r="H16" i="39"/>
  <c r="H15" i="39"/>
  <c r="H14" i="39"/>
  <c r="G9" i="39"/>
  <c r="F8" i="39"/>
  <c r="F7" i="39"/>
  <c r="D6" i="39"/>
  <c r="C6" i="39"/>
  <c r="F6" i="39" s="1"/>
  <c r="F5" i="39"/>
  <c r="F4" i="39"/>
  <c r="I3" i="38"/>
  <c r="P96" i="38"/>
  <c r="O95" i="38"/>
  <c r="P95" i="38" s="1"/>
  <c r="P94" i="38"/>
  <c r="P92" i="38"/>
  <c r="H90" i="38"/>
  <c r="P89" i="38"/>
  <c r="K89" i="38"/>
  <c r="F89" i="38"/>
  <c r="F88" i="38"/>
  <c r="K88" i="38" s="1"/>
  <c r="F87" i="38"/>
  <c r="K87" i="38" s="1"/>
  <c r="L87" i="38" s="1"/>
  <c r="N87" i="38" s="1"/>
  <c r="O87" i="38" s="1"/>
  <c r="P87" i="38" s="1"/>
  <c r="F86" i="38"/>
  <c r="L85" i="38"/>
  <c r="N85" i="38" s="1"/>
  <c r="O85" i="38" s="1"/>
  <c r="P85" i="38" s="1"/>
  <c r="K85" i="38"/>
  <c r="F85" i="38"/>
  <c r="F84" i="38"/>
  <c r="F90" i="38" s="1"/>
  <c r="M83" i="38"/>
  <c r="J83" i="38"/>
  <c r="P79" i="38"/>
  <c r="H78" i="38"/>
  <c r="F78" i="38"/>
  <c r="F77" i="38"/>
  <c r="H77" i="38" s="1"/>
  <c r="F73" i="38"/>
  <c r="F72" i="38"/>
  <c r="M71" i="38"/>
  <c r="J71" i="38"/>
  <c r="K78" i="38" s="1"/>
  <c r="H71" i="38"/>
  <c r="F67" i="38"/>
  <c r="F66" i="38"/>
  <c r="H65" i="38"/>
  <c r="F65" i="38"/>
  <c r="L65" i="38" s="1"/>
  <c r="N65" i="38" s="1"/>
  <c r="O65" i="38" s="1"/>
  <c r="P65" i="38" s="1"/>
  <c r="F64" i="38"/>
  <c r="K63" i="38"/>
  <c r="F63" i="38"/>
  <c r="H63" i="38" s="1"/>
  <c r="L63" i="38" s="1"/>
  <c r="N63" i="38" s="1"/>
  <c r="O63" i="38" s="1"/>
  <c r="P63" i="38" s="1"/>
  <c r="K62" i="38"/>
  <c r="L62" i="38" s="1"/>
  <c r="N62" i="38" s="1"/>
  <c r="O62" i="38" s="1"/>
  <c r="P62" i="38" s="1"/>
  <c r="H62" i="38"/>
  <c r="F62" i="38"/>
  <c r="K61" i="38"/>
  <c r="H61" i="38"/>
  <c r="L61" i="38" s="1"/>
  <c r="N61" i="38" s="1"/>
  <c r="O61" i="38" s="1"/>
  <c r="P61" i="38" s="1"/>
  <c r="F61" i="38"/>
  <c r="F60" i="38"/>
  <c r="F59" i="38"/>
  <c r="F58" i="38"/>
  <c r="H57" i="38"/>
  <c r="F57" i="38"/>
  <c r="F54" i="38"/>
  <c r="K53" i="38"/>
  <c r="F53" i="38"/>
  <c r="H53" i="38" s="1"/>
  <c r="L53" i="38" s="1"/>
  <c r="N53" i="38" s="1"/>
  <c r="O53" i="38" s="1"/>
  <c r="P53" i="38" s="1"/>
  <c r="K52" i="38"/>
  <c r="L52" i="38" s="1"/>
  <c r="N52" i="38" s="1"/>
  <c r="O52" i="38" s="1"/>
  <c r="P52" i="38" s="1"/>
  <c r="H52" i="38"/>
  <c r="F52" i="38"/>
  <c r="K51" i="38"/>
  <c r="H51" i="38"/>
  <c r="L51" i="38" s="1"/>
  <c r="N51" i="38" s="1"/>
  <c r="O51" i="38" s="1"/>
  <c r="P51" i="38" s="1"/>
  <c r="F51" i="38"/>
  <c r="J49" i="38"/>
  <c r="K65" i="38" s="1"/>
  <c r="P44" i="38"/>
  <c r="C43" i="38"/>
  <c r="G42" i="38"/>
  <c r="E42" i="38"/>
  <c r="G41" i="38"/>
  <c r="E41" i="38"/>
  <c r="E40" i="38"/>
  <c r="G40" i="38" s="1"/>
  <c r="A40" i="38"/>
  <c r="E39" i="38"/>
  <c r="A39" i="38"/>
  <c r="E38" i="38"/>
  <c r="A38" i="38"/>
  <c r="E37" i="38"/>
  <c r="A37" i="38"/>
  <c r="E36" i="38"/>
  <c r="G36" i="38" s="1"/>
  <c r="A36" i="38"/>
  <c r="E35" i="38"/>
  <c r="G35" i="38" s="1"/>
  <c r="A34" i="38"/>
  <c r="E34" i="38" s="1"/>
  <c r="A33" i="38"/>
  <c r="E33" i="38" s="1"/>
  <c r="E32" i="38"/>
  <c r="C29" i="38"/>
  <c r="D28" i="38"/>
  <c r="E28" i="38" s="1"/>
  <c r="D27" i="38"/>
  <c r="E27" i="38" s="1"/>
  <c r="D26" i="38"/>
  <c r="E26" i="38" s="1"/>
  <c r="D25" i="38"/>
  <c r="E25" i="38" s="1"/>
  <c r="D24" i="38"/>
  <c r="E24" i="38" s="1"/>
  <c r="E23" i="38"/>
  <c r="D22" i="38"/>
  <c r="E22" i="38" s="1"/>
  <c r="D21" i="38"/>
  <c r="E21" i="38" s="1"/>
  <c r="D20" i="38"/>
  <c r="E20" i="38" s="1"/>
  <c r="M19" i="38"/>
  <c r="H19" i="38"/>
  <c r="I42" i="38" s="1"/>
  <c r="L42" i="38" s="1"/>
  <c r="N42" i="38" s="1"/>
  <c r="O42" i="38" s="1"/>
  <c r="P42" i="38" s="1"/>
  <c r="E16" i="38"/>
  <c r="E15" i="38"/>
  <c r="N50" i="36"/>
  <c r="F29" i="35"/>
  <c r="B29" i="35"/>
  <c r="D29" i="35" s="1"/>
  <c r="G29" i="35"/>
  <c r="G27" i="35"/>
  <c r="G25" i="35"/>
  <c r="G23" i="35"/>
  <c r="G21" i="35"/>
  <c r="G19" i="35"/>
  <c r="G17" i="35"/>
  <c r="G15" i="35"/>
  <c r="F27" i="35"/>
  <c r="F25" i="35"/>
  <c r="F23" i="35"/>
  <c r="F21" i="35"/>
  <c r="F19" i="35"/>
  <c r="F17" i="35"/>
  <c r="F15" i="35"/>
  <c r="G13" i="35"/>
  <c r="F13" i="35"/>
  <c r="G11" i="35"/>
  <c r="F11" i="35"/>
  <c r="N58" i="36" l="1"/>
  <c r="K53" i="42"/>
  <c r="L53" i="42" s="1"/>
  <c r="N53" i="42" s="1"/>
  <c r="O53" i="42" s="1"/>
  <c r="P53" i="42" s="1"/>
  <c r="F64" i="42"/>
  <c r="F9" i="43"/>
  <c r="H9" i="43" s="1"/>
  <c r="F37" i="43"/>
  <c r="H37" i="43" s="1"/>
  <c r="F97" i="43"/>
  <c r="H46" i="43"/>
  <c r="K60" i="42"/>
  <c r="H60" i="42"/>
  <c r="L60" i="42" s="1"/>
  <c r="N60" i="42" s="1"/>
  <c r="O60" i="42" s="1"/>
  <c r="P60" i="42" s="1"/>
  <c r="L80" i="42"/>
  <c r="L22" i="42"/>
  <c r="N22" i="42" s="1"/>
  <c r="O22" i="42" s="1"/>
  <c r="P22" i="42" s="1"/>
  <c r="K55" i="42"/>
  <c r="H55" i="42"/>
  <c r="L55" i="42" s="1"/>
  <c r="N55" i="42" s="1"/>
  <c r="O55" i="42" s="1"/>
  <c r="P55" i="42" s="1"/>
  <c r="L81" i="42"/>
  <c r="N81" i="42" s="1"/>
  <c r="O81" i="42" s="1"/>
  <c r="P81" i="42" s="1"/>
  <c r="H62" i="42"/>
  <c r="L62" i="42"/>
  <c r="N62" i="42" s="1"/>
  <c r="O62" i="42" s="1"/>
  <c r="P62" i="42" s="1"/>
  <c r="K62" i="42"/>
  <c r="L24" i="42"/>
  <c r="N24" i="42" s="1"/>
  <c r="O24" i="42" s="1"/>
  <c r="P24" i="42" s="1"/>
  <c r="I24" i="42"/>
  <c r="G24" i="42"/>
  <c r="E43" i="42"/>
  <c r="L33" i="42"/>
  <c r="N33" i="42" s="1"/>
  <c r="O33" i="42" s="1"/>
  <c r="P33" i="42" s="1"/>
  <c r="I33" i="42"/>
  <c r="G33" i="42"/>
  <c r="I21" i="42"/>
  <c r="G21" i="42"/>
  <c r="L21" i="42" s="1"/>
  <c r="N21" i="42" s="1"/>
  <c r="O21" i="42" s="1"/>
  <c r="P21" i="42" s="1"/>
  <c r="L25" i="42"/>
  <c r="N25" i="42" s="1"/>
  <c r="O25" i="42" s="1"/>
  <c r="P25" i="42" s="1"/>
  <c r="I25" i="42"/>
  <c r="G25" i="42"/>
  <c r="G34" i="42"/>
  <c r="G43" i="42" s="1"/>
  <c r="I34" i="42"/>
  <c r="I26" i="42"/>
  <c r="G26" i="42"/>
  <c r="L26" i="42" s="1"/>
  <c r="N26" i="42" s="1"/>
  <c r="O26" i="42" s="1"/>
  <c r="P26" i="42" s="1"/>
  <c r="I27" i="42"/>
  <c r="G27" i="42"/>
  <c r="L27" i="42" s="1"/>
  <c r="N27" i="42" s="1"/>
  <c r="O27" i="42" s="1"/>
  <c r="P27" i="42" s="1"/>
  <c r="L54" i="42"/>
  <c r="N54" i="42" s="1"/>
  <c r="O54" i="42" s="1"/>
  <c r="P54" i="42" s="1"/>
  <c r="L59" i="42"/>
  <c r="N59" i="42" s="1"/>
  <c r="O59" i="42" s="1"/>
  <c r="P59" i="42" s="1"/>
  <c r="G35" i="42"/>
  <c r="L35" i="42" s="1"/>
  <c r="N35" i="42" s="1"/>
  <c r="O35" i="42" s="1"/>
  <c r="P35" i="42" s="1"/>
  <c r="G36" i="42"/>
  <c r="L36" i="42" s="1"/>
  <c r="N36" i="42" s="1"/>
  <c r="O36" i="42" s="1"/>
  <c r="P36" i="42" s="1"/>
  <c r="G37" i="42"/>
  <c r="G38" i="42"/>
  <c r="G39" i="42"/>
  <c r="L39" i="42" s="1"/>
  <c r="N39" i="42" s="1"/>
  <c r="O39" i="42" s="1"/>
  <c r="P39" i="42" s="1"/>
  <c r="G40" i="42"/>
  <c r="L42" i="42"/>
  <c r="N42" i="42" s="1"/>
  <c r="O42" i="42" s="1"/>
  <c r="P42" i="42" s="1"/>
  <c r="K50" i="42"/>
  <c r="L51" i="42"/>
  <c r="N51" i="42" s="1"/>
  <c r="O51" i="42" s="1"/>
  <c r="P51" i="42" s="1"/>
  <c r="H58" i="42"/>
  <c r="L58" i="42" s="1"/>
  <c r="N58" i="42" s="1"/>
  <c r="O58" i="42" s="1"/>
  <c r="P58" i="42" s="1"/>
  <c r="L61" i="42"/>
  <c r="N61" i="42" s="1"/>
  <c r="O61" i="42" s="1"/>
  <c r="P61" i="42" s="1"/>
  <c r="L68" i="42"/>
  <c r="I37" i="42"/>
  <c r="L37" i="42" s="1"/>
  <c r="N37" i="42" s="1"/>
  <c r="O37" i="42" s="1"/>
  <c r="P37" i="42" s="1"/>
  <c r="I39" i="42"/>
  <c r="L50" i="42"/>
  <c r="K58" i="42"/>
  <c r="G28" i="42"/>
  <c r="L28" i="42" s="1"/>
  <c r="N28" i="42" s="1"/>
  <c r="O28" i="42" s="1"/>
  <c r="P28" i="42" s="1"/>
  <c r="I32" i="42"/>
  <c r="L38" i="42"/>
  <c r="N38" i="42" s="1"/>
  <c r="O38" i="42" s="1"/>
  <c r="P38" i="42" s="1"/>
  <c r="L40" i="42"/>
  <c r="N40" i="42" s="1"/>
  <c r="O40" i="42" s="1"/>
  <c r="P40" i="42" s="1"/>
  <c r="H56" i="42"/>
  <c r="L56" i="42" s="1"/>
  <c r="N56" i="42" s="1"/>
  <c r="O56" i="42" s="1"/>
  <c r="P56" i="42" s="1"/>
  <c r="K57" i="42"/>
  <c r="L57" i="42" s="1"/>
  <c r="N57" i="42" s="1"/>
  <c r="O57" i="42" s="1"/>
  <c r="P57" i="42" s="1"/>
  <c r="F76" i="42"/>
  <c r="K81" i="42"/>
  <c r="J86" i="42" s="1"/>
  <c r="F86" i="42"/>
  <c r="D20" i="42"/>
  <c r="E20" i="42" s="1"/>
  <c r="G23" i="42"/>
  <c r="L23" i="42" s="1"/>
  <c r="N23" i="42" s="1"/>
  <c r="O23" i="42" s="1"/>
  <c r="P23" i="42" s="1"/>
  <c r="I28" i="42"/>
  <c r="L32" i="42"/>
  <c r="H54" i="42"/>
  <c r="K56" i="42"/>
  <c r="C70" i="42"/>
  <c r="F70" i="42" s="1"/>
  <c r="C71" i="42"/>
  <c r="F71" i="42" s="1"/>
  <c r="C72" i="42"/>
  <c r="F72" i="42" s="1"/>
  <c r="H74" i="42"/>
  <c r="L74" i="42" s="1"/>
  <c r="N74" i="42" s="1"/>
  <c r="O74" i="42" s="1"/>
  <c r="P74" i="42" s="1"/>
  <c r="H73" i="42"/>
  <c r="L73" i="42" s="1"/>
  <c r="N73" i="42" s="1"/>
  <c r="O73" i="42" s="1"/>
  <c r="P73" i="42" s="1"/>
  <c r="K74" i="42"/>
  <c r="I22" i="42"/>
  <c r="H52" i="42"/>
  <c r="L52" i="42" s="1"/>
  <c r="N52" i="42" s="1"/>
  <c r="O52" i="42" s="1"/>
  <c r="P52" i="42" s="1"/>
  <c r="H63" i="42"/>
  <c r="L63" i="42" s="1"/>
  <c r="N63" i="42" s="1"/>
  <c r="O63" i="42" s="1"/>
  <c r="P63" i="42" s="1"/>
  <c r="H69" i="42"/>
  <c r="L69" i="42" s="1"/>
  <c r="N69" i="42" s="1"/>
  <c r="O69" i="42" s="1"/>
  <c r="P69" i="42" s="1"/>
  <c r="K73" i="42"/>
  <c r="K82" i="40"/>
  <c r="D28" i="40"/>
  <c r="E28" i="40" s="1"/>
  <c r="I28" i="40" s="1"/>
  <c r="K68" i="40"/>
  <c r="D22" i="40"/>
  <c r="E22" i="40" s="1"/>
  <c r="I22" i="40" s="1"/>
  <c r="L68" i="40"/>
  <c r="N68" i="40" s="1"/>
  <c r="K61" i="40"/>
  <c r="H68" i="40"/>
  <c r="D25" i="40"/>
  <c r="E25" i="40" s="1"/>
  <c r="G25" i="40" s="1"/>
  <c r="K63" i="40"/>
  <c r="L63" i="40" s="1"/>
  <c r="N63" i="40" s="1"/>
  <c r="O63" i="40" s="1"/>
  <c r="P63" i="40" s="1"/>
  <c r="K69" i="40"/>
  <c r="L69" i="40" s="1"/>
  <c r="N69" i="40" s="1"/>
  <c r="O69" i="40" s="1"/>
  <c r="P69" i="40" s="1"/>
  <c r="G27" i="40"/>
  <c r="L27" i="40" s="1"/>
  <c r="N27" i="40" s="1"/>
  <c r="O27" i="40" s="1"/>
  <c r="P27" i="40" s="1"/>
  <c r="G33" i="40"/>
  <c r="I33" i="40"/>
  <c r="G40" i="40"/>
  <c r="H62" i="40"/>
  <c r="K62" i="40"/>
  <c r="K83" i="40"/>
  <c r="L83" i="40" s="1"/>
  <c r="N83" i="40" s="1"/>
  <c r="O83" i="40" s="1"/>
  <c r="P83" i="40" s="1"/>
  <c r="K85" i="40"/>
  <c r="I34" i="40"/>
  <c r="L34" i="40" s="1"/>
  <c r="N34" i="40" s="1"/>
  <c r="O34" i="40" s="1"/>
  <c r="P34" i="40" s="1"/>
  <c r="K73" i="40"/>
  <c r="L73" i="40" s="1"/>
  <c r="N73" i="40" s="1"/>
  <c r="O73" i="40" s="1"/>
  <c r="P73" i="40" s="1"/>
  <c r="I40" i="40"/>
  <c r="I32" i="40"/>
  <c r="F86" i="40"/>
  <c r="E43" i="40"/>
  <c r="C44" i="40"/>
  <c r="I26" i="40"/>
  <c r="G26" i="40"/>
  <c r="L26" i="40" s="1"/>
  <c r="N26" i="40" s="1"/>
  <c r="O26" i="40" s="1"/>
  <c r="P26" i="40" s="1"/>
  <c r="K55" i="40"/>
  <c r="H55" i="40"/>
  <c r="I24" i="40"/>
  <c r="E29" i="40"/>
  <c r="G20" i="40"/>
  <c r="I20" i="40"/>
  <c r="G24" i="40"/>
  <c r="H58" i="40"/>
  <c r="K58" i="40"/>
  <c r="G23" i="40"/>
  <c r="I23" i="40"/>
  <c r="K60" i="40"/>
  <c r="L60" i="40" s="1"/>
  <c r="N60" i="40" s="1"/>
  <c r="O60" i="40" s="1"/>
  <c r="P60" i="40" s="1"/>
  <c r="H60" i="40"/>
  <c r="L32" i="40"/>
  <c r="L61" i="40"/>
  <c r="N61" i="40" s="1"/>
  <c r="O61" i="40" s="1"/>
  <c r="P61" i="40" s="1"/>
  <c r="L82" i="40"/>
  <c r="N82" i="40" s="1"/>
  <c r="O82" i="40" s="1"/>
  <c r="P82" i="40" s="1"/>
  <c r="G21" i="40"/>
  <c r="I21" i="40"/>
  <c r="I25" i="40"/>
  <c r="L25" i="40" s="1"/>
  <c r="N25" i="40" s="1"/>
  <c r="O25" i="40" s="1"/>
  <c r="P25" i="40" s="1"/>
  <c r="K56" i="40"/>
  <c r="H56" i="40"/>
  <c r="K59" i="40"/>
  <c r="G22" i="40"/>
  <c r="H59" i="40"/>
  <c r="G42" i="40"/>
  <c r="G43" i="40" s="1"/>
  <c r="H52" i="40"/>
  <c r="H53" i="40"/>
  <c r="K57" i="40"/>
  <c r="C70" i="40"/>
  <c r="F70" i="40" s="1"/>
  <c r="C71" i="40"/>
  <c r="F71" i="40" s="1"/>
  <c r="C72" i="40"/>
  <c r="F72" i="40" s="1"/>
  <c r="H74" i="40"/>
  <c r="F54" i="40"/>
  <c r="H57" i="40"/>
  <c r="K81" i="40"/>
  <c r="L81" i="40" s="1"/>
  <c r="N81" i="40" s="1"/>
  <c r="O81" i="40" s="1"/>
  <c r="P81" i="40" s="1"/>
  <c r="I42" i="40"/>
  <c r="K52" i="40"/>
  <c r="K53" i="40"/>
  <c r="K74" i="40"/>
  <c r="K80" i="40"/>
  <c r="K84" i="40"/>
  <c r="L84" i="40" s="1"/>
  <c r="N84" i="40" s="1"/>
  <c r="O84" i="40" s="1"/>
  <c r="P84" i="40" s="1"/>
  <c r="I41" i="40"/>
  <c r="L41" i="40" s="1"/>
  <c r="N41" i="40" s="1"/>
  <c r="O41" i="40" s="1"/>
  <c r="P41" i="40" s="1"/>
  <c r="K51" i="40"/>
  <c r="L51" i="40" s="1"/>
  <c r="N51" i="40" s="1"/>
  <c r="O51" i="40" s="1"/>
  <c r="P51" i="40" s="1"/>
  <c r="I35" i="40"/>
  <c r="L35" i="40" s="1"/>
  <c r="N35" i="40" s="1"/>
  <c r="O35" i="40" s="1"/>
  <c r="P35" i="40" s="1"/>
  <c r="I36" i="40"/>
  <c r="L36" i="40" s="1"/>
  <c r="N36" i="40" s="1"/>
  <c r="O36" i="40" s="1"/>
  <c r="P36" i="40" s="1"/>
  <c r="I37" i="40"/>
  <c r="L37" i="40" s="1"/>
  <c r="N37" i="40" s="1"/>
  <c r="O37" i="40" s="1"/>
  <c r="P37" i="40" s="1"/>
  <c r="I38" i="40"/>
  <c r="L38" i="40" s="1"/>
  <c r="N38" i="40" s="1"/>
  <c r="O38" i="40" s="1"/>
  <c r="P38" i="40" s="1"/>
  <c r="I39" i="40"/>
  <c r="L39" i="40" s="1"/>
  <c r="N39" i="40" s="1"/>
  <c r="O39" i="40" s="1"/>
  <c r="P39" i="40" s="1"/>
  <c r="K50" i="40"/>
  <c r="C55" i="38"/>
  <c r="F55" i="38" s="1"/>
  <c r="F68" i="38" s="1"/>
  <c r="F9" i="39"/>
  <c r="H9" i="39" s="1"/>
  <c r="C44" i="38"/>
  <c r="E43" i="38"/>
  <c r="C74" i="38"/>
  <c r="F74" i="38" s="1"/>
  <c r="K74" i="38" s="1"/>
  <c r="C75" i="38"/>
  <c r="F75" i="38" s="1"/>
  <c r="K75" i="38" s="1"/>
  <c r="C76" i="38"/>
  <c r="F76" i="38" s="1"/>
  <c r="K76" i="38" s="1"/>
  <c r="I33" i="38"/>
  <c r="G33" i="38"/>
  <c r="L33" i="38" s="1"/>
  <c r="N33" i="38" s="1"/>
  <c r="O33" i="38" s="1"/>
  <c r="P33" i="38" s="1"/>
  <c r="H74" i="38"/>
  <c r="I24" i="38"/>
  <c r="G24" i="38"/>
  <c r="L24" i="38" s="1"/>
  <c r="N24" i="38" s="1"/>
  <c r="O24" i="38" s="1"/>
  <c r="P24" i="38" s="1"/>
  <c r="I34" i="38"/>
  <c r="G34" i="38"/>
  <c r="L34" i="38" s="1"/>
  <c r="N34" i="38" s="1"/>
  <c r="O34" i="38" s="1"/>
  <c r="P34" i="38" s="1"/>
  <c r="L57" i="38"/>
  <c r="N57" i="38" s="1"/>
  <c r="O57" i="38" s="1"/>
  <c r="P57" i="38" s="1"/>
  <c r="I21" i="38"/>
  <c r="G21" i="38"/>
  <c r="I25" i="38"/>
  <c r="L25" i="38"/>
  <c r="N25" i="38" s="1"/>
  <c r="O25" i="38" s="1"/>
  <c r="P25" i="38" s="1"/>
  <c r="G25" i="38"/>
  <c r="I26" i="38"/>
  <c r="G26" i="38"/>
  <c r="L26" i="38" s="1"/>
  <c r="N26" i="38" s="1"/>
  <c r="O26" i="38" s="1"/>
  <c r="P26" i="38" s="1"/>
  <c r="I27" i="38"/>
  <c r="G27" i="38"/>
  <c r="L27" i="38" s="1"/>
  <c r="N27" i="38" s="1"/>
  <c r="O27" i="38" s="1"/>
  <c r="P27" i="38" s="1"/>
  <c r="L78" i="38"/>
  <c r="N78" i="38" s="1"/>
  <c r="O78" i="38" s="1"/>
  <c r="P78" i="38" s="1"/>
  <c r="L20" i="38"/>
  <c r="I20" i="38"/>
  <c r="G20" i="38"/>
  <c r="E29" i="38"/>
  <c r="I28" i="38"/>
  <c r="G28" i="38"/>
  <c r="L28" i="38" s="1"/>
  <c r="N28" i="38" s="1"/>
  <c r="O28" i="38" s="1"/>
  <c r="P28" i="38" s="1"/>
  <c r="L86" i="38"/>
  <c r="N86" i="38" s="1"/>
  <c r="O86" i="38" s="1"/>
  <c r="P86" i="38" s="1"/>
  <c r="G22" i="38"/>
  <c r="L22" i="38" s="1"/>
  <c r="N22" i="38" s="1"/>
  <c r="O22" i="38" s="1"/>
  <c r="P22" i="38" s="1"/>
  <c r="I22" i="38"/>
  <c r="G38" i="38"/>
  <c r="L38" i="38" s="1"/>
  <c r="N38" i="38" s="1"/>
  <c r="O38" i="38" s="1"/>
  <c r="P38" i="38" s="1"/>
  <c r="H50" i="38"/>
  <c r="G37" i="38"/>
  <c r="L37" i="38" s="1"/>
  <c r="N37" i="38" s="1"/>
  <c r="O37" i="38" s="1"/>
  <c r="P37" i="38" s="1"/>
  <c r="H60" i="38"/>
  <c r="L60" i="38" s="1"/>
  <c r="N60" i="38" s="1"/>
  <c r="O60" i="38" s="1"/>
  <c r="P60" i="38" s="1"/>
  <c r="G32" i="38"/>
  <c r="I35" i="38"/>
  <c r="I36" i="38"/>
  <c r="I37" i="38"/>
  <c r="I38" i="38"/>
  <c r="I39" i="38"/>
  <c r="I40" i="38"/>
  <c r="L40" i="38" s="1"/>
  <c r="N40" i="38" s="1"/>
  <c r="O40" i="38" s="1"/>
  <c r="P40" i="38" s="1"/>
  <c r="K50" i="38"/>
  <c r="H59" i="38"/>
  <c r="L59" i="38" s="1"/>
  <c r="N59" i="38" s="1"/>
  <c r="O59" i="38" s="1"/>
  <c r="P59" i="38" s="1"/>
  <c r="K60" i="38"/>
  <c r="H67" i="38"/>
  <c r="L67" i="38" s="1"/>
  <c r="N67" i="38" s="1"/>
  <c r="O67" i="38" s="1"/>
  <c r="P67" i="38" s="1"/>
  <c r="H73" i="38"/>
  <c r="L73" i="38" s="1"/>
  <c r="N73" i="38" s="1"/>
  <c r="O73" i="38" s="1"/>
  <c r="P73" i="38" s="1"/>
  <c r="K77" i="38"/>
  <c r="L88" i="38"/>
  <c r="N88" i="38" s="1"/>
  <c r="O88" i="38" s="1"/>
  <c r="P88" i="38" s="1"/>
  <c r="G39" i="38"/>
  <c r="L39" i="38" s="1"/>
  <c r="N39" i="38" s="1"/>
  <c r="O39" i="38" s="1"/>
  <c r="P39" i="38" s="1"/>
  <c r="G23" i="38"/>
  <c r="L23" i="38" s="1"/>
  <c r="N23" i="38" s="1"/>
  <c r="O23" i="38" s="1"/>
  <c r="P23" i="38" s="1"/>
  <c r="I32" i="38"/>
  <c r="L35" i="38"/>
  <c r="N35" i="38" s="1"/>
  <c r="O35" i="38" s="1"/>
  <c r="P35" i="38" s="1"/>
  <c r="L36" i="38"/>
  <c r="N36" i="38" s="1"/>
  <c r="O36" i="38" s="1"/>
  <c r="P36" i="38" s="1"/>
  <c r="H58" i="38"/>
  <c r="L58" i="38" s="1"/>
  <c r="N58" i="38" s="1"/>
  <c r="O58" i="38" s="1"/>
  <c r="P58" i="38" s="1"/>
  <c r="K59" i="38"/>
  <c r="H66" i="38"/>
  <c r="L66" i="38" s="1"/>
  <c r="N66" i="38" s="1"/>
  <c r="O66" i="38" s="1"/>
  <c r="P66" i="38" s="1"/>
  <c r="K67" i="38"/>
  <c r="H72" i="38"/>
  <c r="K73" i="38"/>
  <c r="L77" i="38"/>
  <c r="N77" i="38" s="1"/>
  <c r="O77" i="38" s="1"/>
  <c r="P77" i="38" s="1"/>
  <c r="K58" i="38"/>
  <c r="K66" i="38"/>
  <c r="K72" i="38"/>
  <c r="I41" i="38"/>
  <c r="L41" i="38" s="1"/>
  <c r="N41" i="38" s="1"/>
  <c r="O41" i="38" s="1"/>
  <c r="P41" i="38" s="1"/>
  <c r="I23" i="38"/>
  <c r="H54" i="38"/>
  <c r="L54" i="38" s="1"/>
  <c r="N54" i="38" s="1"/>
  <c r="O54" i="38" s="1"/>
  <c r="P54" i="38" s="1"/>
  <c r="H56" i="38"/>
  <c r="K57" i="38"/>
  <c r="H64" i="38"/>
  <c r="L64" i="38" s="1"/>
  <c r="N64" i="38" s="1"/>
  <c r="O64" i="38" s="1"/>
  <c r="P64" i="38" s="1"/>
  <c r="L72" i="38"/>
  <c r="K86" i="38"/>
  <c r="K84" i="38"/>
  <c r="L84" i="38" s="1"/>
  <c r="K54" i="38"/>
  <c r="K56" i="38"/>
  <c r="L56" i="38" s="1"/>
  <c r="N56" i="38" s="1"/>
  <c r="O56" i="38" s="1"/>
  <c r="P56" i="38" s="1"/>
  <c r="K64" i="38"/>
  <c r="B27" i="35"/>
  <c r="D27" i="35"/>
  <c r="B25" i="35"/>
  <c r="B17" i="35"/>
  <c r="B13" i="35"/>
  <c r="G31" i="37"/>
  <c r="C56" i="36"/>
  <c r="F56" i="36"/>
  <c r="H26" i="37"/>
  <c r="H25" i="37"/>
  <c r="H24" i="37"/>
  <c r="J22" i="37"/>
  <c r="H22" i="37"/>
  <c r="J21" i="37"/>
  <c r="H21" i="37"/>
  <c r="H19" i="37"/>
  <c r="H17" i="37"/>
  <c r="H16" i="37"/>
  <c r="H15" i="37"/>
  <c r="H14" i="37"/>
  <c r="G9" i="37"/>
  <c r="F8" i="37"/>
  <c r="F7" i="37"/>
  <c r="D6" i="37"/>
  <c r="C6" i="37"/>
  <c r="F6" i="37"/>
  <c r="F5" i="37"/>
  <c r="F4" i="37"/>
  <c r="P92" i="36"/>
  <c r="H90" i="36"/>
  <c r="P89" i="36"/>
  <c r="F89" i="36"/>
  <c r="J83" i="36"/>
  <c r="K89" i="36"/>
  <c r="F88" i="36"/>
  <c r="F87" i="36"/>
  <c r="F90" i="36" s="1"/>
  <c r="F86" i="36"/>
  <c r="F85" i="36"/>
  <c r="K85" i="36"/>
  <c r="F84" i="36"/>
  <c r="M83" i="36"/>
  <c r="K88" i="36"/>
  <c r="L88" i="36"/>
  <c r="N88" i="36"/>
  <c r="O88" i="36" s="1"/>
  <c r="P88" i="36" s="1"/>
  <c r="P79" i="36"/>
  <c r="F78" i="36"/>
  <c r="J71" i="36"/>
  <c r="K78" i="36"/>
  <c r="F77" i="36"/>
  <c r="F73" i="36"/>
  <c r="K73" i="36"/>
  <c r="F72" i="36"/>
  <c r="M71" i="36"/>
  <c r="K77" i="36"/>
  <c r="H71" i="36"/>
  <c r="F67" i="36"/>
  <c r="J49" i="36"/>
  <c r="K67" i="36"/>
  <c r="F66" i="36"/>
  <c r="H66" i="36"/>
  <c r="F65" i="36"/>
  <c r="H65" i="36" s="1"/>
  <c r="L65" i="36" s="1"/>
  <c r="N65" i="36" s="1"/>
  <c r="O65" i="36" s="1"/>
  <c r="P65" i="36" s="1"/>
  <c r="F64" i="36"/>
  <c r="H64" i="36" s="1"/>
  <c r="F63" i="36"/>
  <c r="H63" i="36" s="1"/>
  <c r="L63" i="36" s="1"/>
  <c r="N63" i="36" s="1"/>
  <c r="O63" i="36" s="1"/>
  <c r="P63" i="36" s="1"/>
  <c r="F62" i="36"/>
  <c r="H62" i="36"/>
  <c r="L62" i="36" s="1"/>
  <c r="N62" i="36" s="1"/>
  <c r="O62" i="36" s="1"/>
  <c r="P62" i="36" s="1"/>
  <c r="F61" i="36"/>
  <c r="K61" i="36" s="1"/>
  <c r="F60" i="36"/>
  <c r="H60" i="36" s="1"/>
  <c r="F59" i="36"/>
  <c r="F58" i="36"/>
  <c r="H58" i="36"/>
  <c r="F57" i="36"/>
  <c r="H57" i="36"/>
  <c r="F54" i="36"/>
  <c r="H54" i="36"/>
  <c r="K54" i="36"/>
  <c r="L54" i="36"/>
  <c r="N54" i="36"/>
  <c r="O54" i="36" s="1"/>
  <c r="P54" i="36" s="1"/>
  <c r="F53" i="36"/>
  <c r="K53" i="36"/>
  <c r="H53" i="36"/>
  <c r="F52" i="36"/>
  <c r="K52" i="36"/>
  <c r="H52" i="36"/>
  <c r="L52" i="36"/>
  <c r="N52" i="36"/>
  <c r="O52" i="36" s="1"/>
  <c r="P52" i="36" s="1"/>
  <c r="F51" i="36"/>
  <c r="P44" i="36"/>
  <c r="C43" i="36"/>
  <c r="E42" i="36"/>
  <c r="G42" i="36"/>
  <c r="H19" i="36"/>
  <c r="I42" i="36"/>
  <c r="L42" i="36"/>
  <c r="M19" i="36"/>
  <c r="N42" i="36" s="1"/>
  <c r="O42" i="36" s="1"/>
  <c r="P42" i="36" s="1"/>
  <c r="E41" i="36"/>
  <c r="A40" i="36"/>
  <c r="E40" i="36"/>
  <c r="A39" i="36"/>
  <c r="E39" i="36"/>
  <c r="A38" i="36"/>
  <c r="E38" i="36"/>
  <c r="A37" i="36"/>
  <c r="E37" i="36"/>
  <c r="A36" i="36"/>
  <c r="E36" i="36"/>
  <c r="E35" i="36"/>
  <c r="G35" i="36"/>
  <c r="I35" i="36"/>
  <c r="L35" i="36"/>
  <c r="N35" i="36"/>
  <c r="O35" i="36" s="1"/>
  <c r="P35" i="36" s="1"/>
  <c r="A34" i="36"/>
  <c r="E34" i="36"/>
  <c r="A33" i="36"/>
  <c r="E33" i="36"/>
  <c r="I33" i="36"/>
  <c r="E32" i="36"/>
  <c r="C29" i="36"/>
  <c r="C44" i="36"/>
  <c r="E16" i="36"/>
  <c r="D27" i="36"/>
  <c r="E27" i="36"/>
  <c r="E23" i="36"/>
  <c r="E15" i="36"/>
  <c r="D22" i="36"/>
  <c r="E22" i="36"/>
  <c r="D21" i="36"/>
  <c r="E21" i="36"/>
  <c r="D20" i="36"/>
  <c r="E20" i="36"/>
  <c r="D24" i="36"/>
  <c r="E24" i="36"/>
  <c r="D25" i="36"/>
  <c r="E25" i="36"/>
  <c r="D7" i="35"/>
  <c r="B23" i="35"/>
  <c r="B21" i="35"/>
  <c r="D21" i="35" s="1"/>
  <c r="B19" i="35"/>
  <c r="B15" i="35"/>
  <c r="B11" i="35"/>
  <c r="S50" i="33"/>
  <c r="J42" i="34"/>
  <c r="C60" i="33"/>
  <c r="I109" i="34"/>
  <c r="I108" i="34"/>
  <c r="I107" i="34"/>
  <c r="I106" i="34"/>
  <c r="I104" i="34"/>
  <c r="I103" i="34"/>
  <c r="F94" i="34"/>
  <c r="F93" i="34"/>
  <c r="F92" i="34"/>
  <c r="J91" i="34"/>
  <c r="F91" i="34"/>
  <c r="G88" i="34"/>
  <c r="F87" i="34"/>
  <c r="F86" i="34"/>
  <c r="J84" i="34"/>
  <c r="F84" i="34"/>
  <c r="F88" i="34"/>
  <c r="H88" i="34"/>
  <c r="G79" i="34"/>
  <c r="F78" i="34"/>
  <c r="F77" i="34"/>
  <c r="J75" i="34"/>
  <c r="F75" i="34"/>
  <c r="F79" i="34"/>
  <c r="H79" i="34"/>
  <c r="G71" i="34"/>
  <c r="F70" i="34"/>
  <c r="F69" i="34"/>
  <c r="J67" i="34"/>
  <c r="F67" i="34"/>
  <c r="F71" i="34"/>
  <c r="H71" i="34"/>
  <c r="G63" i="34"/>
  <c r="F62" i="34"/>
  <c r="F61" i="34"/>
  <c r="J59" i="34"/>
  <c r="F59" i="34"/>
  <c r="F63" i="34"/>
  <c r="H63" i="34"/>
  <c r="G55" i="34"/>
  <c r="F54" i="34"/>
  <c r="F53" i="34"/>
  <c r="J51" i="34"/>
  <c r="J97" i="34"/>
  <c r="J99" i="34"/>
  <c r="F51" i="34"/>
  <c r="F55" i="34"/>
  <c r="H55" i="34"/>
  <c r="G46" i="34"/>
  <c r="F45" i="34"/>
  <c r="F44" i="34"/>
  <c r="F42" i="34"/>
  <c r="F46" i="34"/>
  <c r="G37" i="34"/>
  <c r="F36" i="34"/>
  <c r="D35" i="34"/>
  <c r="C35" i="34"/>
  <c r="F35" i="34"/>
  <c r="F33" i="34"/>
  <c r="F37" i="34"/>
  <c r="H37" i="34"/>
  <c r="J33" i="34"/>
  <c r="H26" i="34"/>
  <c r="H25" i="34"/>
  <c r="H24" i="34"/>
  <c r="J22" i="34"/>
  <c r="H22" i="34"/>
  <c r="J21" i="34"/>
  <c r="H21" i="34"/>
  <c r="H19" i="34"/>
  <c r="H17" i="34"/>
  <c r="H16" i="34"/>
  <c r="H15" i="34"/>
  <c r="H14" i="34"/>
  <c r="G9" i="34"/>
  <c r="C9" i="34"/>
  <c r="F8" i="34"/>
  <c r="D7" i="34"/>
  <c r="C7" i="34"/>
  <c r="F7" i="34"/>
  <c r="D6" i="34"/>
  <c r="C6" i="34"/>
  <c r="F6" i="34"/>
  <c r="F5" i="34"/>
  <c r="F4" i="34"/>
  <c r="P89" i="33"/>
  <c r="H86" i="33"/>
  <c r="P85" i="33"/>
  <c r="F84" i="33"/>
  <c r="F83" i="33"/>
  <c r="F82" i="33"/>
  <c r="F81" i="33"/>
  <c r="J79" i="33"/>
  <c r="K81" i="33"/>
  <c r="L81" i="33"/>
  <c r="M79" i="33"/>
  <c r="N81" i="33"/>
  <c r="O81" i="33"/>
  <c r="P81" i="33"/>
  <c r="F80" i="33"/>
  <c r="P75" i="33"/>
  <c r="F74" i="33"/>
  <c r="H74" i="33"/>
  <c r="F73" i="33"/>
  <c r="F69" i="33"/>
  <c r="F68" i="33"/>
  <c r="H68" i="33" s="1"/>
  <c r="M67" i="33"/>
  <c r="J67" i="33"/>
  <c r="K74" i="33"/>
  <c r="H67" i="33"/>
  <c r="F63" i="33"/>
  <c r="F61" i="33"/>
  <c r="J49" i="33"/>
  <c r="K61" i="33"/>
  <c r="H61" i="33"/>
  <c r="L61" i="33"/>
  <c r="N61" i="33"/>
  <c r="O61" i="33"/>
  <c r="P61" i="33"/>
  <c r="F60" i="33"/>
  <c r="H60" i="33"/>
  <c r="F59" i="33"/>
  <c r="F58" i="33"/>
  <c r="K58" i="33"/>
  <c r="F57" i="33"/>
  <c r="K57" i="33"/>
  <c r="H57" i="33"/>
  <c r="L57" i="33"/>
  <c r="N57" i="33"/>
  <c r="O57" i="33"/>
  <c r="P57" i="33"/>
  <c r="F56" i="33"/>
  <c r="H56" i="33"/>
  <c r="K56" i="33"/>
  <c r="L56" i="33"/>
  <c r="N56" i="33"/>
  <c r="O56" i="33"/>
  <c r="P56" i="33"/>
  <c r="F54" i="33"/>
  <c r="F53" i="33"/>
  <c r="K53" i="33"/>
  <c r="F52" i="33"/>
  <c r="K52" i="33"/>
  <c r="H52" i="33"/>
  <c r="L52" i="33"/>
  <c r="N52" i="33"/>
  <c r="O52" i="33"/>
  <c r="P52" i="33"/>
  <c r="F51" i="33"/>
  <c r="F50" i="33"/>
  <c r="K50" i="33"/>
  <c r="H50" i="33"/>
  <c r="P44" i="33"/>
  <c r="C43" i="33"/>
  <c r="E42" i="33"/>
  <c r="H19" i="33"/>
  <c r="I42" i="33"/>
  <c r="G42" i="33"/>
  <c r="L42" i="33"/>
  <c r="M19" i="33"/>
  <c r="N42" i="33"/>
  <c r="O42" i="33"/>
  <c r="P42" i="33"/>
  <c r="E41" i="33"/>
  <c r="I41" i="33"/>
  <c r="A40" i="33"/>
  <c r="E40" i="33"/>
  <c r="A39" i="33"/>
  <c r="E39" i="33"/>
  <c r="A38" i="33"/>
  <c r="E38" i="33"/>
  <c r="A37" i="33"/>
  <c r="E37" i="33"/>
  <c r="A36" i="33"/>
  <c r="E36" i="33"/>
  <c r="E35" i="33"/>
  <c r="I35" i="33"/>
  <c r="A34" i="33"/>
  <c r="E34" i="33"/>
  <c r="G34" i="33"/>
  <c r="A33" i="33"/>
  <c r="E33" i="33"/>
  <c r="E32" i="33"/>
  <c r="C29" i="33"/>
  <c r="E28" i="33"/>
  <c r="G28" i="33"/>
  <c r="E15" i="33"/>
  <c r="D25" i="33"/>
  <c r="E25" i="33"/>
  <c r="I25" i="33"/>
  <c r="E23" i="33"/>
  <c r="I23" i="33"/>
  <c r="E22" i="33"/>
  <c r="I22" i="33"/>
  <c r="D20" i="33"/>
  <c r="E20" i="33"/>
  <c r="E16" i="33"/>
  <c r="I3" i="28"/>
  <c r="F10" i="27"/>
  <c r="G31" i="32"/>
  <c r="C56" i="30"/>
  <c r="F56" i="30"/>
  <c r="F4" i="32"/>
  <c r="F5" i="32"/>
  <c r="C6" i="32"/>
  <c r="D6" i="32"/>
  <c r="F6" i="32"/>
  <c r="F7" i="32"/>
  <c r="F9" i="32"/>
  <c r="C50" i="30"/>
  <c r="P96" i="30"/>
  <c r="O95" i="30"/>
  <c r="P95" i="30"/>
  <c r="P94" i="30"/>
  <c r="P92" i="30"/>
  <c r="H90" i="30"/>
  <c r="F84" i="30"/>
  <c r="F85" i="30"/>
  <c r="F86" i="30"/>
  <c r="F87" i="30"/>
  <c r="F90" i="30" s="1"/>
  <c r="F88" i="30"/>
  <c r="F89" i="30"/>
  <c r="P89" i="30"/>
  <c r="J83" i="30"/>
  <c r="K89" i="30"/>
  <c r="K88" i="30"/>
  <c r="L88" i="30"/>
  <c r="M83" i="30"/>
  <c r="N88" i="30"/>
  <c r="O88" i="30" s="1"/>
  <c r="P88" i="30" s="1"/>
  <c r="K86" i="30"/>
  <c r="L86" i="30"/>
  <c r="N86" i="30"/>
  <c r="O86" i="30" s="1"/>
  <c r="P86" i="30" s="1"/>
  <c r="K85" i="30"/>
  <c r="L85" i="30"/>
  <c r="N85" i="30"/>
  <c r="O85" i="30" s="1"/>
  <c r="P85" i="30" s="1"/>
  <c r="K84" i="30"/>
  <c r="L84" i="30"/>
  <c r="P79" i="30"/>
  <c r="F78" i="30"/>
  <c r="J71" i="30"/>
  <c r="K78" i="30"/>
  <c r="H78" i="30"/>
  <c r="F77" i="30"/>
  <c r="H77" i="30"/>
  <c r="K77" i="30"/>
  <c r="L77" i="30"/>
  <c r="M71" i="30"/>
  <c r="N77" i="30" s="1"/>
  <c r="O77" i="30" s="1"/>
  <c r="P77" i="30" s="1"/>
  <c r="F73" i="30"/>
  <c r="F72" i="30"/>
  <c r="H72" i="30"/>
  <c r="K72" i="30"/>
  <c r="H71" i="30"/>
  <c r="F67" i="30"/>
  <c r="F66" i="30"/>
  <c r="H66" i="30"/>
  <c r="F65" i="30"/>
  <c r="H65" i="30" s="1"/>
  <c r="F64" i="30"/>
  <c r="H64" i="30" s="1"/>
  <c r="J49" i="30"/>
  <c r="F63" i="30"/>
  <c r="H63" i="30" s="1"/>
  <c r="L63" i="30" s="1"/>
  <c r="N63" i="30" s="1"/>
  <c r="O63" i="30" s="1"/>
  <c r="P63" i="30" s="1"/>
  <c r="F62" i="30"/>
  <c r="H62" i="30" s="1"/>
  <c r="F61" i="30"/>
  <c r="F60" i="30"/>
  <c r="F59" i="30"/>
  <c r="H59" i="30"/>
  <c r="F58" i="30"/>
  <c r="F57" i="30"/>
  <c r="H57" i="30"/>
  <c r="F54" i="30"/>
  <c r="F53" i="30"/>
  <c r="K53" i="30"/>
  <c r="F52" i="30"/>
  <c r="F51" i="30"/>
  <c r="H51" i="30"/>
  <c r="F50" i="30"/>
  <c r="C55" i="30"/>
  <c r="F55" i="30"/>
  <c r="P44" i="30"/>
  <c r="C43" i="30"/>
  <c r="E42" i="30"/>
  <c r="H19" i="30"/>
  <c r="I42" i="30"/>
  <c r="E41" i="30"/>
  <c r="G41" i="30"/>
  <c r="A40" i="30"/>
  <c r="E40" i="30"/>
  <c r="I40" i="30"/>
  <c r="A39" i="30"/>
  <c r="E39" i="30"/>
  <c r="A38" i="30"/>
  <c r="E38" i="30"/>
  <c r="A37" i="30"/>
  <c r="E37" i="30"/>
  <c r="A36" i="30"/>
  <c r="E36" i="30"/>
  <c r="E35" i="30"/>
  <c r="A34" i="30"/>
  <c r="E34" i="30"/>
  <c r="A33" i="30"/>
  <c r="E33" i="30"/>
  <c r="E32" i="30"/>
  <c r="G32" i="30"/>
  <c r="C29" i="30"/>
  <c r="C44" i="30"/>
  <c r="E16" i="30"/>
  <c r="D24" i="30"/>
  <c r="E24" i="30"/>
  <c r="I24" i="30"/>
  <c r="E23" i="30"/>
  <c r="G23" i="30"/>
  <c r="M19" i="30"/>
  <c r="E15" i="30"/>
  <c r="H26" i="32"/>
  <c r="H25" i="32"/>
  <c r="H24" i="32"/>
  <c r="J22" i="32"/>
  <c r="H22" i="32"/>
  <c r="J21" i="32"/>
  <c r="H21" i="32"/>
  <c r="H19" i="32"/>
  <c r="H17" i="32"/>
  <c r="H16" i="32"/>
  <c r="H15" i="32"/>
  <c r="H14" i="32"/>
  <c r="G9" i="32"/>
  <c r="F8" i="32"/>
  <c r="F89" i="14"/>
  <c r="K89" i="14" s="1"/>
  <c r="J83" i="14"/>
  <c r="G31" i="21"/>
  <c r="C56" i="14"/>
  <c r="F56" i="14"/>
  <c r="F4" i="21"/>
  <c r="F5" i="21"/>
  <c r="C6" i="21"/>
  <c r="D6" i="21"/>
  <c r="F6" i="21"/>
  <c r="F7" i="21"/>
  <c r="F55" i="26"/>
  <c r="H55" i="26"/>
  <c r="J84" i="29"/>
  <c r="C60" i="28"/>
  <c r="C9" i="29"/>
  <c r="F5" i="29"/>
  <c r="I109" i="29"/>
  <c r="I108" i="29"/>
  <c r="I107" i="29"/>
  <c r="I106" i="29"/>
  <c r="I104" i="29"/>
  <c r="I103" i="29"/>
  <c r="F94" i="29"/>
  <c r="F93" i="29"/>
  <c r="F92" i="29"/>
  <c r="J91" i="29"/>
  <c r="F91" i="29"/>
  <c r="G88" i="29"/>
  <c r="F87" i="29"/>
  <c r="F86" i="29"/>
  <c r="F84" i="29"/>
  <c r="F88" i="29"/>
  <c r="H88" i="29"/>
  <c r="G79" i="29"/>
  <c r="F78" i="29"/>
  <c r="F77" i="29"/>
  <c r="J75" i="29"/>
  <c r="F75" i="29"/>
  <c r="F79" i="29"/>
  <c r="H79" i="29"/>
  <c r="G71" i="29"/>
  <c r="F70" i="29"/>
  <c r="F69" i="29"/>
  <c r="J67" i="29"/>
  <c r="F67" i="29"/>
  <c r="F71" i="29"/>
  <c r="H71" i="29"/>
  <c r="G63" i="29"/>
  <c r="F62" i="29"/>
  <c r="F61" i="29"/>
  <c r="F59" i="29"/>
  <c r="F63" i="29"/>
  <c r="H63" i="29"/>
  <c r="J59" i="29"/>
  <c r="G55" i="29"/>
  <c r="F54" i="29"/>
  <c r="F53" i="29"/>
  <c r="J51" i="29"/>
  <c r="F51" i="29"/>
  <c r="F55" i="29"/>
  <c r="H55" i="29"/>
  <c r="G46" i="29"/>
  <c r="F45" i="29"/>
  <c r="F44" i="29"/>
  <c r="J42" i="29"/>
  <c r="J97" i="29"/>
  <c r="J99" i="29"/>
  <c r="F42" i="29"/>
  <c r="F46" i="29"/>
  <c r="G37" i="29"/>
  <c r="F36" i="29"/>
  <c r="D35" i="29"/>
  <c r="C35" i="29"/>
  <c r="J33" i="29"/>
  <c r="F35" i="29"/>
  <c r="F33" i="29"/>
  <c r="H26" i="29"/>
  <c r="H25" i="29"/>
  <c r="H24" i="29"/>
  <c r="J22" i="29"/>
  <c r="H22" i="29"/>
  <c r="J21" i="29"/>
  <c r="H21" i="29"/>
  <c r="H19" i="29"/>
  <c r="H17" i="29"/>
  <c r="H16" i="29"/>
  <c r="H15" i="29"/>
  <c r="H14" i="29"/>
  <c r="G9" i="29"/>
  <c r="F8" i="29"/>
  <c r="D7" i="29"/>
  <c r="C7" i="29"/>
  <c r="F7" i="29"/>
  <c r="D6" i="29"/>
  <c r="C6" i="29"/>
  <c r="F6" i="29"/>
  <c r="F4" i="29"/>
  <c r="P93" i="28"/>
  <c r="O92" i="28"/>
  <c r="P92" i="28"/>
  <c r="P91" i="28"/>
  <c r="P89" i="28"/>
  <c r="H86" i="28"/>
  <c r="P85" i="28"/>
  <c r="F84" i="28"/>
  <c r="F83" i="28"/>
  <c r="J79" i="28"/>
  <c r="K83" i="28"/>
  <c r="L83" i="28"/>
  <c r="F82" i="28"/>
  <c r="F81" i="28"/>
  <c r="K81" i="28"/>
  <c r="F80" i="28"/>
  <c r="K80" i="28"/>
  <c r="M79" i="28"/>
  <c r="P75" i="28"/>
  <c r="F74" i="28"/>
  <c r="J67" i="28"/>
  <c r="K74" i="28"/>
  <c r="F73" i="28"/>
  <c r="H73" i="28"/>
  <c r="F69" i="28"/>
  <c r="F68" i="28"/>
  <c r="H68" i="28"/>
  <c r="M67" i="28"/>
  <c r="K68" i="28"/>
  <c r="H67" i="28"/>
  <c r="F63" i="28"/>
  <c r="H63" i="28"/>
  <c r="F61" i="28"/>
  <c r="J49" i="28"/>
  <c r="K61" i="28"/>
  <c r="F60" i="28"/>
  <c r="F59" i="28"/>
  <c r="H59" i="28"/>
  <c r="F58" i="28"/>
  <c r="F57" i="28"/>
  <c r="K57" i="28"/>
  <c r="F56" i="28"/>
  <c r="H56" i="28"/>
  <c r="F53" i="28"/>
  <c r="K53" i="28"/>
  <c r="F52" i="28"/>
  <c r="K52" i="28"/>
  <c r="H52" i="28"/>
  <c r="L52" i="28"/>
  <c r="N52" i="28"/>
  <c r="O52" i="28"/>
  <c r="P52" i="28"/>
  <c r="F51" i="28"/>
  <c r="K51" i="28"/>
  <c r="H51" i="28"/>
  <c r="L51" i="28"/>
  <c r="N51" i="28"/>
  <c r="O51" i="28"/>
  <c r="P51" i="28"/>
  <c r="F50" i="28"/>
  <c r="K50" i="28"/>
  <c r="P44" i="28"/>
  <c r="C43" i="28"/>
  <c r="E42" i="28"/>
  <c r="G42" i="28"/>
  <c r="E41" i="28"/>
  <c r="G41" i="28"/>
  <c r="H19" i="28"/>
  <c r="I41" i="28"/>
  <c r="L41" i="28"/>
  <c r="M19" i="28"/>
  <c r="N41" i="28"/>
  <c r="O41" i="28"/>
  <c r="P41" i="28"/>
  <c r="A40" i="28"/>
  <c r="E40" i="28"/>
  <c r="I40" i="28"/>
  <c r="A39" i="28"/>
  <c r="E39" i="28"/>
  <c r="G39" i="28"/>
  <c r="A38" i="28"/>
  <c r="E38" i="28"/>
  <c r="A37" i="28"/>
  <c r="E37" i="28"/>
  <c r="G37" i="28"/>
  <c r="A36" i="28"/>
  <c r="E36" i="28"/>
  <c r="E35" i="28"/>
  <c r="G35" i="28"/>
  <c r="A34" i="28"/>
  <c r="E34" i="28"/>
  <c r="G34" i="28"/>
  <c r="A33" i="28"/>
  <c r="E33" i="28"/>
  <c r="E32" i="28"/>
  <c r="G32" i="28"/>
  <c r="C29" i="28"/>
  <c r="E16" i="28"/>
  <c r="D27" i="28"/>
  <c r="E27" i="28"/>
  <c r="E15" i="28"/>
  <c r="D25" i="28"/>
  <c r="E25" i="28"/>
  <c r="E23" i="28"/>
  <c r="I35" i="28"/>
  <c r="D26" i="28"/>
  <c r="E26" i="28"/>
  <c r="E22" i="28"/>
  <c r="C43" i="24"/>
  <c r="I111" i="25"/>
  <c r="I110" i="25"/>
  <c r="I109" i="25"/>
  <c r="I108" i="25"/>
  <c r="I106" i="25"/>
  <c r="I105" i="25"/>
  <c r="F96" i="25"/>
  <c r="F95" i="25"/>
  <c r="F94" i="25"/>
  <c r="J93" i="25"/>
  <c r="F93" i="25"/>
  <c r="G90" i="25"/>
  <c r="F89" i="25"/>
  <c r="F88" i="25"/>
  <c r="F86" i="25"/>
  <c r="F90" i="25"/>
  <c r="J86" i="25"/>
  <c r="G81" i="25"/>
  <c r="F80" i="25"/>
  <c r="F79" i="25"/>
  <c r="J77" i="25"/>
  <c r="F77" i="25"/>
  <c r="F81" i="25"/>
  <c r="H81" i="25"/>
  <c r="G73" i="25"/>
  <c r="F72" i="25"/>
  <c r="F71" i="25"/>
  <c r="F69" i="25"/>
  <c r="F73" i="25"/>
  <c r="H73" i="25"/>
  <c r="J69" i="25"/>
  <c r="G65" i="25"/>
  <c r="F64" i="25"/>
  <c r="F63" i="25"/>
  <c r="F61" i="25"/>
  <c r="F65" i="25"/>
  <c r="H65" i="25"/>
  <c r="J61" i="25"/>
  <c r="G57" i="25"/>
  <c r="F56" i="25"/>
  <c r="F55" i="25"/>
  <c r="J53" i="25"/>
  <c r="F53" i="25"/>
  <c r="F57" i="25"/>
  <c r="H57" i="25"/>
  <c r="G48" i="25"/>
  <c r="F47" i="25"/>
  <c r="F46" i="25"/>
  <c r="F44" i="25"/>
  <c r="F48" i="25"/>
  <c r="J44" i="25"/>
  <c r="J99" i="25"/>
  <c r="J101" i="25"/>
  <c r="G39" i="25"/>
  <c r="F38" i="25"/>
  <c r="D37" i="25"/>
  <c r="C37" i="25"/>
  <c r="F35" i="25"/>
  <c r="I109" i="27"/>
  <c r="I108" i="27"/>
  <c r="I107" i="27"/>
  <c r="I106" i="27"/>
  <c r="I104" i="27"/>
  <c r="I103" i="27"/>
  <c r="H90" i="25"/>
  <c r="D35" i="27"/>
  <c r="C35" i="27"/>
  <c r="J33" i="27"/>
  <c r="C61" i="26"/>
  <c r="F61" i="26"/>
  <c r="G37" i="27"/>
  <c r="F36" i="27"/>
  <c r="F35" i="27"/>
  <c r="F33" i="27"/>
  <c r="F37" i="27"/>
  <c r="F94" i="27"/>
  <c r="F93" i="27"/>
  <c r="F92" i="27"/>
  <c r="J91" i="27"/>
  <c r="F91" i="27"/>
  <c r="G88" i="27"/>
  <c r="F87" i="27"/>
  <c r="F86" i="27"/>
  <c r="J84" i="27"/>
  <c r="F84" i="27"/>
  <c r="F88" i="27"/>
  <c r="H88" i="27"/>
  <c r="G79" i="27"/>
  <c r="F78" i="27"/>
  <c r="F77" i="27"/>
  <c r="J75" i="27"/>
  <c r="F75" i="27"/>
  <c r="F79" i="27"/>
  <c r="H79" i="27"/>
  <c r="G71" i="27"/>
  <c r="F70" i="27"/>
  <c r="F69" i="27"/>
  <c r="J67" i="27"/>
  <c r="J42" i="27"/>
  <c r="J51" i="27"/>
  <c r="J59" i="27"/>
  <c r="J97" i="27"/>
  <c r="J99" i="27"/>
  <c r="F67" i="27"/>
  <c r="G63" i="27"/>
  <c r="F62" i="27"/>
  <c r="F61" i="27"/>
  <c r="F59" i="27"/>
  <c r="F63" i="27"/>
  <c r="H63" i="27"/>
  <c r="G55" i="27"/>
  <c r="F54" i="27"/>
  <c r="F51" i="27"/>
  <c r="F53" i="27"/>
  <c r="F55" i="27"/>
  <c r="H55" i="27"/>
  <c r="G46" i="27"/>
  <c r="F45" i="27"/>
  <c r="F44" i="27"/>
  <c r="F42" i="27"/>
  <c r="C103" i="26"/>
  <c r="P94" i="26"/>
  <c r="O93" i="26"/>
  <c r="P93" i="26"/>
  <c r="P92" i="26"/>
  <c r="P90" i="26"/>
  <c r="H87" i="26"/>
  <c r="P86" i="26"/>
  <c r="F85" i="26"/>
  <c r="F84" i="26"/>
  <c r="J80" i="26"/>
  <c r="K84" i="26"/>
  <c r="L84" i="26"/>
  <c r="M80" i="26"/>
  <c r="N84" i="26"/>
  <c r="O84" i="26"/>
  <c r="P84" i="26"/>
  <c r="F83" i="26"/>
  <c r="F82" i="26"/>
  <c r="F81" i="26"/>
  <c r="F87" i="26"/>
  <c r="P76" i="26"/>
  <c r="F75" i="26"/>
  <c r="J68" i="26"/>
  <c r="K75" i="26"/>
  <c r="F74" i="26"/>
  <c r="H74" i="26"/>
  <c r="F70" i="26"/>
  <c r="F69" i="26"/>
  <c r="M68" i="26"/>
  <c r="H68" i="26"/>
  <c r="F64" i="26"/>
  <c r="H64" i="26"/>
  <c r="F62" i="26"/>
  <c r="F60" i="26"/>
  <c r="H60" i="26"/>
  <c r="F59" i="26"/>
  <c r="F58" i="26"/>
  <c r="H58" i="26"/>
  <c r="J49" i="26"/>
  <c r="K58" i="26"/>
  <c r="L58" i="26"/>
  <c r="N58" i="26"/>
  <c r="O58" i="26"/>
  <c r="P58" i="26"/>
  <c r="F57" i="26"/>
  <c r="H57" i="26"/>
  <c r="F53" i="26"/>
  <c r="F52" i="26"/>
  <c r="F51" i="26"/>
  <c r="P44" i="26"/>
  <c r="C43" i="26"/>
  <c r="E42" i="26"/>
  <c r="G42" i="26"/>
  <c r="E41" i="26"/>
  <c r="A40" i="26"/>
  <c r="E40" i="26"/>
  <c r="A39" i="26"/>
  <c r="E39" i="26"/>
  <c r="A38" i="26"/>
  <c r="E38" i="26"/>
  <c r="A37" i="26"/>
  <c r="E37" i="26"/>
  <c r="A36" i="26"/>
  <c r="E36" i="26"/>
  <c r="G36" i="26"/>
  <c r="E35" i="26"/>
  <c r="A34" i="26"/>
  <c r="E34" i="26"/>
  <c r="A33" i="26"/>
  <c r="E33" i="26"/>
  <c r="E32" i="26"/>
  <c r="C29" i="26"/>
  <c r="E23" i="26"/>
  <c r="M19" i="26"/>
  <c r="H19" i="26"/>
  <c r="I40" i="26"/>
  <c r="E16" i="26"/>
  <c r="E15" i="26"/>
  <c r="H26" i="27"/>
  <c r="H25" i="27"/>
  <c r="H24" i="27"/>
  <c r="J22" i="27"/>
  <c r="H22" i="27"/>
  <c r="J21" i="27"/>
  <c r="H21" i="27"/>
  <c r="H19" i="27"/>
  <c r="H17" i="27"/>
  <c r="H16" i="27"/>
  <c r="H15" i="27"/>
  <c r="H14" i="27"/>
  <c r="G9" i="27"/>
  <c r="F8" i="27"/>
  <c r="D7" i="27"/>
  <c r="C7" i="27"/>
  <c r="D6" i="27"/>
  <c r="C6" i="27"/>
  <c r="F5" i="27"/>
  <c r="F4" i="27"/>
  <c r="H26" i="21"/>
  <c r="H25" i="21"/>
  <c r="H24" i="21"/>
  <c r="J22" i="21"/>
  <c r="H22" i="21"/>
  <c r="J21" i="21"/>
  <c r="H21" i="21"/>
  <c r="H19" i="21"/>
  <c r="H17" i="21"/>
  <c r="H16" i="21"/>
  <c r="H15" i="21"/>
  <c r="H14" i="21"/>
  <c r="H26" i="23"/>
  <c r="H25" i="23"/>
  <c r="H24" i="23"/>
  <c r="J22" i="23"/>
  <c r="H22" i="23"/>
  <c r="J21" i="23"/>
  <c r="H21" i="23"/>
  <c r="H19" i="23"/>
  <c r="H17" i="23"/>
  <c r="H16" i="23"/>
  <c r="H15" i="23"/>
  <c r="H14" i="23"/>
  <c r="H26" i="25"/>
  <c r="H25" i="25"/>
  <c r="H24" i="25"/>
  <c r="J22" i="25"/>
  <c r="J21" i="25"/>
  <c r="H22" i="25"/>
  <c r="H21" i="25"/>
  <c r="C102" i="24"/>
  <c r="P93" i="24"/>
  <c r="O92" i="24"/>
  <c r="P92" i="24"/>
  <c r="P91" i="24"/>
  <c r="P89" i="24"/>
  <c r="H87" i="24"/>
  <c r="P86" i="24"/>
  <c r="F85" i="24"/>
  <c r="F84" i="24"/>
  <c r="F83" i="24"/>
  <c r="F82" i="24"/>
  <c r="F81" i="24"/>
  <c r="M80" i="24"/>
  <c r="J80" i="24"/>
  <c r="K83" i="24"/>
  <c r="L83" i="24"/>
  <c r="P76" i="24"/>
  <c r="F75" i="24"/>
  <c r="F74" i="24"/>
  <c r="F70" i="24"/>
  <c r="F69" i="24"/>
  <c r="H69" i="24"/>
  <c r="M68" i="24"/>
  <c r="J68" i="24"/>
  <c r="H68" i="24"/>
  <c r="F64" i="24"/>
  <c r="H64" i="24"/>
  <c r="F63" i="24"/>
  <c r="F62" i="24"/>
  <c r="F61" i="24"/>
  <c r="F60" i="24"/>
  <c r="F59" i="24"/>
  <c r="F58" i="24"/>
  <c r="J49" i="24"/>
  <c r="K58" i="24"/>
  <c r="F57" i="24"/>
  <c r="H57" i="24"/>
  <c r="F56" i="24"/>
  <c r="F53" i="24"/>
  <c r="F52" i="24"/>
  <c r="F51" i="24"/>
  <c r="P44" i="24"/>
  <c r="E42" i="24"/>
  <c r="E41" i="24"/>
  <c r="G41" i="24"/>
  <c r="A40" i="24"/>
  <c r="E40" i="24"/>
  <c r="A39" i="24"/>
  <c r="E39" i="24"/>
  <c r="A38" i="24"/>
  <c r="E38" i="24"/>
  <c r="A37" i="24"/>
  <c r="E37" i="24"/>
  <c r="A36" i="24"/>
  <c r="E36" i="24"/>
  <c r="E35" i="24"/>
  <c r="A34" i="24"/>
  <c r="E34" i="24"/>
  <c r="A33" i="24"/>
  <c r="E33" i="24"/>
  <c r="E32" i="24"/>
  <c r="C29" i="24"/>
  <c r="C72" i="24"/>
  <c r="F72" i="24"/>
  <c r="E23" i="24"/>
  <c r="M19" i="24"/>
  <c r="H19" i="24"/>
  <c r="I38" i="24"/>
  <c r="G38" i="24"/>
  <c r="L38" i="24"/>
  <c r="E16" i="24"/>
  <c r="D26" i="24"/>
  <c r="E26" i="24"/>
  <c r="E15" i="24"/>
  <c r="D20" i="24"/>
  <c r="H19" i="25"/>
  <c r="H17" i="25"/>
  <c r="H16" i="25"/>
  <c r="H15" i="25"/>
  <c r="H14" i="25"/>
  <c r="G9" i="25"/>
  <c r="F8" i="25"/>
  <c r="D7" i="25"/>
  <c r="C7" i="25"/>
  <c r="D6" i="25"/>
  <c r="C6" i="25"/>
  <c r="F6" i="25"/>
  <c r="F5" i="25"/>
  <c r="F4" i="25"/>
  <c r="C50" i="24"/>
  <c r="C98" i="22"/>
  <c r="P85" i="22"/>
  <c r="H83" i="22"/>
  <c r="P82" i="22"/>
  <c r="F81" i="22"/>
  <c r="J76" i="22"/>
  <c r="K81" i="22"/>
  <c r="F80" i="22"/>
  <c r="K80" i="22" s="1"/>
  <c r="J83" i="22" s="1"/>
  <c r="F79" i="22"/>
  <c r="F78" i="22"/>
  <c r="F77" i="22"/>
  <c r="M76" i="22"/>
  <c r="F72" i="22"/>
  <c r="F71" i="22"/>
  <c r="H71" i="22"/>
  <c r="F67" i="22"/>
  <c r="H67" i="22" s="1"/>
  <c r="J66" i="22"/>
  <c r="M66" i="22"/>
  <c r="H66" i="22"/>
  <c r="F62" i="22"/>
  <c r="H62" i="22"/>
  <c r="F61" i="22"/>
  <c r="F60" i="22"/>
  <c r="H60" i="22"/>
  <c r="J49" i="22"/>
  <c r="K60" i="22"/>
  <c r="L60" i="22"/>
  <c r="N60" i="22"/>
  <c r="O60" i="22" s="1"/>
  <c r="P60" i="22" s="1"/>
  <c r="F59" i="22"/>
  <c r="F58" i="22"/>
  <c r="F57" i="22"/>
  <c r="F56" i="22"/>
  <c r="F55" i="22"/>
  <c r="F52" i="22"/>
  <c r="H52" i="22"/>
  <c r="F51" i="22"/>
  <c r="H51" i="22"/>
  <c r="P44" i="22"/>
  <c r="C43" i="22"/>
  <c r="E42" i="22"/>
  <c r="E41" i="22"/>
  <c r="G41" i="22"/>
  <c r="A40" i="22"/>
  <c r="E40" i="22"/>
  <c r="I40" i="22" s="1"/>
  <c r="A39" i="22"/>
  <c r="E39" i="22"/>
  <c r="G39" i="22"/>
  <c r="A38" i="22"/>
  <c r="E38" i="22"/>
  <c r="G38" i="22"/>
  <c r="A37" i="22"/>
  <c r="E37" i="22"/>
  <c r="A36" i="22"/>
  <c r="E36" i="22"/>
  <c r="E35" i="22"/>
  <c r="A34" i="22"/>
  <c r="E34" i="22"/>
  <c r="A33" i="22"/>
  <c r="E33" i="22"/>
  <c r="G33" i="22"/>
  <c r="E32" i="22"/>
  <c r="G32" i="22" s="1"/>
  <c r="C29" i="22"/>
  <c r="E23" i="22"/>
  <c r="M19" i="22"/>
  <c r="H19" i="22"/>
  <c r="E16" i="22"/>
  <c r="E15" i="22"/>
  <c r="D20" i="22"/>
  <c r="E20" i="22"/>
  <c r="G9" i="23"/>
  <c r="F8" i="23"/>
  <c r="F7" i="23"/>
  <c r="F53" i="22" s="1"/>
  <c r="K53" i="22" s="1"/>
  <c r="D6" i="23"/>
  <c r="C6" i="23"/>
  <c r="F5" i="23"/>
  <c r="F4" i="23"/>
  <c r="F67" i="14"/>
  <c r="H67" i="14" s="1"/>
  <c r="K84" i="24"/>
  <c r="L84" i="24"/>
  <c r="E20" i="24"/>
  <c r="D24" i="24"/>
  <c r="E24" i="24"/>
  <c r="N84" i="24"/>
  <c r="O84" i="24"/>
  <c r="P84" i="24"/>
  <c r="I33" i="24"/>
  <c r="K63" i="24"/>
  <c r="K53" i="24"/>
  <c r="H53" i="24"/>
  <c r="K85" i="24"/>
  <c r="L85" i="24"/>
  <c r="N85" i="24"/>
  <c r="O85" i="24"/>
  <c r="P85" i="24"/>
  <c r="K69" i="24"/>
  <c r="I32" i="24"/>
  <c r="H51" i="24"/>
  <c r="H60" i="24"/>
  <c r="H61" i="24"/>
  <c r="I23" i="24"/>
  <c r="H58" i="24"/>
  <c r="F8" i="21"/>
  <c r="G9" i="21"/>
  <c r="P92" i="14"/>
  <c r="P89" i="14"/>
  <c r="P79" i="14"/>
  <c r="P44" i="14"/>
  <c r="C53" i="14"/>
  <c r="E16" i="14"/>
  <c r="D26" i="14"/>
  <c r="E26" i="14"/>
  <c r="G26" i="14"/>
  <c r="P94" i="14"/>
  <c r="H8" i="20"/>
  <c r="H7" i="20"/>
  <c r="C7" i="20"/>
  <c r="H6" i="20"/>
  <c r="C6" i="20"/>
  <c r="H5" i="20"/>
  <c r="C5" i="20"/>
  <c r="A40" i="14"/>
  <c r="E40" i="14"/>
  <c r="E15" i="14"/>
  <c r="D21" i="14"/>
  <c r="E21" i="14"/>
  <c r="J71" i="14"/>
  <c r="J49" i="14"/>
  <c r="H19" i="14"/>
  <c r="F78" i="14"/>
  <c r="H78" i="14"/>
  <c r="K78" i="14"/>
  <c r="L78" i="14"/>
  <c r="F77" i="14"/>
  <c r="F61" i="14"/>
  <c r="H61" i="14"/>
  <c r="F66" i="14"/>
  <c r="H66" i="14"/>
  <c r="F65" i="14"/>
  <c r="K65" i="14"/>
  <c r="H71" i="14"/>
  <c r="A33" i="14"/>
  <c r="E33" i="14"/>
  <c r="L33" i="14" s="1"/>
  <c r="A39" i="14"/>
  <c r="E39" i="14"/>
  <c r="G39" i="14"/>
  <c r="A38" i="14"/>
  <c r="E38" i="14"/>
  <c r="A37" i="14"/>
  <c r="E37" i="14"/>
  <c r="A36" i="14"/>
  <c r="A34" i="14"/>
  <c r="E34" i="14"/>
  <c r="C64" i="14"/>
  <c r="F64" i="14"/>
  <c r="F52" i="14"/>
  <c r="F53" i="14"/>
  <c r="K53" i="14"/>
  <c r="F51" i="14"/>
  <c r="K51" i="14"/>
  <c r="K52" i="14"/>
  <c r="C54" i="14"/>
  <c r="F54" i="14"/>
  <c r="K54" i="14"/>
  <c r="K56" i="14"/>
  <c r="F57" i="14"/>
  <c r="K57" i="14"/>
  <c r="F58" i="14"/>
  <c r="K58" i="14"/>
  <c r="F59" i="14"/>
  <c r="K59" i="14"/>
  <c r="F60" i="14"/>
  <c r="K60" i="14"/>
  <c r="K61" i="14"/>
  <c r="F62" i="14"/>
  <c r="K62" i="14"/>
  <c r="F63" i="14"/>
  <c r="K63" i="14"/>
  <c r="K64" i="14"/>
  <c r="K66" i="14"/>
  <c r="E32" i="14"/>
  <c r="G32" i="14"/>
  <c r="E23" i="14"/>
  <c r="C63" i="14"/>
  <c r="F85" i="14"/>
  <c r="P96" i="14"/>
  <c r="H59" i="14"/>
  <c r="L59" i="14"/>
  <c r="N59" i="14"/>
  <c r="O59" i="14" s="1"/>
  <c r="P59" i="14" s="1"/>
  <c r="C61" i="14"/>
  <c r="F73" i="14"/>
  <c r="F72" i="14"/>
  <c r="C59" i="14"/>
  <c r="F86" i="14"/>
  <c r="K86" i="14"/>
  <c r="F87" i="14"/>
  <c r="K87" i="14"/>
  <c r="F88" i="14"/>
  <c r="K88" i="14"/>
  <c r="L88" i="14"/>
  <c r="E59" i="14"/>
  <c r="E42" i="14"/>
  <c r="G42" i="14"/>
  <c r="F84" i="14"/>
  <c r="K84" i="14"/>
  <c r="E24" i="14"/>
  <c r="G24" i="14"/>
  <c r="I24" i="14"/>
  <c r="L24" i="14"/>
  <c r="C29" i="14"/>
  <c r="C74" i="14" s="1"/>
  <c r="F74" i="14" s="1"/>
  <c r="C43" i="14"/>
  <c r="H90" i="14"/>
  <c r="O95" i="14"/>
  <c r="P95" i="14"/>
  <c r="E36" i="14"/>
  <c r="G36" i="14"/>
  <c r="E35" i="14"/>
  <c r="G35" i="14"/>
  <c r="E41" i="14"/>
  <c r="M83" i="14"/>
  <c r="M71" i="14"/>
  <c r="M19" i="14"/>
  <c r="L53" i="24"/>
  <c r="N53" i="24"/>
  <c r="O53" i="24"/>
  <c r="P53" i="24"/>
  <c r="G21" i="14"/>
  <c r="H58" i="14"/>
  <c r="E27" i="14"/>
  <c r="D25" i="14"/>
  <c r="E25" i="14"/>
  <c r="G25" i="14"/>
  <c r="I25" i="14"/>
  <c r="L25" i="14"/>
  <c r="G23" i="14"/>
  <c r="F90" i="14"/>
  <c r="H72" i="14"/>
  <c r="K72" i="14"/>
  <c r="L72" i="14"/>
  <c r="H57" i="14"/>
  <c r="L57" i="14"/>
  <c r="N57" i="14"/>
  <c r="O57" i="14" s="1"/>
  <c r="P57" i="14" s="1"/>
  <c r="H65" i="14"/>
  <c r="H64" i="14"/>
  <c r="K85" i="14"/>
  <c r="K59" i="22"/>
  <c r="D28" i="22"/>
  <c r="E28" i="22"/>
  <c r="D22" i="22"/>
  <c r="E22" i="22"/>
  <c r="D21" i="22"/>
  <c r="E21" i="22"/>
  <c r="G21" i="22" s="1"/>
  <c r="K51" i="22"/>
  <c r="L51" i="22"/>
  <c r="N51" i="22"/>
  <c r="O51" i="22" s="1"/>
  <c r="P51" i="22" s="1"/>
  <c r="K61" i="22"/>
  <c r="K62" i="22"/>
  <c r="L62" i="22"/>
  <c r="N62" i="22"/>
  <c r="O62" i="22" s="1"/>
  <c r="P62" i="22" s="1"/>
  <c r="K52" i="22"/>
  <c r="L52" i="22"/>
  <c r="N52" i="22"/>
  <c r="O52" i="22" s="1"/>
  <c r="P52" i="22" s="1"/>
  <c r="K77" i="22"/>
  <c r="L77" i="22"/>
  <c r="N77" i="22"/>
  <c r="G23" i="22"/>
  <c r="H58" i="22"/>
  <c r="K58" i="22"/>
  <c r="G35" i="22"/>
  <c r="I35" i="22"/>
  <c r="H59" i="22"/>
  <c r="G37" i="22"/>
  <c r="K78" i="22"/>
  <c r="K71" i="22"/>
  <c r="D25" i="22"/>
  <c r="E25" i="22"/>
  <c r="I25" i="22" s="1"/>
  <c r="K79" i="22"/>
  <c r="L79" i="22"/>
  <c r="N79" i="22"/>
  <c r="O79" i="22"/>
  <c r="P79" i="22"/>
  <c r="K55" i="22"/>
  <c r="H55" i="22"/>
  <c r="L55" i="22"/>
  <c r="N55" i="22"/>
  <c r="O55" i="22"/>
  <c r="P55" i="22" s="1"/>
  <c r="H75" i="26"/>
  <c r="G32" i="26"/>
  <c r="K74" i="26"/>
  <c r="L74" i="26"/>
  <c r="N74" i="26"/>
  <c r="O74" i="26"/>
  <c r="P74" i="26"/>
  <c r="I23" i="26"/>
  <c r="G23" i="26"/>
  <c r="H70" i="26"/>
  <c r="L75" i="26"/>
  <c r="L23" i="26"/>
  <c r="N23" i="26"/>
  <c r="O23" i="26"/>
  <c r="P23" i="26"/>
  <c r="I35" i="26"/>
  <c r="K70" i="26"/>
  <c r="G38" i="26"/>
  <c r="K51" i="26"/>
  <c r="H51" i="26"/>
  <c r="L51" i="26"/>
  <c r="N51" i="26"/>
  <c r="O51" i="26"/>
  <c r="P51" i="26"/>
  <c r="K57" i="26"/>
  <c r="L57" i="26"/>
  <c r="N57" i="26"/>
  <c r="O57" i="26"/>
  <c r="P57" i="26"/>
  <c r="D27" i="26"/>
  <c r="E27" i="26"/>
  <c r="I27" i="26"/>
  <c r="D26" i="26"/>
  <c r="E26" i="26"/>
  <c r="D24" i="26"/>
  <c r="E24" i="26"/>
  <c r="I42" i="26"/>
  <c r="L42" i="26"/>
  <c r="N42" i="26"/>
  <c r="O42" i="26"/>
  <c r="P42" i="26"/>
  <c r="K64" i="26"/>
  <c r="L64" i="26"/>
  <c r="N64" i="26"/>
  <c r="O64" i="26"/>
  <c r="P64" i="26"/>
  <c r="D22" i="26"/>
  <c r="E22" i="26"/>
  <c r="D21" i="26"/>
  <c r="E21" i="26"/>
  <c r="G21" i="26"/>
  <c r="D20" i="26"/>
  <c r="E20" i="26"/>
  <c r="D28" i="26"/>
  <c r="E28" i="26"/>
  <c r="I28" i="26"/>
  <c r="E25" i="26"/>
  <c r="G25" i="26"/>
  <c r="I41" i="26"/>
  <c r="G41" i="26"/>
  <c r="L41" i="26"/>
  <c r="N41" i="26"/>
  <c r="O41" i="26"/>
  <c r="P41" i="26"/>
  <c r="I37" i="26"/>
  <c r="G37" i="26"/>
  <c r="C72" i="26"/>
  <c r="F72" i="26"/>
  <c r="K72" i="26"/>
  <c r="F50" i="26"/>
  <c r="H50" i="26"/>
  <c r="H53" i="26"/>
  <c r="K62" i="26"/>
  <c r="H69" i="26"/>
  <c r="K69" i="26"/>
  <c r="L69" i="26"/>
  <c r="N69" i="26"/>
  <c r="O69" i="26"/>
  <c r="P69" i="26"/>
  <c r="K52" i="26"/>
  <c r="I39" i="26"/>
  <c r="G39" i="26"/>
  <c r="L39" i="26"/>
  <c r="N39" i="26"/>
  <c r="O39" i="26"/>
  <c r="P39" i="26"/>
  <c r="K53" i="26"/>
  <c r="L53" i="26"/>
  <c r="N53" i="26"/>
  <c r="O53" i="26"/>
  <c r="P53" i="26"/>
  <c r="K59" i="26"/>
  <c r="H62" i="26"/>
  <c r="L62" i="26"/>
  <c r="N62" i="26"/>
  <c r="O62" i="26"/>
  <c r="P62" i="26"/>
  <c r="G35" i="26"/>
  <c r="L35" i="26"/>
  <c r="N35" i="26"/>
  <c r="O35" i="26"/>
  <c r="P35" i="26"/>
  <c r="F6" i="27"/>
  <c r="L59" i="22"/>
  <c r="N59" i="22"/>
  <c r="O59" i="22" s="1"/>
  <c r="P59" i="22" s="1"/>
  <c r="L58" i="22"/>
  <c r="N58" i="22"/>
  <c r="O58" i="22"/>
  <c r="P58" i="22" s="1"/>
  <c r="G20" i="26"/>
  <c r="G22" i="26"/>
  <c r="I22" i="26"/>
  <c r="L22" i="26"/>
  <c r="N22" i="26"/>
  <c r="O22" i="26"/>
  <c r="P22" i="26"/>
  <c r="N72" i="14"/>
  <c r="G41" i="14"/>
  <c r="I41" i="14"/>
  <c r="L41" i="14"/>
  <c r="N41" i="14"/>
  <c r="O41" i="14"/>
  <c r="P41" i="14"/>
  <c r="I33" i="26"/>
  <c r="G33" i="26"/>
  <c r="I40" i="24"/>
  <c r="G40" i="24"/>
  <c r="L40" i="24"/>
  <c r="H62" i="24"/>
  <c r="K62" i="24"/>
  <c r="L62" i="24"/>
  <c r="N62" i="24"/>
  <c r="O62" i="24"/>
  <c r="P62" i="24"/>
  <c r="L58" i="24"/>
  <c r="N58" i="24"/>
  <c r="O58" i="24"/>
  <c r="P58" i="24"/>
  <c r="H70" i="24"/>
  <c r="K70" i="24"/>
  <c r="L70" i="24"/>
  <c r="N70" i="24"/>
  <c r="O70" i="24"/>
  <c r="P70" i="24"/>
  <c r="I20" i="26"/>
  <c r="G20" i="24"/>
  <c r="I20" i="24"/>
  <c r="G28" i="26"/>
  <c r="L28" i="26"/>
  <c r="H77" i="14"/>
  <c r="K77" i="14"/>
  <c r="L77" i="14"/>
  <c r="N77" i="14"/>
  <c r="O77" i="14"/>
  <c r="P77" i="14"/>
  <c r="I40" i="14"/>
  <c r="G40" i="14"/>
  <c r="L40" i="14"/>
  <c r="N40" i="14"/>
  <c r="O40" i="14"/>
  <c r="P40" i="14"/>
  <c r="I32" i="26"/>
  <c r="K81" i="24"/>
  <c r="F87" i="24"/>
  <c r="K85" i="26"/>
  <c r="L85" i="26"/>
  <c r="N85" i="26"/>
  <c r="O85" i="26"/>
  <c r="P85" i="26"/>
  <c r="H72" i="22"/>
  <c r="K72" i="22"/>
  <c r="L72" i="22"/>
  <c r="N72" i="22"/>
  <c r="O72" i="22"/>
  <c r="P72" i="22"/>
  <c r="G40" i="26"/>
  <c r="I37" i="14"/>
  <c r="G37" i="14"/>
  <c r="L37" i="14"/>
  <c r="N37" i="14"/>
  <c r="O37" i="14"/>
  <c r="P37" i="14"/>
  <c r="H57" i="22"/>
  <c r="K57" i="22"/>
  <c r="L57" i="22"/>
  <c r="N57" i="22"/>
  <c r="O57" i="22" s="1"/>
  <c r="P57" i="22" s="1"/>
  <c r="C44" i="24"/>
  <c r="I42" i="24"/>
  <c r="G42" i="24"/>
  <c r="L42" i="24"/>
  <c r="G24" i="26"/>
  <c r="F83" i="22"/>
  <c r="L81" i="22"/>
  <c r="N81" i="22"/>
  <c r="O81" i="22"/>
  <c r="P81" i="22"/>
  <c r="H60" i="14"/>
  <c r="L60" i="14"/>
  <c r="N60" i="14"/>
  <c r="O60" i="14"/>
  <c r="P60" i="14" s="1"/>
  <c r="D26" i="22"/>
  <c r="E26" i="22"/>
  <c r="G26" i="22" s="1"/>
  <c r="D24" i="22"/>
  <c r="E24" i="22"/>
  <c r="I24" i="22"/>
  <c r="D27" i="22"/>
  <c r="E27" i="22"/>
  <c r="I38" i="22"/>
  <c r="L38" i="22"/>
  <c r="N38" i="22"/>
  <c r="O38" i="22"/>
  <c r="P38" i="22"/>
  <c r="K82" i="26"/>
  <c r="L82" i="26"/>
  <c r="N82" i="26"/>
  <c r="O82" i="26"/>
  <c r="P82" i="26"/>
  <c r="K83" i="26"/>
  <c r="L83" i="26"/>
  <c r="N83" i="26"/>
  <c r="O83" i="26"/>
  <c r="P83" i="26"/>
  <c r="J35" i="25"/>
  <c r="F37" i="25"/>
  <c r="F39" i="25"/>
  <c r="H39" i="25"/>
  <c r="I23" i="14"/>
  <c r="L23" i="14"/>
  <c r="N23" i="14"/>
  <c r="O23" i="14"/>
  <c r="P23" i="14"/>
  <c r="I36" i="14"/>
  <c r="L36" i="14"/>
  <c r="N36" i="14"/>
  <c r="O36" i="14"/>
  <c r="P36" i="14"/>
  <c r="I35" i="14"/>
  <c r="L35" i="14"/>
  <c r="N35" i="14"/>
  <c r="O35" i="14"/>
  <c r="P35" i="14"/>
  <c r="I39" i="14"/>
  <c r="I21" i="14"/>
  <c r="L21" i="14"/>
  <c r="N21" i="14"/>
  <c r="O21" i="14"/>
  <c r="P21" i="14"/>
  <c r="I32" i="14"/>
  <c r="I42" i="14"/>
  <c r="L42" i="14"/>
  <c r="N42" i="14"/>
  <c r="O42" i="14"/>
  <c r="P42" i="14"/>
  <c r="L81" i="24"/>
  <c r="H56" i="22"/>
  <c r="K56" i="22"/>
  <c r="L56" i="22"/>
  <c r="N56" i="22"/>
  <c r="O56" i="22" s="1"/>
  <c r="P56" i="22" s="1"/>
  <c r="G36" i="24"/>
  <c r="I36" i="24"/>
  <c r="L36" i="24"/>
  <c r="N36" i="24"/>
  <c r="O36" i="24"/>
  <c r="P36" i="24"/>
  <c r="G42" i="22"/>
  <c r="I42" i="22"/>
  <c r="L42" i="22"/>
  <c r="N42" i="22"/>
  <c r="O42" i="22"/>
  <c r="P42" i="22"/>
  <c r="F99" i="25"/>
  <c r="L37" i="26"/>
  <c r="N37" i="26"/>
  <c r="O37" i="26"/>
  <c r="P37" i="26"/>
  <c r="L70" i="26"/>
  <c r="I39" i="22"/>
  <c r="L39" i="22"/>
  <c r="N39" i="22"/>
  <c r="O39" i="22"/>
  <c r="P39" i="22"/>
  <c r="I32" i="22"/>
  <c r="I33" i="22"/>
  <c r="L33" i="22"/>
  <c r="I23" i="22"/>
  <c r="L23" i="22"/>
  <c r="N23" i="22"/>
  <c r="O23" i="22"/>
  <c r="P23" i="22"/>
  <c r="I37" i="22"/>
  <c r="L37" i="22"/>
  <c r="N37" i="22"/>
  <c r="O37" i="22"/>
  <c r="P37" i="22"/>
  <c r="I22" i="22"/>
  <c r="I34" i="22"/>
  <c r="G34" i="22"/>
  <c r="L34" i="22"/>
  <c r="N34" i="22"/>
  <c r="O34" i="22" s="1"/>
  <c r="P34" i="22" s="1"/>
  <c r="D21" i="24"/>
  <c r="E21" i="24"/>
  <c r="D22" i="24"/>
  <c r="E22" i="24"/>
  <c r="D25" i="24"/>
  <c r="E25" i="24"/>
  <c r="D28" i="24"/>
  <c r="E28" i="24"/>
  <c r="G33" i="24"/>
  <c r="L33" i="24"/>
  <c r="N33" i="24"/>
  <c r="O33" i="24"/>
  <c r="P33" i="24"/>
  <c r="N75" i="26"/>
  <c r="O75" i="26"/>
  <c r="P75" i="26"/>
  <c r="L35" i="22"/>
  <c r="N35" i="22"/>
  <c r="O35" i="22"/>
  <c r="P35" i="22"/>
  <c r="I26" i="14"/>
  <c r="L26" i="14"/>
  <c r="N26" i="14"/>
  <c r="O26" i="14"/>
  <c r="P26" i="14"/>
  <c r="I37" i="24"/>
  <c r="G37" i="24"/>
  <c r="L37" i="24"/>
  <c r="N37" i="24"/>
  <c r="O37" i="24"/>
  <c r="P37" i="24"/>
  <c r="I36" i="26"/>
  <c r="L36" i="26"/>
  <c r="N36" i="26"/>
  <c r="O36" i="26"/>
  <c r="P36" i="26"/>
  <c r="L85" i="14"/>
  <c r="H63" i="14"/>
  <c r="I38" i="14"/>
  <c r="G38" i="14"/>
  <c r="H61" i="22"/>
  <c r="L61" i="22"/>
  <c r="N61" i="22"/>
  <c r="O61" i="22" s="1"/>
  <c r="P61" i="22" s="1"/>
  <c r="L71" i="22"/>
  <c r="N71" i="22"/>
  <c r="O71" i="22"/>
  <c r="P71" i="22"/>
  <c r="K60" i="24"/>
  <c r="L60" i="24"/>
  <c r="N60" i="24"/>
  <c r="O60" i="24"/>
  <c r="P60" i="24"/>
  <c r="K61" i="24"/>
  <c r="L61" i="24"/>
  <c r="N61" i="24"/>
  <c r="O61" i="24"/>
  <c r="P61" i="24"/>
  <c r="K51" i="24"/>
  <c r="L51" i="24"/>
  <c r="N51" i="24"/>
  <c r="O51" i="24"/>
  <c r="P51" i="24"/>
  <c r="K57" i="24"/>
  <c r="L57" i="24"/>
  <c r="N57" i="24"/>
  <c r="O57" i="24"/>
  <c r="P57" i="24"/>
  <c r="H59" i="24"/>
  <c r="K59" i="24"/>
  <c r="L63" i="14"/>
  <c r="N63" i="14"/>
  <c r="O63" i="14"/>
  <c r="P63" i="14" s="1"/>
  <c r="G39" i="24"/>
  <c r="I39" i="24"/>
  <c r="L39" i="24"/>
  <c r="N39" i="24"/>
  <c r="O39" i="24"/>
  <c r="P39" i="24"/>
  <c r="G34" i="14"/>
  <c r="I34" i="14"/>
  <c r="I33" i="14"/>
  <c r="I43" i="14" s="1"/>
  <c r="G33" i="14"/>
  <c r="G32" i="24"/>
  <c r="L32" i="24"/>
  <c r="H56" i="24"/>
  <c r="K56" i="24"/>
  <c r="L56" i="24"/>
  <c r="N56" i="24"/>
  <c r="O56" i="24"/>
  <c r="P56" i="24"/>
  <c r="H63" i="24"/>
  <c r="L63" i="24"/>
  <c r="N63" i="24"/>
  <c r="O63" i="24"/>
  <c r="P63" i="24"/>
  <c r="L69" i="24"/>
  <c r="G27" i="14"/>
  <c r="I27" i="14"/>
  <c r="H52" i="14"/>
  <c r="L66" i="14"/>
  <c r="N66" i="14"/>
  <c r="O66" i="14"/>
  <c r="P66" i="14" s="1"/>
  <c r="L78" i="22"/>
  <c r="N78" i="22"/>
  <c r="L64" i="14"/>
  <c r="N64" i="14"/>
  <c r="O64" i="14" s="1"/>
  <c r="P64" i="14" s="1"/>
  <c r="L39" i="14"/>
  <c r="N39" i="14"/>
  <c r="O39" i="14"/>
  <c r="P39" i="14"/>
  <c r="F7" i="25"/>
  <c r="C54" i="24"/>
  <c r="F54" i="24"/>
  <c r="K54" i="24"/>
  <c r="G23" i="24"/>
  <c r="L23" i="24"/>
  <c r="K52" i="24"/>
  <c r="H52" i="24"/>
  <c r="L52" i="24"/>
  <c r="N52" i="24"/>
  <c r="O52" i="24"/>
  <c r="P52" i="24"/>
  <c r="D27" i="24"/>
  <c r="E27" i="24"/>
  <c r="G35" i="24"/>
  <c r="I35" i="24"/>
  <c r="N83" i="24"/>
  <c r="O83" i="24"/>
  <c r="P83" i="24"/>
  <c r="K64" i="24"/>
  <c r="L64" i="24"/>
  <c r="N64" i="24"/>
  <c r="O64" i="24"/>
  <c r="P64" i="24"/>
  <c r="H74" i="24"/>
  <c r="L58" i="14"/>
  <c r="N58" i="14"/>
  <c r="O58" i="14"/>
  <c r="P58" i="14"/>
  <c r="H62" i="14"/>
  <c r="L62" i="14"/>
  <c r="N62" i="14"/>
  <c r="O62" i="14" s="1"/>
  <c r="P62" i="14" s="1"/>
  <c r="H75" i="24"/>
  <c r="K75" i="24"/>
  <c r="D20" i="14"/>
  <c r="E20" i="14"/>
  <c r="D22" i="14"/>
  <c r="E22" i="14"/>
  <c r="D28" i="14"/>
  <c r="E28" i="14"/>
  <c r="E29" i="14" s="1"/>
  <c r="I41" i="22"/>
  <c r="L41" i="22"/>
  <c r="N41" i="22"/>
  <c r="O41" i="22"/>
  <c r="P41" i="22"/>
  <c r="G28" i="14"/>
  <c r="L52" i="14"/>
  <c r="N52" i="14"/>
  <c r="O52" i="14" s="1"/>
  <c r="P52" i="14" s="1"/>
  <c r="L38" i="14"/>
  <c r="N38" i="14"/>
  <c r="O38" i="14"/>
  <c r="G43" i="14"/>
  <c r="L34" i="14"/>
  <c r="N34" i="14"/>
  <c r="O34" i="14"/>
  <c r="N70" i="26"/>
  <c r="O70" i="26"/>
  <c r="P70" i="26"/>
  <c r="L32" i="14"/>
  <c r="G27" i="22"/>
  <c r="I27" i="22"/>
  <c r="L27" i="22"/>
  <c r="N27" i="22"/>
  <c r="O27" i="22"/>
  <c r="P27" i="22"/>
  <c r="O77" i="22"/>
  <c r="L75" i="24"/>
  <c r="N75" i="24"/>
  <c r="O75" i="24"/>
  <c r="P75" i="24"/>
  <c r="L35" i="24"/>
  <c r="L27" i="14"/>
  <c r="N27" i="14"/>
  <c r="O27" i="14"/>
  <c r="P27" i="14"/>
  <c r="G24" i="22"/>
  <c r="L24" i="22"/>
  <c r="N24" i="22"/>
  <c r="O24" i="22"/>
  <c r="L33" i="26"/>
  <c r="N33" i="26"/>
  <c r="G27" i="24"/>
  <c r="I27" i="24"/>
  <c r="L27" i="24"/>
  <c r="N69" i="24"/>
  <c r="N81" i="24"/>
  <c r="O81" i="24"/>
  <c r="L32" i="26"/>
  <c r="O72" i="14"/>
  <c r="P72" i="14"/>
  <c r="N85" i="14"/>
  <c r="O85" i="14"/>
  <c r="L20" i="24"/>
  <c r="N20" i="24"/>
  <c r="L59" i="24"/>
  <c r="N59" i="24"/>
  <c r="O59" i="24"/>
  <c r="P59" i="24"/>
  <c r="I28" i="24"/>
  <c r="G28" i="24"/>
  <c r="L28" i="24"/>
  <c r="N28" i="24"/>
  <c r="O28" i="24"/>
  <c r="P28" i="24"/>
  <c r="O69" i="24"/>
  <c r="P69" i="24"/>
  <c r="P77" i="22"/>
  <c r="N32" i="26"/>
  <c r="N32" i="14"/>
  <c r="O32" i="26"/>
  <c r="P32" i="26"/>
  <c r="K61" i="26"/>
  <c r="H61" i="26"/>
  <c r="L61" i="26"/>
  <c r="N61" i="26"/>
  <c r="O61" i="26"/>
  <c r="P61" i="26"/>
  <c r="C71" i="26"/>
  <c r="F71" i="26"/>
  <c r="N28" i="26"/>
  <c r="O28" i="26"/>
  <c r="P28" i="26"/>
  <c r="C73" i="26"/>
  <c r="F73" i="26"/>
  <c r="L40" i="26"/>
  <c r="E43" i="26"/>
  <c r="C44" i="26"/>
  <c r="N40" i="26"/>
  <c r="O40" i="26"/>
  <c r="P40" i="26"/>
  <c r="G26" i="24"/>
  <c r="E29" i="24"/>
  <c r="G34" i="24"/>
  <c r="G43" i="24"/>
  <c r="C71" i="24"/>
  <c r="F71" i="24"/>
  <c r="K71" i="24"/>
  <c r="C73" i="24"/>
  <c r="F73" i="24"/>
  <c r="K73" i="24"/>
  <c r="H72" i="24"/>
  <c r="K72" i="24"/>
  <c r="L72" i="24"/>
  <c r="N72" i="24"/>
  <c r="O20" i="24"/>
  <c r="P81" i="24"/>
  <c r="N38" i="24"/>
  <c r="O38" i="24"/>
  <c r="P38" i="24"/>
  <c r="N27" i="24"/>
  <c r="O27" i="24"/>
  <c r="P27" i="24"/>
  <c r="N42" i="24"/>
  <c r="O42" i="24"/>
  <c r="P42" i="24"/>
  <c r="N40" i="24"/>
  <c r="O40" i="24"/>
  <c r="P40" i="24"/>
  <c r="N35" i="24"/>
  <c r="O35" i="24"/>
  <c r="P35" i="24"/>
  <c r="N23" i="24"/>
  <c r="O23" i="24"/>
  <c r="P23" i="24"/>
  <c r="N32" i="24"/>
  <c r="F9" i="25"/>
  <c r="H9" i="25"/>
  <c r="H71" i="24"/>
  <c r="H73" i="24"/>
  <c r="L73" i="24"/>
  <c r="N73" i="24"/>
  <c r="O73" i="24"/>
  <c r="P73" i="24"/>
  <c r="P20" i="24"/>
  <c r="O32" i="24"/>
  <c r="O72" i="24"/>
  <c r="P72" i="24"/>
  <c r="F9" i="29"/>
  <c r="H9" i="29"/>
  <c r="F97" i="29"/>
  <c r="H46" i="29"/>
  <c r="G25" i="28"/>
  <c r="I25" i="28"/>
  <c r="L25" i="28"/>
  <c r="N25" i="28"/>
  <c r="O25" i="28"/>
  <c r="P25" i="28"/>
  <c r="I26" i="28"/>
  <c r="G26" i="28"/>
  <c r="L26" i="28"/>
  <c r="N26" i="28"/>
  <c r="O26" i="28"/>
  <c r="P26" i="28"/>
  <c r="K60" i="28"/>
  <c r="H60" i="28"/>
  <c r="L60" i="28"/>
  <c r="N60" i="28"/>
  <c r="O60" i="28"/>
  <c r="P60" i="28"/>
  <c r="I22" i="28"/>
  <c r="G22" i="28"/>
  <c r="L22" i="28"/>
  <c r="N22" i="28"/>
  <c r="O22" i="28"/>
  <c r="P22" i="28"/>
  <c r="H50" i="28"/>
  <c r="L50" i="28"/>
  <c r="K59" i="28"/>
  <c r="L59" i="28"/>
  <c r="N59" i="28"/>
  <c r="O59" i="28"/>
  <c r="P59" i="28"/>
  <c r="I33" i="28"/>
  <c r="G33" i="28"/>
  <c r="L33" i="28"/>
  <c r="N33" i="28"/>
  <c r="I23" i="28"/>
  <c r="G23" i="28"/>
  <c r="L23" i="28"/>
  <c r="N23" i="28"/>
  <c r="O23" i="28"/>
  <c r="P23" i="28"/>
  <c r="G38" i="28"/>
  <c r="I38" i="28"/>
  <c r="L38" i="28"/>
  <c r="N38" i="28"/>
  <c r="O38" i="28"/>
  <c r="P38" i="28"/>
  <c r="I42" i="28"/>
  <c r="L42" i="28"/>
  <c r="N42" i="28"/>
  <c r="O42" i="28"/>
  <c r="P42" i="28"/>
  <c r="G36" i="28"/>
  <c r="I36" i="28"/>
  <c r="L36" i="28"/>
  <c r="G40" i="28"/>
  <c r="I34" i="28"/>
  <c r="L34" i="28"/>
  <c r="N34" i="28"/>
  <c r="O34" i="28"/>
  <c r="P34" i="28"/>
  <c r="F86" i="28"/>
  <c r="K82" i="28"/>
  <c r="I27" i="28"/>
  <c r="G27" i="28"/>
  <c r="L27" i="28"/>
  <c r="N27" i="28"/>
  <c r="O27" i="28"/>
  <c r="P27" i="28"/>
  <c r="I32" i="28"/>
  <c r="E43" i="28"/>
  <c r="L35" i="28"/>
  <c r="N35" i="28"/>
  <c r="O35" i="28"/>
  <c r="P35" i="28"/>
  <c r="K58" i="28"/>
  <c r="H58" i="28"/>
  <c r="L58" i="28"/>
  <c r="N58" i="28"/>
  <c r="O58" i="28"/>
  <c r="P58" i="28"/>
  <c r="H61" i="28"/>
  <c r="L61" i="28"/>
  <c r="N61" i="28"/>
  <c r="O61" i="28"/>
  <c r="P61" i="28"/>
  <c r="L68" i="28"/>
  <c r="H53" i="28"/>
  <c r="L53" i="28"/>
  <c r="N53" i="28"/>
  <c r="O53" i="28"/>
  <c r="P53" i="28"/>
  <c r="C71" i="28"/>
  <c r="F71" i="28"/>
  <c r="H74" i="28"/>
  <c r="L74" i="28"/>
  <c r="N74" i="28"/>
  <c r="O74" i="28"/>
  <c r="P74" i="28"/>
  <c r="H57" i="28"/>
  <c r="L57" i="28"/>
  <c r="N57" i="28"/>
  <c r="O57" i="28"/>
  <c r="P57" i="28"/>
  <c r="C55" i="24"/>
  <c r="F55" i="24"/>
  <c r="F50" i="24"/>
  <c r="H54" i="24"/>
  <c r="L54" i="24"/>
  <c r="N54" i="24"/>
  <c r="O54" i="24"/>
  <c r="P54" i="24"/>
  <c r="L82" i="28"/>
  <c r="N68" i="28"/>
  <c r="H50" i="24"/>
  <c r="K50" i="24"/>
  <c r="L50" i="24"/>
  <c r="O68" i="28"/>
  <c r="P68" i="28"/>
  <c r="N82" i="28"/>
  <c r="O82" i="28"/>
  <c r="P82" i="28"/>
  <c r="K50" i="26"/>
  <c r="L50" i="26"/>
  <c r="C50" i="26"/>
  <c r="G27" i="26"/>
  <c r="L27" i="26"/>
  <c r="N27" i="26"/>
  <c r="O27" i="26"/>
  <c r="P27" i="26"/>
  <c r="E29" i="26"/>
  <c r="E45" i="26"/>
  <c r="H73" i="26"/>
  <c r="K73" i="26"/>
  <c r="I21" i="26"/>
  <c r="H72" i="26"/>
  <c r="L72" i="26"/>
  <c r="N72" i="26"/>
  <c r="O72" i="26"/>
  <c r="P72" i="26"/>
  <c r="L21" i="26"/>
  <c r="N21" i="26"/>
  <c r="O21" i="26"/>
  <c r="P21" i="26"/>
  <c r="C76" i="30"/>
  <c r="F76" i="30"/>
  <c r="K76" i="30"/>
  <c r="I32" i="30"/>
  <c r="I41" i="30"/>
  <c r="I23" i="30"/>
  <c r="L23" i="30"/>
  <c r="N23" i="30"/>
  <c r="O23" i="30" s="1"/>
  <c r="P23" i="30" s="1"/>
  <c r="I36" i="30"/>
  <c r="I38" i="30"/>
  <c r="H54" i="30"/>
  <c r="K54" i="30"/>
  <c r="L54" i="30"/>
  <c r="N54" i="30"/>
  <c r="O54" i="30" s="1"/>
  <c r="P54" i="30" s="1"/>
  <c r="D28" i="30"/>
  <c r="E28" i="30"/>
  <c r="D25" i="30"/>
  <c r="E25" i="30"/>
  <c r="D22" i="30"/>
  <c r="E22" i="30"/>
  <c r="D21" i="30"/>
  <c r="E21" i="30"/>
  <c r="D20" i="30"/>
  <c r="E20" i="30"/>
  <c r="G37" i="30"/>
  <c r="I37" i="30"/>
  <c r="L37" i="30"/>
  <c r="N37" i="30"/>
  <c r="O37" i="30" s="1"/>
  <c r="P37" i="30" s="1"/>
  <c r="G24" i="30"/>
  <c r="L24" i="30"/>
  <c r="N24" i="30"/>
  <c r="O24" i="30" s="1"/>
  <c r="K66" i="30"/>
  <c r="L66" i="30"/>
  <c r="N66" i="30"/>
  <c r="O66" i="30" s="1"/>
  <c r="P66" i="30" s="1"/>
  <c r="K59" i="30"/>
  <c r="K50" i="30"/>
  <c r="K51" i="30"/>
  <c r="K52" i="30"/>
  <c r="K55" i="30"/>
  <c r="K56" i="30"/>
  <c r="K57" i="30"/>
  <c r="K58" i="30"/>
  <c r="K60" i="30"/>
  <c r="K61" i="30"/>
  <c r="K63" i="30"/>
  <c r="K65" i="30"/>
  <c r="K67" i="30"/>
  <c r="L57" i="30"/>
  <c r="N57" i="30"/>
  <c r="O57" i="30"/>
  <c r="P57" i="30" s="1"/>
  <c r="L51" i="30"/>
  <c r="N51" i="30"/>
  <c r="O51" i="30" s="1"/>
  <c r="P51" i="30" s="1"/>
  <c r="H58" i="30"/>
  <c r="L58" i="30"/>
  <c r="N58" i="30"/>
  <c r="O58" i="30" s="1"/>
  <c r="P58" i="30" s="1"/>
  <c r="L41" i="30"/>
  <c r="N41" i="30"/>
  <c r="O41" i="30" s="1"/>
  <c r="P41" i="30" s="1"/>
  <c r="E43" i="30"/>
  <c r="H55" i="30"/>
  <c r="I33" i="30"/>
  <c r="I34" i="30"/>
  <c r="G35" i="30"/>
  <c r="I35" i="30"/>
  <c r="L35" i="30"/>
  <c r="N35" i="30"/>
  <c r="O35" i="30" s="1"/>
  <c r="P35" i="30" s="1"/>
  <c r="G39" i="30"/>
  <c r="I39" i="30"/>
  <c r="L39" i="30"/>
  <c r="N39" i="30"/>
  <c r="O39" i="30" s="1"/>
  <c r="P39" i="30" s="1"/>
  <c r="H50" i="30"/>
  <c r="H52" i="30"/>
  <c r="H61" i="30"/>
  <c r="L61" i="30" s="1"/>
  <c r="N61" i="30" s="1"/>
  <c r="O61" i="30" s="1"/>
  <c r="P61" i="30" s="1"/>
  <c r="L72" i="30"/>
  <c r="N84" i="30"/>
  <c r="G38" i="30"/>
  <c r="L38" i="30"/>
  <c r="N38" i="30"/>
  <c r="O38" i="30" s="1"/>
  <c r="P38" i="30" s="1"/>
  <c r="H56" i="30"/>
  <c r="L56" i="30"/>
  <c r="N56" i="30"/>
  <c r="O56" i="30" s="1"/>
  <c r="P56" i="30" s="1"/>
  <c r="H67" i="30"/>
  <c r="L67" i="30"/>
  <c r="N67" i="30"/>
  <c r="O67" i="30" s="1"/>
  <c r="P67" i="30" s="1"/>
  <c r="D27" i="30"/>
  <c r="E27" i="30"/>
  <c r="D26" i="30"/>
  <c r="E26" i="30"/>
  <c r="G33" i="30"/>
  <c r="L33" i="30"/>
  <c r="N33" i="30"/>
  <c r="O33" i="30"/>
  <c r="P33" i="30" s="1"/>
  <c r="G34" i="30"/>
  <c r="L34" i="30"/>
  <c r="N34" i="30"/>
  <c r="O34" i="30" s="1"/>
  <c r="P34" i="30" s="1"/>
  <c r="G36" i="30"/>
  <c r="L36" i="30"/>
  <c r="N36" i="30"/>
  <c r="O36" i="30" s="1"/>
  <c r="P36" i="30" s="1"/>
  <c r="G40" i="30"/>
  <c r="G42" i="30"/>
  <c r="G43" i="30"/>
  <c r="L42" i="30"/>
  <c r="N42" i="30"/>
  <c r="O42" i="30" s="1"/>
  <c r="P42" i="30" s="1"/>
  <c r="L50" i="30"/>
  <c r="L52" i="30"/>
  <c r="N52" i="30"/>
  <c r="O52" i="30"/>
  <c r="P52" i="30"/>
  <c r="H53" i="30"/>
  <c r="L53" i="30"/>
  <c r="N53" i="30"/>
  <c r="O53" i="30" s="1"/>
  <c r="P53" i="30" s="1"/>
  <c r="H60" i="30"/>
  <c r="L60" i="30"/>
  <c r="N60" i="30" s="1"/>
  <c r="O60" i="30" s="1"/>
  <c r="P60" i="30" s="1"/>
  <c r="K73" i="30"/>
  <c r="H73" i="30"/>
  <c r="L78" i="30"/>
  <c r="N78" i="30"/>
  <c r="O78" i="30" s="1"/>
  <c r="P78" i="30" s="1"/>
  <c r="C74" i="30"/>
  <c r="F74" i="30"/>
  <c r="C75" i="30"/>
  <c r="F75" i="30"/>
  <c r="H9" i="32"/>
  <c r="N88" i="14"/>
  <c r="O88" i="14"/>
  <c r="P88" i="14"/>
  <c r="H56" i="14"/>
  <c r="N78" i="14"/>
  <c r="O78" i="14"/>
  <c r="P78" i="14"/>
  <c r="H51" i="14"/>
  <c r="L51" i="14"/>
  <c r="N51" i="14"/>
  <c r="O51" i="14"/>
  <c r="P51" i="14" s="1"/>
  <c r="H54" i="14"/>
  <c r="L54" i="14"/>
  <c r="N54" i="14"/>
  <c r="O54" i="14"/>
  <c r="P54" i="14" s="1"/>
  <c r="N50" i="24"/>
  <c r="O33" i="28"/>
  <c r="N50" i="26"/>
  <c r="H55" i="24"/>
  <c r="H65" i="24"/>
  <c r="K55" i="24"/>
  <c r="J65" i="24"/>
  <c r="F65" i="24"/>
  <c r="N36" i="28"/>
  <c r="O36" i="28"/>
  <c r="P36" i="28"/>
  <c r="P32" i="24"/>
  <c r="O33" i="26"/>
  <c r="E93" i="22"/>
  <c r="P24" i="22"/>
  <c r="H77" i="24"/>
  <c r="L71" i="24"/>
  <c r="F77" i="24"/>
  <c r="K71" i="26"/>
  <c r="J77" i="26"/>
  <c r="H71" i="26"/>
  <c r="F77" i="26"/>
  <c r="G20" i="14"/>
  <c r="I20" i="14"/>
  <c r="I22" i="24"/>
  <c r="G22" i="24"/>
  <c r="L22" i="24"/>
  <c r="N22" i="24"/>
  <c r="O22" i="24"/>
  <c r="P22" i="24"/>
  <c r="O32" i="14"/>
  <c r="G21" i="24"/>
  <c r="I21" i="24"/>
  <c r="L21" i="24"/>
  <c r="N33" i="22"/>
  <c r="O78" i="22"/>
  <c r="G22" i="14"/>
  <c r="I22" i="14"/>
  <c r="L22" i="14"/>
  <c r="N22" i="14"/>
  <c r="O22" i="14"/>
  <c r="P22" i="14"/>
  <c r="G25" i="24"/>
  <c r="I25" i="24"/>
  <c r="L25" i="24"/>
  <c r="N25" i="24"/>
  <c r="O25" i="24"/>
  <c r="P25" i="24"/>
  <c r="G22" i="22"/>
  <c r="G36" i="22"/>
  <c r="I36" i="22"/>
  <c r="L36" i="22"/>
  <c r="N36" i="22"/>
  <c r="O36" i="22"/>
  <c r="P36" i="22"/>
  <c r="I24" i="24"/>
  <c r="G24" i="24"/>
  <c r="L24" i="24"/>
  <c r="N24" i="24"/>
  <c r="O24" i="24"/>
  <c r="C63" i="26"/>
  <c r="F63" i="26"/>
  <c r="H37" i="27"/>
  <c r="L20" i="26"/>
  <c r="I24" i="26"/>
  <c r="L24" i="26"/>
  <c r="N24" i="26"/>
  <c r="O24" i="26"/>
  <c r="G34" i="26"/>
  <c r="G43" i="26"/>
  <c r="I34" i="26"/>
  <c r="L34" i="26"/>
  <c r="I38" i="26"/>
  <c r="I43" i="26"/>
  <c r="I26" i="26"/>
  <c r="G26" i="26"/>
  <c r="G29" i="26"/>
  <c r="E43" i="24"/>
  <c r="E45" i="24"/>
  <c r="I25" i="26"/>
  <c r="L25" i="26"/>
  <c r="N25" i="26"/>
  <c r="O25" i="26"/>
  <c r="P25" i="26"/>
  <c r="K73" i="14"/>
  <c r="I26" i="24"/>
  <c r="L26" i="24"/>
  <c r="N26" i="24"/>
  <c r="O26" i="24"/>
  <c r="P26" i="24"/>
  <c r="L38" i="26"/>
  <c r="N38" i="26"/>
  <c r="O38" i="26"/>
  <c r="P38" i="26"/>
  <c r="K60" i="26"/>
  <c r="L60" i="26"/>
  <c r="N60" i="26"/>
  <c r="O60" i="26"/>
  <c r="P60" i="26"/>
  <c r="K81" i="26"/>
  <c r="F46" i="27"/>
  <c r="C62" i="28"/>
  <c r="F62" i="28"/>
  <c r="L84" i="14"/>
  <c r="L65" i="14"/>
  <c r="N65" i="14"/>
  <c r="O65" i="14" s="1"/>
  <c r="P65" i="14" s="1"/>
  <c r="H52" i="26"/>
  <c r="K63" i="28"/>
  <c r="L63" i="28"/>
  <c r="N63" i="28"/>
  <c r="O63" i="28"/>
  <c r="P63" i="28"/>
  <c r="L86" i="14"/>
  <c r="N86" i="14"/>
  <c r="O86" i="14"/>
  <c r="P86" i="14"/>
  <c r="L87" i="14"/>
  <c r="N87" i="14" s="1"/>
  <c r="H73" i="14"/>
  <c r="I41" i="24"/>
  <c r="L41" i="24"/>
  <c r="N41" i="24"/>
  <c r="O41" i="24"/>
  <c r="P41" i="24"/>
  <c r="K74" i="24"/>
  <c r="L74" i="24"/>
  <c r="N74" i="24"/>
  <c r="O74" i="24"/>
  <c r="P74" i="24"/>
  <c r="F7" i="27"/>
  <c r="H59" i="26"/>
  <c r="L59" i="26"/>
  <c r="N59" i="26"/>
  <c r="O59" i="26"/>
  <c r="P59" i="26"/>
  <c r="C55" i="28"/>
  <c r="F55" i="28"/>
  <c r="F54" i="28"/>
  <c r="K54" i="28"/>
  <c r="I34" i="24"/>
  <c r="K82" i="24"/>
  <c r="J87" i="24"/>
  <c r="F71" i="27"/>
  <c r="H71" i="27"/>
  <c r="H48" i="25"/>
  <c r="I37" i="28"/>
  <c r="I39" i="28"/>
  <c r="L39" i="28"/>
  <c r="N39" i="28"/>
  <c r="O39" i="28"/>
  <c r="P39" i="28"/>
  <c r="F37" i="29"/>
  <c r="H37" i="29"/>
  <c r="K73" i="28"/>
  <c r="L73" i="28"/>
  <c r="N73" i="28"/>
  <c r="O73" i="28"/>
  <c r="P73" i="28"/>
  <c r="K84" i="28"/>
  <c r="J86" i="28"/>
  <c r="D21" i="28"/>
  <c r="E21" i="28"/>
  <c r="E28" i="28"/>
  <c r="D20" i="28"/>
  <c r="E20" i="28"/>
  <c r="D24" i="28"/>
  <c r="E24" i="28"/>
  <c r="E29" i="28"/>
  <c r="E45" i="28"/>
  <c r="K56" i="28"/>
  <c r="L56" i="28"/>
  <c r="N56" i="28"/>
  <c r="O56" i="28"/>
  <c r="P56" i="28"/>
  <c r="H69" i="28"/>
  <c r="L80" i="28"/>
  <c r="L81" i="28"/>
  <c r="N81" i="28"/>
  <c r="O81" i="28"/>
  <c r="P81" i="28"/>
  <c r="K69" i="28"/>
  <c r="L73" i="26"/>
  <c r="N73" i="26"/>
  <c r="O73" i="26"/>
  <c r="P73" i="26"/>
  <c r="L55" i="30"/>
  <c r="N55" i="30"/>
  <c r="O55" i="30" s="1"/>
  <c r="P55" i="30" s="1"/>
  <c r="H76" i="30"/>
  <c r="L76" i="30"/>
  <c r="N76" i="30"/>
  <c r="O76" i="30"/>
  <c r="P76" i="30" s="1"/>
  <c r="N50" i="30"/>
  <c r="G25" i="30"/>
  <c r="I25" i="30"/>
  <c r="L25" i="30"/>
  <c r="N25" i="30"/>
  <c r="O25" i="30" s="1"/>
  <c r="P25" i="30" s="1"/>
  <c r="K74" i="30"/>
  <c r="H74" i="30"/>
  <c r="F80" i="30"/>
  <c r="L40" i="30"/>
  <c r="N40" i="30"/>
  <c r="O40" i="30"/>
  <c r="P40" i="30" s="1"/>
  <c r="L73" i="30"/>
  <c r="N73" i="30"/>
  <c r="O73" i="30"/>
  <c r="P73" i="30" s="1"/>
  <c r="G27" i="30"/>
  <c r="I27" i="30"/>
  <c r="L27" i="30"/>
  <c r="N27" i="30"/>
  <c r="O27" i="30"/>
  <c r="P27" i="30" s="1"/>
  <c r="I21" i="30"/>
  <c r="G21" i="30"/>
  <c r="L21" i="30"/>
  <c r="N21" i="30"/>
  <c r="O21" i="30"/>
  <c r="P21" i="30"/>
  <c r="K75" i="30"/>
  <c r="H75" i="30"/>
  <c r="G26" i="30"/>
  <c r="I26" i="30"/>
  <c r="L26" i="30"/>
  <c r="N26" i="30"/>
  <c r="O26" i="30"/>
  <c r="P26" i="30"/>
  <c r="N72" i="30"/>
  <c r="M80" i="30" s="1"/>
  <c r="E29" i="30"/>
  <c r="E45" i="30"/>
  <c r="I20" i="30"/>
  <c r="G20" i="30"/>
  <c r="G28" i="30"/>
  <c r="I28" i="30"/>
  <c r="L28" i="30"/>
  <c r="N28" i="30"/>
  <c r="O28" i="30" s="1"/>
  <c r="P28" i="30" s="1"/>
  <c r="O84" i="30"/>
  <c r="P84" i="30" s="1"/>
  <c r="I22" i="30"/>
  <c r="G22" i="30"/>
  <c r="L22" i="30"/>
  <c r="N22" i="30"/>
  <c r="O22" i="30"/>
  <c r="P22" i="30" s="1"/>
  <c r="I43" i="30"/>
  <c r="L32" i="30"/>
  <c r="L56" i="14"/>
  <c r="N56" i="14"/>
  <c r="O56" i="14" s="1"/>
  <c r="P56" i="14" s="1"/>
  <c r="G24" i="28"/>
  <c r="H54" i="28"/>
  <c r="L54" i="28"/>
  <c r="N54" i="28"/>
  <c r="O54" i="28"/>
  <c r="P54" i="28"/>
  <c r="C54" i="26"/>
  <c r="F9" i="27"/>
  <c r="H9" i="27"/>
  <c r="H62" i="28"/>
  <c r="F97" i="27"/>
  <c r="H46" i="27"/>
  <c r="L82" i="24"/>
  <c r="I29" i="26"/>
  <c r="H45" i="26"/>
  <c r="H63" i="26"/>
  <c r="K63" i="26"/>
  <c r="L63" i="26"/>
  <c r="N63" i="26"/>
  <c r="O63" i="26"/>
  <c r="P63" i="26"/>
  <c r="L22" i="22"/>
  <c r="P78" i="22"/>
  <c r="I29" i="24"/>
  <c r="P32" i="14"/>
  <c r="J77" i="24"/>
  <c r="G28" i="28"/>
  <c r="J87" i="26"/>
  <c r="L81" i="26"/>
  <c r="L26" i="26"/>
  <c r="N26" i="26"/>
  <c r="O26" i="26"/>
  <c r="P26" i="26"/>
  <c r="P24" i="26"/>
  <c r="E98" i="26"/>
  <c r="N21" i="24"/>
  <c r="L29" i="24"/>
  <c r="P33" i="26"/>
  <c r="L55" i="24"/>
  <c r="L69" i="28"/>
  <c r="N34" i="26"/>
  <c r="L43" i="26"/>
  <c r="N20" i="26"/>
  <c r="P24" i="24"/>
  <c r="E97" i="24"/>
  <c r="O33" i="22"/>
  <c r="G29" i="24"/>
  <c r="F45" i="24"/>
  <c r="H77" i="26"/>
  <c r="L71" i="26"/>
  <c r="N71" i="24"/>
  <c r="L77" i="24"/>
  <c r="P33" i="28"/>
  <c r="N80" i="28"/>
  <c r="I21" i="28"/>
  <c r="G21" i="28"/>
  <c r="L21" i="28"/>
  <c r="N21" i="28"/>
  <c r="O21" i="28"/>
  <c r="P21" i="28"/>
  <c r="I20" i="28"/>
  <c r="G20" i="28"/>
  <c r="L37" i="28"/>
  <c r="I43" i="24"/>
  <c r="H45" i="24"/>
  <c r="H14" i="24"/>
  <c r="H15" i="24"/>
  <c r="L34" i="24"/>
  <c r="L52" i="26"/>
  <c r="N84" i="14"/>
  <c r="L90" i="14"/>
  <c r="F45" i="26"/>
  <c r="L73" i="14"/>
  <c r="L20" i="14"/>
  <c r="O50" i="26"/>
  <c r="O50" i="24"/>
  <c r="L29" i="26"/>
  <c r="L75" i="30"/>
  <c r="N75" i="30"/>
  <c r="O75" i="30"/>
  <c r="P75" i="30" s="1"/>
  <c r="J80" i="30"/>
  <c r="H80" i="30"/>
  <c r="G29" i="30"/>
  <c r="F45" i="30"/>
  <c r="L43" i="30"/>
  <c r="N32" i="30"/>
  <c r="L20" i="30"/>
  <c r="L74" i="30"/>
  <c r="N74" i="30"/>
  <c r="O74" i="30" s="1"/>
  <c r="P74" i="30" s="1"/>
  <c r="O50" i="30"/>
  <c r="I29" i="30"/>
  <c r="H45" i="30"/>
  <c r="P50" i="24"/>
  <c r="N73" i="14"/>
  <c r="N52" i="26"/>
  <c r="N37" i="28"/>
  <c r="L77" i="26"/>
  <c r="N71" i="26"/>
  <c r="N29" i="26"/>
  <c r="O20" i="26"/>
  <c r="N69" i="28"/>
  <c r="O69" i="28"/>
  <c r="P69" i="28"/>
  <c r="N55" i="24"/>
  <c r="L65" i="24"/>
  <c r="O21" i="24"/>
  <c r="N29" i="24"/>
  <c r="N20" i="14"/>
  <c r="P50" i="26"/>
  <c r="O84" i="14"/>
  <c r="L43" i="24"/>
  <c r="L45" i="24"/>
  <c r="N34" i="24"/>
  <c r="L20" i="28"/>
  <c r="O80" i="28"/>
  <c r="P33" i="22"/>
  <c r="N82" i="24"/>
  <c r="L87" i="24"/>
  <c r="F54" i="26"/>
  <c r="C56" i="26"/>
  <c r="F56" i="26"/>
  <c r="L45" i="26"/>
  <c r="L87" i="26"/>
  <c r="N81" i="26"/>
  <c r="O71" i="24"/>
  <c r="M77" i="24"/>
  <c r="O34" i="26"/>
  <c r="N43" i="26"/>
  <c r="N22" i="22"/>
  <c r="M45" i="26"/>
  <c r="O32" i="30"/>
  <c r="L80" i="30"/>
  <c r="P50" i="30"/>
  <c r="L29" i="30"/>
  <c r="L45" i="30"/>
  <c r="N20" i="30"/>
  <c r="O22" i="22"/>
  <c r="P34" i="26"/>
  <c r="O43" i="26"/>
  <c r="K56" i="26"/>
  <c r="H56" i="26"/>
  <c r="L56" i="26"/>
  <c r="N56" i="26"/>
  <c r="O56" i="26"/>
  <c r="P56" i="26"/>
  <c r="P80" i="28"/>
  <c r="P20" i="26"/>
  <c r="O29" i="26"/>
  <c r="O52" i="26"/>
  <c r="H54" i="26"/>
  <c r="H65" i="26"/>
  <c r="K54" i="26"/>
  <c r="J65" i="26"/>
  <c r="L54" i="26"/>
  <c r="F65" i="26"/>
  <c r="G91" i="26"/>
  <c r="P84" i="14"/>
  <c r="O20" i="14"/>
  <c r="O55" i="24"/>
  <c r="M65" i="24"/>
  <c r="O34" i="24"/>
  <c r="N43" i="24"/>
  <c r="M45" i="24"/>
  <c r="O37" i="28"/>
  <c r="O73" i="14"/>
  <c r="P71" i="24"/>
  <c r="O77" i="24"/>
  <c r="P77" i="24"/>
  <c r="M87" i="26"/>
  <c r="O81" i="26"/>
  <c r="O82" i="24"/>
  <c r="M87" i="24"/>
  <c r="L90" i="24"/>
  <c r="L3" i="24"/>
  <c r="P21" i="24"/>
  <c r="O29" i="24"/>
  <c r="M77" i="26"/>
  <c r="O71" i="26"/>
  <c r="J88" i="26"/>
  <c r="H14" i="26"/>
  <c r="H15" i="26"/>
  <c r="O20" i="30"/>
  <c r="O29" i="30" s="1"/>
  <c r="P29" i="30" s="1"/>
  <c r="N29" i="30"/>
  <c r="P32" i="30"/>
  <c r="P81" i="26"/>
  <c r="O87" i="26"/>
  <c r="P87" i="26"/>
  <c r="P73" i="14"/>
  <c r="P34" i="24"/>
  <c r="O43" i="24"/>
  <c r="P55" i="24"/>
  <c r="O65" i="24"/>
  <c r="P65" i="24"/>
  <c r="P37" i="28"/>
  <c r="P52" i="26"/>
  <c r="P22" i="22"/>
  <c r="P71" i="26"/>
  <c r="O77" i="26"/>
  <c r="P77" i="26"/>
  <c r="P29" i="24"/>
  <c r="O87" i="24"/>
  <c r="O90" i="24"/>
  <c r="P82" i="24"/>
  <c r="P87" i="24"/>
  <c r="H8" i="24"/>
  <c r="P20" i="14"/>
  <c r="N54" i="26"/>
  <c r="L65" i="26"/>
  <c r="L91" i="26"/>
  <c r="L3" i="26"/>
  <c r="P29" i="26"/>
  <c r="P43" i="26"/>
  <c r="O45" i="26"/>
  <c r="P45" i="26"/>
  <c r="P20" i="30"/>
  <c r="P90" i="24"/>
  <c r="G1" i="24"/>
  <c r="N3" i="24"/>
  <c r="K8" i="24"/>
  <c r="H9" i="24"/>
  <c r="L9" i="24"/>
  <c r="O54" i="26"/>
  <c r="M65" i="26"/>
  <c r="P43" i="24"/>
  <c r="O45" i="24"/>
  <c r="P45" i="24"/>
  <c r="H8" i="26"/>
  <c r="M88" i="26"/>
  <c r="P54" i="26"/>
  <c r="O65" i="26"/>
  <c r="P65" i="26"/>
  <c r="O91" i="26"/>
  <c r="K8" i="26"/>
  <c r="H9" i="26"/>
  <c r="L9" i="26"/>
  <c r="G1" i="26"/>
  <c r="N3" i="26"/>
  <c r="P91" i="26"/>
  <c r="F9" i="37"/>
  <c r="G25" i="36"/>
  <c r="I25" i="36"/>
  <c r="I22" i="36"/>
  <c r="G22" i="36"/>
  <c r="L22" i="36"/>
  <c r="N22" i="36"/>
  <c r="O22" i="36"/>
  <c r="P22" i="36"/>
  <c r="D26" i="36"/>
  <c r="E26" i="36"/>
  <c r="D28" i="36"/>
  <c r="E28" i="36"/>
  <c r="E29" i="36"/>
  <c r="I20" i="36"/>
  <c r="G20" i="36"/>
  <c r="L20" i="36"/>
  <c r="G24" i="36"/>
  <c r="I24" i="36"/>
  <c r="L24" i="36"/>
  <c r="N24" i="36"/>
  <c r="O24" i="36" s="1"/>
  <c r="P24" i="36" s="1"/>
  <c r="I21" i="36"/>
  <c r="G21" i="36"/>
  <c r="L21" i="36"/>
  <c r="N21" i="36"/>
  <c r="O21" i="36"/>
  <c r="P21" i="36"/>
  <c r="G34" i="36"/>
  <c r="I34" i="36"/>
  <c r="L34" i="36"/>
  <c r="N34" i="36"/>
  <c r="O34" i="36" s="1"/>
  <c r="P34" i="36" s="1"/>
  <c r="G23" i="36"/>
  <c r="I23" i="36"/>
  <c r="L23" i="36"/>
  <c r="N23" i="36"/>
  <c r="O23" i="36"/>
  <c r="P23" i="36"/>
  <c r="I37" i="36"/>
  <c r="G37" i="36"/>
  <c r="L37" i="36"/>
  <c r="N37" i="36"/>
  <c r="O37" i="36" s="1"/>
  <c r="P37" i="36" s="1"/>
  <c r="I27" i="36"/>
  <c r="G27" i="36"/>
  <c r="L27" i="36"/>
  <c r="N27" i="36"/>
  <c r="O27" i="36"/>
  <c r="P27" i="36"/>
  <c r="E43" i="36"/>
  <c r="G32" i="36"/>
  <c r="I32" i="36"/>
  <c r="L32" i="36"/>
  <c r="I40" i="36"/>
  <c r="G40" i="36"/>
  <c r="L40" i="36"/>
  <c r="N40" i="36"/>
  <c r="O40" i="36" s="1"/>
  <c r="P40" i="36" s="1"/>
  <c r="C76" i="36"/>
  <c r="F76" i="36"/>
  <c r="K56" i="36"/>
  <c r="H56" i="36"/>
  <c r="L56" i="36"/>
  <c r="N56" i="36"/>
  <c r="O56" i="36"/>
  <c r="P56" i="36" s="1"/>
  <c r="K65" i="36"/>
  <c r="H77" i="36"/>
  <c r="L77" i="36"/>
  <c r="N77" i="36"/>
  <c r="O77" i="36"/>
  <c r="P77" i="36"/>
  <c r="I39" i="36"/>
  <c r="G39" i="36"/>
  <c r="L39" i="36"/>
  <c r="N39" i="36"/>
  <c r="O39" i="36" s="1"/>
  <c r="P39" i="36" s="1"/>
  <c r="G33" i="36"/>
  <c r="L33" i="36"/>
  <c r="N33" i="36"/>
  <c r="O33" i="36" s="1"/>
  <c r="P33" i="36" s="1"/>
  <c r="I36" i="36"/>
  <c r="G36" i="36"/>
  <c r="I38" i="36"/>
  <c r="G38" i="36"/>
  <c r="L38" i="36"/>
  <c r="N38" i="36"/>
  <c r="O38" i="36" s="1"/>
  <c r="P38" i="36" s="1"/>
  <c r="H59" i="36"/>
  <c r="K59" i="36"/>
  <c r="L59" i="36"/>
  <c r="N59" i="36" s="1"/>
  <c r="K60" i="36"/>
  <c r="H61" i="36"/>
  <c r="L61" i="36" s="1"/>
  <c r="N61" i="36" s="1"/>
  <c r="O61" i="36" s="1"/>
  <c r="P61" i="36" s="1"/>
  <c r="K66" i="36"/>
  <c r="L66" i="36"/>
  <c r="N66" i="36"/>
  <c r="O66" i="36"/>
  <c r="P66" i="36"/>
  <c r="K72" i="36"/>
  <c r="H73" i="36"/>
  <c r="L73" i="36"/>
  <c r="N73" i="36"/>
  <c r="O73" i="36" s="1"/>
  <c r="P73" i="36" s="1"/>
  <c r="C74" i="36"/>
  <c r="F74" i="36"/>
  <c r="C75" i="36"/>
  <c r="F75" i="36"/>
  <c r="H78" i="36"/>
  <c r="L78" i="36"/>
  <c r="N78" i="36"/>
  <c r="O78" i="36"/>
  <c r="P78" i="36"/>
  <c r="L85" i="36"/>
  <c r="N85" i="36"/>
  <c r="O85" i="36"/>
  <c r="P85" i="36"/>
  <c r="G41" i="36"/>
  <c r="I41" i="36"/>
  <c r="L41" i="36"/>
  <c r="N41" i="36"/>
  <c r="O41" i="36" s="1"/>
  <c r="P41" i="36" s="1"/>
  <c r="H51" i="36"/>
  <c r="K51" i="36"/>
  <c r="L51" i="36"/>
  <c r="N51" i="36"/>
  <c r="O51" i="36"/>
  <c r="P51" i="36" s="1"/>
  <c r="L53" i="36"/>
  <c r="N53" i="36"/>
  <c r="O53" i="36"/>
  <c r="P53" i="36"/>
  <c r="K58" i="36"/>
  <c r="L58" i="36"/>
  <c r="O58" i="36"/>
  <c r="P58" i="36" s="1"/>
  <c r="K84" i="36"/>
  <c r="K86" i="36"/>
  <c r="L86" i="36"/>
  <c r="N86" i="36"/>
  <c r="O86" i="36"/>
  <c r="P86" i="36" s="1"/>
  <c r="K57" i="36"/>
  <c r="L57" i="36"/>
  <c r="N57" i="36"/>
  <c r="O57" i="36" s="1"/>
  <c r="P57" i="36" s="1"/>
  <c r="K62" i="36"/>
  <c r="K63" i="36"/>
  <c r="H67" i="36"/>
  <c r="L67" i="36"/>
  <c r="O67" i="36"/>
  <c r="P67" i="36" s="1"/>
  <c r="H72" i="36"/>
  <c r="N24" i="14"/>
  <c r="O24" i="14"/>
  <c r="P24" i="14"/>
  <c r="N25" i="14"/>
  <c r="O25" i="14"/>
  <c r="P25" i="14"/>
  <c r="P85" i="14"/>
  <c r="P38" i="14"/>
  <c r="P34" i="14"/>
  <c r="G29" i="14"/>
  <c r="F45" i="14" s="1"/>
  <c r="K83" i="33"/>
  <c r="L83" i="33"/>
  <c r="N83" i="33"/>
  <c r="O83" i="33"/>
  <c r="P83" i="33"/>
  <c r="H51" i="33"/>
  <c r="K51" i="33"/>
  <c r="L51" i="33"/>
  <c r="N51" i="33"/>
  <c r="O51" i="33"/>
  <c r="P51" i="33"/>
  <c r="C44" i="33"/>
  <c r="I28" i="33"/>
  <c r="L28" i="33"/>
  <c r="N28" i="33"/>
  <c r="O28" i="33"/>
  <c r="P28" i="33"/>
  <c r="C72" i="33"/>
  <c r="F72" i="33"/>
  <c r="H72" i="33"/>
  <c r="F9" i="34"/>
  <c r="F97" i="34"/>
  <c r="H46" i="34"/>
  <c r="I39" i="33"/>
  <c r="G39" i="33"/>
  <c r="L39" i="33"/>
  <c r="N39" i="33"/>
  <c r="O39" i="33"/>
  <c r="P39" i="33"/>
  <c r="I38" i="33"/>
  <c r="G38" i="33"/>
  <c r="G33" i="33"/>
  <c r="I33" i="33"/>
  <c r="I36" i="33"/>
  <c r="G36" i="33"/>
  <c r="L36" i="33"/>
  <c r="N36" i="33"/>
  <c r="O36" i="33"/>
  <c r="P36" i="33"/>
  <c r="I40" i="33"/>
  <c r="G40" i="33"/>
  <c r="I20" i="33"/>
  <c r="G20" i="33"/>
  <c r="I37" i="33"/>
  <c r="G37" i="33"/>
  <c r="L37" i="33"/>
  <c r="N37" i="33"/>
  <c r="O37" i="33"/>
  <c r="P37" i="33"/>
  <c r="E27" i="33"/>
  <c r="E26" i="33"/>
  <c r="E24" i="33"/>
  <c r="I34" i="33"/>
  <c r="G41" i="33"/>
  <c r="H53" i="33"/>
  <c r="H58" i="33"/>
  <c r="K63" i="33"/>
  <c r="H63" i="33"/>
  <c r="L63" i="33"/>
  <c r="N63" i="33"/>
  <c r="O63" i="33"/>
  <c r="P63" i="33"/>
  <c r="K68" i="33"/>
  <c r="J76" i="33" s="1"/>
  <c r="E43" i="33"/>
  <c r="G32" i="33"/>
  <c r="I32" i="33"/>
  <c r="G22" i="33"/>
  <c r="L22" i="33"/>
  <c r="N22" i="33"/>
  <c r="O22" i="33"/>
  <c r="P22" i="33"/>
  <c r="G23" i="33"/>
  <c r="L23" i="33"/>
  <c r="N23" i="33"/>
  <c r="O23" i="33"/>
  <c r="P23" i="33"/>
  <c r="L34" i="33"/>
  <c r="N34" i="33"/>
  <c r="O34" i="33"/>
  <c r="P34" i="33"/>
  <c r="G35" i="33"/>
  <c r="H54" i="33"/>
  <c r="L58" i="33"/>
  <c r="N58" i="33"/>
  <c r="O58" i="33" s="1"/>
  <c r="P58" i="33" s="1"/>
  <c r="H59" i="33"/>
  <c r="K59" i="33"/>
  <c r="L59" i="33"/>
  <c r="N59" i="33"/>
  <c r="O59" i="33"/>
  <c r="P59" i="33"/>
  <c r="K60" i="33"/>
  <c r="L60" i="33"/>
  <c r="N60" i="33"/>
  <c r="O60" i="33"/>
  <c r="P60" i="33"/>
  <c r="L41" i="33"/>
  <c r="N41" i="33"/>
  <c r="O41" i="33"/>
  <c r="P41" i="33"/>
  <c r="D21" i="33"/>
  <c r="E21" i="33"/>
  <c r="G25" i="33"/>
  <c r="L25" i="33"/>
  <c r="N25" i="33"/>
  <c r="O25" i="33"/>
  <c r="P25" i="33"/>
  <c r="L35" i="33"/>
  <c r="N35" i="33"/>
  <c r="O35" i="33"/>
  <c r="P35" i="33"/>
  <c r="L50" i="33"/>
  <c r="K54" i="33"/>
  <c r="L54" i="33"/>
  <c r="N54" i="33"/>
  <c r="O54" i="33"/>
  <c r="P54" i="33"/>
  <c r="C70" i="33"/>
  <c r="F70" i="33"/>
  <c r="C71" i="33"/>
  <c r="F71" i="33"/>
  <c r="K73" i="33"/>
  <c r="L74" i="33"/>
  <c r="N74" i="33"/>
  <c r="O74" i="33"/>
  <c r="P74" i="33"/>
  <c r="F86" i="33"/>
  <c r="K82" i="33"/>
  <c r="L82" i="33"/>
  <c r="N82" i="33"/>
  <c r="O82" i="33"/>
  <c r="P82" i="33"/>
  <c r="K69" i="33"/>
  <c r="H69" i="33"/>
  <c r="H73" i="33"/>
  <c r="L73" i="33"/>
  <c r="N73" i="33"/>
  <c r="O73" i="33"/>
  <c r="P73" i="33"/>
  <c r="K80" i="33"/>
  <c r="K84" i="33"/>
  <c r="J86" i="33"/>
  <c r="L84" i="33"/>
  <c r="N84" i="33"/>
  <c r="O84" i="33"/>
  <c r="P84" i="33"/>
  <c r="G29" i="28"/>
  <c r="L40" i="28"/>
  <c r="N40" i="28"/>
  <c r="O40" i="28"/>
  <c r="P40" i="28"/>
  <c r="I43" i="28"/>
  <c r="L84" i="28"/>
  <c r="N84" i="28"/>
  <c r="O84" i="28"/>
  <c r="P84" i="28"/>
  <c r="N83" i="28"/>
  <c r="L86" i="28"/>
  <c r="K62" i="28"/>
  <c r="L62" i="28"/>
  <c r="N62" i="28"/>
  <c r="O62" i="28"/>
  <c r="P62" i="28"/>
  <c r="K55" i="28"/>
  <c r="J64" i="28"/>
  <c r="F64" i="28"/>
  <c r="N50" i="28"/>
  <c r="H55" i="28"/>
  <c r="G43" i="28"/>
  <c r="F45" i="28"/>
  <c r="L32" i="28"/>
  <c r="C44" i="28"/>
  <c r="I28" i="28"/>
  <c r="L28" i="28"/>
  <c r="N28" i="28"/>
  <c r="O28" i="28"/>
  <c r="P28" i="28"/>
  <c r="I24" i="28"/>
  <c r="L24" i="28"/>
  <c r="N24" i="28"/>
  <c r="O24" i="28"/>
  <c r="P24" i="28"/>
  <c r="C70" i="28"/>
  <c r="F70" i="28"/>
  <c r="K70" i="28"/>
  <c r="C72" i="28"/>
  <c r="F72" i="28"/>
  <c r="K71" i="28"/>
  <c r="H71" i="28"/>
  <c r="N20" i="28"/>
  <c r="H9" i="37"/>
  <c r="C50" i="36"/>
  <c r="L25" i="36"/>
  <c r="N25" i="36"/>
  <c r="O25" i="36"/>
  <c r="P25" i="36"/>
  <c r="L84" i="36"/>
  <c r="K74" i="36"/>
  <c r="H74" i="36"/>
  <c r="L74" i="36"/>
  <c r="N74" i="36"/>
  <c r="O74" i="36" s="1"/>
  <c r="P74" i="36" s="1"/>
  <c r="G43" i="36"/>
  <c r="G26" i="36"/>
  <c r="I26" i="36"/>
  <c r="L26" i="36"/>
  <c r="N20" i="36"/>
  <c r="O20" i="36" s="1"/>
  <c r="L72" i="36"/>
  <c r="L36" i="36"/>
  <c r="N36" i="36"/>
  <c r="O36" i="36"/>
  <c r="P36" i="36" s="1"/>
  <c r="I43" i="36"/>
  <c r="E45" i="36"/>
  <c r="G28" i="36"/>
  <c r="G29" i="36"/>
  <c r="L43" i="36"/>
  <c r="N32" i="36"/>
  <c r="O32" i="36" s="1"/>
  <c r="F80" i="36"/>
  <c r="K75" i="36"/>
  <c r="K76" i="36"/>
  <c r="J80" i="36"/>
  <c r="H75" i="36"/>
  <c r="H76" i="36"/>
  <c r="L76" i="36"/>
  <c r="N76" i="36"/>
  <c r="O76" i="36"/>
  <c r="P76" i="36" s="1"/>
  <c r="I28" i="36"/>
  <c r="I29" i="36"/>
  <c r="E100" i="14"/>
  <c r="L32" i="33"/>
  <c r="H9" i="34"/>
  <c r="C62" i="33"/>
  <c r="L38" i="33"/>
  <c r="N38" i="33"/>
  <c r="O38" i="33"/>
  <c r="P38" i="33"/>
  <c r="L33" i="33"/>
  <c r="N33" i="33"/>
  <c r="O33" i="33"/>
  <c r="P33" i="33"/>
  <c r="K72" i="33"/>
  <c r="L72" i="33"/>
  <c r="N72" i="33"/>
  <c r="O72" i="33"/>
  <c r="P72" i="33"/>
  <c r="L40" i="33"/>
  <c r="N40" i="33"/>
  <c r="O40" i="33"/>
  <c r="P40" i="33"/>
  <c r="F76" i="33"/>
  <c r="N32" i="33"/>
  <c r="G26" i="33"/>
  <c r="I26" i="33"/>
  <c r="L26" i="33"/>
  <c r="N26" i="33"/>
  <c r="O26" i="33"/>
  <c r="P26" i="33"/>
  <c r="L69" i="33"/>
  <c r="N69" i="33"/>
  <c r="O69" i="33"/>
  <c r="P69" i="33"/>
  <c r="L80" i="33"/>
  <c r="I43" i="33"/>
  <c r="G27" i="33"/>
  <c r="I27" i="33"/>
  <c r="L27" i="33"/>
  <c r="N27" i="33"/>
  <c r="O27" i="33"/>
  <c r="P27" i="33"/>
  <c r="L20" i="33"/>
  <c r="K70" i="33"/>
  <c r="H70" i="33"/>
  <c r="G21" i="33"/>
  <c r="I21" i="33"/>
  <c r="L21" i="33"/>
  <c r="N21" i="33"/>
  <c r="O21" i="33"/>
  <c r="P21" i="33"/>
  <c r="G43" i="33"/>
  <c r="I24" i="33"/>
  <c r="G24" i="33"/>
  <c r="E29" i="33"/>
  <c r="E45" i="33"/>
  <c r="K71" i="33"/>
  <c r="H71" i="33"/>
  <c r="N50" i="33"/>
  <c r="M64" i="33" s="1"/>
  <c r="L53" i="33"/>
  <c r="N53" i="33"/>
  <c r="O53" i="33"/>
  <c r="P53" i="33"/>
  <c r="M86" i="28"/>
  <c r="O83" i="28"/>
  <c r="H64" i="28"/>
  <c r="L55" i="28"/>
  <c r="O50" i="28"/>
  <c r="N32" i="28"/>
  <c r="L43" i="28"/>
  <c r="L71" i="28"/>
  <c r="N71" i="28"/>
  <c r="O71" i="28"/>
  <c r="P71" i="28"/>
  <c r="I29" i="28"/>
  <c r="H45" i="28"/>
  <c r="L29" i="28"/>
  <c r="F76" i="28"/>
  <c r="H70" i="28"/>
  <c r="K72" i="28"/>
  <c r="J76" i="28"/>
  <c r="J87" i="28"/>
  <c r="H72" i="28"/>
  <c r="N29" i="28"/>
  <c r="O20" i="28"/>
  <c r="F50" i="36"/>
  <c r="C55" i="36"/>
  <c r="F55" i="36"/>
  <c r="L75" i="36"/>
  <c r="N75" i="36"/>
  <c r="O75" i="36"/>
  <c r="P75" i="36" s="1"/>
  <c r="N26" i="36"/>
  <c r="O26" i="36"/>
  <c r="P26" i="36"/>
  <c r="F45" i="36"/>
  <c r="H80" i="36"/>
  <c r="N84" i="36"/>
  <c r="O84" i="36" s="1"/>
  <c r="P84" i="36" s="1"/>
  <c r="L28" i="36"/>
  <c r="N28" i="36"/>
  <c r="O28" i="36"/>
  <c r="P28" i="36"/>
  <c r="H45" i="36"/>
  <c r="L80" i="36"/>
  <c r="N72" i="36"/>
  <c r="O72" i="36" s="1"/>
  <c r="F62" i="33"/>
  <c r="C55" i="33"/>
  <c r="F55" i="33"/>
  <c r="I29" i="33"/>
  <c r="H45" i="33"/>
  <c r="L24" i="33"/>
  <c r="N24" i="33"/>
  <c r="O24" i="33"/>
  <c r="P24" i="33"/>
  <c r="G29" i="33"/>
  <c r="F45" i="33"/>
  <c r="L71" i="33"/>
  <c r="N71" i="33"/>
  <c r="O71" i="33"/>
  <c r="P71" i="33"/>
  <c r="L43" i="33"/>
  <c r="L70" i="33"/>
  <c r="N70" i="33"/>
  <c r="O70" i="33"/>
  <c r="P70" i="33"/>
  <c r="N43" i="33"/>
  <c r="O32" i="33"/>
  <c r="N20" i="33"/>
  <c r="N80" i="33"/>
  <c r="L86" i="33"/>
  <c r="H14" i="28"/>
  <c r="P83" i="28"/>
  <c r="O86" i="28"/>
  <c r="P86" i="28"/>
  <c r="P50" i="28"/>
  <c r="N55" i="28"/>
  <c r="L64" i="28"/>
  <c r="L45" i="28"/>
  <c r="O32" i="28"/>
  <c r="N43" i="28"/>
  <c r="M45" i="28"/>
  <c r="H76" i="28"/>
  <c r="L70" i="28"/>
  <c r="N70" i="28"/>
  <c r="L72" i="28"/>
  <c r="N72" i="28"/>
  <c r="O72" i="28"/>
  <c r="P72" i="28"/>
  <c r="O29" i="28"/>
  <c r="P20" i="28"/>
  <c r="K50" i="36"/>
  <c r="H50" i="36"/>
  <c r="F68" i="36"/>
  <c r="K55" i="36"/>
  <c r="H55" i="36"/>
  <c r="L29" i="36"/>
  <c r="L45" i="36"/>
  <c r="N29" i="36"/>
  <c r="M80" i="36"/>
  <c r="K62" i="33"/>
  <c r="H62" i="33"/>
  <c r="F64" i="33"/>
  <c r="H55" i="33"/>
  <c r="K55" i="33"/>
  <c r="L29" i="33"/>
  <c r="L45" i="33"/>
  <c r="M86" i="33"/>
  <c r="O80" i="33"/>
  <c r="N29" i="33"/>
  <c r="O20" i="33"/>
  <c r="O43" i="33"/>
  <c r="P32" i="33"/>
  <c r="H15" i="28"/>
  <c r="O55" i="28"/>
  <c r="M64" i="28"/>
  <c r="P32" i="28"/>
  <c r="O43" i="28"/>
  <c r="P43" i="28"/>
  <c r="L76" i="28"/>
  <c r="L90" i="28"/>
  <c r="L3" i="28"/>
  <c r="O70" i="28"/>
  <c r="M76" i="28"/>
  <c r="P29" i="28"/>
  <c r="L50" i="36"/>
  <c r="L55" i="36"/>
  <c r="N55" i="36"/>
  <c r="O55" i="36"/>
  <c r="P55" i="36" s="1"/>
  <c r="L62" i="33"/>
  <c r="N62" i="33"/>
  <c r="O62" i="33"/>
  <c r="P62" i="33"/>
  <c r="H64" i="33"/>
  <c r="L55" i="33"/>
  <c r="J64" i="33"/>
  <c r="P43" i="33"/>
  <c r="M45" i="33"/>
  <c r="O86" i="33"/>
  <c r="P86" i="33"/>
  <c r="P80" i="33"/>
  <c r="O29" i="33"/>
  <c r="P20" i="33"/>
  <c r="H8" i="28"/>
  <c r="K8" i="28"/>
  <c r="P55" i="28"/>
  <c r="O64" i="28"/>
  <c r="P64" i="28"/>
  <c r="O45" i="28"/>
  <c r="P45" i="28"/>
  <c r="P70" i="28"/>
  <c r="O76" i="28"/>
  <c r="M87" i="28"/>
  <c r="O50" i="36"/>
  <c r="P50" i="36" s="1"/>
  <c r="N55" i="33"/>
  <c r="L64" i="33"/>
  <c r="P29" i="33"/>
  <c r="O45" i="33"/>
  <c r="P45" i="33"/>
  <c r="H9" i="28"/>
  <c r="L9" i="28"/>
  <c r="P76" i="28"/>
  <c r="O90" i="28"/>
  <c r="O55" i="33"/>
  <c r="P90" i="28"/>
  <c r="G1" i="28"/>
  <c r="N3" i="28"/>
  <c r="P55" i="33"/>
  <c r="L59" i="30"/>
  <c r="N59" i="30" s="1"/>
  <c r="H53" i="14"/>
  <c r="L61" i="14"/>
  <c r="N61" i="14"/>
  <c r="O61" i="14" s="1"/>
  <c r="P61" i="14" s="1"/>
  <c r="L53" i="14"/>
  <c r="N53" i="14"/>
  <c r="O53" i="14"/>
  <c r="P53" i="14"/>
  <c r="F9" i="21" l="1"/>
  <c r="C50" i="14" s="1"/>
  <c r="L43" i="14"/>
  <c r="N33" i="14"/>
  <c r="E45" i="14"/>
  <c r="E43" i="14"/>
  <c r="H74" i="14"/>
  <c r="K74" i="14"/>
  <c r="C75" i="14"/>
  <c r="F75" i="14" s="1"/>
  <c r="C76" i="14"/>
  <c r="F76" i="14" s="1"/>
  <c r="C44" i="14"/>
  <c r="I28" i="14"/>
  <c r="I29" i="14" s="1"/>
  <c r="H45" i="14" s="1"/>
  <c r="I43" i="22"/>
  <c r="C70" i="22"/>
  <c r="F70" i="22" s="1"/>
  <c r="H70" i="22" s="1"/>
  <c r="E29" i="22"/>
  <c r="C69" i="22"/>
  <c r="F69" i="22" s="1"/>
  <c r="K69" i="22" s="1"/>
  <c r="I26" i="22"/>
  <c r="L26" i="22" s="1"/>
  <c r="N26" i="22" s="1"/>
  <c r="O26" i="22" s="1"/>
  <c r="P26" i="22" s="1"/>
  <c r="C44" i="22"/>
  <c r="G40" i="22"/>
  <c r="L40" i="22" s="1"/>
  <c r="N40" i="22" s="1"/>
  <c r="O40" i="22" s="1"/>
  <c r="P40" i="22" s="1"/>
  <c r="E43" i="22"/>
  <c r="E45" i="22" s="1"/>
  <c r="L32" i="22"/>
  <c r="L28" i="22"/>
  <c r="N28" i="22" s="1"/>
  <c r="O28" i="22" s="1"/>
  <c r="P28" i="22" s="1"/>
  <c r="I28" i="22"/>
  <c r="G28" i="22"/>
  <c r="H14" i="33"/>
  <c r="H15" i="33" s="1"/>
  <c r="J87" i="33"/>
  <c r="L68" i="33"/>
  <c r="H76" i="33"/>
  <c r="O50" i="33"/>
  <c r="E100" i="30"/>
  <c r="P24" i="30"/>
  <c r="O43" i="30"/>
  <c r="O72" i="30"/>
  <c r="N43" i="30"/>
  <c r="M45" i="30" s="1"/>
  <c r="O43" i="36"/>
  <c r="P32" i="36"/>
  <c r="O80" i="36"/>
  <c r="P80" i="36" s="1"/>
  <c r="P72" i="36"/>
  <c r="O29" i="36"/>
  <c r="P29" i="36" s="1"/>
  <c r="P20" i="36"/>
  <c r="N43" i="36"/>
  <c r="M45" i="36" s="1"/>
  <c r="C68" i="22"/>
  <c r="F68" i="22" s="1"/>
  <c r="G25" i="22"/>
  <c r="L25" i="22" s="1"/>
  <c r="N25" i="22" s="1"/>
  <c r="O25" i="22" s="1"/>
  <c r="P25" i="22" s="1"/>
  <c r="L21" i="22"/>
  <c r="N21" i="22" s="1"/>
  <c r="O21" i="22" s="1"/>
  <c r="P21" i="22" s="1"/>
  <c r="I21" i="22"/>
  <c r="G20" i="22"/>
  <c r="I20" i="22"/>
  <c r="L80" i="22"/>
  <c r="K67" i="22"/>
  <c r="F6" i="23"/>
  <c r="H53" i="22"/>
  <c r="L53" i="22" s="1"/>
  <c r="N53" i="22" s="1"/>
  <c r="O53" i="22" s="1"/>
  <c r="P53" i="22" s="1"/>
  <c r="F9" i="23"/>
  <c r="K72" i="42"/>
  <c r="H72" i="42"/>
  <c r="L72" i="42" s="1"/>
  <c r="N72" i="42" s="1"/>
  <c r="O72" i="42" s="1"/>
  <c r="P72" i="42" s="1"/>
  <c r="I20" i="42"/>
  <c r="I29" i="42" s="1"/>
  <c r="E29" i="42"/>
  <c r="E45" i="42" s="1"/>
  <c r="G20" i="42"/>
  <c r="G29" i="42" s="1"/>
  <c r="F45" i="42" s="1"/>
  <c r="N68" i="42"/>
  <c r="L34" i="42"/>
  <c r="N34" i="42" s="1"/>
  <c r="O34" i="42" s="1"/>
  <c r="P34" i="42" s="1"/>
  <c r="K71" i="42"/>
  <c r="H71" i="42"/>
  <c r="L71" i="42"/>
  <c r="N71" i="42" s="1"/>
  <c r="O71" i="42" s="1"/>
  <c r="P71" i="42" s="1"/>
  <c r="N80" i="42"/>
  <c r="L86" i="42"/>
  <c r="K70" i="42"/>
  <c r="J76" i="42" s="1"/>
  <c r="H70" i="42"/>
  <c r="I43" i="42"/>
  <c r="H76" i="42"/>
  <c r="J64" i="42"/>
  <c r="N32" i="42"/>
  <c r="L43" i="42"/>
  <c r="L64" i="42"/>
  <c r="N50" i="42"/>
  <c r="H64" i="42"/>
  <c r="L57" i="40"/>
  <c r="N57" i="40" s="1"/>
  <c r="O57" i="40" s="1"/>
  <c r="P57" i="40" s="1"/>
  <c r="G28" i="40"/>
  <c r="L28" i="40" s="1"/>
  <c r="N28" i="40" s="1"/>
  <c r="O28" i="40" s="1"/>
  <c r="P28" i="40" s="1"/>
  <c r="L33" i="40"/>
  <c r="N33" i="40" s="1"/>
  <c r="O33" i="40" s="1"/>
  <c r="P33" i="40" s="1"/>
  <c r="L56" i="40"/>
  <c r="N56" i="40" s="1"/>
  <c r="O56" i="40" s="1"/>
  <c r="P56" i="40" s="1"/>
  <c r="L20" i="40"/>
  <c r="N20" i="40" s="1"/>
  <c r="L62" i="40"/>
  <c r="N62" i="40" s="1"/>
  <c r="O62" i="40" s="1"/>
  <c r="P62" i="40" s="1"/>
  <c r="L55" i="40"/>
  <c r="N55" i="40" s="1"/>
  <c r="O55" i="40" s="1"/>
  <c r="P55" i="40" s="1"/>
  <c r="L58" i="40"/>
  <c r="N58" i="40" s="1"/>
  <c r="O58" i="40" s="1"/>
  <c r="P58" i="40" s="1"/>
  <c r="L59" i="40"/>
  <c r="N59" i="40" s="1"/>
  <c r="O59" i="40" s="1"/>
  <c r="P59" i="40" s="1"/>
  <c r="L40" i="40"/>
  <c r="N40" i="40" s="1"/>
  <c r="O40" i="40" s="1"/>
  <c r="P40" i="40" s="1"/>
  <c r="L53" i="40"/>
  <c r="N53" i="40" s="1"/>
  <c r="O53" i="40" s="1"/>
  <c r="P53" i="40" s="1"/>
  <c r="L22" i="40"/>
  <c r="N22" i="40" s="1"/>
  <c r="O22" i="40" s="1"/>
  <c r="P22" i="40" s="1"/>
  <c r="L23" i="40"/>
  <c r="N23" i="40" s="1"/>
  <c r="O23" i="40" s="1"/>
  <c r="P23" i="40" s="1"/>
  <c r="L74" i="40"/>
  <c r="N74" i="40" s="1"/>
  <c r="O74" i="40" s="1"/>
  <c r="P74" i="40" s="1"/>
  <c r="E45" i="40"/>
  <c r="L24" i="40"/>
  <c r="N24" i="40" s="1"/>
  <c r="O24" i="40" s="1"/>
  <c r="P24" i="40" s="1"/>
  <c r="L21" i="40"/>
  <c r="N21" i="40" s="1"/>
  <c r="O21" i="40" s="1"/>
  <c r="P21" i="40" s="1"/>
  <c r="N32" i="40"/>
  <c r="L50" i="40"/>
  <c r="L52" i="40"/>
  <c r="N52" i="40" s="1"/>
  <c r="O52" i="40" s="1"/>
  <c r="P52" i="40" s="1"/>
  <c r="K70" i="40"/>
  <c r="H70" i="40"/>
  <c r="F76" i="40"/>
  <c r="J86" i="40"/>
  <c r="L80" i="40"/>
  <c r="K54" i="40"/>
  <c r="J64" i="40" s="1"/>
  <c r="H54" i="40"/>
  <c r="L42" i="40"/>
  <c r="N42" i="40" s="1"/>
  <c r="O42" i="40" s="1"/>
  <c r="P42" i="40" s="1"/>
  <c r="O68" i="40"/>
  <c r="I43" i="40"/>
  <c r="K71" i="40"/>
  <c r="H71" i="40"/>
  <c r="I29" i="40"/>
  <c r="F64" i="40"/>
  <c r="K72" i="40"/>
  <c r="H72" i="40"/>
  <c r="L72" i="40" s="1"/>
  <c r="N72" i="40" s="1"/>
  <c r="O72" i="40" s="1"/>
  <c r="P72" i="40" s="1"/>
  <c r="G29" i="40"/>
  <c r="F45" i="40" s="1"/>
  <c r="H55" i="38"/>
  <c r="K55" i="38"/>
  <c r="J68" i="38" s="1"/>
  <c r="L50" i="38"/>
  <c r="N50" i="38" s="1"/>
  <c r="L32" i="38"/>
  <c r="L43" i="38" s="1"/>
  <c r="E45" i="38"/>
  <c r="H76" i="38"/>
  <c r="L76" i="38" s="1"/>
  <c r="N76" i="38" s="1"/>
  <c r="O76" i="38" s="1"/>
  <c r="P76" i="38" s="1"/>
  <c r="H75" i="38"/>
  <c r="L75" i="38" s="1"/>
  <c r="N75" i="38" s="1"/>
  <c r="O75" i="38" s="1"/>
  <c r="P75" i="38" s="1"/>
  <c r="F80" i="38"/>
  <c r="L21" i="38"/>
  <c r="N21" i="38" s="1"/>
  <c r="O21" i="38" s="1"/>
  <c r="P21" i="38" s="1"/>
  <c r="L74" i="38"/>
  <c r="N74" i="38" s="1"/>
  <c r="O74" i="38" s="1"/>
  <c r="P74" i="38" s="1"/>
  <c r="L90" i="38"/>
  <c r="N84" i="38"/>
  <c r="N32" i="38"/>
  <c r="H68" i="38"/>
  <c r="N20" i="38"/>
  <c r="J90" i="38"/>
  <c r="I43" i="38"/>
  <c r="G43" i="38"/>
  <c r="G29" i="38"/>
  <c r="N72" i="38"/>
  <c r="J80" i="38"/>
  <c r="I29" i="38"/>
  <c r="K87" i="30"/>
  <c r="J90" i="30" s="1"/>
  <c r="H14" i="30" s="1"/>
  <c r="H15" i="30" s="1"/>
  <c r="H68" i="30"/>
  <c r="O59" i="30"/>
  <c r="P59" i="30" s="1"/>
  <c r="F68" i="30"/>
  <c r="K62" i="30"/>
  <c r="L65" i="30"/>
  <c r="N65" i="30" s="1"/>
  <c r="O65" i="30" s="1"/>
  <c r="P65" i="30" s="1"/>
  <c r="K64" i="30"/>
  <c r="L64" i="30" s="1"/>
  <c r="N64" i="30" s="1"/>
  <c r="O64" i="30" s="1"/>
  <c r="P64" i="30" s="1"/>
  <c r="O59" i="36"/>
  <c r="P59" i="36" s="1"/>
  <c r="H68" i="36"/>
  <c r="L60" i="36"/>
  <c r="K64" i="36"/>
  <c r="J68" i="36" s="1"/>
  <c r="K87" i="36"/>
  <c r="O87" i="14"/>
  <c r="M90" i="14"/>
  <c r="J90" i="14"/>
  <c r="K67" i="14"/>
  <c r="L67" i="14"/>
  <c r="H9" i="21" l="1"/>
  <c r="F50" i="14"/>
  <c r="C55" i="14"/>
  <c r="F55" i="14" s="1"/>
  <c r="L74" i="14"/>
  <c r="N43" i="14"/>
  <c r="O33" i="14"/>
  <c r="N74" i="14"/>
  <c r="K76" i="14"/>
  <c r="H76" i="14"/>
  <c r="L76" i="14" s="1"/>
  <c r="N76" i="14" s="1"/>
  <c r="O76" i="14" s="1"/>
  <c r="P76" i="14" s="1"/>
  <c r="L28" i="14"/>
  <c r="K75" i="14"/>
  <c r="H75" i="14"/>
  <c r="L75" i="14" s="1"/>
  <c r="F80" i="14"/>
  <c r="J80" i="14"/>
  <c r="H14" i="14" s="1"/>
  <c r="H15" i="14" s="1"/>
  <c r="F73" i="22"/>
  <c r="H69" i="22"/>
  <c r="L69" i="22" s="1"/>
  <c r="N69" i="22" s="1"/>
  <c r="O69" i="22" s="1"/>
  <c r="P69" i="22" s="1"/>
  <c r="G43" i="22"/>
  <c r="K70" i="22"/>
  <c r="L70" i="22" s="1"/>
  <c r="N70" i="22" s="1"/>
  <c r="O70" i="22" s="1"/>
  <c r="P70" i="22" s="1"/>
  <c r="L43" i="22"/>
  <c r="N32" i="22"/>
  <c r="I29" i="22"/>
  <c r="H45" i="22" s="1"/>
  <c r="K68" i="22"/>
  <c r="N68" i="33"/>
  <c r="L76" i="33"/>
  <c r="L90" i="33" s="1"/>
  <c r="L3" i="33" s="1"/>
  <c r="P50" i="33"/>
  <c r="O64" i="33"/>
  <c r="O80" i="30"/>
  <c r="P80" i="30" s="1"/>
  <c r="P72" i="30"/>
  <c r="P43" i="30"/>
  <c r="O45" i="30"/>
  <c r="P45" i="30" s="1"/>
  <c r="P43" i="36"/>
  <c r="O45" i="36"/>
  <c r="P45" i="36" s="1"/>
  <c r="H68" i="22"/>
  <c r="H73" i="22" s="1"/>
  <c r="G29" i="22"/>
  <c r="L20" i="22"/>
  <c r="L83" i="22"/>
  <c r="N80" i="22"/>
  <c r="L67" i="22"/>
  <c r="H9" i="23"/>
  <c r="C50" i="22"/>
  <c r="O32" i="42"/>
  <c r="N43" i="42"/>
  <c r="M86" i="42"/>
  <c r="O80" i="42"/>
  <c r="L20" i="42"/>
  <c r="H45" i="42"/>
  <c r="O50" i="42"/>
  <c r="M64" i="42"/>
  <c r="L70" i="42"/>
  <c r="O68" i="42"/>
  <c r="L54" i="40"/>
  <c r="N54" i="40" s="1"/>
  <c r="O54" i="40" s="1"/>
  <c r="P54" i="40" s="1"/>
  <c r="H64" i="40"/>
  <c r="J76" i="40"/>
  <c r="L71" i="40"/>
  <c r="N71" i="40" s="1"/>
  <c r="O71" i="40" s="1"/>
  <c r="P71" i="40" s="1"/>
  <c r="H76" i="40"/>
  <c r="L29" i="40"/>
  <c r="L70" i="40"/>
  <c r="L64" i="40"/>
  <c r="N50" i="40"/>
  <c r="L86" i="40"/>
  <c r="N80" i="40"/>
  <c r="H45" i="40"/>
  <c r="H14" i="40" s="1"/>
  <c r="H15" i="40" s="1"/>
  <c r="N43" i="40"/>
  <c r="O32" i="40"/>
  <c r="O20" i="40"/>
  <c r="N29" i="40"/>
  <c r="P68" i="40"/>
  <c r="L43" i="40"/>
  <c r="L55" i="38"/>
  <c r="H80" i="38"/>
  <c r="F45" i="38"/>
  <c r="H45" i="38"/>
  <c r="L29" i="38"/>
  <c r="L45" i="38" s="1"/>
  <c r="L80" i="38"/>
  <c r="H14" i="38"/>
  <c r="H15" i="38" s="1"/>
  <c r="O32" i="38"/>
  <c r="N43" i="38"/>
  <c r="N29" i="38"/>
  <c r="O20" i="38"/>
  <c r="O72" i="38"/>
  <c r="M80" i="38"/>
  <c r="O50" i="38"/>
  <c r="M90" i="38"/>
  <c r="O84" i="38"/>
  <c r="L87" i="30"/>
  <c r="J68" i="30"/>
  <c r="L62" i="30"/>
  <c r="N60" i="36"/>
  <c r="L64" i="36"/>
  <c r="N64" i="36" s="1"/>
  <c r="O64" i="36" s="1"/>
  <c r="P64" i="36" s="1"/>
  <c r="L87" i="36"/>
  <c r="J90" i="36"/>
  <c r="H14" i="36" s="1"/>
  <c r="H15" i="36" s="1"/>
  <c r="P87" i="14"/>
  <c r="O90" i="14"/>
  <c r="P90" i="14" s="1"/>
  <c r="N67" i="14"/>
  <c r="K50" i="14" l="1"/>
  <c r="H50" i="14"/>
  <c r="F68" i="14"/>
  <c r="K55" i="14"/>
  <c r="H55" i="14"/>
  <c r="L55" i="14" s="1"/>
  <c r="N55" i="14" s="1"/>
  <c r="O55" i="14" s="1"/>
  <c r="P55" i="14" s="1"/>
  <c r="H80" i="14"/>
  <c r="O43" i="14"/>
  <c r="P43" i="14" s="1"/>
  <c r="P33" i="14"/>
  <c r="N75" i="14"/>
  <c r="O75" i="14" s="1"/>
  <c r="P75" i="14" s="1"/>
  <c r="L80" i="14"/>
  <c r="M80" i="14"/>
  <c r="O74" i="14"/>
  <c r="L29" i="14"/>
  <c r="L45" i="14" s="1"/>
  <c r="N28" i="14"/>
  <c r="J73" i="22"/>
  <c r="L68" i="22"/>
  <c r="N68" i="22" s="1"/>
  <c r="O68" i="22" s="1"/>
  <c r="P68" i="22" s="1"/>
  <c r="F45" i="22"/>
  <c r="O32" i="22"/>
  <c r="N43" i="22"/>
  <c r="M76" i="33"/>
  <c r="M87" i="33" s="1"/>
  <c r="H8" i="33" s="1"/>
  <c r="O68" i="33"/>
  <c r="P64" i="33"/>
  <c r="N20" i="22"/>
  <c r="L29" i="22"/>
  <c r="L45" i="22" s="1"/>
  <c r="M83" i="22"/>
  <c r="O80" i="22"/>
  <c r="N67" i="22"/>
  <c r="C54" i="22"/>
  <c r="F54" i="22" s="1"/>
  <c r="F50" i="22"/>
  <c r="N70" i="42"/>
  <c r="L76" i="42"/>
  <c r="P50" i="42"/>
  <c r="O64" i="42"/>
  <c r="P64" i="42" s="1"/>
  <c r="P80" i="42"/>
  <c r="O86" i="42"/>
  <c r="P86" i="42" s="1"/>
  <c r="H14" i="42"/>
  <c r="H15" i="42" s="1"/>
  <c r="J87" i="42"/>
  <c r="P68" i="42"/>
  <c r="P32" i="42"/>
  <c r="O43" i="42"/>
  <c r="L29" i="42"/>
  <c r="L45" i="42" s="1"/>
  <c r="L90" i="42" s="1"/>
  <c r="L3" i="42" s="1"/>
  <c r="N20" i="42"/>
  <c r="L45" i="40"/>
  <c r="O29" i="40"/>
  <c r="P20" i="40"/>
  <c r="N70" i="40"/>
  <c r="L76" i="40"/>
  <c r="P32" i="40"/>
  <c r="O43" i="40"/>
  <c r="M45" i="40"/>
  <c r="O80" i="40"/>
  <c r="M86" i="40"/>
  <c r="M64" i="40"/>
  <c r="O50" i="40"/>
  <c r="N55" i="38"/>
  <c r="L68" i="38"/>
  <c r="L93" i="38"/>
  <c r="L3" i="38" s="1"/>
  <c r="O80" i="38"/>
  <c r="P80" i="38" s="1"/>
  <c r="P72" i="38"/>
  <c r="P50" i="38"/>
  <c r="O90" i="38"/>
  <c r="P90" i="38" s="1"/>
  <c r="P84" i="38"/>
  <c r="M45" i="38"/>
  <c r="O29" i="38"/>
  <c r="P20" i="38"/>
  <c r="P32" i="38"/>
  <c r="O43" i="38"/>
  <c r="L90" i="30"/>
  <c r="N87" i="30"/>
  <c r="N62" i="30"/>
  <c r="L68" i="30"/>
  <c r="L93" i="30" s="1"/>
  <c r="L3" i="30" s="1"/>
  <c r="O60" i="36"/>
  <c r="M68" i="36"/>
  <c r="L68" i="36"/>
  <c r="N87" i="36"/>
  <c r="L90" i="36"/>
  <c r="O67" i="14"/>
  <c r="J68" i="14" l="1"/>
  <c r="H68" i="14"/>
  <c r="L50" i="14"/>
  <c r="P74" i="14"/>
  <c r="O80" i="14"/>
  <c r="P80" i="14" s="1"/>
  <c r="N29" i="14"/>
  <c r="M45" i="14" s="1"/>
  <c r="O28" i="14"/>
  <c r="L73" i="22"/>
  <c r="O43" i="22"/>
  <c r="P43" i="22" s="1"/>
  <c r="P32" i="22"/>
  <c r="O76" i="33"/>
  <c r="P68" i="33"/>
  <c r="H9" i="33"/>
  <c r="L9" i="33" s="1"/>
  <c r="K8" i="33"/>
  <c r="O20" i="22"/>
  <c r="N29" i="22"/>
  <c r="M45" i="22" s="1"/>
  <c r="O83" i="22"/>
  <c r="P83" i="22" s="1"/>
  <c r="P80" i="22"/>
  <c r="M73" i="22"/>
  <c r="O67" i="22"/>
  <c r="K50" i="22"/>
  <c r="F63" i="22"/>
  <c r="H50" i="22"/>
  <c r="H63" i="22" s="1"/>
  <c r="K54" i="22"/>
  <c r="H54" i="22"/>
  <c r="L54" i="22" s="1"/>
  <c r="N54" i="22" s="1"/>
  <c r="O54" i="22" s="1"/>
  <c r="P54" i="22" s="1"/>
  <c r="O70" i="42"/>
  <c r="M76" i="42"/>
  <c r="N29" i="42"/>
  <c r="O20" i="42"/>
  <c r="P43" i="42"/>
  <c r="L89" i="40"/>
  <c r="L3" i="40" s="1"/>
  <c r="O45" i="40"/>
  <c r="P45" i="40" s="1"/>
  <c r="P43" i="40"/>
  <c r="P29" i="40"/>
  <c r="P50" i="40"/>
  <c r="O64" i="40"/>
  <c r="P64" i="40" s="1"/>
  <c r="O70" i="40"/>
  <c r="M76" i="40"/>
  <c r="H8" i="40" s="1"/>
  <c r="O86" i="40"/>
  <c r="P86" i="40" s="1"/>
  <c r="P80" i="40"/>
  <c r="O55" i="38"/>
  <c r="M68" i="38"/>
  <c r="H8" i="38" s="1"/>
  <c r="H9" i="38" s="1"/>
  <c r="L9" i="38" s="1"/>
  <c r="P29" i="38"/>
  <c r="P43" i="38"/>
  <c r="O45" i="38"/>
  <c r="P45" i="38" s="1"/>
  <c r="M90" i="30"/>
  <c r="O87" i="30"/>
  <c r="O62" i="30"/>
  <c r="M68" i="30"/>
  <c r="P60" i="36"/>
  <c r="O68" i="36"/>
  <c r="P68" i="36" s="1"/>
  <c r="L93" i="36"/>
  <c r="L3" i="36" s="1"/>
  <c r="O87" i="36"/>
  <c r="M90" i="36"/>
  <c r="H8" i="36" s="1"/>
  <c r="P67" i="14"/>
  <c r="N50" i="14" l="1"/>
  <c r="L68" i="14"/>
  <c r="L93" i="14" s="1"/>
  <c r="L3" i="14" s="1"/>
  <c r="O29" i="14"/>
  <c r="P28" i="14"/>
  <c r="P76" i="33"/>
  <c r="O90" i="33"/>
  <c r="H8" i="30"/>
  <c r="H9" i="30" s="1"/>
  <c r="L9" i="30" s="1"/>
  <c r="P20" i="22"/>
  <c r="O29" i="22"/>
  <c r="P67" i="22"/>
  <c r="O73" i="22"/>
  <c r="P73" i="22" s="1"/>
  <c r="L50" i="22"/>
  <c r="J63" i="22"/>
  <c r="H14" i="22" s="1"/>
  <c r="H15" i="22" s="1"/>
  <c r="P70" i="42"/>
  <c r="O76" i="42"/>
  <c r="P76" i="42" s="1"/>
  <c r="O29" i="42"/>
  <c r="P20" i="42"/>
  <c r="H8" i="42"/>
  <c r="M45" i="42"/>
  <c r="M87" i="42" s="1"/>
  <c r="H9" i="40"/>
  <c r="L9" i="40" s="1"/>
  <c r="K8" i="40"/>
  <c r="P70" i="40"/>
  <c r="O76" i="40"/>
  <c r="P76" i="40" s="1"/>
  <c r="P55" i="38"/>
  <c r="O68" i="38"/>
  <c r="K8" i="38"/>
  <c r="O90" i="30"/>
  <c r="P90" i="30" s="1"/>
  <c r="P87" i="30"/>
  <c r="P62" i="30"/>
  <c r="O68" i="30"/>
  <c r="H9" i="36"/>
  <c r="L9" i="36" s="1"/>
  <c r="K8" i="36"/>
  <c r="P87" i="36"/>
  <c r="O90" i="36"/>
  <c r="O50" i="14" l="1"/>
  <c r="M68" i="14"/>
  <c r="H8" i="14" s="1"/>
  <c r="P29" i="14"/>
  <c r="O45" i="14"/>
  <c r="P45" i="14" s="1"/>
  <c r="P90" i="33"/>
  <c r="G1" i="33"/>
  <c r="K8" i="30"/>
  <c r="P29" i="22"/>
  <c r="O45" i="22"/>
  <c r="P45" i="22" s="1"/>
  <c r="N50" i="22"/>
  <c r="L63" i="22"/>
  <c r="L86" i="22" s="1"/>
  <c r="K3" i="22" s="1"/>
  <c r="H9" i="42"/>
  <c r="L9" i="42" s="1"/>
  <c r="K8" i="42"/>
  <c r="O90" i="42"/>
  <c r="P29" i="42"/>
  <c r="O45" i="42"/>
  <c r="P45" i="42" s="1"/>
  <c r="O89" i="40"/>
  <c r="G1" i="40" s="1"/>
  <c r="P68" i="38"/>
  <c r="O93" i="38"/>
  <c r="O93" i="30"/>
  <c r="P68" i="30"/>
  <c r="P90" i="36"/>
  <c r="O93" i="36"/>
  <c r="P50" i="14" l="1"/>
  <c r="O68" i="14"/>
  <c r="K8" i="14"/>
  <c r="H9" i="14"/>
  <c r="L9" i="14" s="1"/>
  <c r="N3" i="33"/>
  <c r="N3" i="40"/>
  <c r="O50" i="22"/>
  <c r="M63" i="22"/>
  <c r="H8" i="22" s="1"/>
  <c r="H9" i="22" s="1"/>
  <c r="L9" i="22" s="1"/>
  <c r="P90" i="42"/>
  <c r="G1" i="42"/>
  <c r="N3" i="42" s="1"/>
  <c r="P89" i="40"/>
  <c r="G1" i="38"/>
  <c r="N3" i="38" s="1"/>
  <c r="P93" i="38"/>
  <c r="G1" i="30"/>
  <c r="P93" i="30"/>
  <c r="P93" i="36"/>
  <c r="G1" i="36"/>
  <c r="P68" i="14" l="1"/>
  <c r="O93" i="14"/>
  <c r="D25" i="35"/>
  <c r="D23" i="35"/>
  <c r="N3" i="30"/>
  <c r="N3" i="36"/>
  <c r="D9" i="35"/>
  <c r="K8" i="22"/>
  <c r="P50" i="22"/>
  <c r="O63" i="22"/>
  <c r="P93" i="14" l="1"/>
  <c r="G1" i="14"/>
  <c r="N3" i="14" s="1"/>
  <c r="J3" i="20"/>
  <c r="D19" i="35"/>
  <c r="D17" i="35"/>
  <c r="D15" i="35"/>
  <c r="D13" i="35"/>
  <c r="D11" i="35"/>
  <c r="P63" i="22"/>
  <c r="O86" i="22"/>
  <c r="J6" i="20" l="1"/>
  <c r="L6" i="20" s="1"/>
  <c r="J5" i="20"/>
  <c r="L5" i="20" s="1"/>
  <c r="J7" i="20"/>
  <c r="L7" i="20" s="1"/>
  <c r="J8" i="20"/>
  <c r="L8" i="20" s="1"/>
  <c r="G1" i="22"/>
  <c r="P86" i="22"/>
  <c r="L3" i="20" l="1"/>
  <c r="L11" i="20" s="1"/>
  <c r="D5" i="35"/>
  <c r="L3" i="22"/>
</calcChain>
</file>

<file path=xl/comments1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10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11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2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3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4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5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6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7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8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comments9.xml><?xml version="1.0" encoding="utf-8"?>
<comments xmlns="http://schemas.openxmlformats.org/spreadsheetml/2006/main">
  <authors>
    <author>Andrew D. Caudle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geotextile in material to remove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Level-up Strip material to remove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Uncheck coping in the materials area to remove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Andrew D. Caudle:</t>
        </r>
        <r>
          <rPr>
            <sz val="9"/>
            <color indexed="81"/>
            <rFont val="Tahoma"/>
            <family val="2"/>
          </rPr>
          <t xml:space="preserve">
All of these except Administration are tied to labor</t>
        </r>
      </text>
    </comment>
  </commentList>
</comments>
</file>

<file path=xl/sharedStrings.xml><?xml version="1.0" encoding="utf-8"?>
<sst xmlns="http://schemas.openxmlformats.org/spreadsheetml/2006/main" count="5182" uniqueCount="296">
  <si>
    <t xml:space="preserve"> </t>
  </si>
  <si>
    <t>Labor</t>
  </si>
  <si>
    <t>Hours</t>
  </si>
  <si>
    <t>Rate</t>
  </si>
  <si>
    <t>Subtotal</t>
  </si>
  <si>
    <t>Total</t>
  </si>
  <si>
    <t>.</t>
  </si>
  <si>
    <t>Materials</t>
  </si>
  <si>
    <t>Quantity</t>
  </si>
  <si>
    <t>Unit</t>
  </si>
  <si>
    <t>Price</t>
  </si>
  <si>
    <t>EA</t>
  </si>
  <si>
    <t>SF</t>
  </si>
  <si>
    <t>Equipment</t>
  </si>
  <si>
    <t>Blocks</t>
  </si>
  <si>
    <t>TOTAL BID</t>
  </si>
  <si>
    <t>ea</t>
  </si>
  <si>
    <t>LF</t>
  </si>
  <si>
    <t>CY</t>
  </si>
  <si>
    <t>Tax</t>
  </si>
  <si>
    <t>Days</t>
  </si>
  <si>
    <t>$/SF</t>
  </si>
  <si>
    <t>Small Tools</t>
  </si>
  <si>
    <t>Overhead</t>
  </si>
  <si>
    <t>Profit</t>
  </si>
  <si>
    <t>$</t>
  </si>
  <si>
    <t>X</t>
  </si>
  <si>
    <t>Form Release</t>
  </si>
  <si>
    <t>Mow Strip</t>
  </si>
  <si>
    <t>Fuel</t>
  </si>
  <si>
    <t>Type</t>
  </si>
  <si>
    <t>Mass Excavation</t>
  </si>
  <si>
    <t>Backfilling</t>
  </si>
  <si>
    <t>Common Labor</t>
  </si>
  <si>
    <t>Insurance/Taxes</t>
  </si>
  <si>
    <t>Administrative</t>
  </si>
  <si>
    <t>Direct Job Costs</t>
  </si>
  <si>
    <t>Water &amp; Ice</t>
  </si>
  <si>
    <t>Half-Connector Coping</t>
  </si>
  <si>
    <t>Half-Connector Coping (J. A. Manning)</t>
  </si>
  <si>
    <t>Details</t>
  </si>
  <si>
    <t>Owner</t>
  </si>
  <si>
    <t>Location</t>
  </si>
  <si>
    <t>Project Name</t>
  </si>
  <si>
    <t>Project Number</t>
  </si>
  <si>
    <t>Bid Date</t>
  </si>
  <si>
    <t>Profit %:</t>
  </si>
  <si>
    <t>Total Profit:</t>
  </si>
  <si>
    <t>Profit/Day:</t>
  </si>
  <si>
    <t>Overhead %:</t>
  </si>
  <si>
    <t>Total Overhead:</t>
  </si>
  <si>
    <t>Projected Fuel Price:</t>
  </si>
  <si>
    <t>Overhead/Day:</t>
  </si>
  <si>
    <t>MH</t>
  </si>
  <si>
    <t>Prevailing Wage + Fringes</t>
  </si>
  <si>
    <t>Password to unprotect:</t>
  </si>
  <si>
    <t>password</t>
  </si>
  <si>
    <t>BID Bond Calc.</t>
  </si>
  <si>
    <t>BOND COST</t>
  </si>
  <si>
    <t>Enter Contract Amount</t>
  </si>
  <si>
    <t>First $100,00.00</t>
  </si>
  <si>
    <t>Next 400,000.00</t>
  </si>
  <si>
    <t>Next 2,000,000.00</t>
  </si>
  <si>
    <t>Note:</t>
  </si>
  <si>
    <t>Worksheet is PROTECTED</t>
  </si>
  <si>
    <t>Enter contract amount into cell J3.</t>
  </si>
  <si>
    <t>Single Bond Limit</t>
  </si>
  <si>
    <t>Max Bond Limit</t>
  </si>
  <si>
    <t>x</t>
  </si>
  <si>
    <t xml:space="preserve">   </t>
  </si>
  <si>
    <t>Concrete Coatings</t>
  </si>
  <si>
    <t>Graffiti Protection</t>
  </si>
  <si>
    <t>Misc. Site Operations</t>
  </si>
  <si>
    <t>Total MHR's</t>
  </si>
  <si>
    <t>Coping (J. A. Manning w/Champion)</t>
  </si>
  <si>
    <t>Layout &amp; Exc Footing</t>
  </si>
  <si>
    <r>
      <t xml:space="preserve">Supervision </t>
    </r>
    <r>
      <rPr>
        <u/>
        <sz val="8"/>
        <rFont val="Arial"/>
        <family val="2"/>
      </rPr>
      <t>(Salaried Supervision)</t>
    </r>
  </si>
  <si>
    <t>Laborer Wages + Fringes</t>
  </si>
  <si>
    <t>Retention Concrete Core</t>
  </si>
  <si>
    <t>Set &amp; Tie Rebar Misc Operations</t>
  </si>
  <si>
    <t xml:space="preserve">Pour Gravity Wall </t>
  </si>
  <si>
    <t>Install Weep Holes</t>
  </si>
  <si>
    <t xml:space="preserve">Forms for CIP Wall </t>
  </si>
  <si>
    <t>Curing Compound</t>
  </si>
  <si>
    <t>Storm Shelter</t>
  </si>
  <si>
    <t>Individual</t>
  </si>
  <si>
    <t>Oklahoma</t>
  </si>
  <si>
    <t>Strong Built Structure</t>
  </si>
  <si>
    <t>Travel</t>
  </si>
  <si>
    <t>Concrete Mixer</t>
  </si>
  <si>
    <t>Trailer</t>
  </si>
  <si>
    <t>Wheel Barrow</t>
  </si>
  <si>
    <t>Concrete pump</t>
  </si>
  <si>
    <t>Truck</t>
  </si>
  <si>
    <t>Wall Ties</t>
  </si>
  <si>
    <t>Door</t>
  </si>
  <si>
    <t>Hardware</t>
  </si>
  <si>
    <t>Footing (Concrete mixed onsite)</t>
  </si>
  <si>
    <t xml:space="preserve">Helix Micro Rebar </t>
  </si>
  <si>
    <t>concrete pump</t>
  </si>
  <si>
    <t>dump trailer</t>
  </si>
  <si>
    <t>tools</t>
  </si>
  <si>
    <t>Shelter</t>
  </si>
  <si>
    <t>P</t>
  </si>
  <si>
    <t>OH</t>
  </si>
  <si>
    <t>Forms</t>
  </si>
  <si>
    <t xml:space="preserve">Pour Wall </t>
  </si>
  <si>
    <t>Dimensions</t>
  </si>
  <si>
    <t>weight</t>
  </si>
  <si>
    <t>Sides</t>
  </si>
  <si>
    <t>Length</t>
  </si>
  <si>
    <t>width</t>
  </si>
  <si>
    <t>Ends</t>
  </si>
  <si>
    <t>weight per CY</t>
  </si>
  <si>
    <t>Unit Weight</t>
  </si>
  <si>
    <t>lbs.</t>
  </si>
  <si>
    <t>Thickness of concrete</t>
  </si>
  <si>
    <t xml:space="preserve">Top </t>
  </si>
  <si>
    <t>Height</t>
  </si>
  <si>
    <t>Bottom</t>
  </si>
  <si>
    <t>dimensions</t>
  </si>
  <si>
    <t>Openings</t>
  </si>
  <si>
    <t>Units per year</t>
  </si>
  <si>
    <t>Annual Figures</t>
  </si>
  <si>
    <t>Set &amp; Tie Rebar Misc. Operations</t>
  </si>
  <si>
    <t>Misc. Consumables</t>
  </si>
  <si>
    <t xml:space="preserve">12 CuFt mixer with Diesel engine </t>
  </si>
  <si>
    <t>Total Price Per Unit:</t>
  </si>
  <si>
    <t>Wire Mesh Reinforcement</t>
  </si>
  <si>
    <t>Reinforcement Type</t>
  </si>
  <si>
    <t>4"x4" welded wire mesh</t>
  </si>
  <si>
    <t>Finish</t>
  </si>
  <si>
    <t>Width</t>
  </si>
  <si>
    <t>Weight</t>
  </si>
  <si>
    <t>Galv</t>
  </si>
  <si>
    <t>5'</t>
  </si>
  <si>
    <t>20'</t>
  </si>
  <si>
    <t>lb</t>
  </si>
  <si>
    <t>Price per pound</t>
  </si>
  <si>
    <t>4"x2" welded wire mesh</t>
  </si>
  <si>
    <t>galv</t>
  </si>
  <si>
    <t>4'</t>
  </si>
  <si>
    <t>wire guage</t>
  </si>
  <si>
    <t>6 ga</t>
  </si>
  <si>
    <t>Helix Micro Rebar</t>
  </si>
  <si>
    <t>Black</t>
  </si>
  <si>
    <t>8'</t>
  </si>
  <si>
    <t>4 ga</t>
  </si>
  <si>
    <t>Strip Forms</t>
  </si>
  <si>
    <t>Set up forms</t>
  </si>
  <si>
    <t>wall and ceiling concrete</t>
  </si>
  <si>
    <t>Rebar #4</t>
  </si>
  <si>
    <t>Cost per SF</t>
  </si>
  <si>
    <t>Price per SF</t>
  </si>
  <si>
    <t>Patch wall ties</t>
  </si>
  <si>
    <t>20X16</t>
  </si>
  <si>
    <t>#4 rebar</t>
  </si>
  <si>
    <t>1/2"</t>
  </si>
  <si>
    <t>grade 60</t>
  </si>
  <si>
    <t>#5 rebar</t>
  </si>
  <si>
    <t>5/8"</t>
  </si>
  <si>
    <t>$ per LF</t>
  </si>
  <si>
    <t>Wire Mesh Reinforcement 10 shts</t>
  </si>
  <si>
    <t>A 20' X 16' module uses 10 sheets of 8'x20' mesh</t>
  </si>
  <si>
    <t>1/8" Steel Plate</t>
  </si>
  <si>
    <t>3/16" Steel Plate</t>
  </si>
  <si>
    <t>1/4" Steel Plate</t>
  </si>
  <si>
    <t>A 20' X 21' module uses 14 sheets of 8'x20' mesh</t>
  </si>
  <si>
    <t>Wire Mesh Reinforcement 14 shts</t>
  </si>
  <si>
    <t>Foam Panels GCT</t>
  </si>
  <si>
    <t>Foam under slab</t>
  </si>
  <si>
    <t>20'x20</t>
  </si>
  <si>
    <t>4" high strength concrete</t>
  </si>
  <si>
    <t>Total Panel Area</t>
  </si>
  <si>
    <t>height</t>
  </si>
  <si>
    <t>14'x28'</t>
  </si>
  <si>
    <t>16'x21'</t>
  </si>
  <si>
    <t>16'x8'</t>
  </si>
  <si>
    <t>20'x14'</t>
  </si>
  <si>
    <t>16'x16'</t>
  </si>
  <si>
    <t>Walls</t>
  </si>
  <si>
    <t># Walls</t>
  </si>
  <si>
    <t>Wall Length</t>
  </si>
  <si>
    <t>Ceiling</t>
  </si>
  <si>
    <t>TOTAL CONCRETE</t>
  </si>
  <si>
    <t>TOTAL PANEL AREA</t>
  </si>
  <si>
    <t>21'x20 with 10" walls</t>
  </si>
  <si>
    <t>wall and ceiling concrete w/o foam</t>
  </si>
  <si>
    <t>Concrete walls and ceiling w foam</t>
  </si>
  <si>
    <t>Item</t>
  </si>
  <si>
    <t>Panel Type</t>
  </si>
  <si>
    <t>Lineal feet</t>
  </si>
  <si>
    <t>Wall height</t>
  </si>
  <si>
    <t>Span Length</t>
  </si>
  <si>
    <t>Total Section Thickness</t>
  </si>
  <si>
    <t>Area (ft²)</t>
  </si>
  <si>
    <t>Wire to wire thickness</t>
  </si>
  <si>
    <t>Wall Panels</t>
  </si>
  <si>
    <t xml:space="preserve">PSM 100 </t>
  </si>
  <si>
    <t>9'-2"</t>
  </si>
  <si>
    <t>NA</t>
  </si>
  <si>
    <t>8"</t>
  </si>
  <si>
    <t>4.7 in</t>
  </si>
  <si>
    <t xml:space="preserve">PSM 120 </t>
  </si>
  <si>
    <t>10"</t>
  </si>
  <si>
    <t>5.5 in</t>
  </si>
  <si>
    <t>ceiling panels</t>
  </si>
  <si>
    <t>PSM 160</t>
  </si>
  <si>
    <t>18'-8"</t>
  </si>
  <si>
    <t>12"</t>
  </si>
  <si>
    <t xml:space="preserve">Master Side </t>
  </si>
  <si>
    <t>7 in</t>
  </si>
  <si>
    <t>12'-8"</t>
  </si>
  <si>
    <t>Debra house</t>
  </si>
  <si>
    <t>14'-8"</t>
  </si>
  <si>
    <t>14.5"</t>
  </si>
  <si>
    <t>Main level Guest no deck or tower</t>
  </si>
  <si>
    <t>Structural roof panels</t>
  </si>
  <si>
    <t>PSG6-140R</t>
  </si>
  <si>
    <t>Tower</t>
  </si>
  <si>
    <t>11.5 in</t>
  </si>
  <si>
    <t>Angle Corner Mesh</t>
  </si>
  <si>
    <t>U-Mesh</t>
  </si>
  <si>
    <t>Window Corner strap</t>
  </si>
  <si>
    <t>20'x16'</t>
  </si>
  <si>
    <t>A 6' X 16' module uses 3 sheets of 8'x20' mesh</t>
  </si>
  <si>
    <t>A 12' X 16' module uses 5 sheets of 8'x20' mesh</t>
  </si>
  <si>
    <t>Electrical and plumbing</t>
  </si>
  <si>
    <t>20X21</t>
  </si>
  <si>
    <t>Subtotal of column</t>
  </si>
  <si>
    <t>Panels on site</t>
  </si>
  <si>
    <t>each</t>
  </si>
  <si>
    <t>16X32</t>
  </si>
  <si>
    <t>Total Wall Thickness in Inches/Ft</t>
  </si>
  <si>
    <t>Floor Slab (Concrete mixed onsite)</t>
  </si>
  <si>
    <t>Footing</t>
  </si>
  <si>
    <t>DIRECT COST</t>
  </si>
  <si>
    <t>10x10</t>
  </si>
  <si>
    <t>GCT Panels</t>
  </si>
  <si>
    <t>GCT PANELS</t>
  </si>
  <si>
    <t>Piers (Concrete mixed onsite)</t>
  </si>
  <si>
    <t>16X16</t>
  </si>
  <si>
    <t>Pour Walls</t>
  </si>
  <si>
    <t>20'x20 with 10" walls</t>
  </si>
  <si>
    <t>20X20</t>
  </si>
  <si>
    <t>Saferoom Dimensions</t>
  </si>
  <si>
    <t>Square Foot Area</t>
  </si>
  <si>
    <t>10X10</t>
  </si>
  <si>
    <t>12X12</t>
  </si>
  <si>
    <t>12X14</t>
  </si>
  <si>
    <t>14X14</t>
  </si>
  <si>
    <t>16X18</t>
  </si>
  <si>
    <t>18X18</t>
  </si>
  <si>
    <t>18x20</t>
  </si>
  <si>
    <t>14x14</t>
  </si>
  <si>
    <t>Tornado Community Safe Room Occupant</t>
  </si>
  <si>
    <t>Minimum Usable Floor Area* per Safe Room Occupant</t>
  </si>
  <si>
    <t>Standing or Seated</t>
  </si>
  <si>
    <t>5 square feet</t>
  </si>
  <si>
    <t>Wheelchair Bound</t>
  </si>
  <si>
    <t>10 square feet</t>
  </si>
  <si>
    <t>Bedridden</t>
  </si>
  <si>
    <t>30 square feet</t>
  </si>
  <si>
    <r>
      <t>*</t>
    </r>
    <r>
      <rPr>
        <sz val="10"/>
        <rFont val="Arial"/>
      </rPr>
      <t>See FEMA P-361 for more information on usable safe room floor area.</t>
    </r>
  </si>
  <si>
    <t>Tornado</t>
  </si>
  <si>
    <t>One- and Two-Family Dwellings</t>
  </si>
  <si>
    <t>Other Residential</t>
  </si>
  <si>
    <t>Hurricane</t>
  </si>
  <si>
    <r>
      <t>*</t>
    </r>
    <r>
      <rPr>
        <sz val="13"/>
        <color rgb="FF000000"/>
        <rFont val="Arial"/>
        <family val="2"/>
      </rPr>
      <t> See FEMA P-361 for more information on usable safe room floor area.</t>
    </r>
  </si>
  <si>
    <t> </t>
  </si>
  <si>
    <t>3 square feet</t>
  </si>
  <si>
    <t>7 square feet</t>
  </si>
  <si>
    <t>10 square feet</t>
  </si>
  <si>
    <t>Occupant Capcity per FEMA for :</t>
  </si>
  <si>
    <t>Other Residentail or Community Tornado Saferoom</t>
  </si>
  <si>
    <r>
      <t>Residential Saferoom *</t>
    </r>
    <r>
      <rPr>
        <b/>
        <sz val="12"/>
        <rFont val="Arial"/>
        <family val="2"/>
      </rPr>
      <t>Tornado</t>
    </r>
  </si>
  <si>
    <t>One- and Two-Family Dwellings 3 square ft per Occupant</t>
  </si>
  <si>
    <t>14X16</t>
  </si>
  <si>
    <t>20X40</t>
  </si>
  <si>
    <t>Prices NOT Included in Base Price Are:</t>
  </si>
  <si>
    <t>Exterior cladding (Brick, Rock, Siding, etc.)</t>
  </si>
  <si>
    <t>Electrical Wiring</t>
  </si>
  <si>
    <t>Painting</t>
  </si>
  <si>
    <t>Staining</t>
  </si>
  <si>
    <t>Windows</t>
  </si>
  <si>
    <t>5 square ft per Occupant</t>
  </si>
  <si>
    <t>Concrete Coatings (EXTERIOR)</t>
  </si>
  <si>
    <t>OZ Pricing</t>
  </si>
  <si>
    <t>8X10</t>
  </si>
  <si>
    <t>TOTAL SF</t>
  </si>
  <si>
    <t>cost per SF</t>
  </si>
  <si>
    <t>inches</t>
  </si>
  <si>
    <t>ft</t>
  </si>
  <si>
    <t>outside ft</t>
  </si>
  <si>
    <t xml:space="preserve">Base Price </t>
  </si>
  <si>
    <r>
      <rPr>
        <b/>
        <sz val="20"/>
        <rFont val="Arial"/>
        <family val="2"/>
      </rPr>
      <t>BASE SAFEROOM PRICING</t>
    </r>
    <r>
      <rPr>
        <sz val="10"/>
        <rFont val="Arial"/>
        <family val="2"/>
      </rPr>
      <t xml:space="preserve"> </t>
    </r>
    <r>
      <rPr>
        <b/>
        <sz val="12"/>
        <rFont val="Arial"/>
        <family val="2"/>
      </rPr>
      <t xml:space="preserve">* Includes safroom and FEMA rated door || </t>
    </r>
    <r>
      <rPr>
        <b/>
        <u/>
        <sz val="12"/>
        <rFont val="Arial"/>
        <family val="2"/>
      </rPr>
      <t>Contact us</t>
    </r>
    <r>
      <rPr>
        <b/>
        <sz val="12"/>
        <rFont val="Arial"/>
        <family val="2"/>
      </rPr>
      <t xml:space="preserve"> for actual price (HYPERLINK)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</si>
</sst>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_(&quot;$&quot;* #,##0.000_);_(&quot;$&quot;* \(#,##0.000\);_(&quot;$&quot;* &quot;-&quot;??_);_(@_)"/>
    <numFmt numFmtId="168" formatCode="&quot;$&quot;#,##0.00"/>
    <numFmt numFmtId="169" formatCode="0.0"/>
  </numFmts>
  <fonts count="30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vertAlign val="superscript"/>
      <sz val="10"/>
      <name val="Arial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7.5"/>
      <color rgb="FF00000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FDFDF"/>
      </left>
      <right style="medium">
        <color rgb="FFDDDDDD"/>
      </right>
      <top style="medium">
        <color rgb="FFDFDFDF"/>
      </top>
      <bottom style="medium">
        <color rgb="FF7F7F7F"/>
      </bottom>
      <diagonal/>
    </border>
    <border>
      <left style="medium">
        <color rgb="FFDDDDDD"/>
      </left>
      <right style="medium">
        <color rgb="FFDFDFDF"/>
      </right>
      <top style="medium">
        <color rgb="FFDFDFDF"/>
      </top>
      <bottom style="medium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7">
    <xf numFmtId="0" fontId="0" fillId="0" borderId="0" xfId="0"/>
    <xf numFmtId="5" fontId="0" fillId="0" borderId="1" xfId="0" applyNumberFormat="1" applyBorder="1" applyProtection="1">
      <protection locked="0"/>
    </xf>
    <xf numFmtId="5" fontId="7" fillId="0" borderId="0" xfId="0" applyNumberFormat="1" applyFont="1" applyBorder="1" applyProtection="1">
      <protection locked="0"/>
    </xf>
    <xf numFmtId="44" fontId="0" fillId="0" borderId="1" xfId="0" applyNumberFormat="1" applyBorder="1" applyProtection="1">
      <protection locked="0"/>
    </xf>
    <xf numFmtId="5" fontId="7" fillId="0" borderId="2" xfId="0" applyNumberFormat="1" applyFont="1" applyBorder="1" applyProtection="1">
      <protection locked="0"/>
    </xf>
    <xf numFmtId="5" fontId="7" fillId="0" borderId="3" xfId="0" applyNumberFormat="1" applyFont="1" applyBorder="1" applyProtection="1">
      <protection locked="0"/>
    </xf>
    <xf numFmtId="5" fontId="7" fillId="0" borderId="4" xfId="0" applyNumberFormat="1" applyFont="1" applyBorder="1" applyProtection="1">
      <protection locked="0"/>
    </xf>
    <xf numFmtId="5" fontId="0" fillId="0" borderId="0" xfId="0" applyNumberFormat="1" applyBorder="1" applyProtection="1">
      <protection locked="0"/>
    </xf>
    <xf numFmtId="43" fontId="7" fillId="0" borderId="0" xfId="1" applyFont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44" fontId="0" fillId="0" borderId="0" xfId="0" applyNumberFormat="1" applyBorder="1" applyProtection="1">
      <protection locked="0"/>
    </xf>
    <xf numFmtId="43" fontId="0" fillId="0" borderId="0" xfId="1" applyFont="1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43" fontId="0" fillId="0" borderId="6" xfId="1" applyFont="1" applyBorder="1" applyProtection="1">
      <protection locked="0"/>
    </xf>
    <xf numFmtId="0" fontId="6" fillId="0" borderId="0" xfId="0" applyFont="1" applyProtection="1">
      <protection locked="0"/>
    </xf>
    <xf numFmtId="0" fontId="10" fillId="0" borderId="7" xfId="0" applyFont="1" applyBorder="1" applyProtection="1">
      <protection locked="0"/>
    </xf>
    <xf numFmtId="44" fontId="10" fillId="0" borderId="7" xfId="2" applyFont="1" applyBorder="1" applyProtection="1">
      <protection locked="0"/>
    </xf>
    <xf numFmtId="44" fontId="10" fillId="0" borderId="7" xfId="2" applyFont="1" applyBorder="1" applyAlignment="1" applyProtection="1">
      <alignment horizontal="left"/>
      <protection locked="0"/>
    </xf>
    <xf numFmtId="165" fontId="10" fillId="0" borderId="7" xfId="2" applyNumberFormat="1" applyFont="1" applyBorder="1" applyAlignment="1" applyProtection="1">
      <alignment horizontal="right"/>
      <protection locked="0"/>
    </xf>
    <xf numFmtId="165" fontId="10" fillId="0" borderId="7" xfId="2" applyNumberFormat="1" applyFont="1" applyBorder="1" applyProtection="1">
      <protection locked="0"/>
    </xf>
    <xf numFmtId="43" fontId="10" fillId="0" borderId="7" xfId="1" applyFont="1" applyBorder="1" applyProtection="1">
      <protection locked="0"/>
    </xf>
    <xf numFmtId="44" fontId="0" fillId="0" borderId="6" xfId="2" applyFont="1" applyBorder="1" applyProtection="1">
      <protection locked="0"/>
    </xf>
    <xf numFmtId="0" fontId="11" fillId="0" borderId="0" xfId="0" applyFont="1" applyProtection="1">
      <protection locked="0"/>
    </xf>
    <xf numFmtId="44" fontId="11" fillId="0" borderId="8" xfId="0" applyNumberFormat="1" applyFont="1" applyBorder="1" applyProtection="1">
      <protection locked="0"/>
    </xf>
    <xf numFmtId="44" fontId="0" fillId="0" borderId="9" xfId="0" applyNumberFormat="1" applyBorder="1" applyProtection="1">
      <protection locked="0"/>
    </xf>
    <xf numFmtId="44" fontId="11" fillId="0" borderId="9" xfId="0" applyNumberFormat="1" applyFont="1" applyBorder="1" applyProtection="1">
      <protection locked="0"/>
    </xf>
    <xf numFmtId="44" fontId="0" fillId="0" borderId="6" xfId="0" applyNumberFormat="1" applyBorder="1" applyProtection="1">
      <protection locked="0"/>
    </xf>
    <xf numFmtId="0" fontId="5" fillId="0" borderId="0" xfId="0" applyFont="1" applyProtection="1">
      <protection locked="0"/>
    </xf>
    <xf numFmtId="44" fontId="0" fillId="0" borderId="2" xfId="2" applyFont="1" applyBorder="1" applyProtection="1">
      <protection locked="0"/>
    </xf>
    <xf numFmtId="44" fontId="5" fillId="0" borderId="10" xfId="0" applyNumberFormat="1" applyFont="1" applyBorder="1" applyProtection="1">
      <protection locked="0"/>
    </xf>
    <xf numFmtId="9" fontId="10" fillId="0" borderId="7" xfId="3" applyFont="1" applyBorder="1" applyProtection="1">
      <protection locked="0"/>
    </xf>
    <xf numFmtId="0" fontId="0" fillId="2" borderId="0" xfId="0" applyFill="1" applyProtection="1">
      <protection locked="0"/>
    </xf>
    <xf numFmtId="0" fontId="9" fillId="2" borderId="11" xfId="0" applyFont="1" applyFill="1" applyBorder="1" applyProtection="1">
      <protection locked="0"/>
    </xf>
    <xf numFmtId="43" fontId="0" fillId="0" borderId="0" xfId="1" applyFont="1" applyProtection="1">
      <protection locked="0"/>
    </xf>
    <xf numFmtId="43" fontId="10" fillId="0" borderId="7" xfId="0" applyNumberFormat="1" applyFont="1" applyBorder="1" applyProtection="1">
      <protection locked="0"/>
    </xf>
    <xf numFmtId="0" fontId="13" fillId="2" borderId="11" xfId="0" applyFont="1" applyFill="1" applyBorder="1" applyProtection="1">
      <protection locked="0"/>
    </xf>
    <xf numFmtId="43" fontId="13" fillId="2" borderId="11" xfId="1" applyFont="1" applyFill="1" applyBorder="1" applyProtection="1">
      <protection locked="0"/>
    </xf>
    <xf numFmtId="44" fontId="13" fillId="2" borderId="11" xfId="0" applyNumberFormat="1" applyFont="1" applyFill="1" applyBorder="1" applyProtection="1">
      <protection locked="0"/>
    </xf>
    <xf numFmtId="43" fontId="0" fillId="0" borderId="0" xfId="0" applyNumberFormat="1" applyBorder="1" applyProtection="1">
      <protection locked="0"/>
    </xf>
    <xf numFmtId="44" fontId="11" fillId="0" borderId="6" xfId="2" applyFont="1" applyBorder="1" applyProtection="1">
      <protection locked="0"/>
    </xf>
    <xf numFmtId="44" fontId="0" fillId="0" borderId="0" xfId="2" applyFont="1" applyBorder="1" applyProtection="1">
      <protection locked="0"/>
    </xf>
    <xf numFmtId="44" fontId="0" fillId="0" borderId="7" xfId="2" applyFont="1" applyBorder="1" applyProtection="1">
      <protection locked="0"/>
    </xf>
    <xf numFmtId="0" fontId="11" fillId="0" borderId="0" xfId="0" applyFont="1" applyBorder="1" applyProtection="1">
      <protection locked="0"/>
    </xf>
    <xf numFmtId="44" fontId="11" fillId="0" borderId="0" xfId="2" applyFont="1" applyBorder="1" applyProtection="1">
      <protection locked="0"/>
    </xf>
    <xf numFmtId="0" fontId="11" fillId="2" borderId="0" xfId="0" applyFont="1" applyFill="1" applyProtection="1">
      <protection locked="0"/>
    </xf>
    <xf numFmtId="9" fontId="10" fillId="0" borderId="7" xfId="3" applyNumberFormat="1" applyFont="1" applyBorder="1" applyAlignment="1" applyProtection="1">
      <protection locked="0"/>
    </xf>
    <xf numFmtId="44" fontId="12" fillId="0" borderId="0" xfId="2" applyFont="1" applyBorder="1" applyProtection="1">
      <protection locked="0"/>
    </xf>
    <xf numFmtId="0" fontId="12" fillId="0" borderId="0" xfId="0" applyFont="1" applyProtection="1">
      <protection locked="0"/>
    </xf>
    <xf numFmtId="44" fontId="11" fillId="0" borderId="6" xfId="0" applyNumberFormat="1" applyFont="1" applyBorder="1" applyProtection="1">
      <protection locked="0"/>
    </xf>
    <xf numFmtId="44" fontId="11" fillId="0" borderId="12" xfId="0" applyNumberFormat="1" applyFont="1" applyBorder="1" applyProtection="1">
      <protection locked="0"/>
    </xf>
    <xf numFmtId="1" fontId="11" fillId="0" borderId="0" xfId="0" applyNumberFormat="1" applyFont="1" applyBorder="1" applyProtection="1">
      <protection locked="0"/>
    </xf>
    <xf numFmtId="43" fontId="0" fillId="0" borderId="0" xfId="0" applyNumberFormat="1" applyBorder="1" applyAlignment="1" applyProtection="1">
      <alignment horizontal="center"/>
      <protection locked="0"/>
    </xf>
    <xf numFmtId="0" fontId="11" fillId="0" borderId="0" xfId="0" applyFont="1" applyFill="1" applyProtection="1">
      <protection locked="0"/>
    </xf>
    <xf numFmtId="0" fontId="7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3" fontId="12" fillId="0" borderId="6" xfId="1" applyNumberFormat="1" applyFont="1" applyBorder="1" applyProtection="1">
      <protection locked="0"/>
    </xf>
    <xf numFmtId="44" fontId="12" fillId="0" borderId="1" xfId="2" applyFont="1" applyBorder="1" applyProtection="1">
      <protection locked="0"/>
    </xf>
    <xf numFmtId="43" fontId="12" fillId="0" borderId="0" xfId="1" applyNumberFormat="1" applyFont="1" applyBorder="1" applyProtection="1">
      <protection locked="0"/>
    </xf>
    <xf numFmtId="44" fontId="12" fillId="0" borderId="13" xfId="2" applyFont="1" applyBorder="1" applyProtection="1">
      <protection locked="0"/>
    </xf>
    <xf numFmtId="43" fontId="12" fillId="0" borderId="13" xfId="1" applyNumberFormat="1" applyFont="1" applyBorder="1" applyProtection="1">
      <protection locked="0"/>
    </xf>
    <xf numFmtId="43" fontId="12" fillId="0" borderId="14" xfId="1" applyNumberFormat="1" applyFont="1" applyBorder="1" applyProtection="1">
      <protection locked="0"/>
    </xf>
    <xf numFmtId="44" fontId="12" fillId="0" borderId="15" xfId="2" applyFont="1" applyBorder="1" applyProtection="1">
      <protection locked="0"/>
    </xf>
    <xf numFmtId="164" fontId="0" fillId="0" borderId="16" xfId="1" applyNumberFormat="1" applyFont="1" applyBorder="1" applyAlignment="1" applyProtection="1">
      <protection locked="0"/>
    </xf>
    <xf numFmtId="164" fontId="12" fillId="0" borderId="0" xfId="1" applyNumberFormat="1" applyFont="1" applyBorder="1" applyAlignment="1" applyProtection="1">
      <protection locked="0"/>
    </xf>
    <xf numFmtId="164" fontId="12" fillId="0" borderId="13" xfId="1" applyNumberFormat="1" applyFont="1" applyBorder="1" applyAlignment="1" applyProtection="1">
      <protection locked="0"/>
    </xf>
    <xf numFmtId="0" fontId="8" fillId="0" borderId="0" xfId="0" applyFont="1" applyBorder="1" applyProtection="1">
      <protection locked="0"/>
    </xf>
    <xf numFmtId="0" fontId="11" fillId="0" borderId="0" xfId="0" applyFont="1" applyProtection="1"/>
    <xf numFmtId="44" fontId="11" fillId="0" borderId="0" xfId="2" applyFont="1" applyBorder="1" applyProtection="1"/>
    <xf numFmtId="0" fontId="3" fillId="0" borderId="0" xfId="0" applyFont="1" applyBorder="1" applyProtection="1">
      <protection locked="0"/>
    </xf>
    <xf numFmtId="3" fontId="4" fillId="0" borderId="0" xfId="0" applyNumberFormat="1" applyFont="1" applyBorder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14" fontId="3" fillId="0" borderId="0" xfId="0" applyNumberFormat="1" applyFont="1" applyBorder="1" applyAlignment="1" applyProtection="1">
      <alignment horizontal="left"/>
      <protection locked="0"/>
    </xf>
    <xf numFmtId="14" fontId="4" fillId="0" borderId="0" xfId="0" applyNumberFormat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0" fontId="17" fillId="0" borderId="0" xfId="0" applyFont="1" applyBorder="1" applyProtection="1">
      <protection locked="0"/>
    </xf>
    <xf numFmtId="3" fontId="4" fillId="0" borderId="5" xfId="0" applyNumberFormat="1" applyFont="1" applyBorder="1" applyProtection="1">
      <protection locked="0"/>
    </xf>
    <xf numFmtId="0" fontId="5" fillId="0" borderId="5" xfId="0" applyFont="1" applyBorder="1" applyAlignment="1" applyProtection="1">
      <alignment horizontal="left"/>
      <protection locked="0"/>
    </xf>
    <xf numFmtId="14" fontId="6" fillId="0" borderId="0" xfId="0" applyNumberFormat="1" applyFont="1" applyBorder="1" applyAlignment="1" applyProtection="1">
      <alignment horizontal="left"/>
      <protection locked="0"/>
    </xf>
    <xf numFmtId="44" fontId="0" fillId="0" borderId="17" xfId="0" applyNumberFormat="1" applyBorder="1" applyAlignment="1" applyProtection="1">
      <protection locked="0"/>
    </xf>
    <xf numFmtId="164" fontId="0" fillId="0" borderId="0" xfId="1" applyNumberFormat="1" applyFont="1" applyBorder="1" applyProtection="1">
      <protection locked="0"/>
    </xf>
    <xf numFmtId="164" fontId="0" fillId="0" borderId="0" xfId="1" applyNumberFormat="1" applyFont="1" applyBorder="1" applyAlignment="1" applyProtection="1">
      <protection locked="0"/>
    </xf>
    <xf numFmtId="1" fontId="0" fillId="0" borderId="0" xfId="1" applyNumberFormat="1" applyFont="1" applyBorder="1" applyAlignment="1" applyProtection="1">
      <protection locked="0"/>
    </xf>
    <xf numFmtId="44" fontId="10" fillId="0" borderId="18" xfId="0" applyNumberFormat="1" applyFont="1" applyBorder="1" applyAlignment="1" applyProtection="1">
      <protection locked="0"/>
    </xf>
    <xf numFmtId="43" fontId="0" fillId="0" borderId="0" xfId="1" applyNumberFormat="1" applyFont="1" applyBorder="1" applyProtection="1">
      <protection locked="0"/>
    </xf>
    <xf numFmtId="0" fontId="0" fillId="0" borderId="17" xfId="0" applyBorder="1" applyAlignment="1" applyProtection="1">
      <alignment horizontal="center"/>
      <protection locked="0"/>
    </xf>
    <xf numFmtId="43" fontId="0" fillId="0" borderId="0" xfId="2" applyNumberFormat="1" applyFont="1" applyBorder="1" applyProtection="1">
      <protection locked="0"/>
    </xf>
    <xf numFmtId="43" fontId="0" fillId="0" borderId="17" xfId="0" applyNumberFormat="1" applyBorder="1" applyAlignment="1" applyProtection="1">
      <alignment horizontal="center"/>
      <protection locked="0"/>
    </xf>
    <xf numFmtId="44" fontId="13" fillId="2" borderId="10" xfId="2" applyFont="1" applyFill="1" applyBorder="1" applyProtection="1">
      <protection locked="0"/>
    </xf>
    <xf numFmtId="9" fontId="10" fillId="0" borderId="7" xfId="2" applyNumberFormat="1" applyFont="1" applyBorder="1" applyProtection="1">
      <protection locked="0"/>
    </xf>
    <xf numFmtId="44" fontId="5" fillId="0" borderId="7" xfId="2" applyFont="1" applyBorder="1" applyProtection="1">
      <protection locked="0"/>
    </xf>
    <xf numFmtId="3" fontId="3" fillId="0" borderId="19" xfId="0" applyNumberFormat="1" applyFont="1" applyBorder="1" applyProtection="1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43" fontId="10" fillId="0" borderId="7" xfId="0" applyNumberFormat="1" applyFont="1" applyBorder="1" applyAlignment="1" applyProtection="1">
      <alignment horizontal="center"/>
      <protection locked="0"/>
    </xf>
    <xf numFmtId="44" fontId="11" fillId="0" borderId="8" xfId="2" applyFont="1" applyBorder="1" applyProtection="1">
      <protection locked="0"/>
    </xf>
    <xf numFmtId="44" fontId="11" fillId="0" borderId="9" xfId="2" applyFont="1" applyBorder="1" applyProtection="1">
      <protection locked="0"/>
    </xf>
    <xf numFmtId="44" fontId="0" fillId="0" borderId="20" xfId="0" applyNumberFormat="1" applyBorder="1" applyProtection="1"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43" fontId="0" fillId="0" borderId="21" xfId="1" applyFont="1" applyBorder="1" applyProtection="1">
      <protection locked="0"/>
    </xf>
    <xf numFmtId="14" fontId="0" fillId="0" borderId="21" xfId="0" applyNumberFormat="1" applyBorder="1" applyProtection="1">
      <protection locked="0"/>
    </xf>
    <xf numFmtId="44" fontId="0" fillId="0" borderId="22" xfId="0" applyNumberFormat="1" applyBorder="1" applyAlignment="1" applyProtection="1">
      <protection locked="0"/>
    </xf>
    <xf numFmtId="44" fontId="10" fillId="0" borderId="7" xfId="2" applyFont="1" applyBorder="1" applyAlignment="1" applyProtection="1">
      <protection locked="0"/>
    </xf>
    <xf numFmtId="43" fontId="0" fillId="0" borderId="6" xfId="0" applyNumberFormat="1" applyBorder="1" applyProtection="1">
      <protection locked="0"/>
    </xf>
    <xf numFmtId="44" fontId="11" fillId="0" borderId="8" xfId="0" applyNumberFormat="1" applyFont="1" applyBorder="1" applyAlignment="1" applyProtection="1">
      <protection locked="0"/>
    </xf>
    <xf numFmtId="43" fontId="0" fillId="0" borderId="12" xfId="1" applyFont="1" applyBorder="1" applyAlignment="1" applyProtection="1">
      <protection locked="0"/>
    </xf>
    <xf numFmtId="44" fontId="11" fillId="0" borderId="9" xfId="0" applyNumberFormat="1" applyFont="1" applyBorder="1" applyAlignment="1" applyProtection="1">
      <protection locked="0"/>
    </xf>
    <xf numFmtId="43" fontId="0" fillId="0" borderId="6" xfId="1" applyFont="1" applyBorder="1" applyAlignment="1" applyProtection="1">
      <protection locked="0"/>
    </xf>
    <xf numFmtId="44" fontId="11" fillId="0" borderId="23" xfId="2" applyFont="1" applyBorder="1" applyProtection="1">
      <protection locked="0"/>
    </xf>
    <xf numFmtId="43" fontId="0" fillId="0" borderId="24" xfId="0" applyNumberFormat="1" applyBorder="1" applyProtection="1">
      <protection locked="0"/>
    </xf>
    <xf numFmtId="44" fontId="11" fillId="0" borderId="23" xfId="0" applyNumberFormat="1" applyFont="1" applyBorder="1" applyProtection="1">
      <protection locked="0"/>
    </xf>
    <xf numFmtId="44" fontId="11" fillId="0" borderId="23" xfId="0" applyNumberFormat="1" applyFont="1" applyBorder="1" applyAlignment="1" applyProtection="1">
      <protection locked="0"/>
    </xf>
    <xf numFmtId="43" fontId="0" fillId="0" borderId="24" xfId="1" applyFont="1" applyBorder="1" applyAlignment="1" applyProtection="1">
      <protection locked="0"/>
    </xf>
    <xf numFmtId="44" fontId="0" fillId="0" borderId="25" xfId="0" applyNumberFormat="1" applyBorder="1" applyProtection="1">
      <protection locked="0"/>
    </xf>
    <xf numFmtId="44" fontId="0" fillId="0" borderId="23" xfId="0" applyNumberFormat="1" applyBorder="1" applyProtection="1">
      <protection locked="0"/>
    </xf>
    <xf numFmtId="43" fontId="0" fillId="0" borderId="24" xfId="1" applyFont="1" applyBorder="1" applyProtection="1">
      <protection locked="0"/>
    </xf>
    <xf numFmtId="44" fontId="12" fillId="0" borderId="9" xfId="2" applyFont="1" applyBorder="1" applyProtection="1">
      <protection locked="0"/>
    </xf>
    <xf numFmtId="44" fontId="12" fillId="0" borderId="9" xfId="0" applyNumberFormat="1" applyFont="1" applyBorder="1" applyProtection="1">
      <protection locked="0"/>
    </xf>
    <xf numFmtId="44" fontId="12" fillId="0" borderId="17" xfId="0" applyNumberFormat="1" applyFont="1" applyBorder="1" applyAlignment="1" applyProtection="1">
      <protection locked="0"/>
    </xf>
    <xf numFmtId="44" fontId="12" fillId="0" borderId="26" xfId="2" applyFont="1" applyBorder="1" applyProtection="1">
      <protection locked="0"/>
    </xf>
    <xf numFmtId="44" fontId="12" fillId="0" borderId="26" xfId="0" applyNumberFormat="1" applyFont="1" applyBorder="1" applyProtection="1">
      <protection locked="0"/>
    </xf>
    <xf numFmtId="44" fontId="9" fillId="0" borderId="10" xfId="0" applyNumberFormat="1" applyFont="1" applyFill="1" applyBorder="1" applyProtection="1">
      <protection locked="0"/>
    </xf>
    <xf numFmtId="44" fontId="5" fillId="0" borderId="0" xfId="0" applyNumberFormat="1" applyFont="1" applyBorder="1" applyAlignment="1" applyProtection="1">
      <alignment horizontal="center"/>
      <protection locked="0"/>
    </xf>
    <xf numFmtId="44" fontId="5" fillId="0" borderId="0" xfId="0" applyNumberFormat="1" applyFont="1" applyBorder="1" applyProtection="1">
      <protection locked="0"/>
    </xf>
    <xf numFmtId="44" fontId="5" fillId="0" borderId="0" xfId="1" applyNumberFormat="1" applyFont="1" applyBorder="1" applyAlignment="1" applyProtection="1">
      <alignment horizontal="center"/>
      <protection locked="0"/>
    </xf>
    <xf numFmtId="44" fontId="5" fillId="0" borderId="17" xfId="0" applyNumberFormat="1" applyFont="1" applyBorder="1" applyProtection="1">
      <protection locked="0"/>
    </xf>
    <xf numFmtId="44" fontId="7" fillId="0" borderId="7" xfId="2" applyFont="1" applyBorder="1" applyProtection="1">
      <protection locked="0"/>
    </xf>
    <xf numFmtId="0" fontId="10" fillId="0" borderId="0" xfId="0" applyFont="1" applyBorder="1" applyProtection="1">
      <protection locked="0"/>
    </xf>
    <xf numFmtId="44" fontId="5" fillId="0" borderId="7" xfId="2" applyFont="1" applyBorder="1" applyProtection="1"/>
    <xf numFmtId="0" fontId="1" fillId="0" borderId="0" xfId="0" applyFont="1" applyBorder="1" applyAlignment="1" applyProtection="1">
      <alignment horizontal="left"/>
      <protection locked="0"/>
    </xf>
    <xf numFmtId="44" fontId="11" fillId="0" borderId="5" xfId="2" applyFont="1" applyBorder="1" applyProtection="1">
      <protection locked="0"/>
    </xf>
    <xf numFmtId="44" fontId="0" fillId="0" borderId="0" xfId="0" applyNumberFormat="1" applyProtection="1">
      <protection locked="0"/>
    </xf>
    <xf numFmtId="44" fontId="0" fillId="0" borderId="0" xfId="2" applyFont="1"/>
    <xf numFmtId="44" fontId="12" fillId="0" borderId="0" xfId="2" applyFont="1" applyAlignment="1">
      <alignment horizontal="center"/>
    </xf>
    <xf numFmtId="0" fontId="18" fillId="0" borderId="0" xfId="0" applyFont="1"/>
    <xf numFmtId="44" fontId="18" fillId="0" borderId="0" xfId="2" applyFont="1"/>
    <xf numFmtId="0" fontId="19" fillId="0" borderId="0" xfId="0" applyFont="1"/>
    <xf numFmtId="44" fontId="19" fillId="0" borderId="27" xfId="2" applyFont="1" applyBorder="1" applyProtection="1">
      <protection locked="0"/>
    </xf>
    <xf numFmtId="44" fontId="19" fillId="0" borderId="0" xfId="2" applyFont="1"/>
    <xf numFmtId="44" fontId="19" fillId="0" borderId="28" xfId="2" applyFont="1" applyBorder="1"/>
    <xf numFmtId="10" fontId="0" fillId="0" borderId="0" xfId="0" applyNumberFormat="1"/>
    <xf numFmtId="44" fontId="0" fillId="0" borderId="0" xfId="0" applyNumberFormat="1"/>
    <xf numFmtId="9" fontId="0" fillId="0" borderId="0" xfId="0" applyNumberFormat="1"/>
    <xf numFmtId="166" fontId="0" fillId="0" borderId="0" xfId="3" applyNumberFormat="1" applyFont="1"/>
    <xf numFmtId="165" fontId="7" fillId="0" borderId="0" xfId="3" applyNumberFormat="1" applyFont="1" applyBorder="1" applyProtection="1"/>
    <xf numFmtId="0" fontId="0" fillId="3" borderId="0" xfId="0" applyFill="1" applyProtection="1"/>
    <xf numFmtId="0" fontId="11" fillId="3" borderId="0" xfId="0" applyFont="1" applyFill="1" applyProtection="1"/>
    <xf numFmtId="0" fontId="1" fillId="0" borderId="0" xfId="0" applyFont="1" applyProtection="1"/>
    <xf numFmtId="0" fontId="1" fillId="2" borderId="0" xfId="0" applyFont="1" applyFill="1" applyProtection="1"/>
    <xf numFmtId="167" fontId="0" fillId="0" borderId="0" xfId="0" applyNumberFormat="1" applyProtection="1">
      <protection locked="0"/>
    </xf>
    <xf numFmtId="43" fontId="12" fillId="0" borderId="0" xfId="0" applyNumberFormat="1" applyFont="1" applyProtection="1">
      <protection locked="0"/>
    </xf>
    <xf numFmtId="43" fontId="12" fillId="4" borderId="0" xfId="0" applyNumberFormat="1" applyFont="1" applyFill="1" applyBorder="1" applyProtection="1">
      <protection locked="0"/>
    </xf>
    <xf numFmtId="0" fontId="12" fillId="4" borderId="0" xfId="0" applyFont="1" applyFill="1" applyBorder="1" applyProtection="1">
      <protection locked="0"/>
    </xf>
    <xf numFmtId="43" fontId="20" fillId="4" borderId="0" xfId="1" applyFont="1" applyFill="1" applyBorder="1" applyProtection="1">
      <protection locked="0"/>
    </xf>
    <xf numFmtId="168" fontId="11" fillId="0" borderId="0" xfId="0" applyNumberFormat="1" applyFont="1" applyProtection="1">
      <protection locked="0"/>
    </xf>
    <xf numFmtId="168" fontId="11" fillId="0" borderId="0" xfId="2" applyNumberFormat="1" applyFont="1" applyBorder="1" applyProtection="1"/>
    <xf numFmtId="9" fontId="0" fillId="0" borderId="0" xfId="0" applyNumberFormat="1" applyBorder="1" applyAlignment="1" applyProtection="1">
      <alignment horizontal="center"/>
      <protection locked="0"/>
    </xf>
    <xf numFmtId="164" fontId="12" fillId="4" borderId="0" xfId="1" applyNumberFormat="1" applyFont="1" applyFill="1" applyBorder="1" applyProtection="1">
      <protection locked="0"/>
    </xf>
    <xf numFmtId="165" fontId="10" fillId="0" borderId="7" xfId="3" applyNumberFormat="1" applyFont="1" applyBorder="1" applyProtection="1">
      <protection locked="0"/>
    </xf>
    <xf numFmtId="44" fontId="12" fillId="0" borderId="0" xfId="0" applyNumberFormat="1" applyFont="1" applyProtection="1">
      <protection locked="0"/>
    </xf>
    <xf numFmtId="43" fontId="12" fillId="0" borderId="0" xfId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0" xfId="0" applyFont="1" applyFill="1" applyProtection="1"/>
    <xf numFmtId="0" fontId="1" fillId="0" borderId="5" xfId="0" applyFont="1" applyBorder="1" applyProtection="1">
      <protection locked="0"/>
    </xf>
    <xf numFmtId="44" fontId="13" fillId="0" borderId="10" xfId="2" applyFont="1" applyFill="1" applyBorder="1" applyProtection="1">
      <protection locked="0"/>
    </xf>
    <xf numFmtId="44" fontId="13" fillId="2" borderId="22" xfId="2" applyFont="1" applyFill="1" applyBorder="1" applyProtection="1">
      <protection locked="0"/>
    </xf>
    <xf numFmtId="44" fontId="13" fillId="0" borderId="0" xfId="2" applyFont="1" applyFill="1" applyBorder="1" applyProtection="1">
      <protection locked="0"/>
    </xf>
    <xf numFmtId="44" fontId="0" fillId="0" borderId="0" xfId="2" applyFont="1" applyProtection="1">
      <protection locked="0"/>
    </xf>
    <xf numFmtId="3" fontId="3" fillId="0" borderId="19" xfId="0" applyNumberFormat="1" applyFont="1" applyBorder="1" applyProtection="1">
      <protection locked="0"/>
    </xf>
    <xf numFmtId="0" fontId="0" fillId="0" borderId="7" xfId="0" applyBorder="1"/>
    <xf numFmtId="0" fontId="0" fillId="4" borderId="0" xfId="0" applyFill="1"/>
    <xf numFmtId="169" fontId="0" fillId="0" borderId="0" xfId="0" applyNumberFormat="1"/>
    <xf numFmtId="0" fontId="1" fillId="0" borderId="7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7" xfId="0" applyFont="1" applyBorder="1" applyAlignment="1"/>
    <xf numFmtId="0" fontId="0" fillId="0" borderId="7" xfId="0" applyBorder="1" applyAlignment="1">
      <alignment horizontal="center"/>
    </xf>
    <xf numFmtId="169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0" fillId="4" borderId="0" xfId="0" applyFill="1" applyBorder="1" applyAlignment="1">
      <alignment horizontal="right"/>
    </xf>
    <xf numFmtId="0" fontId="0" fillId="0" borderId="0" xfId="0" applyFill="1"/>
    <xf numFmtId="169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1" fillId="0" borderId="0" xfId="0" applyFont="1" applyAlignment="1">
      <alignment horizontal="center"/>
    </xf>
    <xf numFmtId="43" fontId="1" fillId="0" borderId="7" xfId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" fillId="0" borderId="0" xfId="0" applyFont="1" applyFill="1" applyBorder="1"/>
    <xf numFmtId="0" fontId="1" fillId="0" borderId="7" xfId="0" applyFont="1" applyFill="1" applyBorder="1"/>
    <xf numFmtId="0" fontId="7" fillId="0" borderId="0" xfId="0" applyFont="1" applyProtection="1">
      <protection locked="0"/>
    </xf>
    <xf numFmtId="44" fontId="1" fillId="0" borderId="0" xfId="0" applyNumberFormat="1" applyFont="1" applyBorder="1" applyProtection="1">
      <protection locked="0"/>
    </xf>
    <xf numFmtId="5" fontId="1" fillId="0" borderId="4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44" fontId="19" fillId="2" borderId="11" xfId="0" applyNumberFormat="1" applyFont="1" applyFill="1" applyBorder="1" applyProtection="1">
      <protection locked="0"/>
    </xf>
    <xf numFmtId="44" fontId="0" fillId="0" borderId="19" xfId="0" applyNumberForma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0" borderId="0" xfId="0" applyFont="1" applyAlignment="1"/>
    <xf numFmtId="0" fontId="0" fillId="4" borderId="0" xfId="0" applyFill="1" applyBorder="1"/>
    <xf numFmtId="0" fontId="0" fillId="0" borderId="0" xfId="0" applyFill="1" applyBorder="1"/>
    <xf numFmtId="0" fontId="21" fillId="0" borderId="8" xfId="0" applyFont="1" applyBorder="1"/>
    <xf numFmtId="0" fontId="0" fillId="0" borderId="12" xfId="0" applyBorder="1"/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6" xfId="0" applyBorder="1"/>
    <xf numFmtId="169" fontId="0" fillId="0" borderId="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1" fillId="0" borderId="31" xfId="0" applyFont="1" applyBorder="1"/>
    <xf numFmtId="0" fontId="1" fillId="0" borderId="9" xfId="0" applyFont="1" applyBorder="1"/>
    <xf numFmtId="0" fontId="1" fillId="0" borderId="29" xfId="0" applyFont="1" applyBorder="1"/>
    <xf numFmtId="0" fontId="12" fillId="0" borderId="0" xfId="0" applyFont="1"/>
    <xf numFmtId="0" fontId="0" fillId="2" borderId="7" xfId="0" applyFill="1" applyBorder="1"/>
    <xf numFmtId="0" fontId="0" fillId="0" borderId="7" xfId="0" applyFill="1" applyBorder="1"/>
    <xf numFmtId="0" fontId="1" fillId="2" borderId="7" xfId="0" applyFont="1" applyFill="1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ont="1" applyFill="1"/>
    <xf numFmtId="44" fontId="5" fillId="0" borderId="32" xfId="0" applyNumberFormat="1" applyFont="1" applyBorder="1" applyAlignment="1" applyProtection="1">
      <protection locked="0"/>
    </xf>
    <xf numFmtId="44" fontId="5" fillId="0" borderId="10" xfId="0" applyNumberFormat="1" applyFont="1" applyBorder="1" applyAlignment="1" applyProtection="1">
      <protection locked="0"/>
    </xf>
    <xf numFmtId="0" fontId="12" fillId="0" borderId="0" xfId="0" applyFont="1" applyBorder="1" applyAlignment="1" applyProtection="1">
      <alignment horizontal="right"/>
      <protection locked="0"/>
    </xf>
    <xf numFmtId="44" fontId="0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2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43" fontId="10" fillId="0" borderId="7" xfId="0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44" fontId="11" fillId="0" borderId="9" xfId="2" applyFont="1" applyBorder="1" applyProtection="1">
      <protection locked="0"/>
    </xf>
    <xf numFmtId="44" fontId="11" fillId="0" borderId="6" xfId="2" applyFont="1" applyBorder="1" applyProtection="1">
      <protection locked="0"/>
    </xf>
    <xf numFmtId="44" fontId="11" fillId="0" borderId="8" xfId="2" applyFont="1" applyBorder="1" applyProtection="1">
      <protection locked="0"/>
    </xf>
    <xf numFmtId="0" fontId="0" fillId="0" borderId="7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25" fillId="0" borderId="34" xfId="0" applyFont="1" applyBorder="1" applyAlignment="1">
      <alignment horizontal="left" vertical="center" wrapText="1"/>
    </xf>
    <xf numFmtId="0" fontId="25" fillId="0" borderId="35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indent="1"/>
    </xf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22" fillId="5" borderId="33" xfId="0" applyFont="1" applyFill="1" applyBorder="1" applyAlignment="1">
      <alignment wrapText="1"/>
    </xf>
    <xf numFmtId="0" fontId="22" fillId="5" borderId="20" xfId="0" applyFont="1" applyFill="1" applyBorder="1" applyAlignment="1">
      <alignment wrapText="1"/>
    </xf>
    <xf numFmtId="0" fontId="1" fillId="0" borderId="0" xfId="0" applyFont="1" applyAlignment="1">
      <alignment wrapText="1"/>
    </xf>
    <xf numFmtId="1" fontId="5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3" fillId="0" borderId="7" xfId="0" applyFont="1" applyBorder="1" applyAlignment="1">
      <alignment horizontal="center" vertical="top" wrapText="1"/>
    </xf>
    <xf numFmtId="44" fontId="3" fillId="0" borderId="7" xfId="2" applyFont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left"/>
    </xf>
    <xf numFmtId="44" fontId="27" fillId="0" borderId="0" xfId="2" applyFont="1" applyAlignment="1">
      <alignment horizontal="center"/>
    </xf>
    <xf numFmtId="0" fontId="1" fillId="6" borderId="0" xfId="0" applyFont="1" applyFill="1"/>
    <xf numFmtId="0" fontId="0" fillId="6" borderId="0" xfId="0" applyFill="1" applyBorder="1" applyAlignment="1">
      <alignment horizontal="right"/>
    </xf>
    <xf numFmtId="0" fontId="0" fillId="6" borderId="0" xfId="0" applyFill="1"/>
    <xf numFmtId="169" fontId="12" fillId="7" borderId="5" xfId="0" applyNumberFormat="1" applyFont="1" applyFill="1" applyBorder="1"/>
    <xf numFmtId="0" fontId="12" fillId="8" borderId="0" xfId="0" applyFont="1" applyFill="1"/>
    <xf numFmtId="0" fontId="1" fillId="0" borderId="0" xfId="0" applyFont="1" applyAlignment="1">
      <alignment horizontal="center" vertical="top" wrapText="1"/>
    </xf>
    <xf numFmtId="0" fontId="5" fillId="0" borderId="0" xfId="0" applyFont="1" applyBorder="1" applyProtection="1">
      <protection locked="0"/>
    </xf>
    <xf numFmtId="43" fontId="12" fillId="0" borderId="7" xfId="1" applyFont="1" applyBorder="1" applyProtection="1">
      <protection locked="0"/>
    </xf>
    <xf numFmtId="0" fontId="12" fillId="0" borderId="0" xfId="1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43" fontId="12" fillId="0" borderId="0" xfId="1" applyFont="1" applyBorder="1" applyProtection="1">
      <protection locked="0"/>
    </xf>
    <xf numFmtId="0" fontId="3" fillId="0" borderId="0" xfId="0" applyFont="1" applyFill="1" applyBorder="1" applyAlignment="1">
      <alignment horizontal="center" vertical="top" wrapText="1"/>
    </xf>
    <xf numFmtId="43" fontId="5" fillId="0" borderId="7" xfId="1" applyFont="1" applyBorder="1" applyProtection="1">
      <protection locked="0"/>
    </xf>
    <xf numFmtId="43" fontId="5" fillId="0" borderId="0" xfId="1" applyFont="1" applyBorder="1" applyProtection="1">
      <protection locked="0"/>
    </xf>
    <xf numFmtId="43" fontId="12" fillId="0" borderId="0" xfId="0" applyNumberFormat="1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43" fontId="20" fillId="0" borderId="0" xfId="1" applyFont="1" applyFill="1" applyBorder="1" applyProtection="1">
      <protection locked="0"/>
    </xf>
    <xf numFmtId="0" fontId="5" fillId="6" borderId="0" xfId="1" applyNumberFormat="1" applyFont="1" applyFill="1" applyBorder="1" applyProtection="1">
      <protection locked="0"/>
    </xf>
    <xf numFmtId="0" fontId="5" fillId="0" borderId="0" xfId="0" applyFont="1" applyBorder="1" applyAlignment="1">
      <alignment horizontal="center"/>
    </xf>
    <xf numFmtId="44" fontId="5" fillId="0" borderId="0" xfId="2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7" fillId="0" borderId="0" xfId="0" applyFont="1" applyAlignment="1">
      <alignment horizontal="left"/>
    </xf>
    <xf numFmtId="0" fontId="0" fillId="0" borderId="0" xfId="0" applyFill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right"/>
      <protection locked="0"/>
    </xf>
    <xf numFmtId="0" fontId="0" fillId="0" borderId="31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4" fillId="0" borderId="2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  <protection locked="0"/>
    </xf>
    <xf numFmtId="14" fontId="3" fillId="0" borderId="2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4" fontId="4" fillId="0" borderId="0" xfId="0" applyNumberFormat="1" applyFont="1" applyBorder="1" applyAlignment="1" applyProtection="1">
      <alignment horizontal="center"/>
      <protection locked="0"/>
    </xf>
    <xf numFmtId="3" fontId="3" fillId="0" borderId="7" xfId="0" applyNumberFormat="1" applyFont="1" applyBorder="1" applyAlignment="1" applyProtection="1">
      <alignment horizontal="left" vertical="center"/>
      <protection locked="0"/>
    </xf>
    <xf numFmtId="3" fontId="4" fillId="0" borderId="7" xfId="0" applyNumberFormat="1" applyFont="1" applyBorder="1" applyAlignment="1" applyProtection="1">
      <alignment horizontal="left" vertical="center"/>
      <protection locked="0"/>
    </xf>
    <xf numFmtId="9" fontId="7" fillId="6" borderId="0" xfId="3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Protection="1">
      <protection locked="0"/>
    </xf>
    <xf numFmtId="3" fontId="3" fillId="0" borderId="0" xfId="0" applyNumberFormat="1" applyFont="1" applyBorder="1" applyAlignment="1" applyProtection="1">
      <alignment horizontal="left" vertical="center"/>
      <protection locked="0"/>
    </xf>
    <xf numFmtId="3" fontId="4" fillId="0" borderId="0" xfId="0" applyNumberFormat="1" applyFont="1" applyBorder="1" applyAlignment="1" applyProtection="1">
      <alignment horizontal="left" vertical="center"/>
      <protection locked="0"/>
    </xf>
    <xf numFmtId="44" fontId="5" fillId="0" borderId="0" xfId="2" applyFont="1" applyBorder="1" applyAlignment="1" applyProtection="1">
      <alignment horizontal="left" vertical="center"/>
      <protection locked="0"/>
    </xf>
    <xf numFmtId="44" fontId="5" fillId="0" borderId="0" xfId="2" applyFont="1" applyBorder="1" applyProtection="1">
      <protection locked="0"/>
    </xf>
    <xf numFmtId="3" fontId="3" fillId="0" borderId="31" xfId="0" applyNumberFormat="1" applyFont="1" applyBorder="1" applyAlignment="1" applyProtection="1">
      <alignment horizontal="left" vertical="center"/>
      <protection locked="0"/>
    </xf>
    <xf numFmtId="3" fontId="4" fillId="0" borderId="31" xfId="0" applyNumberFormat="1" applyFont="1" applyBorder="1" applyAlignment="1" applyProtection="1">
      <alignment horizontal="left" vertical="center"/>
      <protection locked="0"/>
    </xf>
    <xf numFmtId="44" fontId="7" fillId="0" borderId="0" xfId="2" applyFont="1" applyBorder="1" applyAlignment="1" applyProtection="1">
      <alignment horizontal="left" vertical="center"/>
      <protection locked="0"/>
    </xf>
    <xf numFmtId="0" fontId="7" fillId="0" borderId="0" xfId="0" applyFont="1" applyBorder="1" applyProtection="1"/>
    <xf numFmtId="14" fontId="4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9" fillId="2" borderId="32" xfId="0" applyFont="1" applyFill="1" applyBorder="1" applyAlignment="1" applyProtection="1">
      <alignment horizontal="left"/>
      <protection locked="0"/>
    </xf>
    <xf numFmtId="0" fontId="9" fillId="2" borderId="10" xfId="0" applyFont="1" applyFill="1" applyBorder="1" applyAlignment="1" applyProtection="1">
      <alignment horizontal="left"/>
      <protection locked="0"/>
    </xf>
    <xf numFmtId="44" fontId="5" fillId="0" borderId="32" xfId="0" applyNumberFormat="1" applyFont="1" applyBorder="1" applyAlignment="1" applyProtection="1">
      <alignment horizontal="center"/>
      <protection locked="0"/>
    </xf>
    <xf numFmtId="44" fontId="5" fillId="0" borderId="10" xfId="0" applyNumberFormat="1" applyFont="1" applyBorder="1" applyAlignment="1" applyProtection="1">
      <alignment horizontal="center"/>
      <protection locked="0"/>
    </xf>
    <xf numFmtId="44" fontId="5" fillId="0" borderId="32" xfId="1" applyNumberFormat="1" applyFont="1" applyBorder="1" applyAlignment="1" applyProtection="1">
      <alignment horizontal="right"/>
      <protection locked="0"/>
    </xf>
    <xf numFmtId="44" fontId="5" fillId="0" borderId="10" xfId="1" applyNumberFormat="1" applyFont="1" applyBorder="1" applyAlignment="1" applyProtection="1">
      <alignment horizontal="right"/>
      <protection locked="0"/>
    </xf>
    <xf numFmtId="0" fontId="0" fillId="0" borderId="22" xfId="0" applyBorder="1" applyAlignment="1" applyProtection="1">
      <alignment horizontal="center"/>
      <protection locked="0"/>
    </xf>
    <xf numFmtId="44" fontId="10" fillId="0" borderId="7" xfId="2" applyFont="1" applyBorder="1" applyAlignment="1" applyProtection="1">
      <alignment horizontal="center"/>
      <protection locked="0"/>
    </xf>
    <xf numFmtId="44" fontId="0" fillId="0" borderId="8" xfId="0" applyNumberFormat="1" applyBorder="1" applyAlignment="1" applyProtection="1">
      <alignment horizontal="center"/>
      <protection locked="0"/>
    </xf>
    <xf numFmtId="44" fontId="0" fillId="0" borderId="12" xfId="0" applyNumberFormat="1" applyBorder="1" applyAlignment="1" applyProtection="1">
      <alignment horizontal="center"/>
      <protection locked="0"/>
    </xf>
    <xf numFmtId="44" fontId="0" fillId="0" borderId="9" xfId="0" applyNumberFormat="1" applyBorder="1" applyAlignment="1" applyProtection="1">
      <alignment horizontal="center"/>
      <protection locked="0"/>
    </xf>
    <xf numFmtId="44" fontId="0" fillId="0" borderId="6" xfId="0" applyNumberFormat="1" applyBorder="1" applyAlignment="1" applyProtection="1">
      <alignment horizontal="center"/>
      <protection locked="0"/>
    </xf>
    <xf numFmtId="44" fontId="0" fillId="0" borderId="0" xfId="0" applyNumberFormat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44" fontId="5" fillId="0" borderId="11" xfId="0" applyNumberFormat="1" applyFont="1" applyBorder="1" applyAlignment="1" applyProtection="1">
      <alignment horizontal="center"/>
      <protection locked="0"/>
    </xf>
    <xf numFmtId="44" fontId="5" fillId="0" borderId="32" xfId="1" applyNumberFormat="1" applyFont="1" applyBorder="1" applyAlignment="1" applyProtection="1">
      <alignment horizontal="center"/>
      <protection locked="0"/>
    </xf>
    <xf numFmtId="44" fontId="5" fillId="0" borderId="10" xfId="1" applyNumberFormat="1" applyFont="1" applyBorder="1" applyAlignment="1" applyProtection="1">
      <alignment horizontal="center"/>
      <protection locked="0"/>
    </xf>
    <xf numFmtId="43" fontId="0" fillId="0" borderId="21" xfId="0" applyNumberFormat="1" applyBorder="1" applyAlignment="1" applyProtection="1">
      <alignment horizontal="center"/>
      <protection locked="0"/>
    </xf>
    <xf numFmtId="43" fontId="0" fillId="0" borderId="22" xfId="0" applyNumberFormat="1" applyBorder="1" applyAlignment="1" applyProtection="1">
      <alignment horizontal="center"/>
      <protection locked="0"/>
    </xf>
    <xf numFmtId="43" fontId="10" fillId="0" borderId="7" xfId="0" applyNumberFormat="1" applyFont="1" applyBorder="1" applyAlignment="1" applyProtection="1">
      <alignment horizontal="center"/>
      <protection locked="0"/>
    </xf>
    <xf numFmtId="44" fontId="11" fillId="0" borderId="8" xfId="2" applyFont="1" applyBorder="1" applyProtection="1">
      <protection locked="0"/>
    </xf>
    <xf numFmtId="44" fontId="11" fillId="0" borderId="12" xfId="2" applyFont="1" applyBorder="1" applyProtection="1">
      <protection locked="0"/>
    </xf>
    <xf numFmtId="44" fontId="11" fillId="0" borderId="9" xfId="2" applyFont="1" applyBorder="1" applyProtection="1">
      <protection locked="0"/>
    </xf>
    <xf numFmtId="44" fontId="11" fillId="0" borderId="6" xfId="2" applyFont="1" applyBorder="1" applyProtection="1">
      <protection locked="0"/>
    </xf>
    <xf numFmtId="0" fontId="13" fillId="2" borderId="32" xfId="0" applyFont="1" applyFill="1" applyBorder="1" applyAlignment="1" applyProtection="1">
      <alignment horizontal="left"/>
      <protection locked="0"/>
    </xf>
    <xf numFmtId="0" fontId="13" fillId="2" borderId="11" xfId="0" applyFont="1" applyFill="1" applyBorder="1" applyAlignment="1" applyProtection="1">
      <alignment horizontal="left"/>
      <protection locked="0"/>
    </xf>
    <xf numFmtId="0" fontId="0" fillId="0" borderId="7" xfId="0" applyBorder="1" applyAlignment="1">
      <alignment horizontal="center"/>
    </xf>
    <xf numFmtId="44" fontId="0" fillId="0" borderId="4" xfId="2" applyFont="1" applyBorder="1" applyAlignment="1" applyProtection="1">
      <alignment horizontal="center"/>
      <protection locked="0"/>
    </xf>
    <xf numFmtId="44" fontId="0" fillId="0" borderId="2" xfId="2" applyFont="1" applyBorder="1" applyAlignment="1" applyProtection="1">
      <alignment horizontal="center"/>
      <protection locked="0"/>
    </xf>
    <xf numFmtId="9" fontId="7" fillId="0" borderId="0" xfId="3" applyFont="1" applyBorder="1" applyAlignment="1" applyProtection="1">
      <alignment horizontal="left" vertical="center"/>
      <protection locked="0"/>
    </xf>
    <xf numFmtId="0" fontId="7" fillId="0" borderId="0" xfId="0" applyFont="1" applyBorder="1" applyProtection="1">
      <protection locked="0"/>
    </xf>
    <xf numFmtId="44" fontId="7" fillId="0" borderId="0" xfId="2" applyFont="1" applyBorder="1" applyProtection="1">
      <protection locked="0"/>
    </xf>
    <xf numFmtId="5" fontId="7" fillId="0" borderId="4" xfId="0" applyNumberFormat="1" applyFont="1" applyBorder="1" applyAlignment="1" applyProtection="1">
      <alignment horizontal="center"/>
      <protection locked="0"/>
    </xf>
    <xf numFmtId="5" fontId="7" fillId="0" borderId="2" xfId="0" applyNumberFormat="1" applyFont="1" applyBorder="1" applyAlignment="1" applyProtection="1">
      <alignment horizontal="center"/>
      <protection locked="0"/>
    </xf>
    <xf numFmtId="0" fontId="5" fillId="2" borderId="32" xfId="0" applyFon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2" borderId="7" xfId="0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workbookViewId="0">
      <selection activeCell="A31" sqref="A31:G41"/>
    </sheetView>
  </sheetViews>
  <sheetFormatPr defaultRowHeight="12.75" x14ac:dyDescent="0.2"/>
  <cols>
    <col min="1" max="1" width="24.140625" style="177" customWidth="1"/>
    <col min="2" max="2" width="24.85546875" style="177" customWidth="1"/>
    <col min="3" max="3" width="18.140625" style="232" customWidth="1"/>
    <col min="4" max="4" width="17.85546875" style="177" customWidth="1"/>
    <col min="5" max="5" width="32" customWidth="1"/>
    <col min="6" max="6" width="30.42578125" customWidth="1"/>
    <col min="7" max="7" width="44.28515625" customWidth="1"/>
    <col min="8" max="8" width="18" customWidth="1"/>
  </cols>
  <sheetData>
    <row r="1" spans="1:12" ht="50.25" customHeight="1" x14ac:dyDescent="0.2">
      <c r="A1" s="293" t="s">
        <v>295</v>
      </c>
      <c r="B1" s="294"/>
      <c r="C1" s="294"/>
      <c r="D1" s="294"/>
      <c r="E1" s="294"/>
      <c r="F1" s="294"/>
      <c r="G1" s="294"/>
    </row>
    <row r="2" spans="1:12" ht="42" customHeight="1" x14ac:dyDescent="0.2">
      <c r="A2" s="265" t="s">
        <v>245</v>
      </c>
      <c r="B2" s="265" t="s">
        <v>246</v>
      </c>
      <c r="C2" s="266" t="s">
        <v>294</v>
      </c>
      <c r="D2" s="265" t="s">
        <v>153</v>
      </c>
      <c r="E2" s="267" t="s">
        <v>273</v>
      </c>
      <c r="F2" s="267" t="s">
        <v>275</v>
      </c>
      <c r="G2" s="267" t="s">
        <v>274</v>
      </c>
      <c r="H2" s="281" t="s">
        <v>287</v>
      </c>
    </row>
    <row r="3" spans="1:12" ht="27.75" x14ac:dyDescent="0.35">
      <c r="A3" s="253"/>
      <c r="B3" s="253"/>
      <c r="C3" s="254"/>
      <c r="D3" s="253"/>
      <c r="E3" s="255"/>
      <c r="F3" s="260" t="s">
        <v>276</v>
      </c>
      <c r="G3" s="275" t="s">
        <v>285</v>
      </c>
    </row>
    <row r="4" spans="1:12" ht="23.25" x14ac:dyDescent="0.35">
      <c r="A4" s="253"/>
      <c r="B4" s="253"/>
      <c r="C4" s="254"/>
      <c r="D4" s="253"/>
      <c r="E4" s="255"/>
      <c r="F4" s="260"/>
      <c r="G4" s="275"/>
    </row>
    <row r="5" spans="1:12" ht="15.75" x14ac:dyDescent="0.25">
      <c r="A5" s="288" t="s">
        <v>288</v>
      </c>
      <c r="B5" s="288">
        <f>8*10</f>
        <v>80</v>
      </c>
      <c r="C5" s="289">
        <f>'8X10 bid sheet'!G1</f>
        <v>15460.509104031251</v>
      </c>
      <c r="D5" s="235">
        <f>C5/B5</f>
        <v>193.25636380039063</v>
      </c>
      <c r="E5" s="290"/>
      <c r="F5" s="261">
        <f>SUM((8-1.33)*(10-1.33))/3</f>
        <v>19.276299999999999</v>
      </c>
      <c r="G5" s="261">
        <f>SUM((8-1.33)*(10-1.33))/5</f>
        <v>11.56578</v>
      </c>
      <c r="H5" s="264"/>
    </row>
    <row r="6" spans="1:12" ht="23.25" x14ac:dyDescent="0.35">
      <c r="A6" s="253"/>
      <c r="B6" s="253"/>
      <c r="C6" s="254"/>
      <c r="D6" s="253"/>
      <c r="E6" s="255"/>
    </row>
    <row r="7" spans="1:12" ht="15.75" x14ac:dyDescent="0.25">
      <c r="A7" s="233" t="s">
        <v>247</v>
      </c>
      <c r="B7" s="233">
        <v>100</v>
      </c>
      <c r="C7" s="234">
        <v>16565</v>
      </c>
      <c r="D7" s="235">
        <f>C7/B7</f>
        <v>165.65</v>
      </c>
      <c r="F7" s="233">
        <v>25</v>
      </c>
      <c r="G7" s="233">
        <v>15</v>
      </c>
      <c r="H7">
        <v>25000</v>
      </c>
      <c r="J7" s="178" t="s">
        <v>291</v>
      </c>
      <c r="K7" s="178" t="s">
        <v>292</v>
      </c>
      <c r="L7" s="178" t="s">
        <v>293</v>
      </c>
    </row>
    <row r="8" spans="1:12" ht="15.75" x14ac:dyDescent="0.25">
      <c r="A8" s="233"/>
      <c r="B8" s="233"/>
      <c r="C8" s="234"/>
      <c r="D8" s="233"/>
      <c r="F8" s="246"/>
      <c r="G8" s="246"/>
      <c r="J8" s="178">
        <f>48+84</f>
        <v>132</v>
      </c>
      <c r="K8">
        <f>J8/12</f>
        <v>11</v>
      </c>
      <c r="L8">
        <f>K8+1.3333</f>
        <v>12.333299999999999</v>
      </c>
    </row>
    <row r="9" spans="1:12" ht="15.75" x14ac:dyDescent="0.25">
      <c r="A9" s="233" t="s">
        <v>248</v>
      </c>
      <c r="B9" s="233">
        <v>144</v>
      </c>
      <c r="C9" s="234">
        <f>'12X12 Bid Sheet'!G1</f>
        <v>20499.063128162499</v>
      </c>
      <c r="D9" s="235">
        <f>C9/B9</f>
        <v>142.35460505668402</v>
      </c>
      <c r="F9" s="233">
        <v>40</v>
      </c>
      <c r="G9" s="233">
        <v>22</v>
      </c>
    </row>
    <row r="10" spans="1:12" ht="15.75" x14ac:dyDescent="0.25">
      <c r="A10" s="233"/>
      <c r="B10" s="233"/>
      <c r="C10" s="234"/>
      <c r="D10" s="233"/>
      <c r="F10" s="246"/>
      <c r="G10" s="246"/>
    </row>
    <row r="11" spans="1:12" ht="15.75" x14ac:dyDescent="0.25">
      <c r="A11" s="233" t="s">
        <v>249</v>
      </c>
      <c r="B11" s="233">
        <f>12*14</f>
        <v>168</v>
      </c>
      <c r="C11" s="234">
        <f>SUM(C9+C13)/2</f>
        <v>21435.02989220625</v>
      </c>
      <c r="D11" s="235">
        <f>C11/B11</f>
        <v>127.58946364408482</v>
      </c>
      <c r="F11" s="261">
        <f>SUM((12-1.33)*(14-1.33))/3</f>
        <v>45.062966666666661</v>
      </c>
      <c r="G11" s="261">
        <f>SUM((12-1.33)*(14-1.33))/5</f>
        <v>27.037779999999998</v>
      </c>
    </row>
    <row r="12" spans="1:12" ht="15.75" x14ac:dyDescent="0.25">
      <c r="A12" s="233"/>
      <c r="B12" s="233"/>
      <c r="C12" s="234"/>
      <c r="D12" s="233"/>
      <c r="F12" s="233"/>
      <c r="G12" s="233"/>
    </row>
    <row r="13" spans="1:12" ht="15.75" x14ac:dyDescent="0.25">
      <c r="A13" s="233" t="s">
        <v>250</v>
      </c>
      <c r="B13" s="233">
        <f>14*14</f>
        <v>196</v>
      </c>
      <c r="C13" s="234">
        <f>'14x14 BID SHEET'!G1</f>
        <v>22370.996656249998</v>
      </c>
      <c r="D13" s="235">
        <f>C13/B13</f>
        <v>114.13773804209183</v>
      </c>
      <c r="F13" s="261">
        <f>SUM((14-1.33)*(14-1.33))/3</f>
        <v>53.509633333333333</v>
      </c>
      <c r="G13" s="261">
        <f>SUM((14-1.33)*(14-1.33))/5</f>
        <v>32.105779999999996</v>
      </c>
    </row>
    <row r="14" spans="1:12" ht="15.75" x14ac:dyDescent="0.25">
      <c r="A14" s="233"/>
      <c r="B14" s="233"/>
      <c r="C14" s="234"/>
      <c r="D14" s="233"/>
      <c r="F14" s="233"/>
      <c r="G14" s="233"/>
    </row>
    <row r="15" spans="1:12" ht="15.75" x14ac:dyDescent="0.25">
      <c r="A15" s="233" t="s">
        <v>277</v>
      </c>
      <c r="B15" s="233">
        <f>14*16</f>
        <v>224</v>
      </c>
      <c r="C15" s="234">
        <f>SUM(C13+C17)/2</f>
        <v>23584.892086041662</v>
      </c>
      <c r="D15" s="235">
        <f>C15/B15</f>
        <v>105.28969681268599</v>
      </c>
      <c r="F15" s="261">
        <f>SUM((14-1.33)*(16-1.33))/3</f>
        <v>61.956299999999999</v>
      </c>
      <c r="G15" s="261">
        <f>SUM((14-1.33)*(16-1.33))/5</f>
        <v>37.173780000000001</v>
      </c>
    </row>
    <row r="16" spans="1:12" ht="15.75" x14ac:dyDescent="0.25">
      <c r="A16" s="233"/>
      <c r="B16" s="233"/>
      <c r="C16" s="234"/>
      <c r="D16" s="233"/>
      <c r="F16" s="233"/>
      <c r="G16" s="233"/>
    </row>
    <row r="17" spans="1:7" ht="15.75" x14ac:dyDescent="0.25">
      <c r="A17" s="233" t="s">
        <v>241</v>
      </c>
      <c r="B17" s="233">
        <f>16*16</f>
        <v>256</v>
      </c>
      <c r="C17" s="234">
        <f>'16X16 Bid Sheet'!G1</f>
        <v>24798.78751583333</v>
      </c>
      <c r="D17" s="235">
        <f>C17/B17</f>
        <v>96.870263733723945</v>
      </c>
      <c r="F17" s="261">
        <f>SUM((16-1.33)*(16-1.33))/3</f>
        <v>71.7363</v>
      </c>
      <c r="G17" s="261">
        <f>SUM((16-1.33)*(16-1.33))/5</f>
        <v>43.041780000000003</v>
      </c>
    </row>
    <row r="18" spans="1:7" ht="15.75" x14ac:dyDescent="0.25">
      <c r="A18" s="233"/>
      <c r="B18" s="233"/>
      <c r="C18" s="234"/>
      <c r="D18" s="233"/>
      <c r="F18" s="233"/>
      <c r="G18" s="233"/>
    </row>
    <row r="19" spans="1:7" ht="15.75" x14ac:dyDescent="0.25">
      <c r="A19" s="233" t="s">
        <v>251</v>
      </c>
      <c r="B19" s="233">
        <f>16*18</f>
        <v>288</v>
      </c>
      <c r="C19" s="234">
        <f>SUM(C17+C21)/2</f>
        <v>25664.393757916667</v>
      </c>
      <c r="D19" s="235">
        <f>C19/B19</f>
        <v>89.112478326099534</v>
      </c>
      <c r="F19" s="261">
        <f>SUM((16-1.33)*(18-1.33))/3</f>
        <v>81.516300000000015</v>
      </c>
      <c r="G19" s="261">
        <f>SUM((16-1.33)*(18-1.33))/5</f>
        <v>48.909780000000005</v>
      </c>
    </row>
    <row r="20" spans="1:7" ht="15.75" x14ac:dyDescent="0.25">
      <c r="A20" s="233"/>
      <c r="B20" s="233"/>
      <c r="C20" s="234"/>
      <c r="D20" s="233"/>
      <c r="F20" s="233"/>
      <c r="G20" s="233"/>
    </row>
    <row r="21" spans="1:7" ht="15.75" x14ac:dyDescent="0.25">
      <c r="A21" s="233" t="s">
        <v>252</v>
      </c>
      <c r="B21" s="233">
        <f>18*18</f>
        <v>324</v>
      </c>
      <c r="C21" s="234">
        <v>26530</v>
      </c>
      <c r="D21" s="235">
        <f>C21/B21</f>
        <v>81.882716049382722</v>
      </c>
      <c r="F21" s="261">
        <f>SUM((18-1.33)*(18-1.33))/3</f>
        <v>92.629633333333345</v>
      </c>
      <c r="G21" s="261">
        <f>SUM((18-1.33)*(18-1.33))/5</f>
        <v>55.577780000000004</v>
      </c>
    </row>
    <row r="22" spans="1:7" ht="15.75" x14ac:dyDescent="0.25">
      <c r="A22" s="233"/>
      <c r="B22" s="233"/>
      <c r="C22" s="234"/>
      <c r="D22" s="233"/>
      <c r="F22" s="233"/>
      <c r="G22" s="233"/>
    </row>
    <row r="23" spans="1:7" ht="15.75" x14ac:dyDescent="0.25">
      <c r="A23" s="233" t="s">
        <v>253</v>
      </c>
      <c r="B23" s="233">
        <f>18*20</f>
        <v>360</v>
      </c>
      <c r="C23" s="234">
        <f>SUM(C21+C25)/2</f>
        <v>27735.594804166671</v>
      </c>
      <c r="D23" s="235">
        <f>C23/B23</f>
        <v>77.043318900462978</v>
      </c>
      <c r="F23" s="261">
        <f>SUM((18-1.33)*(20-1.33))/3</f>
        <v>103.74296666666669</v>
      </c>
      <c r="G23" s="261">
        <f>SUM((18-1.33)*(20-1.33))/5</f>
        <v>62.245780000000011</v>
      </c>
    </row>
    <row r="24" spans="1:7" ht="15.75" x14ac:dyDescent="0.25">
      <c r="A24" s="233"/>
      <c r="B24" s="233"/>
      <c r="C24" s="234"/>
      <c r="D24" s="233"/>
      <c r="F24" s="233"/>
      <c r="G24" s="233"/>
    </row>
    <row r="25" spans="1:7" ht="15.75" x14ac:dyDescent="0.25">
      <c r="A25" s="233" t="s">
        <v>244</v>
      </c>
      <c r="B25" s="233">
        <f>20*20</f>
        <v>400</v>
      </c>
      <c r="C25" s="234">
        <f>'20X20 Bid Sheet'!G1</f>
        <v>28941.189608333338</v>
      </c>
      <c r="D25" s="235">
        <f>C25/B25</f>
        <v>72.352974020833344</v>
      </c>
      <c r="F25" s="261">
        <f>SUM((20-1.33)*(20-1.33))/3</f>
        <v>116.18963333333335</v>
      </c>
      <c r="G25" s="261">
        <f>SUM((20-1.33)*(20-1.33))/5</f>
        <v>69.713780000000014</v>
      </c>
    </row>
    <row r="26" spans="1:7" ht="15.75" x14ac:dyDescent="0.25">
      <c r="A26" s="233"/>
      <c r="B26" s="233"/>
      <c r="C26" s="234"/>
      <c r="D26" s="233"/>
      <c r="F26" s="233"/>
      <c r="G26" s="233"/>
    </row>
    <row r="27" spans="1:7" ht="15.75" x14ac:dyDescent="0.25">
      <c r="A27" s="233" t="s">
        <v>228</v>
      </c>
      <c r="B27" s="233">
        <f>20*21</f>
        <v>420</v>
      </c>
      <c r="C27" s="234">
        <f>'21x20 Bid Sheet'!G1</f>
        <v>29330.514586000001</v>
      </c>
      <c r="D27" s="235">
        <f>C27/B27</f>
        <v>69.834558538095237</v>
      </c>
      <c r="F27" s="261">
        <f>SUM((20-1.33)*(21-1.33))/3</f>
        <v>122.41296666666669</v>
      </c>
      <c r="G27" s="261">
        <f>SUM((20-1.33)*(21-1.33))/5</f>
        <v>73.447780000000009</v>
      </c>
    </row>
    <row r="28" spans="1:7" ht="15.75" x14ac:dyDescent="0.25">
      <c r="A28" s="233"/>
      <c r="B28" s="233"/>
      <c r="C28" s="234"/>
      <c r="D28" s="233"/>
      <c r="F28" s="246"/>
      <c r="G28" s="246"/>
    </row>
    <row r="29" spans="1:7" ht="15.75" x14ac:dyDescent="0.25">
      <c r="A29" s="233" t="s">
        <v>278</v>
      </c>
      <c r="B29" s="233">
        <f>20*40</f>
        <v>800</v>
      </c>
      <c r="C29" s="234">
        <f>'20X40 Bid Sheet'!G1</f>
        <v>54015.012660279172</v>
      </c>
      <c r="D29" s="235">
        <f>C29/B29</f>
        <v>67.518765825348964</v>
      </c>
      <c r="F29" s="261">
        <f>SUM((20-1.33)*(40-1.33))/3</f>
        <v>240.65630000000002</v>
      </c>
      <c r="G29" s="261">
        <f>SUM((20-1.33)*(40-1.33))/5</f>
        <v>144.39378000000002</v>
      </c>
    </row>
    <row r="30" spans="1:7" ht="15.75" x14ac:dyDescent="0.25">
      <c r="A30" s="233"/>
      <c r="B30" s="233"/>
      <c r="C30" s="234"/>
      <c r="D30" s="233"/>
    </row>
    <row r="31" spans="1:7" ht="15" x14ac:dyDescent="0.25">
      <c r="A31" s="295" t="s">
        <v>279</v>
      </c>
      <c r="B31" s="295"/>
      <c r="C31" s="295"/>
      <c r="D31" s="295"/>
      <c r="E31" s="295"/>
      <c r="F31" s="295"/>
      <c r="G31" s="295"/>
    </row>
    <row r="32" spans="1:7" ht="15" x14ac:dyDescent="0.25">
      <c r="A32" s="268"/>
      <c r="B32" s="295" t="s">
        <v>280</v>
      </c>
      <c r="C32" s="295"/>
      <c r="D32" s="295"/>
      <c r="E32" s="263"/>
      <c r="F32" s="263"/>
      <c r="G32" s="263"/>
    </row>
    <row r="33" spans="1:7" ht="15" x14ac:dyDescent="0.25">
      <c r="A33" s="262"/>
      <c r="B33" s="268" t="s">
        <v>281</v>
      </c>
      <c r="C33" s="269"/>
      <c r="D33" s="262"/>
      <c r="E33" s="263"/>
      <c r="F33" s="263"/>
      <c r="G33" s="263"/>
    </row>
    <row r="34" spans="1:7" ht="15" x14ac:dyDescent="0.25">
      <c r="A34" s="262"/>
      <c r="B34" s="268" t="s">
        <v>282</v>
      </c>
      <c r="C34" s="269"/>
      <c r="D34" s="262"/>
      <c r="E34" s="263"/>
      <c r="F34" s="263"/>
      <c r="G34" s="263"/>
    </row>
    <row r="35" spans="1:7" ht="15" x14ac:dyDescent="0.25">
      <c r="A35" s="262"/>
      <c r="B35" s="268" t="s">
        <v>283</v>
      </c>
      <c r="C35" s="269"/>
      <c r="D35" s="262"/>
      <c r="E35" s="263"/>
      <c r="F35" s="263"/>
      <c r="G35" s="263"/>
    </row>
    <row r="36" spans="1:7" ht="15" x14ac:dyDescent="0.25">
      <c r="A36" s="262"/>
      <c r="B36" s="268" t="s">
        <v>284</v>
      </c>
      <c r="C36" s="269"/>
      <c r="D36" s="262"/>
      <c r="E36" s="263"/>
      <c r="F36" s="263"/>
      <c r="G36" s="263"/>
    </row>
    <row r="37" spans="1:7" ht="25.5" x14ac:dyDescent="0.2">
      <c r="E37" s="258" t="s">
        <v>255</v>
      </c>
      <c r="F37" s="259" t="s">
        <v>256</v>
      </c>
    </row>
    <row r="38" spans="1:7" x14ac:dyDescent="0.2">
      <c r="E38" s="256" t="s">
        <v>257</v>
      </c>
      <c r="F38" s="257" t="s">
        <v>258</v>
      </c>
    </row>
    <row r="39" spans="1:7" x14ac:dyDescent="0.2">
      <c r="E39" s="256" t="s">
        <v>259</v>
      </c>
      <c r="F39" s="257" t="s">
        <v>260</v>
      </c>
    </row>
    <row r="40" spans="1:7" x14ac:dyDescent="0.2">
      <c r="E40" s="256" t="s">
        <v>261</v>
      </c>
      <c r="F40" s="257" t="s">
        <v>262</v>
      </c>
    </row>
    <row r="41" spans="1:7" ht="14.25" x14ac:dyDescent="0.2">
      <c r="E41" s="291" t="s">
        <v>263</v>
      </c>
      <c r="F41" s="292"/>
    </row>
    <row r="42" spans="1:7" ht="13.5" thickBot="1" x14ac:dyDescent="0.25"/>
    <row r="43" spans="1:7" ht="13.5" thickBot="1" x14ac:dyDescent="0.25">
      <c r="E43" s="250"/>
      <c r="F43" s="251"/>
    </row>
    <row r="44" spans="1:7" ht="16.5" x14ac:dyDescent="0.2">
      <c r="E44" s="252" t="s">
        <v>268</v>
      </c>
    </row>
    <row r="47" spans="1:7" x14ac:dyDescent="0.2">
      <c r="E47" s="249" t="s">
        <v>264</v>
      </c>
      <c r="F47" s="249" t="s">
        <v>265</v>
      </c>
      <c r="G47" s="249" t="s">
        <v>270</v>
      </c>
    </row>
    <row r="48" spans="1:7" x14ac:dyDescent="0.2">
      <c r="E48" s="249" t="s">
        <v>269</v>
      </c>
      <c r="F48" s="249" t="s">
        <v>266</v>
      </c>
      <c r="G48" s="249" t="s">
        <v>258</v>
      </c>
    </row>
    <row r="49" spans="5:7" x14ac:dyDescent="0.2">
      <c r="E49" s="249" t="s">
        <v>267</v>
      </c>
      <c r="F49" s="249" t="s">
        <v>265</v>
      </c>
      <c r="G49" s="249" t="s">
        <v>271</v>
      </c>
    </row>
    <row r="50" spans="5:7" x14ac:dyDescent="0.2">
      <c r="E50" s="249" t="s">
        <v>269</v>
      </c>
      <c r="F50" s="249" t="s">
        <v>266</v>
      </c>
      <c r="G50" s="249" t="s">
        <v>272</v>
      </c>
    </row>
    <row r="51" spans="5:7" x14ac:dyDescent="0.2">
      <c r="E51" s="249" t="s">
        <v>269</v>
      </c>
      <c r="F51" s="249"/>
    </row>
  </sheetData>
  <mergeCells count="4">
    <mergeCell ref="E41:F41"/>
    <mergeCell ref="A1:G1"/>
    <mergeCell ref="A31:G31"/>
    <mergeCell ref="B32:D32"/>
  </mergeCells>
  <pageMargins left="0.7" right="0.7" top="0.75" bottom="0.75" header="0.3" footer="0.3"/>
  <pageSetup scale="5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8" sqref="D8"/>
    </sheetView>
  </sheetViews>
  <sheetFormatPr defaultRowHeight="12.75" x14ac:dyDescent="0.2"/>
  <cols>
    <col min="1" max="1" width="40.5703125" bestFit="1" customWidth="1"/>
    <col min="2" max="2" width="10.140625" bestFit="1" customWidth="1"/>
    <col min="3" max="3" width="6.140625" bestFit="1" customWidth="1"/>
    <col min="4" max="4" width="6.42578125" bestFit="1" customWidth="1"/>
    <col min="5" max="5" width="19.140625" bestFit="1" customWidth="1"/>
    <col min="6" max="6" width="12" bestFit="1" customWidth="1"/>
    <col min="7" max="7" width="12.42578125" bestFit="1" customWidth="1"/>
    <col min="8" max="8" width="14.28515625" bestFit="1" customWidth="1"/>
    <col min="9" max="9" width="9.85546875" bestFit="1" customWidth="1"/>
    <col min="10" max="10" width="7.855468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14</v>
      </c>
      <c r="E4" s="193">
        <v>0.33329999999999999</v>
      </c>
      <c r="F4">
        <f>SUM(C4*C3*E4)/27*2</f>
        <v>3.4564444444444442</v>
      </c>
    </row>
    <row r="5" spans="1:10" x14ac:dyDescent="0.2">
      <c r="A5" s="178" t="s">
        <v>112</v>
      </c>
      <c r="B5" s="178" t="s">
        <v>111</v>
      </c>
      <c r="C5" s="174">
        <v>14</v>
      </c>
      <c r="E5" s="177">
        <v>0.33329999999999999</v>
      </c>
      <c r="F5">
        <f>SUM(C5*C3*E5)/27*2</f>
        <v>3.4564444444444442</v>
      </c>
    </row>
    <row r="6" spans="1:10" x14ac:dyDescent="0.2">
      <c r="A6" s="178" t="s">
        <v>117</v>
      </c>
      <c r="B6" s="178" t="s">
        <v>120</v>
      </c>
      <c r="C6" s="188">
        <f>C5-1.32</f>
        <v>12.68</v>
      </c>
      <c r="D6">
        <f>C4-1.32</f>
        <v>12.68</v>
      </c>
      <c r="E6" s="177">
        <v>0.5</v>
      </c>
      <c r="F6" s="175">
        <f>SUM(C6*D6*E6)/27*2</f>
        <v>5.9549037037037031</v>
      </c>
    </row>
    <row r="7" spans="1:10" x14ac:dyDescent="0.2">
      <c r="A7" s="178" t="s">
        <v>119</v>
      </c>
      <c r="B7" s="178" t="s">
        <v>120</v>
      </c>
      <c r="C7" s="188">
        <v>14.5</v>
      </c>
      <c r="D7">
        <v>14.5</v>
      </c>
      <c r="E7" s="177">
        <v>0.5</v>
      </c>
      <c r="F7" s="181">
        <f>SUM(C7*D7*E7)/27</f>
        <v>3.8935185185185186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16.761311111111109</v>
      </c>
      <c r="G9" s="190">
        <f>SUM(27*110)</f>
        <v>2970</v>
      </c>
      <c r="H9" s="191">
        <f>SUM(F9*G9)</f>
        <v>49781.09399999999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226</v>
      </c>
      <c r="B29" s="206"/>
      <c r="C29" s="206"/>
      <c r="D29" s="206"/>
      <c r="E29" s="206"/>
      <c r="F29" s="206"/>
    </row>
    <row r="30" spans="1:10" x14ac:dyDescent="0.2">
      <c r="C30" t="s">
        <v>118</v>
      </c>
      <c r="D30" t="s">
        <v>132</v>
      </c>
      <c r="E30" t="s">
        <v>109</v>
      </c>
    </row>
    <row r="31" spans="1:10" x14ac:dyDescent="0.2">
      <c r="A31" t="s">
        <v>239</v>
      </c>
      <c r="C31">
        <v>10.5</v>
      </c>
      <c r="D31">
        <v>14</v>
      </c>
      <c r="E31">
        <v>4</v>
      </c>
      <c r="F31" t="s">
        <v>12</v>
      </c>
      <c r="G31">
        <f>SUM(C31*D31*E31)+(14*14)</f>
        <v>784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"/>
  <sheetViews>
    <sheetView workbookViewId="0">
      <selection activeCell="M50" sqref="M50"/>
    </sheetView>
  </sheetViews>
  <sheetFormatPr defaultRowHeight="12.75" x14ac:dyDescent="0.2"/>
  <cols>
    <col min="1" max="1" width="2.28515625" bestFit="1" customWidth="1"/>
    <col min="2" max="2" width="33.28515625" bestFit="1" customWidth="1"/>
    <col min="3" max="3" width="9.7109375" bestFit="1" customWidth="1"/>
    <col min="4" max="4" width="8.42578125" bestFit="1" customWidth="1"/>
    <col min="5" max="5" width="12.85546875" bestFit="1" customWidth="1"/>
    <col min="6" max="6" width="5" bestFit="1" customWidth="1"/>
    <col min="7" max="7" width="17.28515625" bestFit="1" customWidth="1"/>
    <col min="8" max="8" width="6.7109375" bestFit="1" customWidth="1"/>
    <col min="9" max="9" width="11.140625" bestFit="1" customWidth="1"/>
    <col min="10" max="10" width="6.7109375" bestFit="1" customWidth="1"/>
    <col min="11" max="11" width="11.140625" bestFit="1" customWidth="1"/>
    <col min="12" max="12" width="18.5703125" bestFit="1" customWidth="1"/>
    <col min="13" max="13" width="5" bestFit="1" customWidth="1"/>
    <col min="14" max="14" width="13.85546875" bestFit="1" customWidth="1"/>
    <col min="15" max="15" width="18.5703125" bestFit="1" customWidth="1"/>
    <col min="16" max="16" width="11.42578125" bestFit="1" customWidth="1"/>
  </cols>
  <sheetData>
    <row r="1" spans="1:17" ht="13.15" customHeight="1" x14ac:dyDescent="0.2">
      <c r="A1" s="296"/>
      <c r="B1" s="297"/>
      <c r="C1" s="297"/>
      <c r="D1" s="297"/>
      <c r="E1" s="298" t="s">
        <v>127</v>
      </c>
      <c r="F1" s="299"/>
      <c r="G1" s="99">
        <f>SUM(O93)</f>
        <v>24798.78751583333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  <c r="Q1" s="13"/>
    </row>
    <row r="2" spans="1:17" ht="13.15" customHeight="1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  <c r="Q2" s="13"/>
    </row>
    <row r="3" spans="1:17" ht="18.75" thickBot="1" x14ac:dyDescent="0.3">
      <c r="A3" s="296"/>
      <c r="B3" s="92" t="s">
        <v>84</v>
      </c>
      <c r="C3" s="172" t="s">
        <v>241</v>
      </c>
      <c r="D3" s="100" t="s">
        <v>102</v>
      </c>
      <c r="E3" s="302"/>
      <c r="F3" s="302"/>
      <c r="G3" s="302"/>
      <c r="H3" s="101"/>
      <c r="I3" s="56">
        <v>256</v>
      </c>
      <c r="J3" s="201" t="s">
        <v>12</v>
      </c>
      <c r="K3" s="101"/>
      <c r="L3" s="203">
        <f>SUM(L93/I3)</f>
        <v>64.580175822482644</v>
      </c>
      <c r="M3" s="101"/>
      <c r="N3" s="203">
        <f>SUM(G1/I3)</f>
        <v>96.870263733723945</v>
      </c>
      <c r="O3" s="101"/>
      <c r="P3" s="101"/>
      <c r="Q3" s="13"/>
    </row>
    <row r="4" spans="1:17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  <c r="Q4" s="13"/>
    </row>
    <row r="5" spans="1:17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  <c r="Q5" s="13"/>
    </row>
    <row r="6" spans="1:17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  <c r="Q6" s="13"/>
    </row>
    <row r="7" spans="1:17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  <c r="Q7" s="13"/>
    </row>
    <row r="8" spans="1:17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SUM(N29,N43,M68,M80,M90)</f>
        <v>8266.2625052777785</v>
      </c>
      <c r="I8" s="316"/>
      <c r="J8" s="308"/>
      <c r="K8" s="357">
        <f>N8*H8</f>
        <v>826626.25052777783</v>
      </c>
      <c r="L8" s="357"/>
      <c r="M8" s="55" t="s">
        <v>103</v>
      </c>
      <c r="N8" s="195">
        <v>100</v>
      </c>
      <c r="O8" s="75"/>
      <c r="P8" s="80"/>
      <c r="Q8" s="13"/>
    </row>
    <row r="9" spans="1:17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4133.1312526388892</v>
      </c>
      <c r="I9" s="320"/>
      <c r="J9" s="308"/>
      <c r="K9" s="10"/>
      <c r="L9" s="11">
        <f>200*H9</f>
        <v>826626.25052777783</v>
      </c>
      <c r="M9" s="10" t="s">
        <v>104</v>
      </c>
      <c r="N9" s="12"/>
      <c r="O9" s="75"/>
      <c r="P9" s="80"/>
      <c r="Q9" s="13"/>
    </row>
    <row r="10" spans="1:17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  <c r="Q10" s="13"/>
    </row>
    <row r="11" spans="1:17" ht="18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  <c r="Q11" s="13"/>
    </row>
    <row r="12" spans="1:17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  <c r="Q12" s="13"/>
    </row>
    <row r="13" spans="1:17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  <c r="Q13" s="13"/>
    </row>
    <row r="14" spans="1:17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SUM(H45,K68,J80,J90)</f>
        <v>1136.575</v>
      </c>
      <c r="I14" s="316"/>
      <c r="J14" s="308"/>
      <c r="K14" s="323"/>
      <c r="L14" s="324"/>
      <c r="M14" s="324"/>
      <c r="N14" s="324"/>
      <c r="O14" s="324"/>
      <c r="P14" s="325"/>
      <c r="Q14" s="13"/>
    </row>
    <row r="15" spans="1:17" ht="15.6" customHeight="1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568.28750000000002</v>
      </c>
      <c r="I15" s="320"/>
      <c r="J15" s="308"/>
      <c r="K15" s="324"/>
      <c r="L15" s="324"/>
      <c r="M15" s="324"/>
      <c r="N15" s="324"/>
      <c r="O15" s="324"/>
      <c r="P15" s="325"/>
      <c r="Q15" s="13"/>
    </row>
    <row r="16" spans="1:17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  <c r="Q16" s="13"/>
    </row>
    <row r="17" spans="1:17" ht="13.15" customHeight="1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  <c r="Q17" s="13"/>
    </row>
    <row r="18" spans="1:17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  <c r="Q18" s="13"/>
    </row>
    <row r="19" spans="1:17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  <c r="Q19" s="13"/>
    </row>
    <row r="20" spans="1:17" x14ac:dyDescent="0.2">
      <c r="A20" s="95" t="s">
        <v>68</v>
      </c>
      <c r="B20" s="151" t="s">
        <v>88</v>
      </c>
      <c r="C20" s="82">
        <v>12</v>
      </c>
      <c r="D20" s="69">
        <f>SUM(E15)</f>
        <v>15</v>
      </c>
      <c r="E20" s="41">
        <f t="shared" ref="E20:E28" si="0">IF(A20="X",D20*C20,0)</f>
        <v>180</v>
      </c>
      <c r="F20" s="97" t="s">
        <v>25</v>
      </c>
      <c r="G20" s="107">
        <f t="shared" ref="G20:G28" si="1">E20*$F$19</f>
        <v>54</v>
      </c>
      <c r="H20" s="25" t="s">
        <v>25</v>
      </c>
      <c r="I20" s="15">
        <f t="shared" ref="I20:I28" si="2">E20*$H$19</f>
        <v>45</v>
      </c>
      <c r="J20" s="108"/>
      <c r="K20" s="109"/>
      <c r="L20" s="3">
        <f t="shared" ref="L20:L28" si="3">SUM(E20:K20)</f>
        <v>279</v>
      </c>
      <c r="M20" s="26" t="s">
        <v>25</v>
      </c>
      <c r="N20" s="15">
        <f t="shared" ref="N20:N28" si="4">L20*$M$19</f>
        <v>139.5</v>
      </c>
      <c r="O20" s="3">
        <f t="shared" ref="O20:O28" si="5">SUM(N20+L20)</f>
        <v>418.5</v>
      </c>
      <c r="P20" s="80">
        <f>SUM(I1/O20)</f>
        <v>0</v>
      </c>
      <c r="Q20" s="13"/>
    </row>
    <row r="21" spans="1:17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41">
        <f t="shared" si="0"/>
        <v>120</v>
      </c>
      <c r="F21" s="98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  <c r="Q21" s="13"/>
    </row>
    <row r="22" spans="1:17" x14ac:dyDescent="0.2">
      <c r="A22" s="95" t="s">
        <v>68</v>
      </c>
      <c r="B22" s="151" t="s">
        <v>106</v>
      </c>
      <c r="C22" s="82">
        <v>18</v>
      </c>
      <c r="D22" s="69">
        <f>SUM(E15)</f>
        <v>15</v>
      </c>
      <c r="E22" s="41">
        <f>IF(A22="X",D22*C22,0)</f>
        <v>270</v>
      </c>
      <c r="F22" s="98" t="s">
        <v>25</v>
      </c>
      <c r="G22" s="107">
        <f t="shared" si="1"/>
        <v>81</v>
      </c>
      <c r="H22" s="27" t="s">
        <v>25</v>
      </c>
      <c r="I22" s="15">
        <f t="shared" si="2"/>
        <v>67.5</v>
      </c>
      <c r="J22" s="110"/>
      <c r="K22" s="111"/>
      <c r="L22" s="3">
        <f t="shared" si="3"/>
        <v>418.5</v>
      </c>
      <c r="M22" s="26" t="s">
        <v>25</v>
      </c>
      <c r="N22" s="15">
        <f t="shared" si="4"/>
        <v>209.25</v>
      </c>
      <c r="O22" s="3">
        <f>SUM(N22+L22)</f>
        <v>627.75</v>
      </c>
      <c r="P22" s="80">
        <f t="shared" si="6"/>
        <v>627.75</v>
      </c>
      <c r="Q22" s="13"/>
    </row>
    <row r="23" spans="1:17" x14ac:dyDescent="0.2">
      <c r="A23" s="95" t="s">
        <v>68</v>
      </c>
      <c r="B23" s="151" t="s">
        <v>79</v>
      </c>
      <c r="C23" s="82">
        <v>20</v>
      </c>
      <c r="D23" s="69">
        <v>15</v>
      </c>
      <c r="E23" s="41">
        <f>IF(A23="X",D23*C23,0)</f>
        <v>300</v>
      </c>
      <c r="F23" s="98" t="s">
        <v>25</v>
      </c>
      <c r="G23" s="107">
        <f t="shared" si="1"/>
        <v>90</v>
      </c>
      <c r="H23" s="27" t="s">
        <v>25</v>
      </c>
      <c r="I23" s="15">
        <f t="shared" si="2"/>
        <v>75</v>
      </c>
      <c r="J23" s="110"/>
      <c r="K23" s="111"/>
      <c r="L23" s="3">
        <f t="shared" si="3"/>
        <v>465</v>
      </c>
      <c r="M23" s="26" t="s">
        <v>25</v>
      </c>
      <c r="N23" s="15">
        <f t="shared" si="4"/>
        <v>232.5</v>
      </c>
      <c r="O23" s="3">
        <f>SUM(N23+L23)</f>
        <v>697.5</v>
      </c>
      <c r="P23" s="80">
        <f t="shared" si="6"/>
        <v>697.5</v>
      </c>
      <c r="Q23" s="13"/>
    </row>
    <row r="24" spans="1:17" x14ac:dyDescent="0.2">
      <c r="A24" s="95" t="s">
        <v>68</v>
      </c>
      <c r="B24" s="151" t="s">
        <v>72</v>
      </c>
      <c r="C24" s="82">
        <v>5</v>
      </c>
      <c r="D24" s="159">
        <f>SUM(E16)</f>
        <v>16.100000000000001</v>
      </c>
      <c r="E24" s="41">
        <f>IF(A24="X",D24*C24,0)</f>
        <v>80.5</v>
      </c>
      <c r="F24" s="98" t="s">
        <v>25</v>
      </c>
      <c r="G24" s="107">
        <f t="shared" si="1"/>
        <v>24.15</v>
      </c>
      <c r="H24" s="27" t="s">
        <v>25</v>
      </c>
      <c r="I24" s="15">
        <f t="shared" si="2"/>
        <v>20.125</v>
      </c>
      <c r="J24" s="110"/>
      <c r="K24" s="111"/>
      <c r="L24" s="3">
        <f t="shared" si="3"/>
        <v>124.77500000000001</v>
      </c>
      <c r="M24" s="26" t="s">
        <v>25</v>
      </c>
      <c r="N24" s="15">
        <f t="shared" si="4"/>
        <v>62.387500000000003</v>
      </c>
      <c r="O24" s="3">
        <f>SUM(N24+L24)</f>
        <v>187.16250000000002</v>
      </c>
      <c r="P24" s="80">
        <f t="shared" si="6"/>
        <v>187.16250000000002</v>
      </c>
      <c r="Q24" s="13"/>
    </row>
    <row r="25" spans="1:17" x14ac:dyDescent="0.2">
      <c r="A25" s="33" t="s">
        <v>26</v>
      </c>
      <c r="B25" s="151" t="s">
        <v>154</v>
      </c>
      <c r="C25" s="82">
        <v>9</v>
      </c>
      <c r="D25" s="69">
        <f>SUM(E15)</f>
        <v>15</v>
      </c>
      <c r="E25" s="41">
        <f t="shared" si="0"/>
        <v>135</v>
      </c>
      <c r="F25" s="98" t="s">
        <v>25</v>
      </c>
      <c r="G25" s="107">
        <f t="shared" si="1"/>
        <v>40.5</v>
      </c>
      <c r="H25" s="27" t="s">
        <v>25</v>
      </c>
      <c r="I25" s="15">
        <f t="shared" si="2"/>
        <v>33.75</v>
      </c>
      <c r="J25" s="110"/>
      <c r="K25" s="111"/>
      <c r="L25" s="3">
        <f t="shared" si="3"/>
        <v>209.25</v>
      </c>
      <c r="M25" s="26" t="s">
        <v>25</v>
      </c>
      <c r="N25" s="15">
        <f t="shared" si="4"/>
        <v>104.625</v>
      </c>
      <c r="O25" s="3">
        <f t="shared" si="5"/>
        <v>313.875</v>
      </c>
      <c r="P25" s="80">
        <f t="shared" si="6"/>
        <v>313.875</v>
      </c>
      <c r="Q25" s="13"/>
    </row>
    <row r="26" spans="1:17" x14ac:dyDescent="0.2">
      <c r="A26" s="149" t="s">
        <v>68</v>
      </c>
      <c r="B26" s="151" t="s">
        <v>148</v>
      </c>
      <c r="C26" s="82">
        <v>14</v>
      </c>
      <c r="D26" s="159">
        <f>SUM(E16)</f>
        <v>16.100000000000001</v>
      </c>
      <c r="E26" s="41">
        <f t="shared" si="0"/>
        <v>225.40000000000003</v>
      </c>
      <c r="F26" s="98" t="s">
        <v>25</v>
      </c>
      <c r="G26" s="107">
        <f t="shared" si="1"/>
        <v>67.62</v>
      </c>
      <c r="H26" s="27" t="s">
        <v>25</v>
      </c>
      <c r="I26" s="15">
        <f t="shared" si="2"/>
        <v>56.350000000000009</v>
      </c>
      <c r="J26" s="110"/>
      <c r="K26" s="111"/>
      <c r="L26" s="3">
        <f t="shared" si="3"/>
        <v>349.37000000000006</v>
      </c>
      <c r="M26" s="26" t="s">
        <v>25</v>
      </c>
      <c r="N26" s="15">
        <f t="shared" si="4"/>
        <v>174.68500000000003</v>
      </c>
      <c r="O26" s="3">
        <f t="shared" si="5"/>
        <v>524.05500000000006</v>
      </c>
      <c r="P26" s="80">
        <f t="shared" si="6"/>
        <v>524.05500000000006</v>
      </c>
      <c r="Q26" s="13"/>
    </row>
    <row r="27" spans="1:17" x14ac:dyDescent="0.2">
      <c r="A27" s="149" t="s">
        <v>68</v>
      </c>
      <c r="B27" s="93" t="s">
        <v>81</v>
      </c>
      <c r="C27" s="82">
        <v>2</v>
      </c>
      <c r="D27" s="159">
        <f>SUM(E16)</f>
        <v>16.100000000000001</v>
      </c>
      <c r="E27" s="41">
        <f t="shared" si="0"/>
        <v>32.200000000000003</v>
      </c>
      <c r="F27" s="98" t="s">
        <v>25</v>
      </c>
      <c r="G27" s="107">
        <f t="shared" si="1"/>
        <v>9.66</v>
      </c>
      <c r="H27" s="27" t="s">
        <v>25</v>
      </c>
      <c r="I27" s="15">
        <f t="shared" si="2"/>
        <v>8.0500000000000007</v>
      </c>
      <c r="J27" s="110"/>
      <c r="K27" s="111"/>
      <c r="L27" s="3">
        <f t="shared" si="3"/>
        <v>49.91</v>
      </c>
      <c r="M27" s="26" t="s">
        <v>25</v>
      </c>
      <c r="N27" s="15">
        <f t="shared" si="4"/>
        <v>24.954999999999998</v>
      </c>
      <c r="O27" s="3">
        <f t="shared" si="5"/>
        <v>74.864999999999995</v>
      </c>
      <c r="P27" s="80">
        <f t="shared" si="6"/>
        <v>74.864999999999995</v>
      </c>
      <c r="Q27" s="13"/>
    </row>
    <row r="28" spans="1:17" x14ac:dyDescent="0.2">
      <c r="A28" s="149" t="s">
        <v>68</v>
      </c>
      <c r="B28" s="93" t="s">
        <v>149</v>
      </c>
      <c r="C28" s="64">
        <v>14</v>
      </c>
      <c r="D28" s="69">
        <f>SUM(E15)</f>
        <v>15</v>
      </c>
      <c r="E28" s="41">
        <f t="shared" si="0"/>
        <v>210</v>
      </c>
      <c r="F28" s="112" t="s">
        <v>25</v>
      </c>
      <c r="G28" s="113">
        <f t="shared" si="1"/>
        <v>63</v>
      </c>
      <c r="H28" s="114" t="s">
        <v>25</v>
      </c>
      <c r="I28" s="119">
        <f t="shared" si="2"/>
        <v>52.5</v>
      </c>
      <c r="J28" s="115"/>
      <c r="K28" s="116"/>
      <c r="L28" s="117">
        <f t="shared" si="3"/>
        <v>325.5</v>
      </c>
      <c r="M28" s="118" t="s">
        <v>25</v>
      </c>
      <c r="N28" s="119">
        <f t="shared" si="4"/>
        <v>162.75</v>
      </c>
      <c r="O28" s="117">
        <f t="shared" si="5"/>
        <v>488.25</v>
      </c>
      <c r="P28" s="80">
        <f t="shared" si="6"/>
        <v>488.25</v>
      </c>
      <c r="Q28" s="13"/>
    </row>
    <row r="29" spans="1:17" x14ac:dyDescent="0.2">
      <c r="A29" s="9"/>
      <c r="B29" s="24"/>
      <c r="C29" s="65">
        <f>SUM(C20:C28)</f>
        <v>102</v>
      </c>
      <c r="D29" s="60"/>
      <c r="E29" s="48">
        <f>SUM(E20:E28)</f>
        <v>1553.1000000000001</v>
      </c>
      <c r="F29" s="120" t="s">
        <v>25</v>
      </c>
      <c r="G29" s="59">
        <f>SUM(G20:G28)</f>
        <v>465.93</v>
      </c>
      <c r="H29" s="121" t="s">
        <v>25</v>
      </c>
      <c r="I29" s="57">
        <f>SUM(I20:I28)</f>
        <v>388.27500000000003</v>
      </c>
      <c r="J29" s="121"/>
      <c r="K29" s="59"/>
      <c r="L29" s="63">
        <f>SUM(L20:L28)</f>
        <v>2407.3050000000003</v>
      </c>
      <c r="M29" s="121" t="s">
        <v>25</v>
      </c>
      <c r="N29" s="57">
        <f>SUM(N20:N28)</f>
        <v>1203.6525000000001</v>
      </c>
      <c r="O29" s="58">
        <f>SUM(O20:O28)</f>
        <v>3610.9574999999995</v>
      </c>
      <c r="P29" s="122">
        <f>SUM(O29/1)</f>
        <v>3610.9574999999995</v>
      </c>
      <c r="Q29" s="13"/>
    </row>
    <row r="30" spans="1:17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  <c r="Q30" s="13"/>
    </row>
    <row r="31" spans="1:17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  <c r="Q31" s="13"/>
    </row>
    <row r="32" spans="1:17" x14ac:dyDescent="0.2">
      <c r="A32" s="152" t="s">
        <v>26</v>
      </c>
      <c r="B32" s="24" t="s">
        <v>35</v>
      </c>
      <c r="C32" s="83">
        <v>10</v>
      </c>
      <c r="D32" s="45">
        <v>40</v>
      </c>
      <c r="E32" s="41">
        <f>IF(A32="X",D32*C32,0)</f>
        <v>400</v>
      </c>
      <c r="F32" s="112" t="s">
        <v>25</v>
      </c>
      <c r="G32" s="113">
        <f>E32*$F$19</f>
        <v>120</v>
      </c>
      <c r="H32" s="27" t="s">
        <v>25</v>
      </c>
      <c r="I32" s="15">
        <f t="shared" ref="I32:I42" si="7">E32*$H$19</f>
        <v>100</v>
      </c>
      <c r="J32" s="110"/>
      <c r="K32" s="111"/>
      <c r="L32" s="3">
        <f t="shared" ref="L32:L42" si="8">SUM(E32:K32)</f>
        <v>620</v>
      </c>
      <c r="M32" s="26" t="s">
        <v>25</v>
      </c>
      <c r="N32" s="15">
        <f t="shared" ref="N32:N42" si="9">L32*$M$19</f>
        <v>310</v>
      </c>
      <c r="O32" s="3">
        <f>SUM(N32+L32)</f>
        <v>930</v>
      </c>
      <c r="P32" s="80">
        <f t="shared" ref="P32:P45" si="10">SUM(O32)</f>
        <v>930</v>
      </c>
      <c r="Q32" s="13"/>
    </row>
    <row r="33" spans="1:17" x14ac:dyDescent="0.2">
      <c r="A33" s="150" t="str">
        <f>IF(A20="X",A20,"")</f>
        <v>x</v>
      </c>
      <c r="B33" s="68" t="s">
        <v>31</v>
      </c>
      <c r="C33" s="83">
        <v>2</v>
      </c>
      <c r="D33" s="45">
        <v>40</v>
      </c>
      <c r="E33" s="41">
        <f t="shared" ref="E33:E42" si="11">IF(A33="X",D33*C33,0)</f>
        <v>80</v>
      </c>
      <c r="F33" s="98" t="s">
        <v>25</v>
      </c>
      <c r="G33" s="107">
        <f t="shared" ref="G33:G42" si="12">E33*$F$19</f>
        <v>24</v>
      </c>
      <c r="H33" s="27" t="s">
        <v>25</v>
      </c>
      <c r="I33" s="15">
        <f t="shared" si="7"/>
        <v>20</v>
      </c>
      <c r="J33" s="110"/>
      <c r="K33" s="111"/>
      <c r="L33" s="3">
        <f t="shared" si="8"/>
        <v>124</v>
      </c>
      <c r="M33" s="26" t="s">
        <v>25</v>
      </c>
      <c r="N33" s="15">
        <f t="shared" si="9"/>
        <v>62</v>
      </c>
      <c r="O33" s="3">
        <f t="shared" ref="O33:O42" si="13">SUM(N33+L33)</f>
        <v>186</v>
      </c>
      <c r="P33" s="80">
        <f t="shared" si="10"/>
        <v>186</v>
      </c>
      <c r="Q33" s="13"/>
    </row>
    <row r="34" spans="1:17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186</v>
      </c>
      <c r="O34" s="3">
        <f t="shared" si="13"/>
        <v>558</v>
      </c>
      <c r="P34" s="80">
        <f t="shared" si="10"/>
        <v>558</v>
      </c>
      <c r="Q34" s="13"/>
    </row>
    <row r="35" spans="1:17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  <c r="Q35" s="13"/>
    </row>
    <row r="36" spans="1:17" x14ac:dyDescent="0.2">
      <c r="A36" s="150" t="str">
        <f>IF(A22="X",A22,"")</f>
        <v>x</v>
      </c>
      <c r="B36" s="151" t="s">
        <v>80</v>
      </c>
      <c r="C36" s="83">
        <v>5</v>
      </c>
      <c r="D36" s="45">
        <v>40</v>
      </c>
      <c r="E36" s="41">
        <f>IF(A36="X",D36*C36,0)</f>
        <v>200</v>
      </c>
      <c r="F36" s="98" t="s">
        <v>25</v>
      </c>
      <c r="G36" s="107">
        <f t="shared" si="12"/>
        <v>60</v>
      </c>
      <c r="H36" s="27" t="s">
        <v>25</v>
      </c>
      <c r="I36" s="15">
        <f t="shared" si="7"/>
        <v>50</v>
      </c>
      <c r="J36" s="110"/>
      <c r="K36" s="111"/>
      <c r="L36" s="3">
        <f t="shared" si="8"/>
        <v>310</v>
      </c>
      <c r="M36" s="26" t="s">
        <v>25</v>
      </c>
      <c r="N36" s="15">
        <f t="shared" si="9"/>
        <v>155</v>
      </c>
      <c r="O36" s="3">
        <f>SUM(N36+L36)</f>
        <v>465</v>
      </c>
      <c r="P36" s="80">
        <f t="shared" si="10"/>
        <v>465</v>
      </c>
      <c r="Q36" s="13"/>
    </row>
    <row r="37" spans="1:17" x14ac:dyDescent="0.2">
      <c r="A37" s="150" t="str">
        <f>IF(A23="X",A23,"")</f>
        <v>x</v>
      </c>
      <c r="B37" s="151" t="s">
        <v>124</v>
      </c>
      <c r="C37" s="83">
        <v>2</v>
      </c>
      <c r="D37" s="45">
        <v>40</v>
      </c>
      <c r="E37" s="41">
        <f>IF(A37="X",D37*C37,0)</f>
        <v>80</v>
      </c>
      <c r="F37" s="98" t="s">
        <v>25</v>
      </c>
      <c r="G37" s="107">
        <f t="shared" si="12"/>
        <v>24</v>
      </c>
      <c r="H37" s="27" t="s">
        <v>25</v>
      </c>
      <c r="I37" s="15">
        <f t="shared" si="7"/>
        <v>20</v>
      </c>
      <c r="J37" s="110"/>
      <c r="K37" s="111"/>
      <c r="L37" s="3">
        <f t="shared" si="8"/>
        <v>124</v>
      </c>
      <c r="M37" s="26" t="s">
        <v>25</v>
      </c>
      <c r="N37" s="15">
        <f t="shared" si="9"/>
        <v>62</v>
      </c>
      <c r="O37" s="3">
        <f>SUM(N37+L37)</f>
        <v>186</v>
      </c>
      <c r="P37" s="80">
        <f t="shared" si="10"/>
        <v>186</v>
      </c>
      <c r="Q37" s="13"/>
    </row>
    <row r="38" spans="1:17" x14ac:dyDescent="0.2">
      <c r="A38" s="150" t="str">
        <f>IF(A24="X",A24,"")</f>
        <v>x</v>
      </c>
      <c r="B38" s="151" t="s">
        <v>72</v>
      </c>
      <c r="C38" s="83">
        <v>6</v>
      </c>
      <c r="D38" s="45">
        <v>40</v>
      </c>
      <c r="E38" s="41">
        <f>IF(A38="X",D38*C38,0)</f>
        <v>240</v>
      </c>
      <c r="F38" s="98" t="s">
        <v>25</v>
      </c>
      <c r="G38" s="107">
        <f t="shared" si="12"/>
        <v>72</v>
      </c>
      <c r="H38" s="27" t="s">
        <v>25</v>
      </c>
      <c r="I38" s="15">
        <f t="shared" si="7"/>
        <v>60</v>
      </c>
      <c r="J38" s="110"/>
      <c r="K38" s="111"/>
      <c r="L38" s="3">
        <f t="shared" si="8"/>
        <v>372</v>
      </c>
      <c r="M38" s="26" t="s">
        <v>25</v>
      </c>
      <c r="N38" s="15">
        <f t="shared" si="9"/>
        <v>186</v>
      </c>
      <c r="O38" s="3">
        <f>SUM(N38+L38)</f>
        <v>558</v>
      </c>
      <c r="P38" s="80">
        <f t="shared" si="10"/>
        <v>558</v>
      </c>
      <c r="Q38" s="13"/>
    </row>
    <row r="39" spans="1:17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  <c r="Q39" s="13"/>
    </row>
    <row r="40" spans="1:17" x14ac:dyDescent="0.2">
      <c r="A40" s="150" t="str">
        <f>IF(A26="X",A26,"")</f>
        <v>x</v>
      </c>
      <c r="B40" s="151" t="s">
        <v>149</v>
      </c>
      <c r="C40" s="83">
        <v>4</v>
      </c>
      <c r="D40" s="45">
        <v>40</v>
      </c>
      <c r="E40" s="41">
        <f t="shared" si="11"/>
        <v>160</v>
      </c>
      <c r="F40" s="112" t="s">
        <v>25</v>
      </c>
      <c r="G40" s="113">
        <f t="shared" si="12"/>
        <v>48</v>
      </c>
      <c r="H40" s="27" t="s">
        <v>25</v>
      </c>
      <c r="I40" s="15">
        <f t="shared" si="7"/>
        <v>40</v>
      </c>
      <c r="J40" s="110"/>
      <c r="K40" s="111"/>
      <c r="L40" s="3">
        <f t="shared" si="8"/>
        <v>248</v>
      </c>
      <c r="M40" s="26" t="s">
        <v>25</v>
      </c>
      <c r="N40" s="15">
        <f t="shared" si="9"/>
        <v>124</v>
      </c>
      <c r="O40" s="3">
        <f t="shared" si="13"/>
        <v>372</v>
      </c>
      <c r="P40" s="80">
        <f t="shared" si="10"/>
        <v>372</v>
      </c>
      <c r="Q40" s="13"/>
    </row>
    <row r="41" spans="1:17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31</v>
      </c>
      <c r="O41" s="3">
        <f t="shared" si="13"/>
        <v>93</v>
      </c>
      <c r="P41" s="80">
        <f t="shared" si="10"/>
        <v>93</v>
      </c>
      <c r="Q41" s="13"/>
    </row>
    <row r="42" spans="1:17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  <c r="Q42" s="13"/>
    </row>
    <row r="43" spans="1:17" x14ac:dyDescent="0.2">
      <c r="A43" s="54"/>
      <c r="B43" s="24"/>
      <c r="C43" s="66">
        <f>SUM(C32:C42)</f>
        <v>36</v>
      </c>
      <c r="D43" s="60"/>
      <c r="E43" s="60">
        <f>SUM(E32:E42)</f>
        <v>1440</v>
      </c>
      <c r="F43" s="123" t="s">
        <v>25</v>
      </c>
      <c r="G43" s="61">
        <f>SUM(G32:G42)</f>
        <v>432</v>
      </c>
      <c r="H43" s="124" t="s">
        <v>25</v>
      </c>
      <c r="I43" s="62">
        <f>SUM(I32:I42)</f>
        <v>360</v>
      </c>
      <c r="J43" s="124"/>
      <c r="K43" s="61"/>
      <c r="L43" s="63">
        <f>SUM(L32:L42)</f>
        <v>2232</v>
      </c>
      <c r="M43" s="124" t="s">
        <v>25</v>
      </c>
      <c r="N43" s="62">
        <f>SUM(N32:N42)</f>
        <v>1116</v>
      </c>
      <c r="O43" s="63">
        <f>SUM(O32:O42)</f>
        <v>3348</v>
      </c>
      <c r="P43" s="80">
        <f t="shared" si="10"/>
        <v>3348</v>
      </c>
      <c r="Q43" s="13"/>
    </row>
    <row r="44" spans="1:17" ht="13.5" thickBot="1" x14ac:dyDescent="0.25">
      <c r="A44" s="9"/>
      <c r="B44" s="49" t="s">
        <v>73</v>
      </c>
      <c r="C44" s="161">
        <f>SUM(C29+C43)</f>
        <v>138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  <c r="Q44" s="13"/>
    </row>
    <row r="45" spans="1:17" ht="16.5" thickBot="1" x14ac:dyDescent="0.3">
      <c r="A45" s="9"/>
      <c r="B45" s="154"/>
      <c r="C45" s="326" t="s">
        <v>4</v>
      </c>
      <c r="D45" s="327"/>
      <c r="E45" s="125">
        <f>E43+E29</f>
        <v>2993.1000000000004</v>
      </c>
      <c r="F45" s="328">
        <f>G43+G29</f>
        <v>897.93000000000006</v>
      </c>
      <c r="G45" s="329"/>
      <c r="H45" s="328">
        <f>I43+I29</f>
        <v>748.27500000000009</v>
      </c>
      <c r="I45" s="329"/>
      <c r="J45" s="328"/>
      <c r="K45" s="329"/>
      <c r="L45" s="31">
        <f>L43+L29</f>
        <v>4639.3050000000003</v>
      </c>
      <c r="M45" s="330">
        <f>N43+N29</f>
        <v>2319.6525000000001</v>
      </c>
      <c r="N45" s="331"/>
      <c r="O45" s="31">
        <f>O43+O29</f>
        <v>6958.9574999999995</v>
      </c>
      <c r="P45" s="80">
        <f t="shared" si="10"/>
        <v>6958.9574999999995</v>
      </c>
      <c r="Q45" s="13"/>
    </row>
    <row r="46" spans="1:17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  <c r="Q46" s="13"/>
    </row>
    <row r="47" spans="1:17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  <c r="Q47" s="13"/>
    </row>
    <row r="48" spans="1:17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f>H7</f>
        <v>0.5</v>
      </c>
      <c r="N48" s="56"/>
      <c r="O48" s="56"/>
      <c r="P48" s="86"/>
      <c r="Q48" s="13"/>
    </row>
    <row r="49" spans="1:17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f>H7</f>
        <v>0.5</v>
      </c>
      <c r="N49" s="22" t="s">
        <v>24</v>
      </c>
      <c r="O49" s="18" t="s">
        <v>5</v>
      </c>
      <c r="P49" s="84" t="s">
        <v>21</v>
      </c>
      <c r="Q49" s="13"/>
    </row>
    <row r="50" spans="1:17" x14ac:dyDescent="0.2">
      <c r="A50" s="95" t="s">
        <v>68</v>
      </c>
      <c r="B50" s="93" t="s">
        <v>184</v>
      </c>
      <c r="C50" s="85">
        <f>'Concrete 16X16 '!F9</f>
        <v>20.923681481481481</v>
      </c>
      <c r="D50" s="94" t="s">
        <v>18</v>
      </c>
      <c r="E50" s="51">
        <v>110</v>
      </c>
      <c r="F50" s="334">
        <f t="shared" ref="F50:F63" si="14">IF(A50="x",SUM(C50*E50),0)</f>
        <v>2301.6049629629629</v>
      </c>
      <c r="G50" s="335"/>
      <c r="H50" s="334">
        <f t="shared" ref="H50:H63" si="15">F50*$H$49</f>
        <v>212.89845907407405</v>
      </c>
      <c r="I50" s="335"/>
      <c r="J50" s="25" t="s">
        <v>25</v>
      </c>
      <c r="K50" s="15">
        <f>F50*$J$49</f>
        <v>575.40124074074072</v>
      </c>
      <c r="L50" s="3">
        <f t="shared" ref="L50:L67" si="16">SUM(F50:K50)</f>
        <v>3089.904662777778</v>
      </c>
      <c r="M50" s="26" t="s">
        <v>25</v>
      </c>
      <c r="N50" s="15">
        <f>L50*$M$48</f>
        <v>1544.952331388889</v>
      </c>
      <c r="O50" s="3">
        <f t="shared" ref="O50:O63" si="17">SUM(N50+L50)</f>
        <v>4634.8569941666665</v>
      </c>
      <c r="P50" s="80">
        <f t="shared" ref="P50:P68" si="18">SUM(O50)</f>
        <v>4634.8569941666665</v>
      </c>
      <c r="Q50" s="13"/>
    </row>
    <row r="51" spans="1:17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7" si="19">F51*$J$49</f>
        <v>250</v>
      </c>
      <c r="L51" s="3">
        <f t="shared" si="16"/>
        <v>1342.5</v>
      </c>
      <c r="M51" s="26" t="s">
        <v>25</v>
      </c>
      <c r="N51" s="15">
        <f t="shared" ref="N51:N66" si="20">L51*$M$49</f>
        <v>671.25</v>
      </c>
      <c r="O51" s="3">
        <f>SUM(N51+L51)</f>
        <v>2013.75</v>
      </c>
      <c r="P51" s="80">
        <f t="shared" si="18"/>
        <v>2013.75</v>
      </c>
      <c r="Q51" s="13"/>
    </row>
    <row r="52" spans="1:17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  <c r="Q52" s="13"/>
    </row>
    <row r="53" spans="1:17" x14ac:dyDescent="0.2">
      <c r="A53" s="33"/>
      <c r="B53" s="24" t="s">
        <v>14</v>
      </c>
      <c r="C53" s="85">
        <v>0</v>
      </c>
      <c r="D53" s="44" t="s">
        <v>11</v>
      </c>
      <c r="E53" s="28">
        <v>4.25</v>
      </c>
      <c r="F53" s="336">
        <f t="shared" si="14"/>
        <v>0</v>
      </c>
      <c r="G53" s="337"/>
      <c r="H53" s="336">
        <f t="shared" si="15"/>
        <v>0</v>
      </c>
      <c r="I53" s="337"/>
      <c r="J53" s="27" t="s">
        <v>25</v>
      </c>
      <c r="K53" s="15">
        <f t="shared" si="19"/>
        <v>0</v>
      </c>
      <c r="L53" s="3">
        <f t="shared" si="16"/>
        <v>0</v>
      </c>
      <c r="M53" s="26" t="s">
        <v>25</v>
      </c>
      <c r="N53" s="15">
        <f t="shared" si="20"/>
        <v>0</v>
      </c>
      <c r="O53" s="3">
        <f t="shared" si="17"/>
        <v>0</v>
      </c>
      <c r="P53" s="80">
        <f t="shared" si="18"/>
        <v>0</v>
      </c>
      <c r="Q53" s="13"/>
    </row>
    <row r="54" spans="1:17" x14ac:dyDescent="0.2">
      <c r="A54" s="95" t="s">
        <v>68</v>
      </c>
      <c r="B54" s="93" t="s">
        <v>240</v>
      </c>
      <c r="C54" s="85">
        <v>4</v>
      </c>
      <c r="D54" s="94" t="s">
        <v>18</v>
      </c>
      <c r="E54" s="28">
        <v>100</v>
      </c>
      <c r="F54" s="336">
        <f t="shared" si="14"/>
        <v>400</v>
      </c>
      <c r="G54" s="337"/>
      <c r="H54" s="336">
        <f t="shared" si="15"/>
        <v>37</v>
      </c>
      <c r="I54" s="337"/>
      <c r="J54" s="27" t="s">
        <v>25</v>
      </c>
      <c r="K54" s="15">
        <f t="shared" si="19"/>
        <v>100</v>
      </c>
      <c r="L54" s="3">
        <f t="shared" si="16"/>
        <v>537</v>
      </c>
      <c r="M54" s="26" t="s">
        <v>25</v>
      </c>
      <c r="N54" s="15">
        <f t="shared" si="20"/>
        <v>268.5</v>
      </c>
      <c r="O54" s="3">
        <f t="shared" si="17"/>
        <v>805.5</v>
      </c>
      <c r="P54" s="80">
        <f t="shared" si="18"/>
        <v>805.5</v>
      </c>
      <c r="Q54" s="42"/>
    </row>
    <row r="55" spans="1:17" x14ac:dyDescent="0.2">
      <c r="A55" s="95" t="s">
        <v>68</v>
      </c>
      <c r="B55" s="93" t="s">
        <v>98</v>
      </c>
      <c r="C55" s="85">
        <f>SUM(C50,C54)*10</f>
        <v>249.23681481481481</v>
      </c>
      <c r="D55" s="94" t="s">
        <v>115</v>
      </c>
      <c r="E55" s="28">
        <v>2</v>
      </c>
      <c r="F55" s="336">
        <f>IF(A55="x",SUM(C55*E55),0)</f>
        <v>498.47362962962961</v>
      </c>
      <c r="G55" s="337"/>
      <c r="H55" s="336">
        <f>F55*$H$49</f>
        <v>46.108810740740736</v>
      </c>
      <c r="I55" s="337"/>
      <c r="J55" s="27" t="s">
        <v>25</v>
      </c>
      <c r="K55" s="15">
        <f t="shared" si="19"/>
        <v>124.6184074074074</v>
      </c>
      <c r="L55" s="3">
        <f t="shared" si="16"/>
        <v>669.20084777777777</v>
      </c>
      <c r="M55" s="26" t="s">
        <v>25</v>
      </c>
      <c r="N55" s="15">
        <f t="shared" si="20"/>
        <v>334.60042388888888</v>
      </c>
      <c r="O55" s="3">
        <f>SUM(N55+L55)</f>
        <v>1003.8012716666667</v>
      </c>
      <c r="P55" s="80">
        <f t="shared" si="18"/>
        <v>1003.8012716666667</v>
      </c>
      <c r="Q55" s="42"/>
    </row>
    <row r="56" spans="1:17" x14ac:dyDescent="0.2">
      <c r="A56" s="95" t="s">
        <v>68</v>
      </c>
      <c r="B56" s="93" t="s">
        <v>238</v>
      </c>
      <c r="C56" s="85">
        <f>'Concrete 16X16 '!G31</f>
        <v>928</v>
      </c>
      <c r="D56" s="94" t="s">
        <v>12</v>
      </c>
      <c r="E56" s="28">
        <v>3.4</v>
      </c>
      <c r="F56" s="336">
        <f t="shared" si="14"/>
        <v>3155.2</v>
      </c>
      <c r="G56" s="337"/>
      <c r="H56" s="336">
        <f t="shared" si="15"/>
        <v>291.85599999999999</v>
      </c>
      <c r="I56" s="337"/>
      <c r="J56" s="27" t="s">
        <v>25</v>
      </c>
      <c r="K56" s="15">
        <f t="shared" si="19"/>
        <v>788.8</v>
      </c>
      <c r="L56" s="3">
        <f t="shared" si="16"/>
        <v>4235.8559999999998</v>
      </c>
      <c r="M56" s="26" t="s">
        <v>25</v>
      </c>
      <c r="N56" s="15">
        <f t="shared" si="20"/>
        <v>2117.9279999999999</v>
      </c>
      <c r="O56" s="3">
        <f t="shared" si="17"/>
        <v>6353.7839999999997</v>
      </c>
      <c r="P56" s="80">
        <f t="shared" si="18"/>
        <v>6353.7839999999997</v>
      </c>
      <c r="Q56" s="42"/>
    </row>
    <row r="57" spans="1:17" x14ac:dyDescent="0.2">
      <c r="A57" s="95" t="s">
        <v>68</v>
      </c>
      <c r="B57" s="93" t="s">
        <v>27</v>
      </c>
      <c r="C57" s="85">
        <v>2</v>
      </c>
      <c r="D57" s="94" t="s">
        <v>16</v>
      </c>
      <c r="E57" s="28">
        <v>20</v>
      </c>
      <c r="F57" s="336">
        <f>IF(A57="x",SUM(C57*E57),0)</f>
        <v>40</v>
      </c>
      <c r="G57" s="337"/>
      <c r="H57" s="336">
        <f>F57*$H$49</f>
        <v>3.7</v>
      </c>
      <c r="I57" s="337"/>
      <c r="J57" s="27" t="s">
        <v>25</v>
      </c>
      <c r="K57" s="15">
        <f>F57*$J$49</f>
        <v>10</v>
      </c>
      <c r="L57" s="3">
        <f t="shared" si="16"/>
        <v>53.7</v>
      </c>
      <c r="M57" s="26" t="s">
        <v>25</v>
      </c>
      <c r="N57" s="15">
        <f>L57*$M$49</f>
        <v>26.85</v>
      </c>
      <c r="O57" s="3">
        <f>SUM(N57+L57)</f>
        <v>80.550000000000011</v>
      </c>
      <c r="P57" s="80">
        <f t="shared" si="18"/>
        <v>80.550000000000011</v>
      </c>
      <c r="Q57" s="42"/>
    </row>
    <row r="58" spans="1:17" x14ac:dyDescent="0.2">
      <c r="A58" s="95" t="s">
        <v>68</v>
      </c>
      <c r="B58" s="93" t="s">
        <v>83</v>
      </c>
      <c r="C58" s="85">
        <v>1</v>
      </c>
      <c r="D58" s="94" t="s">
        <v>16</v>
      </c>
      <c r="E58" s="50">
        <v>30</v>
      </c>
      <c r="F58" s="336">
        <f t="shared" si="14"/>
        <v>30</v>
      </c>
      <c r="G58" s="337"/>
      <c r="H58" s="338">
        <f t="shared" si="15"/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>L58*$M$48</f>
        <v>20.137499999999999</v>
      </c>
      <c r="O58" s="3">
        <f t="shared" si="17"/>
        <v>60.412499999999994</v>
      </c>
      <c r="P58" s="80">
        <f t="shared" si="18"/>
        <v>60.412499999999994</v>
      </c>
      <c r="Q58" s="42"/>
    </row>
    <row r="59" spans="1:17" x14ac:dyDescent="0.2">
      <c r="A59" s="95"/>
      <c r="B59" s="93"/>
      <c r="C59" s="85"/>
      <c r="D59" s="44"/>
      <c r="E59" s="50"/>
      <c r="F59" s="336">
        <f>IF(A59="x",SUM(C59*E59),0)</f>
        <v>0</v>
      </c>
      <c r="G59" s="337"/>
      <c r="H59" s="338">
        <f>F59*$H$49</f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>SUM(N59+L59)</f>
        <v>0</v>
      </c>
      <c r="P59" s="80">
        <f t="shared" si="18"/>
        <v>0</v>
      </c>
      <c r="Q59" s="42"/>
    </row>
    <row r="60" spans="1:17" x14ac:dyDescent="0.2">
      <c r="A60" s="33"/>
      <c r="B60" s="24"/>
      <c r="C60" s="40"/>
      <c r="D60" s="10"/>
      <c r="E60" s="23"/>
      <c r="F60" s="336">
        <f t="shared" si="14"/>
        <v>0</v>
      </c>
      <c r="G60" s="337"/>
      <c r="H60" s="338">
        <f t="shared" si="15"/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 t="shared" si="17"/>
        <v>0</v>
      </c>
      <c r="P60" s="80">
        <f t="shared" si="18"/>
        <v>0</v>
      </c>
      <c r="Q60" s="42"/>
    </row>
    <row r="61" spans="1:17" x14ac:dyDescent="0.2">
      <c r="A61" s="95"/>
      <c r="B61" s="24"/>
      <c r="C61" s="40"/>
      <c r="D61" s="44"/>
      <c r="E61" s="23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  <c r="Q61" s="10"/>
    </row>
    <row r="62" spans="1:17" x14ac:dyDescent="0.2">
      <c r="A62" s="33"/>
      <c r="B62" s="24"/>
      <c r="C62" s="85"/>
      <c r="D62" s="44"/>
      <c r="E62" s="28"/>
      <c r="F62" s="336">
        <f t="shared" si="14"/>
        <v>0</v>
      </c>
      <c r="G62" s="337"/>
      <c r="H62" s="338">
        <f t="shared" si="15"/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 t="shared" si="17"/>
        <v>0</v>
      </c>
      <c r="P62" s="80">
        <f t="shared" si="18"/>
        <v>0</v>
      </c>
      <c r="Q62" s="10"/>
    </row>
    <row r="63" spans="1:17" x14ac:dyDescent="0.2">
      <c r="A63" s="33"/>
      <c r="B63" s="13"/>
      <c r="C63" s="85"/>
      <c r="D63" s="10"/>
      <c r="E63" s="28"/>
      <c r="F63" s="336">
        <f t="shared" si="14"/>
        <v>0</v>
      </c>
      <c r="G63" s="337"/>
      <c r="H63" s="338">
        <f t="shared" si="15"/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 t="shared" si="17"/>
        <v>0</v>
      </c>
      <c r="P63" s="80">
        <f t="shared" si="18"/>
        <v>0</v>
      </c>
      <c r="Q63" s="13"/>
    </row>
    <row r="64" spans="1:17" x14ac:dyDescent="0.2">
      <c r="A64" s="33"/>
      <c r="B64" s="13"/>
      <c r="C64" s="85"/>
      <c r="D64" s="10"/>
      <c r="E64" s="28"/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  <c r="Q64" s="13"/>
    </row>
    <row r="65" spans="1:17" x14ac:dyDescent="0.2">
      <c r="A65" s="33"/>
      <c r="B65" s="93"/>
      <c r="C65" s="85"/>
      <c r="D65" s="10"/>
      <c r="E65" s="28"/>
      <c r="F65" s="336">
        <f>IF(A65="x",SUM(C65*E65),0)</f>
        <v>0</v>
      </c>
      <c r="G65" s="337"/>
      <c r="H65" s="338">
        <f>F65*$H$49</f>
        <v>0</v>
      </c>
      <c r="I65" s="337"/>
      <c r="J65" s="27" t="s">
        <v>25</v>
      </c>
      <c r="K65" s="15">
        <f t="shared" si="19"/>
        <v>0</v>
      </c>
      <c r="L65" s="3">
        <f t="shared" si="16"/>
        <v>0</v>
      </c>
      <c r="M65" s="26" t="s">
        <v>25</v>
      </c>
      <c r="N65" s="15">
        <f t="shared" si="20"/>
        <v>0</v>
      </c>
      <c r="O65" s="3">
        <f>SUM(N65+L65)</f>
        <v>0</v>
      </c>
      <c r="P65" s="80">
        <f t="shared" si="18"/>
        <v>0</v>
      </c>
      <c r="Q65" s="13"/>
    </row>
    <row r="66" spans="1:17" x14ac:dyDescent="0.2">
      <c r="A66" s="33"/>
      <c r="B66" s="13"/>
      <c r="C66" s="85"/>
      <c r="D66" s="10"/>
      <c r="E66" s="28"/>
      <c r="F66" s="336">
        <f>IF(A66="x",SUM(C66*E66),0)</f>
        <v>0</v>
      </c>
      <c r="G66" s="337"/>
      <c r="H66" s="338">
        <f>F66*$H$49</f>
        <v>0</v>
      </c>
      <c r="I66" s="337"/>
      <c r="J66" s="27" t="s">
        <v>25</v>
      </c>
      <c r="K66" s="15">
        <f t="shared" si="19"/>
        <v>0</v>
      </c>
      <c r="L66" s="3">
        <f t="shared" si="16"/>
        <v>0</v>
      </c>
      <c r="M66" s="26" t="s">
        <v>25</v>
      </c>
      <c r="N66" s="15">
        <f t="shared" si="20"/>
        <v>0</v>
      </c>
      <c r="O66" s="3">
        <f>SUM(N66+L66)</f>
        <v>0</v>
      </c>
      <c r="P66" s="80">
        <f t="shared" si="18"/>
        <v>0</v>
      </c>
      <c r="Q66" s="13"/>
    </row>
    <row r="67" spans="1:17" ht="15.75" thickBot="1" x14ac:dyDescent="0.25">
      <c r="A67" s="9" t="s">
        <v>68</v>
      </c>
      <c r="B67" s="198" t="s">
        <v>151</v>
      </c>
      <c r="C67" s="87">
        <v>200</v>
      </c>
      <c r="D67" s="199" t="s">
        <v>17</v>
      </c>
      <c r="E67" s="30">
        <v>0.35</v>
      </c>
      <c r="F67" s="336">
        <f>IF(A67="x",SUM(C67*E67),0)</f>
        <v>70</v>
      </c>
      <c r="G67" s="337"/>
      <c r="H67" s="338">
        <f>F67*$H$49</f>
        <v>6.4749999999999996</v>
      </c>
      <c r="I67" s="337"/>
      <c r="J67" s="200" t="s">
        <v>25</v>
      </c>
      <c r="K67" s="15">
        <f t="shared" si="19"/>
        <v>17.5</v>
      </c>
      <c r="L67" s="3">
        <f t="shared" si="16"/>
        <v>93.974999999999994</v>
      </c>
      <c r="M67" s="199" t="s">
        <v>25</v>
      </c>
      <c r="N67" s="15">
        <f>L67*$M$48</f>
        <v>46.987499999999997</v>
      </c>
      <c r="O67" s="3">
        <f>SUM(N67+L67)</f>
        <v>140.96249999999998</v>
      </c>
      <c r="P67" s="80">
        <f t="shared" si="18"/>
        <v>140.96249999999998</v>
      </c>
      <c r="Q67" s="13"/>
    </row>
    <row r="68" spans="1:17" ht="16.5" thickBot="1" x14ac:dyDescent="0.3">
      <c r="A68" s="9"/>
      <c r="B68" s="13"/>
      <c r="C68" s="326" t="s">
        <v>4</v>
      </c>
      <c r="D68" s="339"/>
      <c r="E68" s="34"/>
      <c r="F68" s="340">
        <f>SUM(F50:G66)</f>
        <v>7675.2785925925918</v>
      </c>
      <c r="G68" s="329"/>
      <c r="H68" s="328">
        <f>SUM(H50:I67)</f>
        <v>716.43826981481482</v>
      </c>
      <c r="I68" s="329"/>
      <c r="J68" s="328">
        <f>SUM(K50:K67)</f>
        <v>1936.319648148148</v>
      </c>
      <c r="K68" s="329"/>
      <c r="L68" s="31">
        <f>SUM(L50:L67)</f>
        <v>10398.036510555557</v>
      </c>
      <c r="M68" s="341">
        <f>SUM(N50:N67)</f>
        <v>5199.0182552777787</v>
      </c>
      <c r="N68" s="342"/>
      <c r="O68" s="31">
        <f>SUM(O50:O67)</f>
        <v>15597.054765833333</v>
      </c>
      <c r="P68" s="80">
        <f t="shared" si="18"/>
        <v>15597.054765833333</v>
      </c>
      <c r="Q68" s="13"/>
    </row>
    <row r="69" spans="1:17" x14ac:dyDescent="0.2">
      <c r="A69" s="9"/>
      <c r="B69" s="1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4"/>
      <c r="Q69" s="13"/>
    </row>
    <row r="70" spans="1:17" ht="18" x14ac:dyDescent="0.25">
      <c r="A70" s="9"/>
      <c r="B70" s="16" t="s">
        <v>36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86"/>
      <c r="Q70" s="13"/>
    </row>
    <row r="71" spans="1:17" ht="18" x14ac:dyDescent="0.25">
      <c r="A71" s="9"/>
      <c r="B71" s="16"/>
      <c r="C71" s="17" t="s">
        <v>8</v>
      </c>
      <c r="D71" s="17" t="s">
        <v>9</v>
      </c>
      <c r="E71" s="17" t="s">
        <v>10</v>
      </c>
      <c r="F71" s="333" t="s">
        <v>36</v>
      </c>
      <c r="G71" s="333"/>
      <c r="H71" s="162">
        <f>H49</f>
        <v>9.2499999999999999E-2</v>
      </c>
      <c r="I71" s="19" t="s">
        <v>19</v>
      </c>
      <c r="J71" s="21">
        <f>H13</f>
        <v>0.25</v>
      </c>
      <c r="K71" s="19" t="s">
        <v>23</v>
      </c>
      <c r="L71" s="18" t="s">
        <v>4</v>
      </c>
      <c r="M71" s="90">
        <f>$H$7</f>
        <v>0.5</v>
      </c>
      <c r="N71" s="22" t="s">
        <v>24</v>
      </c>
      <c r="O71" s="18" t="s">
        <v>5</v>
      </c>
      <c r="P71" s="84" t="s">
        <v>21</v>
      </c>
      <c r="Q71" s="13"/>
    </row>
    <row r="72" spans="1:17" x14ac:dyDescent="0.2">
      <c r="A72" s="152" t="s">
        <v>68</v>
      </c>
      <c r="B72" s="93" t="s">
        <v>82</v>
      </c>
      <c r="C72" s="85">
        <v>144</v>
      </c>
      <c r="D72" s="94" t="s">
        <v>12</v>
      </c>
      <c r="E72" s="51">
        <v>1</v>
      </c>
      <c r="F72" s="334">
        <f t="shared" ref="F72:F78" si="21">IF(A72="x",SUM(C72*E72),0)</f>
        <v>144</v>
      </c>
      <c r="G72" s="335"/>
      <c r="H72" s="334">
        <f t="shared" ref="H72:H78" si="22">F72*$H$49</f>
        <v>13.32</v>
      </c>
      <c r="I72" s="335"/>
      <c r="J72" s="25" t="s">
        <v>25</v>
      </c>
      <c r="K72" s="15">
        <f>F72*$J$71</f>
        <v>36</v>
      </c>
      <c r="L72" s="3">
        <f t="shared" ref="L72:L78" si="23">SUM(F72:K72)</f>
        <v>193.32</v>
      </c>
      <c r="M72" s="26" t="s">
        <v>25</v>
      </c>
      <c r="N72" s="15">
        <f t="shared" ref="N72:N78" si="24">L72*$M$71</f>
        <v>96.66</v>
      </c>
      <c r="O72" s="3">
        <f t="shared" ref="O72:O78" si="25">SUM(N72+L72)</f>
        <v>289.98</v>
      </c>
      <c r="P72" s="80">
        <f t="shared" ref="P72:P80" si="26">SUM(O72)</f>
        <v>289.98</v>
      </c>
      <c r="Q72" s="13"/>
    </row>
    <row r="73" spans="1:17" x14ac:dyDescent="0.2">
      <c r="A73" s="152"/>
      <c r="B73" s="24"/>
      <c r="C73" s="85">
        <v>0</v>
      </c>
      <c r="D73" s="44" t="s">
        <v>17</v>
      </c>
      <c r="E73" s="28">
        <v>0.25</v>
      </c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ref="K73:K78" si="27">F73*$J$71</f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  <c r="Q73" s="13"/>
    </row>
    <row r="74" spans="1:17" x14ac:dyDescent="0.2">
      <c r="A74" s="46" t="s">
        <v>26</v>
      </c>
      <c r="B74" s="24" t="s">
        <v>37</v>
      </c>
      <c r="C74" s="85">
        <f>$C$43+$C$29</f>
        <v>138</v>
      </c>
      <c r="D74" s="94" t="s">
        <v>53</v>
      </c>
      <c r="E74" s="28">
        <v>0.15</v>
      </c>
      <c r="F74" s="336">
        <f t="shared" si="21"/>
        <v>20.7</v>
      </c>
      <c r="G74" s="337"/>
      <c r="H74" s="336">
        <f t="shared" si="22"/>
        <v>1.91475</v>
      </c>
      <c r="I74" s="337"/>
      <c r="J74" s="27" t="s">
        <v>25</v>
      </c>
      <c r="K74" s="15">
        <f t="shared" si="27"/>
        <v>5.1749999999999998</v>
      </c>
      <c r="L74" s="3">
        <f t="shared" si="23"/>
        <v>27.789750000000002</v>
      </c>
      <c r="M74" s="26" t="s">
        <v>25</v>
      </c>
      <c r="N74" s="15">
        <f t="shared" si="24"/>
        <v>13.894875000000001</v>
      </c>
      <c r="O74" s="3">
        <f t="shared" si="25"/>
        <v>41.684625000000004</v>
      </c>
      <c r="P74" s="80">
        <f t="shared" si="26"/>
        <v>41.684625000000004</v>
      </c>
      <c r="Q74" s="13"/>
    </row>
    <row r="75" spans="1:17" x14ac:dyDescent="0.2">
      <c r="A75" s="95" t="s">
        <v>26</v>
      </c>
      <c r="B75" s="93" t="s">
        <v>125</v>
      </c>
      <c r="C75" s="85">
        <f>$C$43+$C$29</f>
        <v>138</v>
      </c>
      <c r="D75" s="94" t="s">
        <v>53</v>
      </c>
      <c r="E75" s="28">
        <v>0.25</v>
      </c>
      <c r="F75" s="336">
        <f>IF(A75="x",SUM(C75*E75),0)</f>
        <v>34.5</v>
      </c>
      <c r="G75" s="337"/>
      <c r="H75" s="336">
        <f t="shared" si="22"/>
        <v>3.1912500000000001</v>
      </c>
      <c r="I75" s="337"/>
      <c r="J75" s="27" t="s">
        <v>25</v>
      </c>
      <c r="K75" s="15">
        <f t="shared" si="27"/>
        <v>8.625</v>
      </c>
      <c r="L75" s="3">
        <f t="shared" si="23"/>
        <v>46.316249999999997</v>
      </c>
      <c r="M75" s="26" t="s">
        <v>25</v>
      </c>
      <c r="N75" s="15">
        <f t="shared" si="24"/>
        <v>23.158124999999998</v>
      </c>
      <c r="O75" s="3">
        <f t="shared" si="25"/>
        <v>69.474374999999995</v>
      </c>
      <c r="P75" s="80">
        <f t="shared" si="26"/>
        <v>69.474374999999995</v>
      </c>
      <c r="Q75" s="13"/>
    </row>
    <row r="76" spans="1:17" x14ac:dyDescent="0.2">
      <c r="A76" s="95" t="s">
        <v>26</v>
      </c>
      <c r="B76" s="93" t="s">
        <v>22</v>
      </c>
      <c r="C76" s="85">
        <f>$C$43+$C$29</f>
        <v>138</v>
      </c>
      <c r="D76" s="94" t="s">
        <v>53</v>
      </c>
      <c r="E76" s="28">
        <v>0.5</v>
      </c>
      <c r="F76" s="336">
        <f t="shared" si="21"/>
        <v>69</v>
      </c>
      <c r="G76" s="337"/>
      <c r="H76" s="336">
        <f t="shared" si="22"/>
        <v>6.3825000000000003</v>
      </c>
      <c r="I76" s="337"/>
      <c r="J76" s="27" t="s">
        <v>25</v>
      </c>
      <c r="K76" s="15">
        <f t="shared" si="27"/>
        <v>17.25</v>
      </c>
      <c r="L76" s="3">
        <f t="shared" si="23"/>
        <v>92.632499999999993</v>
      </c>
      <c r="M76" s="26" t="s">
        <v>25</v>
      </c>
      <c r="N76" s="15">
        <f t="shared" si="24"/>
        <v>46.316249999999997</v>
      </c>
      <c r="O76" s="3">
        <f t="shared" si="25"/>
        <v>138.94874999999999</v>
      </c>
      <c r="P76" s="80">
        <f t="shared" si="26"/>
        <v>138.94874999999999</v>
      </c>
      <c r="Q76" s="13"/>
    </row>
    <row r="77" spans="1:17" x14ac:dyDescent="0.2">
      <c r="A77" s="95" t="s">
        <v>68</v>
      </c>
      <c r="B77" s="93" t="s">
        <v>94</v>
      </c>
      <c r="C77" s="85">
        <v>100</v>
      </c>
      <c r="D77" s="94" t="s">
        <v>11</v>
      </c>
      <c r="E77" s="28">
        <v>1.5</v>
      </c>
      <c r="F77" s="336">
        <f t="shared" si="21"/>
        <v>150</v>
      </c>
      <c r="G77" s="337"/>
      <c r="H77" s="336">
        <f t="shared" si="22"/>
        <v>13.875</v>
      </c>
      <c r="I77" s="337"/>
      <c r="J77" s="27" t="s">
        <v>25</v>
      </c>
      <c r="K77" s="15">
        <f t="shared" si="27"/>
        <v>37.5</v>
      </c>
      <c r="L77" s="3">
        <f t="shared" si="23"/>
        <v>201.375</v>
      </c>
      <c r="M77" s="26" t="s">
        <v>25</v>
      </c>
      <c r="N77" s="15">
        <f t="shared" si="24"/>
        <v>100.6875</v>
      </c>
      <c r="O77" s="3">
        <f t="shared" si="25"/>
        <v>302.0625</v>
      </c>
      <c r="P77" s="80">
        <f t="shared" si="26"/>
        <v>302.0625</v>
      </c>
      <c r="Q77" s="13"/>
    </row>
    <row r="78" spans="1:17" x14ac:dyDescent="0.2">
      <c r="A78" s="46"/>
      <c r="B78" s="24"/>
      <c r="C78" s="85"/>
      <c r="D78" s="44"/>
      <c r="E78" s="28"/>
      <c r="F78" s="336">
        <f t="shared" si="21"/>
        <v>0</v>
      </c>
      <c r="G78" s="337"/>
      <c r="H78" s="336">
        <f t="shared" si="22"/>
        <v>0</v>
      </c>
      <c r="I78" s="337"/>
      <c r="J78" s="27" t="s">
        <v>25</v>
      </c>
      <c r="K78" s="15">
        <f t="shared" si="27"/>
        <v>0</v>
      </c>
      <c r="L78" s="3">
        <f t="shared" si="23"/>
        <v>0</v>
      </c>
      <c r="M78" s="26" t="s">
        <v>25</v>
      </c>
      <c r="N78" s="15">
        <f t="shared" si="24"/>
        <v>0</v>
      </c>
      <c r="O78" s="3">
        <f t="shared" si="25"/>
        <v>0</v>
      </c>
      <c r="P78" s="80">
        <f t="shared" si="26"/>
        <v>0</v>
      </c>
      <c r="Q78" s="13"/>
    </row>
    <row r="79" spans="1:17" ht="16.5" thickBot="1" x14ac:dyDescent="0.3">
      <c r="A79" s="9"/>
      <c r="B79" s="29"/>
      <c r="C79" s="87"/>
      <c r="D79" s="11"/>
      <c r="E79" s="30"/>
      <c r="F79" s="353"/>
      <c r="G79" s="354"/>
      <c r="H79" s="358"/>
      <c r="I79" s="359"/>
      <c r="J79" s="6"/>
      <c r="K79" s="4"/>
      <c r="L79" s="5"/>
      <c r="M79" s="2"/>
      <c r="N79" s="8"/>
      <c r="O79" s="1"/>
      <c r="P79" s="80">
        <f t="shared" si="26"/>
        <v>0</v>
      </c>
      <c r="Q79" s="13"/>
    </row>
    <row r="80" spans="1:17" ht="16.5" thickBot="1" x14ac:dyDescent="0.3">
      <c r="A80" s="9"/>
      <c r="B80" s="13"/>
      <c r="C80" s="326" t="s">
        <v>4</v>
      </c>
      <c r="D80" s="339"/>
      <c r="E80" s="34"/>
      <c r="F80" s="340">
        <f>SUM(F72:G78)</f>
        <v>418.2</v>
      </c>
      <c r="G80" s="329"/>
      <c r="H80" s="328">
        <f>SUM(H72:I79)</f>
        <v>38.683500000000002</v>
      </c>
      <c r="I80" s="329"/>
      <c r="J80" s="328">
        <f>SUM(K72:K79)</f>
        <v>104.55</v>
      </c>
      <c r="K80" s="329"/>
      <c r="L80" s="31">
        <f>SUM(L72:L79)</f>
        <v>561.43349999999998</v>
      </c>
      <c r="M80" s="341">
        <f>SUM(N72:N79)</f>
        <v>280.71674999999999</v>
      </c>
      <c r="N80" s="342"/>
      <c r="O80" s="31">
        <f>SUM(O72:O79)</f>
        <v>842.15025000000003</v>
      </c>
      <c r="P80" s="80">
        <f t="shared" si="26"/>
        <v>842.15025000000003</v>
      </c>
      <c r="Q80" s="13"/>
    </row>
    <row r="81" spans="1:17" ht="15.75" x14ac:dyDescent="0.25">
      <c r="A81" s="9"/>
      <c r="B81" s="13"/>
      <c r="C81" s="10"/>
      <c r="D81" s="10"/>
      <c r="E81" s="10"/>
      <c r="F81" s="126"/>
      <c r="G81" s="126"/>
      <c r="H81" s="126"/>
      <c r="I81" s="126"/>
      <c r="J81" s="126"/>
      <c r="K81" s="126"/>
      <c r="L81" s="127"/>
      <c r="M81" s="128"/>
      <c r="N81" s="128"/>
      <c r="O81" s="127"/>
      <c r="P81" s="129"/>
      <c r="Q81" s="13"/>
    </row>
    <row r="82" spans="1:17" ht="18" x14ac:dyDescent="0.25">
      <c r="A82" s="9"/>
      <c r="B82" s="16" t="s">
        <v>13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88"/>
      <c r="Q82" s="13"/>
    </row>
    <row r="83" spans="1:17" ht="14.25" x14ac:dyDescent="0.2">
      <c r="A83" s="9"/>
      <c r="B83" s="36" t="s">
        <v>30</v>
      </c>
      <c r="C83" s="96" t="s">
        <v>8</v>
      </c>
      <c r="D83" s="96" t="s">
        <v>20</v>
      </c>
      <c r="E83" s="96" t="s">
        <v>3</v>
      </c>
      <c r="F83" s="345" t="s">
        <v>13</v>
      </c>
      <c r="G83" s="345"/>
      <c r="H83" s="345" t="s">
        <v>29</v>
      </c>
      <c r="I83" s="345"/>
      <c r="J83" s="21">
        <f>H13</f>
        <v>0.25</v>
      </c>
      <c r="K83" s="19" t="s">
        <v>23</v>
      </c>
      <c r="L83" s="18" t="s">
        <v>4</v>
      </c>
      <c r="M83" s="90">
        <f>$H$7</f>
        <v>0.5</v>
      </c>
      <c r="N83" s="22" t="s">
        <v>24</v>
      </c>
      <c r="O83" s="18" t="s">
        <v>5</v>
      </c>
      <c r="P83" s="84" t="s">
        <v>21</v>
      </c>
      <c r="Q83" s="13"/>
    </row>
    <row r="84" spans="1:17" x14ac:dyDescent="0.2">
      <c r="A84" s="9"/>
      <c r="B84" s="167" t="s">
        <v>89</v>
      </c>
      <c r="C84" s="85">
        <v>1</v>
      </c>
      <c r="D84" s="52">
        <v>1</v>
      </c>
      <c r="E84" s="134">
        <v>25</v>
      </c>
      <c r="F84" s="346">
        <f t="shared" ref="F84:F89" si="28">C84*D84*E84</f>
        <v>25</v>
      </c>
      <c r="G84" s="347"/>
      <c r="H84" s="334">
        <v>3</v>
      </c>
      <c r="I84" s="335"/>
      <c r="J84" s="25" t="s">
        <v>25</v>
      </c>
      <c r="K84" s="15">
        <f t="shared" ref="K84:K89" si="29">F84*$J$83</f>
        <v>6.25</v>
      </c>
      <c r="L84" s="3">
        <f>SUM(F84:K84)</f>
        <v>34.25</v>
      </c>
      <c r="M84" s="26" t="s">
        <v>25</v>
      </c>
      <c r="N84" s="15">
        <f>L84*$M$83</f>
        <v>17.125</v>
      </c>
      <c r="O84" s="3">
        <f>SUM(N84+L84)</f>
        <v>51.375</v>
      </c>
      <c r="P84" s="80">
        <f t="shared" ref="P84:P90" si="30">SUM(O84)</f>
        <v>51.375</v>
      </c>
      <c r="Q84" s="13"/>
    </row>
    <row r="85" spans="1:17" x14ac:dyDescent="0.2">
      <c r="A85" s="9"/>
      <c r="B85" s="94" t="s">
        <v>90</v>
      </c>
      <c r="C85" s="85">
        <v>1</v>
      </c>
      <c r="D85" s="52">
        <v>2</v>
      </c>
      <c r="E85" s="45">
        <v>45</v>
      </c>
      <c r="F85" s="348">
        <f t="shared" si="28"/>
        <v>90</v>
      </c>
      <c r="G85" s="349"/>
      <c r="H85" s="336">
        <v>0</v>
      </c>
      <c r="I85" s="337"/>
      <c r="J85" s="27" t="s">
        <v>25</v>
      </c>
      <c r="K85" s="15">
        <f t="shared" si="29"/>
        <v>22.5</v>
      </c>
      <c r="L85" s="3">
        <f>SUM(F85:K85)</f>
        <v>112.5</v>
      </c>
      <c r="M85" s="26" t="s">
        <v>25</v>
      </c>
      <c r="N85" s="15">
        <f>L85*$M$83</f>
        <v>56.25</v>
      </c>
      <c r="O85" s="3">
        <f>SUM(N85+L85)</f>
        <v>168.75</v>
      </c>
      <c r="P85" s="80">
        <f t="shared" si="30"/>
        <v>168.75</v>
      </c>
      <c r="Q85" s="13"/>
    </row>
    <row r="86" spans="1:17" x14ac:dyDescent="0.2">
      <c r="A86" s="9"/>
      <c r="B86" s="94" t="s">
        <v>91</v>
      </c>
      <c r="C86" s="85">
        <v>1</v>
      </c>
      <c r="D86" s="52">
        <v>1</v>
      </c>
      <c r="E86" s="45">
        <v>20</v>
      </c>
      <c r="F86" s="348">
        <f t="shared" si="28"/>
        <v>20</v>
      </c>
      <c r="G86" s="349"/>
      <c r="H86" s="336">
        <v>0</v>
      </c>
      <c r="I86" s="337"/>
      <c r="J86" s="27" t="s">
        <v>25</v>
      </c>
      <c r="K86" s="15">
        <f t="shared" si="29"/>
        <v>5</v>
      </c>
      <c r="L86" s="3">
        <f>SUM(F86:K86)</f>
        <v>25</v>
      </c>
      <c r="M86" s="26" t="s">
        <v>25</v>
      </c>
      <c r="N86" s="15">
        <f>L86*$M$83</f>
        <v>12.5</v>
      </c>
      <c r="O86" s="3">
        <f>SUM(N86+L86)</f>
        <v>37.5</v>
      </c>
      <c r="P86" s="80">
        <f t="shared" si="30"/>
        <v>37.5</v>
      </c>
      <c r="Q86" s="13"/>
    </row>
    <row r="87" spans="1:17" x14ac:dyDescent="0.2">
      <c r="A87" s="165" t="s">
        <v>68</v>
      </c>
      <c r="B87" s="94" t="s">
        <v>92</v>
      </c>
      <c r="C87" s="85">
        <v>1</v>
      </c>
      <c r="D87" s="52">
        <v>1</v>
      </c>
      <c r="E87" s="45">
        <v>400</v>
      </c>
      <c r="F87" s="348">
        <f t="shared" si="28"/>
        <v>400</v>
      </c>
      <c r="G87" s="349"/>
      <c r="H87" s="336">
        <v>12</v>
      </c>
      <c r="I87" s="337"/>
      <c r="J87" s="27" t="s">
        <v>25</v>
      </c>
      <c r="K87" s="15">
        <f t="shared" si="29"/>
        <v>100</v>
      </c>
      <c r="L87" s="3">
        <f>SUM(F87:K87)</f>
        <v>512</v>
      </c>
      <c r="M87" s="26" t="s">
        <v>25</v>
      </c>
      <c r="N87" s="15">
        <f>L87*$M$83</f>
        <v>256</v>
      </c>
      <c r="O87" s="3">
        <f>SUM(N87+L87)</f>
        <v>768</v>
      </c>
      <c r="P87" s="80">
        <f t="shared" si="30"/>
        <v>768</v>
      </c>
      <c r="Q87" s="13"/>
    </row>
    <row r="88" spans="1:17" x14ac:dyDescent="0.2">
      <c r="A88" s="9"/>
      <c r="B88" s="94" t="s">
        <v>93</v>
      </c>
      <c r="C88" s="85">
        <v>1</v>
      </c>
      <c r="D88" s="52">
        <v>2</v>
      </c>
      <c r="E88" s="45">
        <v>100</v>
      </c>
      <c r="F88" s="348">
        <f t="shared" si="28"/>
        <v>200</v>
      </c>
      <c r="G88" s="349"/>
      <c r="H88" s="336">
        <v>0</v>
      </c>
      <c r="I88" s="337"/>
      <c r="J88" s="27" t="s">
        <v>25</v>
      </c>
      <c r="K88" s="15">
        <f t="shared" si="29"/>
        <v>50</v>
      </c>
      <c r="L88" s="3">
        <f>SUM(F88:K88)</f>
        <v>250</v>
      </c>
      <c r="M88" s="26" t="s">
        <v>25</v>
      </c>
      <c r="N88" s="15">
        <f>L88*$M$83</f>
        <v>125</v>
      </c>
      <c r="O88" s="3">
        <f>SUM(N88+L88)</f>
        <v>375</v>
      </c>
      <c r="P88" s="80">
        <f t="shared" si="30"/>
        <v>375</v>
      </c>
      <c r="Q88" s="13"/>
    </row>
    <row r="89" spans="1:17" ht="13.5" thickBot="1" x14ac:dyDescent="0.25">
      <c r="A89" s="9"/>
      <c r="B89" s="94" t="s">
        <v>105</v>
      </c>
      <c r="C89" s="87">
        <v>1</v>
      </c>
      <c r="D89" s="52">
        <v>4</v>
      </c>
      <c r="E89" s="44">
        <v>100</v>
      </c>
      <c r="F89" s="348">
        <f t="shared" si="28"/>
        <v>400</v>
      </c>
      <c r="G89" s="349"/>
      <c r="H89" s="336"/>
      <c r="I89" s="337"/>
      <c r="J89" s="27"/>
      <c r="K89" s="15">
        <f t="shared" si="29"/>
        <v>100</v>
      </c>
      <c r="L89" s="3"/>
      <c r="M89" s="26"/>
      <c r="N89" s="15"/>
      <c r="O89" s="3"/>
      <c r="P89" s="80">
        <f t="shared" si="30"/>
        <v>0</v>
      </c>
      <c r="Q89" s="13"/>
    </row>
    <row r="90" spans="1:17" ht="16.5" thickBot="1" x14ac:dyDescent="0.3">
      <c r="A90" s="9"/>
      <c r="B90" s="13"/>
      <c r="C90" s="326" t="s">
        <v>4</v>
      </c>
      <c r="D90" s="339"/>
      <c r="E90" s="34"/>
      <c r="F90" s="328">
        <f>SUM(F84:G89)</f>
        <v>1135</v>
      </c>
      <c r="G90" s="329"/>
      <c r="H90" s="328">
        <f>SUM(H84:I89)</f>
        <v>15</v>
      </c>
      <c r="I90" s="329"/>
      <c r="J90" s="328">
        <f>SUM(J84:K89)</f>
        <v>283.75</v>
      </c>
      <c r="K90" s="329"/>
      <c r="L90" s="31">
        <f>SUM(L84:L89)</f>
        <v>933.75</v>
      </c>
      <c r="M90" s="328">
        <f>SUM(M84:N89)</f>
        <v>466.875</v>
      </c>
      <c r="N90" s="329"/>
      <c r="O90" s="31">
        <f>SUM(O84:O89)</f>
        <v>1400.625</v>
      </c>
      <c r="P90" s="80">
        <f t="shared" si="30"/>
        <v>1400.625</v>
      </c>
      <c r="Q90" s="13"/>
    </row>
    <row r="91" spans="1:17" x14ac:dyDescent="0.2">
      <c r="A91" s="9"/>
      <c r="B91" s="1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4"/>
      <c r="Q91" s="13"/>
    </row>
    <row r="92" spans="1:17" ht="13.5" thickBot="1" x14ac:dyDescent="0.25">
      <c r="A92" s="9"/>
      <c r="B92" s="1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"/>
      <c r="O92" s="10"/>
      <c r="P92" s="80">
        <f>SUM(O92)</f>
        <v>0</v>
      </c>
      <c r="Q92" s="13"/>
    </row>
    <row r="93" spans="1:17" ht="21" thickBot="1" x14ac:dyDescent="0.35">
      <c r="A93" s="9"/>
      <c r="B93" s="13"/>
      <c r="C93" s="350" t="s">
        <v>15</v>
      </c>
      <c r="D93" s="351"/>
      <c r="E93" s="37"/>
      <c r="F93" s="37"/>
      <c r="G93" s="37"/>
      <c r="H93" s="37"/>
      <c r="I93" s="37"/>
      <c r="J93" s="37"/>
      <c r="K93" s="37"/>
      <c r="L93" s="202">
        <f>SUM(L45,L68,L80,L90)</f>
        <v>16532.525010555557</v>
      </c>
      <c r="M93" s="37"/>
      <c r="N93" s="38"/>
      <c r="O93" s="202">
        <f>SUM(O29,O43,O68,O80,O90)</f>
        <v>24798.78751583333</v>
      </c>
      <c r="P93" s="80">
        <f>SUM(O93)</f>
        <v>24798.78751583333</v>
      </c>
      <c r="Q93" s="13"/>
    </row>
    <row r="94" spans="1:17" ht="17.25" thickBot="1" x14ac:dyDescent="0.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 t="e">
        <f>O94/$C$3</f>
        <v>#VALUE!</v>
      </c>
      <c r="Q94" s="13"/>
    </row>
    <row r="95" spans="1:17" ht="17.25" thickBot="1" x14ac:dyDescent="0.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 t="e">
        <f>SUM(#REF!)</f>
        <v>#REF!</v>
      </c>
      <c r="P95" s="89" t="e">
        <f>O95/$C$3</f>
        <v>#REF!</v>
      </c>
      <c r="Q95" s="13"/>
    </row>
    <row r="96" spans="1:17" ht="17.25" thickBot="1" x14ac:dyDescent="0.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5"/>
      <c r="O96" s="13"/>
      <c r="P96" s="89" t="e">
        <f>O96/$C$3</f>
        <v>#VALUE!</v>
      </c>
      <c r="Q96" s="13"/>
    </row>
    <row r="97" spans="1:17" ht="17.25" thickBot="1" x14ac:dyDescent="0.3">
      <c r="A97" s="9"/>
      <c r="B97" s="13"/>
      <c r="C97" s="17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35"/>
      <c r="O97" s="13"/>
      <c r="P97" s="89"/>
      <c r="Q97" s="13"/>
    </row>
    <row r="98" spans="1:17" ht="17.25" thickBot="1" x14ac:dyDescent="0.3">
      <c r="A98" s="9"/>
      <c r="B98" s="93"/>
      <c r="C98" s="17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5"/>
      <c r="O98" s="135"/>
      <c r="P98" s="168"/>
      <c r="Q98" s="13"/>
    </row>
    <row r="99" spans="1:17" ht="17.25" thickBot="1" x14ac:dyDescent="0.3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5"/>
      <c r="M99" s="13"/>
      <c r="N99" s="35"/>
      <c r="O99" s="13"/>
      <c r="P99" s="89"/>
      <c r="Q99" s="13"/>
    </row>
    <row r="100" spans="1:17" ht="17.25" thickBot="1" x14ac:dyDescent="0.3">
      <c r="A100" s="9"/>
      <c r="B100" s="13"/>
      <c r="C100" s="13"/>
      <c r="D100" s="13"/>
      <c r="E100" s="13">
        <f>(O24+O38)/2</f>
        <v>372.58125000000001</v>
      </c>
      <c r="F100" s="13"/>
      <c r="G100" s="13"/>
      <c r="H100" s="13"/>
      <c r="I100" s="13"/>
      <c r="J100" s="13"/>
      <c r="K100" s="13"/>
      <c r="L100" s="13"/>
      <c r="M100" s="13"/>
      <c r="N100" s="35"/>
      <c r="O100" s="135"/>
      <c r="P100" s="89"/>
      <c r="Q100" s="13"/>
    </row>
    <row r="101" spans="1:17" ht="16.5" x14ac:dyDescent="0.25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35"/>
      <c r="O101" s="13"/>
      <c r="P101" s="169"/>
      <c r="Q101" s="13"/>
    </row>
    <row r="102" spans="1:17" ht="16.5" x14ac:dyDescent="0.25">
      <c r="A102" s="9"/>
      <c r="B102" s="93"/>
      <c r="C102" s="17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35"/>
      <c r="O102" s="135"/>
      <c r="P102" s="170"/>
      <c r="Q102" s="13"/>
    </row>
  </sheetData>
  <mergeCells count="122">
    <mergeCell ref="C93:D93"/>
    <mergeCell ref="F89:G89"/>
    <mergeCell ref="H89:I89"/>
    <mergeCell ref="C90:D90"/>
    <mergeCell ref="F90:G90"/>
    <mergeCell ref="H90:I90"/>
    <mergeCell ref="C91:P91"/>
    <mergeCell ref="J90:K90"/>
    <mergeCell ref="J80:K80"/>
    <mergeCell ref="M80:N80"/>
    <mergeCell ref="F83:G83"/>
    <mergeCell ref="H83:I83"/>
    <mergeCell ref="F84:G84"/>
    <mergeCell ref="H84:I84"/>
    <mergeCell ref="M90:N90"/>
    <mergeCell ref="F87:G87"/>
    <mergeCell ref="F88:G88"/>
    <mergeCell ref="H88:I88"/>
    <mergeCell ref="F85:G85"/>
    <mergeCell ref="H85:I85"/>
    <mergeCell ref="F86:G86"/>
    <mergeCell ref="H86:I86"/>
    <mergeCell ref="H87:I87"/>
    <mergeCell ref="C80:D80"/>
    <mergeCell ref="H65:I65"/>
    <mergeCell ref="F66:G66"/>
    <mergeCell ref="H66:I66"/>
    <mergeCell ref="F68:G68"/>
    <mergeCell ref="H68:I68"/>
    <mergeCell ref="F60:G60"/>
    <mergeCell ref="H60:I60"/>
    <mergeCell ref="F59:G59"/>
    <mergeCell ref="H59:I59"/>
    <mergeCell ref="N1:O1"/>
    <mergeCell ref="E2:G3"/>
    <mergeCell ref="C4:E6"/>
    <mergeCell ref="F4:F18"/>
    <mergeCell ref="G4:I4"/>
    <mergeCell ref="J4:J18"/>
    <mergeCell ref="C9:E9"/>
    <mergeCell ref="H5:I5"/>
    <mergeCell ref="G6:I6"/>
    <mergeCell ref="C7:E7"/>
    <mergeCell ref="H7:I7"/>
    <mergeCell ref="K7:L7"/>
    <mergeCell ref="C8:E8"/>
    <mergeCell ref="H8:I8"/>
    <mergeCell ref="K8:L8"/>
    <mergeCell ref="K10:L10"/>
    <mergeCell ref="C11:E11"/>
    <mergeCell ref="H11:I11"/>
    <mergeCell ref="G12:I12"/>
    <mergeCell ref="H13:I13"/>
    <mergeCell ref="H14:I14"/>
    <mergeCell ref="K14:P17"/>
    <mergeCell ref="H15:I15"/>
    <mergeCell ref="G10:I10"/>
    <mergeCell ref="A1:A19"/>
    <mergeCell ref="B1:D2"/>
    <mergeCell ref="E1:F1"/>
    <mergeCell ref="C45:D45"/>
    <mergeCell ref="F45:G45"/>
    <mergeCell ref="H45:I45"/>
    <mergeCell ref="F50:G50"/>
    <mergeCell ref="H50:I50"/>
    <mergeCell ref="F49:G49"/>
    <mergeCell ref="H9:I9"/>
    <mergeCell ref="C10:E10"/>
    <mergeCell ref="H72:I72"/>
    <mergeCell ref="F73:G73"/>
    <mergeCell ref="H73:I73"/>
    <mergeCell ref="C68:D68"/>
    <mergeCell ref="F76:G76"/>
    <mergeCell ref="H76:I76"/>
    <mergeCell ref="F77:G77"/>
    <mergeCell ref="H77:I77"/>
    <mergeCell ref="F61:G61"/>
    <mergeCell ref="H61:I61"/>
    <mergeCell ref="F62:G62"/>
    <mergeCell ref="H62:I62"/>
    <mergeCell ref="F63:G63"/>
    <mergeCell ref="C69:P69"/>
    <mergeCell ref="F71:G71"/>
    <mergeCell ref="F72:G72"/>
    <mergeCell ref="M68:N68"/>
    <mergeCell ref="F67:G67"/>
    <mergeCell ref="H67:I67"/>
    <mergeCell ref="J68:K68"/>
    <mergeCell ref="H63:I63"/>
    <mergeCell ref="F64:G64"/>
    <mergeCell ref="H64:I64"/>
    <mergeCell ref="F65:G65"/>
    <mergeCell ref="F80:G80"/>
    <mergeCell ref="H80:I80"/>
    <mergeCell ref="F79:G79"/>
    <mergeCell ref="H79:I79"/>
    <mergeCell ref="F74:G74"/>
    <mergeCell ref="H74:I74"/>
    <mergeCell ref="F75:G75"/>
    <mergeCell ref="H75:I75"/>
    <mergeCell ref="F78:G78"/>
    <mergeCell ref="H78:I78"/>
    <mergeCell ref="F58:G58"/>
    <mergeCell ref="H58:I58"/>
    <mergeCell ref="J45:K45"/>
    <mergeCell ref="M45:N45"/>
    <mergeCell ref="H53:I53"/>
    <mergeCell ref="F54:G54"/>
    <mergeCell ref="H54:I54"/>
    <mergeCell ref="C46:P46"/>
    <mergeCell ref="C47:P47"/>
    <mergeCell ref="F55:G55"/>
    <mergeCell ref="H55:I55"/>
    <mergeCell ref="F56:G56"/>
    <mergeCell ref="H56:I56"/>
    <mergeCell ref="F51:G51"/>
    <mergeCell ref="H51:I51"/>
    <mergeCell ref="F52:G52"/>
    <mergeCell ref="H52:I52"/>
    <mergeCell ref="F57:G57"/>
    <mergeCell ref="H57:I57"/>
    <mergeCell ref="F53:G5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40"/>
    </sheetView>
  </sheetViews>
  <sheetFormatPr defaultRowHeight="12.75" x14ac:dyDescent="0.2"/>
  <cols>
    <col min="1" max="1" width="40.5703125" bestFit="1" customWidth="1"/>
    <col min="2" max="2" width="10.140625" bestFit="1" customWidth="1"/>
    <col min="3" max="3" width="6.140625" bestFit="1" customWidth="1"/>
    <col min="4" max="4" width="6.42578125" bestFit="1" customWidth="1"/>
    <col min="5" max="5" width="19.140625" bestFit="1" customWidth="1"/>
    <col min="6" max="6" width="12" bestFit="1" customWidth="1"/>
    <col min="7" max="7" width="12.42578125" bestFit="1" customWidth="1"/>
    <col min="8" max="8" width="14.28515625" bestFit="1" customWidth="1"/>
    <col min="9" max="9" width="9.85546875" bestFit="1" customWidth="1"/>
    <col min="10" max="10" width="7.855468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16</v>
      </c>
      <c r="E4" s="193">
        <v>0.33329999999999999</v>
      </c>
      <c r="F4">
        <f>SUM(C4*C3*E4)/27*2</f>
        <v>3.9502222222222221</v>
      </c>
    </row>
    <row r="5" spans="1:10" x14ac:dyDescent="0.2">
      <c r="A5" s="178" t="s">
        <v>112</v>
      </c>
      <c r="B5" s="178" t="s">
        <v>111</v>
      </c>
      <c r="C5" s="174">
        <v>16</v>
      </c>
      <c r="E5" s="177">
        <v>0.33329999999999999</v>
      </c>
      <c r="F5">
        <f>SUM(C5*C3*E5)/27*2</f>
        <v>3.9502222222222221</v>
      </c>
    </row>
    <row r="6" spans="1:10" x14ac:dyDescent="0.2">
      <c r="A6" s="178" t="s">
        <v>117</v>
      </c>
      <c r="B6" s="178" t="s">
        <v>120</v>
      </c>
      <c r="C6" s="188">
        <f>C5-1.32</f>
        <v>14.68</v>
      </c>
      <c r="D6">
        <f>C4-1.32</f>
        <v>14.68</v>
      </c>
      <c r="E6" s="177">
        <v>0.5</v>
      </c>
      <c r="F6" s="175">
        <f>SUM(C6*D6*E6)/27*2</f>
        <v>7.9815703703703704</v>
      </c>
    </row>
    <row r="7" spans="1:10" x14ac:dyDescent="0.2">
      <c r="A7" s="178" t="s">
        <v>119</v>
      </c>
      <c r="B7" s="178" t="s">
        <v>120</v>
      </c>
      <c r="C7" s="188">
        <v>16.5</v>
      </c>
      <c r="D7">
        <v>16.5</v>
      </c>
      <c r="E7" s="177">
        <v>0.5</v>
      </c>
      <c r="F7" s="181">
        <f>SUM(C7*D7*E7)/27</f>
        <v>5.041666666666667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20.923681481481481</v>
      </c>
      <c r="G9" s="190">
        <f>SUM(27*110)</f>
        <v>2970</v>
      </c>
      <c r="H9" s="191">
        <f>SUM(F9*G9)</f>
        <v>62143.333999999995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226</v>
      </c>
      <c r="B29" s="206"/>
      <c r="C29" s="206"/>
      <c r="D29" s="206"/>
      <c r="E29" s="206"/>
      <c r="F29" s="206"/>
    </row>
    <row r="30" spans="1:10" x14ac:dyDescent="0.2">
      <c r="C30" t="s">
        <v>118</v>
      </c>
      <c r="D30" t="s">
        <v>132</v>
      </c>
      <c r="E30" t="s">
        <v>109</v>
      </c>
    </row>
    <row r="31" spans="1:10" x14ac:dyDescent="0.2">
      <c r="A31" t="s">
        <v>239</v>
      </c>
      <c r="C31">
        <v>10.5</v>
      </c>
      <c r="D31">
        <v>16</v>
      </c>
      <c r="E31">
        <v>4</v>
      </c>
      <c r="F31" t="s">
        <v>12</v>
      </c>
      <c r="G31">
        <f>SUM(C31*D31*E31)+(16*16)</f>
        <v>928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topLeftCell="A61" workbookViewId="0">
      <selection activeCell="E90" sqref="E90"/>
    </sheetView>
  </sheetViews>
  <sheetFormatPr defaultRowHeight="12.75" x14ac:dyDescent="0.2"/>
  <cols>
    <col min="1" max="1" width="2" bestFit="1" customWidth="1"/>
    <col min="2" max="2" width="29.42578125" bestFit="1" customWidth="1"/>
    <col min="3" max="3" width="10.140625" bestFit="1" customWidth="1"/>
    <col min="4" max="4" width="9" bestFit="1" customWidth="1"/>
    <col min="5" max="5" width="12.85546875" bestFit="1" customWidth="1"/>
    <col min="6" max="6" width="5.140625" bestFit="1" customWidth="1"/>
    <col min="7" max="7" width="18.140625" bestFit="1" customWidth="1"/>
    <col min="8" max="8" width="6.85546875" bestFit="1" customWidth="1"/>
    <col min="9" max="9" width="11.5703125" bestFit="1" customWidth="1"/>
    <col min="10" max="10" width="6.85546875" bestFit="1" customWidth="1"/>
    <col min="11" max="11" width="11.5703125" bestFit="1" customWidth="1"/>
    <col min="12" max="12" width="19" bestFit="1" customWidth="1"/>
    <col min="13" max="13" width="5.140625" bestFit="1" customWidth="1"/>
    <col min="14" max="14" width="13.85546875" bestFit="1" customWidth="1"/>
    <col min="15" max="15" width="19" bestFit="1" customWidth="1"/>
    <col min="16" max="16" width="11.285156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SUM(O93)</f>
        <v>25530.104823611109</v>
      </c>
      <c r="H1" s="237" t="s">
        <v>0</v>
      </c>
      <c r="I1" s="237"/>
      <c r="J1" s="201"/>
      <c r="K1" s="237"/>
      <c r="L1" s="237"/>
      <c r="M1" s="237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237"/>
      <c r="I2" s="237"/>
      <c r="J2" s="237"/>
      <c r="K2" s="237"/>
      <c r="L2" s="204" t="s">
        <v>152</v>
      </c>
      <c r="M2" s="205"/>
      <c r="N2" s="204" t="s">
        <v>153</v>
      </c>
      <c r="O2" s="237"/>
      <c r="P2" s="237"/>
    </row>
    <row r="3" spans="1:16" ht="18.75" thickBot="1" x14ac:dyDescent="0.3">
      <c r="A3" s="296"/>
      <c r="B3" s="92" t="s">
        <v>84</v>
      </c>
      <c r="C3" s="172" t="s">
        <v>252</v>
      </c>
      <c r="D3" s="100" t="s">
        <v>102</v>
      </c>
      <c r="E3" s="302"/>
      <c r="F3" s="302"/>
      <c r="G3" s="302"/>
      <c r="H3" s="236"/>
      <c r="I3" s="237">
        <f>18*18</f>
        <v>324</v>
      </c>
      <c r="J3" s="201" t="s">
        <v>12</v>
      </c>
      <c r="K3" s="236"/>
      <c r="L3" s="203">
        <f>SUM(L93/I3)</f>
        <v>56.283299875685884</v>
      </c>
      <c r="M3" s="236"/>
      <c r="N3" s="203">
        <f>SUM(G1/I3)</f>
        <v>78.796619825960207</v>
      </c>
      <c r="O3" s="236"/>
      <c r="P3" s="236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239" t="s">
        <v>46</v>
      </c>
      <c r="H7" s="355">
        <v>0.4</v>
      </c>
      <c r="I7" s="355"/>
      <c r="J7" s="308"/>
      <c r="K7" s="356" t="s">
        <v>123</v>
      </c>
      <c r="L7" s="356"/>
      <c r="M7" s="239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239" t="s">
        <v>47</v>
      </c>
      <c r="H8" s="316">
        <f>SUM(N29,N43,M68,M80,M90)</f>
        <v>7294.3156638888886</v>
      </c>
      <c r="I8" s="316"/>
      <c r="J8" s="308"/>
      <c r="K8" s="357">
        <f>N8*H8</f>
        <v>729431.56638888887</v>
      </c>
      <c r="L8" s="357"/>
      <c r="M8" s="239" t="s">
        <v>103</v>
      </c>
      <c r="N8" s="195">
        <v>100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239" t="s">
        <v>48</v>
      </c>
      <c r="H9" s="320">
        <f>H8/2</f>
        <v>3647.1578319444443</v>
      </c>
      <c r="I9" s="320"/>
      <c r="J9" s="308"/>
      <c r="K9" s="10"/>
      <c r="L9" s="11">
        <f>200*H9</f>
        <v>729431.56638888887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239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239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239" t="s">
        <v>50</v>
      </c>
      <c r="H14" s="316">
        <f>SUM(H45,K68,J80,J90)</f>
        <v>1497.625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239" t="s">
        <v>52</v>
      </c>
      <c r="H15" s="320">
        <f>H14/2</f>
        <v>748.8125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0.4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12</v>
      </c>
      <c r="D20" s="69">
        <f>SUM(E15)</f>
        <v>15</v>
      </c>
      <c r="E20" s="241">
        <f t="shared" ref="E20:E28" si="0">IF(A20="X",D20*C20,0)</f>
        <v>180</v>
      </c>
      <c r="F20" s="242" t="s">
        <v>25</v>
      </c>
      <c r="G20" s="107">
        <f t="shared" ref="G20:G28" si="1">E20*$F$19</f>
        <v>54</v>
      </c>
      <c r="H20" s="25" t="s">
        <v>25</v>
      </c>
      <c r="I20" s="15">
        <f t="shared" ref="I20:I28" si="2">E20*$H$19</f>
        <v>45</v>
      </c>
      <c r="J20" s="108"/>
      <c r="K20" s="109"/>
      <c r="L20" s="3">
        <f t="shared" ref="L20:L28" si="3">SUM(E20:K20)</f>
        <v>279</v>
      </c>
      <c r="M20" s="26" t="s">
        <v>25</v>
      </c>
      <c r="N20" s="15">
        <f t="shared" ref="N20:N28" si="4">L20*$M$19</f>
        <v>111.60000000000001</v>
      </c>
      <c r="O20" s="3">
        <f t="shared" ref="O20:O28" si="5">SUM(N20+L20)</f>
        <v>390.6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10</v>
      </c>
      <c r="D21" s="69">
        <f>SUM(E15)</f>
        <v>15</v>
      </c>
      <c r="E21" s="241">
        <f t="shared" si="0"/>
        <v>150</v>
      </c>
      <c r="F21" s="240" t="s">
        <v>25</v>
      </c>
      <c r="G21" s="107">
        <f t="shared" si="1"/>
        <v>45</v>
      </c>
      <c r="H21" s="27" t="s">
        <v>25</v>
      </c>
      <c r="I21" s="15">
        <f t="shared" si="2"/>
        <v>37.5</v>
      </c>
      <c r="J21" s="110"/>
      <c r="K21" s="111"/>
      <c r="L21" s="3">
        <f t="shared" si="3"/>
        <v>232.5</v>
      </c>
      <c r="M21" s="26" t="s">
        <v>25</v>
      </c>
      <c r="N21" s="15">
        <f t="shared" si="4"/>
        <v>93</v>
      </c>
      <c r="O21" s="3">
        <f t="shared" si="5"/>
        <v>325.5</v>
      </c>
      <c r="P21" s="80">
        <f t="shared" ref="P21:P28" si="6">SUM(O21)</f>
        <v>325.5</v>
      </c>
    </row>
    <row r="22" spans="1:16" x14ac:dyDescent="0.2">
      <c r="A22" s="95" t="s">
        <v>68</v>
      </c>
      <c r="B22" s="151" t="s">
        <v>106</v>
      </c>
      <c r="C22" s="82">
        <v>20</v>
      </c>
      <c r="D22" s="69">
        <f>SUM(E15)</f>
        <v>15</v>
      </c>
      <c r="E22" s="241">
        <f>IF(A22="X",D22*C22,0)</f>
        <v>300</v>
      </c>
      <c r="F22" s="240" t="s">
        <v>25</v>
      </c>
      <c r="G22" s="107">
        <f t="shared" si="1"/>
        <v>90</v>
      </c>
      <c r="H22" s="27" t="s">
        <v>25</v>
      </c>
      <c r="I22" s="15">
        <f t="shared" si="2"/>
        <v>75</v>
      </c>
      <c r="J22" s="110"/>
      <c r="K22" s="111"/>
      <c r="L22" s="3">
        <f t="shared" si="3"/>
        <v>465</v>
      </c>
      <c r="M22" s="26" t="s">
        <v>25</v>
      </c>
      <c r="N22" s="15">
        <f t="shared" si="4"/>
        <v>186</v>
      </c>
      <c r="O22" s="3">
        <f>SUM(N22+L22)</f>
        <v>651</v>
      </c>
      <c r="P22" s="80">
        <f t="shared" si="6"/>
        <v>651</v>
      </c>
    </row>
    <row r="23" spans="1:16" x14ac:dyDescent="0.2">
      <c r="A23" s="95" t="s">
        <v>68</v>
      </c>
      <c r="B23" s="151" t="s">
        <v>79</v>
      </c>
      <c r="C23" s="82">
        <v>20</v>
      </c>
      <c r="D23" s="69">
        <v>15</v>
      </c>
      <c r="E23" s="241">
        <f>IF(A23="X",D23*C23,0)</f>
        <v>300</v>
      </c>
      <c r="F23" s="240" t="s">
        <v>25</v>
      </c>
      <c r="G23" s="107">
        <f t="shared" si="1"/>
        <v>90</v>
      </c>
      <c r="H23" s="27" t="s">
        <v>25</v>
      </c>
      <c r="I23" s="15">
        <f t="shared" si="2"/>
        <v>75</v>
      </c>
      <c r="J23" s="110"/>
      <c r="K23" s="111"/>
      <c r="L23" s="3">
        <f t="shared" si="3"/>
        <v>465</v>
      </c>
      <c r="M23" s="26" t="s">
        <v>25</v>
      </c>
      <c r="N23" s="15">
        <f t="shared" si="4"/>
        <v>186</v>
      </c>
      <c r="O23" s="3">
        <f>SUM(N23+L23)</f>
        <v>651</v>
      </c>
      <c r="P23" s="80">
        <f t="shared" si="6"/>
        <v>651</v>
      </c>
    </row>
    <row r="24" spans="1:16" x14ac:dyDescent="0.2">
      <c r="A24" s="95" t="s">
        <v>68</v>
      </c>
      <c r="B24" s="151" t="s">
        <v>72</v>
      </c>
      <c r="C24" s="82">
        <v>5</v>
      </c>
      <c r="D24" s="159">
        <f>SUM(E16)</f>
        <v>16.100000000000001</v>
      </c>
      <c r="E24" s="241">
        <f>IF(A24="X",D24*C24,0)</f>
        <v>80.5</v>
      </c>
      <c r="F24" s="240" t="s">
        <v>25</v>
      </c>
      <c r="G24" s="107">
        <f t="shared" si="1"/>
        <v>24.15</v>
      </c>
      <c r="H24" s="27" t="s">
        <v>25</v>
      </c>
      <c r="I24" s="15">
        <f t="shared" si="2"/>
        <v>20.125</v>
      </c>
      <c r="J24" s="110"/>
      <c r="K24" s="111"/>
      <c r="L24" s="3">
        <f t="shared" si="3"/>
        <v>124.77500000000001</v>
      </c>
      <c r="M24" s="26" t="s">
        <v>25</v>
      </c>
      <c r="N24" s="15">
        <f t="shared" si="4"/>
        <v>49.910000000000004</v>
      </c>
      <c r="O24" s="3">
        <f>SUM(N24+L24)</f>
        <v>174.685</v>
      </c>
      <c r="P24" s="80">
        <f t="shared" si="6"/>
        <v>174.685</v>
      </c>
    </row>
    <row r="25" spans="1:16" x14ac:dyDescent="0.2">
      <c r="A25" s="33" t="s">
        <v>26</v>
      </c>
      <c r="B25" s="151" t="s">
        <v>154</v>
      </c>
      <c r="C25" s="82">
        <v>9</v>
      </c>
      <c r="D25" s="69">
        <f>SUM(E15)</f>
        <v>15</v>
      </c>
      <c r="E25" s="241">
        <f t="shared" si="0"/>
        <v>135</v>
      </c>
      <c r="F25" s="240" t="s">
        <v>25</v>
      </c>
      <c r="G25" s="107">
        <f t="shared" si="1"/>
        <v>40.5</v>
      </c>
      <c r="H25" s="27" t="s">
        <v>25</v>
      </c>
      <c r="I25" s="15">
        <f t="shared" si="2"/>
        <v>33.75</v>
      </c>
      <c r="J25" s="110"/>
      <c r="K25" s="111"/>
      <c r="L25" s="3">
        <f t="shared" si="3"/>
        <v>209.25</v>
      </c>
      <c r="M25" s="26" t="s">
        <v>25</v>
      </c>
      <c r="N25" s="15">
        <f t="shared" si="4"/>
        <v>83.7</v>
      </c>
      <c r="O25" s="3">
        <f t="shared" si="5"/>
        <v>292.95</v>
      </c>
      <c r="P25" s="80">
        <f t="shared" si="6"/>
        <v>292.95</v>
      </c>
    </row>
    <row r="26" spans="1:16" x14ac:dyDescent="0.2">
      <c r="A26" s="149" t="s">
        <v>68</v>
      </c>
      <c r="B26" s="151" t="s">
        <v>148</v>
      </c>
      <c r="C26" s="82">
        <v>15</v>
      </c>
      <c r="D26" s="159">
        <f>SUM(E16)</f>
        <v>16.100000000000001</v>
      </c>
      <c r="E26" s="241">
        <f t="shared" si="0"/>
        <v>241.50000000000003</v>
      </c>
      <c r="F26" s="240" t="s">
        <v>25</v>
      </c>
      <c r="G26" s="107">
        <f t="shared" si="1"/>
        <v>72.45</v>
      </c>
      <c r="H26" s="27" t="s">
        <v>25</v>
      </c>
      <c r="I26" s="15">
        <f t="shared" si="2"/>
        <v>60.375000000000007</v>
      </c>
      <c r="J26" s="110"/>
      <c r="K26" s="111"/>
      <c r="L26" s="3">
        <f t="shared" si="3"/>
        <v>374.32500000000005</v>
      </c>
      <c r="M26" s="26" t="s">
        <v>25</v>
      </c>
      <c r="N26" s="15">
        <f t="shared" si="4"/>
        <v>149.73000000000002</v>
      </c>
      <c r="O26" s="3">
        <f t="shared" si="5"/>
        <v>524.05500000000006</v>
      </c>
      <c r="P26" s="80">
        <f t="shared" si="6"/>
        <v>524.05500000000006</v>
      </c>
    </row>
    <row r="27" spans="1:16" x14ac:dyDescent="0.2">
      <c r="A27" s="149" t="s">
        <v>68</v>
      </c>
      <c r="B27" s="93" t="s">
        <v>81</v>
      </c>
      <c r="C27" s="82">
        <v>2</v>
      </c>
      <c r="D27" s="159">
        <f>SUM(E16)</f>
        <v>16.100000000000001</v>
      </c>
      <c r="E27" s="241">
        <f t="shared" si="0"/>
        <v>32.200000000000003</v>
      </c>
      <c r="F27" s="240" t="s">
        <v>25</v>
      </c>
      <c r="G27" s="107">
        <f t="shared" si="1"/>
        <v>9.66</v>
      </c>
      <c r="H27" s="27" t="s">
        <v>25</v>
      </c>
      <c r="I27" s="15">
        <f t="shared" si="2"/>
        <v>8.0500000000000007</v>
      </c>
      <c r="J27" s="110"/>
      <c r="K27" s="111"/>
      <c r="L27" s="3">
        <f t="shared" si="3"/>
        <v>49.91</v>
      </c>
      <c r="M27" s="26" t="s">
        <v>25</v>
      </c>
      <c r="N27" s="15">
        <f t="shared" si="4"/>
        <v>19.963999999999999</v>
      </c>
      <c r="O27" s="3">
        <f t="shared" si="5"/>
        <v>69.873999999999995</v>
      </c>
      <c r="P27" s="80">
        <f t="shared" si="6"/>
        <v>69.873999999999995</v>
      </c>
    </row>
    <row r="28" spans="1:16" x14ac:dyDescent="0.2">
      <c r="A28" s="149" t="s">
        <v>68</v>
      </c>
      <c r="B28" s="93" t="s">
        <v>149</v>
      </c>
      <c r="C28" s="64">
        <v>14</v>
      </c>
      <c r="D28" s="69">
        <f>SUM(E15)</f>
        <v>15</v>
      </c>
      <c r="E28" s="241">
        <f t="shared" si="0"/>
        <v>210</v>
      </c>
      <c r="F28" s="112" t="s">
        <v>25</v>
      </c>
      <c r="G28" s="113">
        <f t="shared" si="1"/>
        <v>63</v>
      </c>
      <c r="H28" s="114" t="s">
        <v>25</v>
      </c>
      <c r="I28" s="119">
        <f t="shared" si="2"/>
        <v>52.5</v>
      </c>
      <c r="J28" s="115"/>
      <c r="K28" s="116"/>
      <c r="L28" s="117">
        <f t="shared" si="3"/>
        <v>325.5</v>
      </c>
      <c r="M28" s="118" t="s">
        <v>25</v>
      </c>
      <c r="N28" s="119">
        <f t="shared" si="4"/>
        <v>130.20000000000002</v>
      </c>
      <c r="O28" s="117">
        <f t="shared" si="5"/>
        <v>455.70000000000005</v>
      </c>
      <c r="P28" s="80">
        <f t="shared" si="6"/>
        <v>455.70000000000005</v>
      </c>
    </row>
    <row r="29" spans="1:16" x14ac:dyDescent="0.2">
      <c r="A29" s="9"/>
      <c r="B29" s="24"/>
      <c r="C29" s="65">
        <f>SUM(C20:C28)</f>
        <v>107</v>
      </c>
      <c r="D29" s="60"/>
      <c r="E29" s="48">
        <f>SUM(E20:E28)</f>
        <v>1629.2</v>
      </c>
      <c r="F29" s="120" t="s">
        <v>25</v>
      </c>
      <c r="G29" s="59">
        <f>SUM(G20:G28)</f>
        <v>488.76</v>
      </c>
      <c r="H29" s="121" t="s">
        <v>25</v>
      </c>
      <c r="I29" s="57">
        <f>SUM(I20:I28)</f>
        <v>407.3</v>
      </c>
      <c r="J29" s="121"/>
      <c r="K29" s="59"/>
      <c r="L29" s="63">
        <f>SUM(L20:L28)</f>
        <v>2525.2600000000002</v>
      </c>
      <c r="M29" s="121" t="s">
        <v>25</v>
      </c>
      <c r="N29" s="57">
        <f>SUM(N20:N28)</f>
        <v>1010.104</v>
      </c>
      <c r="O29" s="58">
        <f>SUM(O20:O28)</f>
        <v>3535.3639999999996</v>
      </c>
      <c r="P29" s="122">
        <f>SUM(O29/1)</f>
        <v>3535.3639999999996</v>
      </c>
    </row>
    <row r="30" spans="1:16" x14ac:dyDescent="0.2">
      <c r="A30" s="9"/>
      <c r="B30" s="24"/>
      <c r="C30" s="82"/>
      <c r="D30" s="45"/>
      <c r="E30" s="241"/>
      <c r="F30" s="240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241"/>
      <c r="F31" s="240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12</v>
      </c>
      <c r="D32" s="45">
        <v>40</v>
      </c>
      <c r="E32" s="241">
        <f>IF(A32="X",D32*C32,0)</f>
        <v>480</v>
      </c>
      <c r="F32" s="112" t="s">
        <v>25</v>
      </c>
      <c r="G32" s="113">
        <f>E32*$F$19</f>
        <v>144</v>
      </c>
      <c r="H32" s="27" t="s">
        <v>25</v>
      </c>
      <c r="I32" s="15">
        <f t="shared" ref="I32:I42" si="7">E32*$H$19</f>
        <v>120</v>
      </c>
      <c r="J32" s="110"/>
      <c r="K32" s="111"/>
      <c r="L32" s="3">
        <f t="shared" ref="L32:L42" si="8">SUM(E32:K32)</f>
        <v>744</v>
      </c>
      <c r="M32" s="26" t="s">
        <v>25</v>
      </c>
      <c r="N32" s="15">
        <f t="shared" ref="N32:N42" si="9">L32*$M$19</f>
        <v>297.60000000000002</v>
      </c>
      <c r="O32" s="3">
        <f>SUM(N32+L32)</f>
        <v>1041.5999999999999</v>
      </c>
      <c r="P32" s="80">
        <f t="shared" ref="P32:P45" si="10">SUM(O32)</f>
        <v>1041.5999999999999</v>
      </c>
    </row>
    <row r="33" spans="1:16" x14ac:dyDescent="0.2">
      <c r="A33" s="150" t="str">
        <f>IF(A20="X",A20,"")</f>
        <v>x</v>
      </c>
      <c r="B33" s="68" t="s">
        <v>31</v>
      </c>
      <c r="C33" s="83">
        <v>2</v>
      </c>
      <c r="D33" s="45">
        <v>40</v>
      </c>
      <c r="E33" s="241">
        <f t="shared" ref="E33:E42" si="11">IF(A33="X",D33*C33,0)</f>
        <v>80</v>
      </c>
      <c r="F33" s="240" t="s">
        <v>25</v>
      </c>
      <c r="G33" s="107">
        <f t="shared" ref="G33:G42" si="12">E33*$F$19</f>
        <v>24</v>
      </c>
      <c r="H33" s="27" t="s">
        <v>25</v>
      </c>
      <c r="I33" s="15">
        <f t="shared" si="7"/>
        <v>20</v>
      </c>
      <c r="J33" s="110"/>
      <c r="K33" s="111"/>
      <c r="L33" s="3">
        <f t="shared" si="8"/>
        <v>124</v>
      </c>
      <c r="M33" s="26" t="s">
        <v>25</v>
      </c>
      <c r="N33" s="15">
        <f t="shared" si="9"/>
        <v>49.6</v>
      </c>
      <c r="O33" s="3">
        <f t="shared" ref="O33:O42" si="13">SUM(N33+L33)</f>
        <v>173.6</v>
      </c>
      <c r="P33" s="80">
        <f t="shared" si="10"/>
        <v>173.6</v>
      </c>
    </row>
    <row r="34" spans="1:16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2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148.80000000000001</v>
      </c>
      <c r="O34" s="3">
        <f t="shared" si="13"/>
        <v>520.79999999999995</v>
      </c>
      <c r="P34" s="80">
        <f t="shared" si="10"/>
        <v>520.79999999999995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2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5</v>
      </c>
      <c r="D36" s="45">
        <v>40</v>
      </c>
      <c r="E36" s="241">
        <f>IF(A36="X",D36*C36,0)</f>
        <v>200</v>
      </c>
      <c r="F36" s="240" t="s">
        <v>25</v>
      </c>
      <c r="G36" s="107">
        <f t="shared" si="12"/>
        <v>60</v>
      </c>
      <c r="H36" s="27" t="s">
        <v>25</v>
      </c>
      <c r="I36" s="15">
        <f t="shared" si="7"/>
        <v>50</v>
      </c>
      <c r="J36" s="110"/>
      <c r="K36" s="111"/>
      <c r="L36" s="3">
        <f t="shared" si="8"/>
        <v>310</v>
      </c>
      <c r="M36" s="26" t="s">
        <v>25</v>
      </c>
      <c r="N36" s="15">
        <f t="shared" si="9"/>
        <v>124</v>
      </c>
      <c r="O36" s="3">
        <f>SUM(N36+L36)</f>
        <v>434</v>
      </c>
      <c r="P36" s="80">
        <f t="shared" si="10"/>
        <v>434</v>
      </c>
    </row>
    <row r="37" spans="1:16" x14ac:dyDescent="0.2">
      <c r="A37" s="150" t="str">
        <f>IF(A23="X",A23,"")</f>
        <v>x</v>
      </c>
      <c r="B37" s="151" t="s">
        <v>124</v>
      </c>
      <c r="C37" s="83">
        <v>2</v>
      </c>
      <c r="D37" s="45">
        <v>40</v>
      </c>
      <c r="E37" s="241">
        <f>IF(A37="X",D37*C37,0)</f>
        <v>80</v>
      </c>
      <c r="F37" s="240" t="s">
        <v>25</v>
      </c>
      <c r="G37" s="107">
        <f t="shared" si="12"/>
        <v>24</v>
      </c>
      <c r="H37" s="27" t="s">
        <v>25</v>
      </c>
      <c r="I37" s="15">
        <f t="shared" si="7"/>
        <v>20</v>
      </c>
      <c r="J37" s="110"/>
      <c r="K37" s="111"/>
      <c r="L37" s="3">
        <f t="shared" si="8"/>
        <v>124</v>
      </c>
      <c r="M37" s="26" t="s">
        <v>25</v>
      </c>
      <c r="N37" s="15">
        <f t="shared" si="9"/>
        <v>49.6</v>
      </c>
      <c r="O37" s="3">
        <f>SUM(N37+L37)</f>
        <v>173.6</v>
      </c>
      <c r="P37" s="80">
        <f t="shared" si="10"/>
        <v>173.6</v>
      </c>
    </row>
    <row r="38" spans="1:16" x14ac:dyDescent="0.2">
      <c r="A38" s="150" t="str">
        <f>IF(A24="X",A24,"")</f>
        <v>x</v>
      </c>
      <c r="B38" s="151" t="s">
        <v>72</v>
      </c>
      <c r="C38" s="83">
        <v>6</v>
      </c>
      <c r="D38" s="45">
        <v>40</v>
      </c>
      <c r="E38" s="241">
        <f>IF(A38="X",D38*C38,0)</f>
        <v>240</v>
      </c>
      <c r="F38" s="240" t="s">
        <v>25</v>
      </c>
      <c r="G38" s="107">
        <f t="shared" si="12"/>
        <v>72</v>
      </c>
      <c r="H38" s="27" t="s">
        <v>25</v>
      </c>
      <c r="I38" s="15">
        <f t="shared" si="7"/>
        <v>60</v>
      </c>
      <c r="J38" s="110"/>
      <c r="K38" s="111"/>
      <c r="L38" s="3">
        <f t="shared" si="8"/>
        <v>372</v>
      </c>
      <c r="M38" s="26" t="s">
        <v>25</v>
      </c>
      <c r="N38" s="15">
        <f t="shared" si="9"/>
        <v>148.80000000000001</v>
      </c>
      <c r="O38" s="3">
        <f>SUM(N38+L38)</f>
        <v>520.79999999999995</v>
      </c>
      <c r="P38" s="80">
        <f t="shared" si="10"/>
        <v>520.79999999999995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2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6</v>
      </c>
      <c r="D40" s="45">
        <v>40</v>
      </c>
      <c r="E40" s="241">
        <f t="shared" si="11"/>
        <v>240</v>
      </c>
      <c r="F40" s="112" t="s">
        <v>25</v>
      </c>
      <c r="G40" s="113">
        <f t="shared" si="12"/>
        <v>72</v>
      </c>
      <c r="H40" s="27" t="s">
        <v>25</v>
      </c>
      <c r="I40" s="15">
        <f t="shared" si="7"/>
        <v>60</v>
      </c>
      <c r="J40" s="110"/>
      <c r="K40" s="111"/>
      <c r="L40" s="3">
        <f t="shared" si="8"/>
        <v>372</v>
      </c>
      <c r="M40" s="26" t="s">
        <v>25</v>
      </c>
      <c r="N40" s="15">
        <f t="shared" si="9"/>
        <v>148.80000000000001</v>
      </c>
      <c r="O40" s="3">
        <f t="shared" si="13"/>
        <v>520.79999999999995</v>
      </c>
      <c r="P40" s="80">
        <f t="shared" si="10"/>
        <v>520.79999999999995</v>
      </c>
    </row>
    <row r="41" spans="1:16" x14ac:dyDescent="0.2">
      <c r="A41" s="166" t="s">
        <v>68</v>
      </c>
      <c r="B41" s="93" t="s">
        <v>81</v>
      </c>
      <c r="C41" s="83">
        <v>1</v>
      </c>
      <c r="D41" s="45">
        <v>40</v>
      </c>
      <c r="E41" s="2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24.8</v>
      </c>
      <c r="O41" s="3">
        <f t="shared" si="13"/>
        <v>86.8</v>
      </c>
      <c r="P41" s="80">
        <f t="shared" si="10"/>
        <v>86.8</v>
      </c>
    </row>
    <row r="42" spans="1:16" x14ac:dyDescent="0.2">
      <c r="A42" s="150"/>
      <c r="B42" s="93"/>
      <c r="C42" s="83">
        <v>0</v>
      </c>
      <c r="D42" s="45">
        <v>40</v>
      </c>
      <c r="E42" s="2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40</v>
      </c>
      <c r="D43" s="60"/>
      <c r="E43" s="60">
        <f>SUM(E32:E42)</f>
        <v>1600</v>
      </c>
      <c r="F43" s="123" t="s">
        <v>25</v>
      </c>
      <c r="G43" s="61">
        <f>SUM(G32:G42)</f>
        <v>480</v>
      </c>
      <c r="H43" s="124" t="s">
        <v>25</v>
      </c>
      <c r="I43" s="62">
        <f>SUM(I32:I42)</f>
        <v>400</v>
      </c>
      <c r="J43" s="124"/>
      <c r="K43" s="61"/>
      <c r="L43" s="63">
        <f>SUM(L32:L42)</f>
        <v>2480</v>
      </c>
      <c r="M43" s="124" t="s">
        <v>25</v>
      </c>
      <c r="N43" s="62">
        <f>SUM(N32:N42)</f>
        <v>992</v>
      </c>
      <c r="O43" s="63">
        <f>SUM(O32:O42)</f>
        <v>3472</v>
      </c>
      <c r="P43" s="80">
        <f t="shared" si="10"/>
        <v>3472</v>
      </c>
    </row>
    <row r="44" spans="1:16" ht="13.5" thickBot="1" x14ac:dyDescent="0.25">
      <c r="A44" s="9"/>
      <c r="B44" s="49" t="s">
        <v>73</v>
      </c>
      <c r="C44" s="161">
        <f>SUM(C29+C43)</f>
        <v>147</v>
      </c>
      <c r="D44" s="45"/>
      <c r="E44" s="241"/>
      <c r="F44" s="240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3229.2</v>
      </c>
      <c r="F45" s="328">
        <f>G43+G29</f>
        <v>968.76</v>
      </c>
      <c r="G45" s="329"/>
      <c r="H45" s="328">
        <f>I43+I29</f>
        <v>807.3</v>
      </c>
      <c r="I45" s="329"/>
      <c r="J45" s="328"/>
      <c r="K45" s="329"/>
      <c r="L45" s="31">
        <f>L43+L29</f>
        <v>5005.26</v>
      </c>
      <c r="M45" s="330">
        <f>N43+N29</f>
        <v>2002.104</v>
      </c>
      <c r="N45" s="331"/>
      <c r="O45" s="31">
        <f>O43+O29</f>
        <v>7007.3639999999996</v>
      </c>
      <c r="P45" s="80">
        <f t="shared" si="10"/>
        <v>7007.3639999999996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237">
        <v>39295</v>
      </c>
      <c r="D48" s="237"/>
      <c r="E48" s="237"/>
      <c r="F48" s="237"/>
      <c r="G48" s="237"/>
      <c r="H48" s="237"/>
      <c r="I48" s="237"/>
      <c r="J48" s="237"/>
      <c r="K48" s="237"/>
      <c r="L48" s="237"/>
      <c r="M48" s="160">
        <v>0.4</v>
      </c>
      <c r="N48" s="237"/>
      <c r="O48" s="237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0.4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 t="s">
        <v>68</v>
      </c>
      <c r="B50" s="93" t="s">
        <v>184</v>
      </c>
      <c r="C50" s="85">
        <f>'18X18 Concrete'!F9</f>
        <v>25.530496296296295</v>
      </c>
      <c r="D50" s="94" t="s">
        <v>18</v>
      </c>
      <c r="E50" s="51">
        <v>105</v>
      </c>
      <c r="F50" s="334">
        <f t="shared" ref="F50:F63" si="14">IF(A50="x",SUM(C50*E50),0)</f>
        <v>2680.7021111111112</v>
      </c>
      <c r="G50" s="335"/>
      <c r="H50" s="334">
        <f t="shared" ref="H50:H63" si="15">F50*$H$49</f>
        <v>247.96494527777779</v>
      </c>
      <c r="I50" s="335"/>
      <c r="J50" s="25" t="s">
        <v>25</v>
      </c>
      <c r="K50" s="15">
        <f>F50*$J$49</f>
        <v>670.1755277777778</v>
      </c>
      <c r="L50" s="3">
        <f t="shared" ref="L50:L67" si="16">SUM(F50:K50)</f>
        <v>3598.8425841666667</v>
      </c>
      <c r="M50" s="26" t="s">
        <v>25</v>
      </c>
      <c r="N50" s="15">
        <f>L50*$M$48</f>
        <v>1439.5370336666667</v>
      </c>
      <c r="O50" s="3">
        <f t="shared" ref="O50:O63" si="17">SUM(N50+L50)</f>
        <v>5038.3796178333332</v>
      </c>
      <c r="P50" s="80">
        <f t="shared" ref="P50:P68" si="18">SUM(O50)</f>
        <v>5038.3796178333332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7" si="19">F51*$J$49</f>
        <v>250</v>
      </c>
      <c r="L51" s="3">
        <f t="shared" si="16"/>
        <v>1342.5</v>
      </c>
      <c r="M51" s="26" t="s">
        <v>25</v>
      </c>
      <c r="N51" s="15">
        <f t="shared" ref="N51:N66" si="20">L51*$M$49</f>
        <v>537</v>
      </c>
      <c r="O51" s="3">
        <f>SUM(N51+L51)</f>
        <v>1879.5</v>
      </c>
      <c r="P51" s="80">
        <f t="shared" si="18"/>
        <v>1879.5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134.25</v>
      </c>
      <c r="O52" s="3">
        <f>SUM(N52+L52)</f>
        <v>469.875</v>
      </c>
      <c r="P52" s="80">
        <f t="shared" si="18"/>
        <v>469.875</v>
      </c>
    </row>
    <row r="53" spans="1:16" x14ac:dyDescent="0.2">
      <c r="A53" s="33"/>
      <c r="B53" s="24"/>
      <c r="C53" s="85">
        <v>0</v>
      </c>
      <c r="D53" s="44" t="s">
        <v>11</v>
      </c>
      <c r="E53" s="28">
        <v>4.25</v>
      </c>
      <c r="F53" s="336">
        <f t="shared" si="14"/>
        <v>0</v>
      </c>
      <c r="G53" s="337"/>
      <c r="H53" s="336">
        <f t="shared" si="15"/>
        <v>0</v>
      </c>
      <c r="I53" s="337"/>
      <c r="J53" s="27" t="s">
        <v>25</v>
      </c>
      <c r="K53" s="15">
        <f t="shared" si="19"/>
        <v>0</v>
      </c>
      <c r="L53" s="3">
        <f t="shared" si="16"/>
        <v>0</v>
      </c>
      <c r="M53" s="26" t="s">
        <v>25</v>
      </c>
      <c r="N53" s="15">
        <f t="shared" si="20"/>
        <v>0</v>
      </c>
      <c r="O53" s="3">
        <f t="shared" si="17"/>
        <v>0</v>
      </c>
      <c r="P53" s="80">
        <f t="shared" si="18"/>
        <v>0</v>
      </c>
    </row>
    <row r="54" spans="1:16" x14ac:dyDescent="0.2">
      <c r="A54" s="95" t="s">
        <v>68</v>
      </c>
      <c r="B54" s="93" t="s">
        <v>240</v>
      </c>
      <c r="C54" s="85">
        <v>4</v>
      </c>
      <c r="D54" s="94" t="s">
        <v>18</v>
      </c>
      <c r="E54" s="28">
        <v>100</v>
      </c>
      <c r="F54" s="336">
        <f t="shared" si="14"/>
        <v>400</v>
      </c>
      <c r="G54" s="337"/>
      <c r="H54" s="336">
        <f t="shared" si="15"/>
        <v>37</v>
      </c>
      <c r="I54" s="337"/>
      <c r="J54" s="27" t="s">
        <v>25</v>
      </c>
      <c r="K54" s="15">
        <f t="shared" si="19"/>
        <v>100</v>
      </c>
      <c r="L54" s="3">
        <f t="shared" si="16"/>
        <v>537</v>
      </c>
      <c r="M54" s="26" t="s">
        <v>25</v>
      </c>
      <c r="N54" s="15">
        <f t="shared" si="20"/>
        <v>214.8</v>
      </c>
      <c r="O54" s="3">
        <f t="shared" si="17"/>
        <v>751.8</v>
      </c>
      <c r="P54" s="80">
        <f t="shared" si="18"/>
        <v>751.8</v>
      </c>
    </row>
    <row r="55" spans="1:16" x14ac:dyDescent="0.2">
      <c r="A55" s="95" t="s">
        <v>68</v>
      </c>
      <c r="B55" s="93" t="s">
        <v>98</v>
      </c>
      <c r="C55" s="85">
        <f>SUM(C50,C54)*10</f>
        <v>295.30496296296297</v>
      </c>
      <c r="D55" s="94" t="s">
        <v>115</v>
      </c>
      <c r="E55" s="28">
        <v>2</v>
      </c>
      <c r="F55" s="336">
        <f>IF(A55="x",SUM(C55*E55),0)</f>
        <v>590.60992592592595</v>
      </c>
      <c r="G55" s="337"/>
      <c r="H55" s="336">
        <f>F55*$H$49</f>
        <v>54.63141814814815</v>
      </c>
      <c r="I55" s="337"/>
      <c r="J55" s="27" t="s">
        <v>25</v>
      </c>
      <c r="K55" s="15">
        <f t="shared" si="19"/>
        <v>147.65248148148149</v>
      </c>
      <c r="L55" s="3">
        <f t="shared" si="16"/>
        <v>792.89382555555551</v>
      </c>
      <c r="M55" s="26" t="s">
        <v>25</v>
      </c>
      <c r="N55" s="15">
        <f t="shared" si="20"/>
        <v>317.15753022222225</v>
      </c>
      <c r="O55" s="3">
        <f>SUM(N55+L55)</f>
        <v>1110.0513557777776</v>
      </c>
      <c r="P55" s="80">
        <f t="shared" si="18"/>
        <v>1110.0513557777776</v>
      </c>
    </row>
    <row r="56" spans="1:16" x14ac:dyDescent="0.2">
      <c r="A56" s="95" t="s">
        <v>68</v>
      </c>
      <c r="B56" s="93" t="s">
        <v>238</v>
      </c>
      <c r="C56" s="85">
        <f>'18X18 Concrete'!G31</f>
        <v>1080</v>
      </c>
      <c r="D56" s="94" t="s">
        <v>12</v>
      </c>
      <c r="E56" s="28">
        <v>3.4</v>
      </c>
      <c r="F56" s="336">
        <f t="shared" si="14"/>
        <v>3672</v>
      </c>
      <c r="G56" s="337"/>
      <c r="H56" s="336">
        <f t="shared" si="15"/>
        <v>339.65999999999997</v>
      </c>
      <c r="I56" s="337"/>
      <c r="J56" s="27" t="s">
        <v>25</v>
      </c>
      <c r="K56" s="15">
        <f t="shared" si="19"/>
        <v>918</v>
      </c>
      <c r="L56" s="3">
        <f t="shared" si="16"/>
        <v>4929.66</v>
      </c>
      <c r="M56" s="26" t="s">
        <v>25</v>
      </c>
      <c r="N56" s="15">
        <f t="shared" si="20"/>
        <v>1971.864</v>
      </c>
      <c r="O56" s="3">
        <f t="shared" si="17"/>
        <v>6901.5239999999994</v>
      </c>
      <c r="P56" s="80">
        <f t="shared" si="18"/>
        <v>6901.5239999999994</v>
      </c>
    </row>
    <row r="57" spans="1:16" x14ac:dyDescent="0.2">
      <c r="A57" s="95" t="s">
        <v>68</v>
      </c>
      <c r="B57" s="93" t="s">
        <v>27</v>
      </c>
      <c r="C57" s="85">
        <v>2</v>
      </c>
      <c r="D57" s="94" t="s">
        <v>16</v>
      </c>
      <c r="E57" s="28">
        <v>20</v>
      </c>
      <c r="F57" s="336">
        <f>IF(A57="x",SUM(C57*E57),0)</f>
        <v>40</v>
      </c>
      <c r="G57" s="337"/>
      <c r="H57" s="336">
        <f>F57*$H$49</f>
        <v>3.7</v>
      </c>
      <c r="I57" s="337"/>
      <c r="J57" s="27" t="s">
        <v>25</v>
      </c>
      <c r="K57" s="15">
        <f>F57*$J$49</f>
        <v>10</v>
      </c>
      <c r="L57" s="3">
        <f t="shared" si="16"/>
        <v>53.7</v>
      </c>
      <c r="M57" s="26" t="s">
        <v>25</v>
      </c>
      <c r="N57" s="15">
        <f>L57*$M$49</f>
        <v>21.480000000000004</v>
      </c>
      <c r="O57" s="3">
        <f>SUM(N57+L57)</f>
        <v>75.180000000000007</v>
      </c>
      <c r="P57" s="80">
        <f t="shared" si="18"/>
        <v>75.180000000000007</v>
      </c>
    </row>
    <row r="58" spans="1:16" x14ac:dyDescent="0.2">
      <c r="A58" s="95" t="s">
        <v>68</v>
      </c>
      <c r="B58" s="93" t="s">
        <v>83</v>
      </c>
      <c r="C58" s="85">
        <v>1</v>
      </c>
      <c r="D58" s="94" t="s">
        <v>16</v>
      </c>
      <c r="E58" s="50">
        <v>30</v>
      </c>
      <c r="F58" s="336">
        <f t="shared" si="14"/>
        <v>30</v>
      </c>
      <c r="G58" s="337"/>
      <c r="H58" s="338">
        <f t="shared" si="15"/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>L58*$M$48</f>
        <v>16.11</v>
      </c>
      <c r="O58" s="3">
        <f t="shared" si="17"/>
        <v>56.384999999999998</v>
      </c>
      <c r="P58" s="80">
        <f t="shared" si="18"/>
        <v>56.384999999999998</v>
      </c>
    </row>
    <row r="59" spans="1:16" x14ac:dyDescent="0.2">
      <c r="A59" s="95"/>
      <c r="B59" s="93"/>
      <c r="C59" s="85"/>
      <c r="D59" s="44"/>
      <c r="E59" s="50"/>
      <c r="F59" s="336">
        <f>IF(A59="x",SUM(C59*E59),0)</f>
        <v>0</v>
      </c>
      <c r="G59" s="337"/>
      <c r="H59" s="338">
        <f>F59*$H$49</f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>SUM(N59+L59)</f>
        <v>0</v>
      </c>
      <c r="P59" s="80">
        <f t="shared" si="18"/>
        <v>0</v>
      </c>
    </row>
    <row r="60" spans="1:16" x14ac:dyDescent="0.2">
      <c r="A60" s="33"/>
      <c r="B60" s="24"/>
      <c r="C60" s="40"/>
      <c r="D60" s="10"/>
      <c r="E60" s="23"/>
      <c r="F60" s="336">
        <f t="shared" si="14"/>
        <v>0</v>
      </c>
      <c r="G60" s="337"/>
      <c r="H60" s="338">
        <f t="shared" si="15"/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 t="shared" si="17"/>
        <v>0</v>
      </c>
      <c r="P60" s="80">
        <f t="shared" si="18"/>
        <v>0</v>
      </c>
    </row>
    <row r="61" spans="1:16" x14ac:dyDescent="0.2">
      <c r="A61" s="95"/>
      <c r="B61" s="24"/>
      <c r="C61" s="40"/>
      <c r="D61" s="44"/>
      <c r="E61" s="23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x14ac:dyDescent="0.2">
      <c r="A62" s="33"/>
      <c r="B62" s="24"/>
      <c r="C62" s="85"/>
      <c r="D62" s="44"/>
      <c r="E62" s="28"/>
      <c r="F62" s="336">
        <f t="shared" si="14"/>
        <v>0</v>
      </c>
      <c r="G62" s="337"/>
      <c r="H62" s="338">
        <f t="shared" si="15"/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 t="shared" si="17"/>
        <v>0</v>
      </c>
      <c r="P62" s="80">
        <f t="shared" si="18"/>
        <v>0</v>
      </c>
    </row>
    <row r="63" spans="1:16" x14ac:dyDescent="0.2">
      <c r="A63" s="33"/>
      <c r="B63" s="13"/>
      <c r="C63" s="85"/>
      <c r="D63" s="10"/>
      <c r="E63" s="28"/>
      <c r="F63" s="336">
        <f t="shared" si="14"/>
        <v>0</v>
      </c>
      <c r="G63" s="337"/>
      <c r="H63" s="338">
        <f t="shared" si="15"/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 t="shared" si="17"/>
        <v>0</v>
      </c>
      <c r="P63" s="80">
        <f t="shared" si="18"/>
        <v>0</v>
      </c>
    </row>
    <row r="64" spans="1:16" x14ac:dyDescent="0.2">
      <c r="A64" s="33"/>
      <c r="B64" s="13"/>
      <c r="C64" s="85"/>
      <c r="D64" s="10"/>
      <c r="E64" s="28"/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</row>
    <row r="65" spans="1:16" x14ac:dyDescent="0.2">
      <c r="A65" s="33"/>
      <c r="B65" s="93"/>
      <c r="C65" s="85"/>
      <c r="D65" s="10"/>
      <c r="E65" s="28"/>
      <c r="F65" s="336">
        <f>IF(A65="x",SUM(C65*E65),0)</f>
        <v>0</v>
      </c>
      <c r="G65" s="337"/>
      <c r="H65" s="338">
        <f>F65*$H$49</f>
        <v>0</v>
      </c>
      <c r="I65" s="337"/>
      <c r="J65" s="27" t="s">
        <v>25</v>
      </c>
      <c r="K65" s="15">
        <f t="shared" si="19"/>
        <v>0</v>
      </c>
      <c r="L65" s="3">
        <f t="shared" si="16"/>
        <v>0</v>
      </c>
      <c r="M65" s="26" t="s">
        <v>25</v>
      </c>
      <c r="N65" s="15">
        <f t="shared" si="20"/>
        <v>0</v>
      </c>
      <c r="O65" s="3">
        <f>SUM(N65+L65)</f>
        <v>0</v>
      </c>
      <c r="P65" s="80">
        <f t="shared" si="18"/>
        <v>0</v>
      </c>
    </row>
    <row r="66" spans="1:16" x14ac:dyDescent="0.2">
      <c r="A66" s="33"/>
      <c r="B66" s="13"/>
      <c r="C66" s="85"/>
      <c r="D66" s="10"/>
      <c r="E66" s="28"/>
      <c r="F66" s="336">
        <f>IF(A66="x",SUM(C66*E66),0)</f>
        <v>0</v>
      </c>
      <c r="G66" s="337"/>
      <c r="H66" s="338">
        <f>F66*$H$49</f>
        <v>0</v>
      </c>
      <c r="I66" s="337"/>
      <c r="J66" s="27" t="s">
        <v>25</v>
      </c>
      <c r="K66" s="15">
        <f t="shared" si="19"/>
        <v>0</v>
      </c>
      <c r="L66" s="3">
        <f t="shared" si="16"/>
        <v>0</v>
      </c>
      <c r="M66" s="26" t="s">
        <v>25</v>
      </c>
      <c r="N66" s="15">
        <f t="shared" si="20"/>
        <v>0</v>
      </c>
      <c r="O66" s="3">
        <f>SUM(N66+L66)</f>
        <v>0</v>
      </c>
      <c r="P66" s="80">
        <f t="shared" si="18"/>
        <v>0</v>
      </c>
    </row>
    <row r="67" spans="1:16" ht="15.75" thickBot="1" x14ac:dyDescent="0.25">
      <c r="A67" s="9" t="s">
        <v>68</v>
      </c>
      <c r="B67" s="198" t="s">
        <v>151</v>
      </c>
      <c r="C67" s="87">
        <v>200</v>
      </c>
      <c r="D67" s="199" t="s">
        <v>17</v>
      </c>
      <c r="E67" s="30">
        <v>0.35</v>
      </c>
      <c r="F67" s="336">
        <f>IF(A67="x",SUM(C67*E67),0)</f>
        <v>70</v>
      </c>
      <c r="G67" s="337"/>
      <c r="H67" s="338">
        <f>F67*$H$49</f>
        <v>6.4749999999999996</v>
      </c>
      <c r="I67" s="337"/>
      <c r="J67" s="200" t="s">
        <v>25</v>
      </c>
      <c r="K67" s="15">
        <f t="shared" si="19"/>
        <v>17.5</v>
      </c>
      <c r="L67" s="3">
        <f t="shared" si="16"/>
        <v>93.974999999999994</v>
      </c>
      <c r="M67" s="199" t="s">
        <v>25</v>
      </c>
      <c r="N67" s="15">
        <f>L67*$M$48</f>
        <v>37.589999999999996</v>
      </c>
      <c r="O67" s="3">
        <f>SUM(N67+L67)</f>
        <v>131.565</v>
      </c>
      <c r="P67" s="80">
        <f t="shared" si="18"/>
        <v>131.565</v>
      </c>
    </row>
    <row r="68" spans="1:16" ht="16.5" thickBot="1" x14ac:dyDescent="0.3">
      <c r="A68" s="9"/>
      <c r="B68" s="13"/>
      <c r="C68" s="326" t="s">
        <v>4</v>
      </c>
      <c r="D68" s="339"/>
      <c r="E68" s="34"/>
      <c r="F68" s="340">
        <f>SUM(F50:G66)</f>
        <v>8663.312037037038</v>
      </c>
      <c r="G68" s="329"/>
      <c r="H68" s="328">
        <f>SUM(H50:I67)</f>
        <v>807.83136342592593</v>
      </c>
      <c r="I68" s="329"/>
      <c r="J68" s="328">
        <f>SUM(K50:K67)</f>
        <v>2183.3280092592595</v>
      </c>
      <c r="K68" s="329"/>
      <c r="L68" s="31">
        <f>SUM(L50:L67)</f>
        <v>11724.471409722224</v>
      </c>
      <c r="M68" s="341">
        <f>SUM(N50:N67)</f>
        <v>4689.7885638888883</v>
      </c>
      <c r="N68" s="342"/>
      <c r="O68" s="31">
        <f>SUM(O50:O67)</f>
        <v>16414.259973611111</v>
      </c>
      <c r="P68" s="80">
        <f t="shared" si="18"/>
        <v>16414.259973611111</v>
      </c>
    </row>
    <row r="69" spans="1:16" x14ac:dyDescent="0.2">
      <c r="A69" s="9"/>
      <c r="B69" s="1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4"/>
    </row>
    <row r="70" spans="1:16" ht="18" x14ac:dyDescent="0.25">
      <c r="A70" s="9"/>
      <c r="B70" s="16" t="s">
        <v>36</v>
      </c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86"/>
    </row>
    <row r="71" spans="1:16" ht="18" x14ac:dyDescent="0.25">
      <c r="A71" s="9"/>
      <c r="B71" s="16"/>
      <c r="C71" s="17" t="s">
        <v>8</v>
      </c>
      <c r="D71" s="17" t="s">
        <v>9</v>
      </c>
      <c r="E71" s="17" t="s">
        <v>10</v>
      </c>
      <c r="F71" s="333" t="s">
        <v>36</v>
      </c>
      <c r="G71" s="333"/>
      <c r="H71" s="162">
        <f>H49</f>
        <v>9.2499999999999999E-2</v>
      </c>
      <c r="I71" s="19" t="s">
        <v>19</v>
      </c>
      <c r="J71" s="21">
        <f>H13</f>
        <v>0.25</v>
      </c>
      <c r="K71" s="19" t="s">
        <v>23</v>
      </c>
      <c r="L71" s="18" t="s">
        <v>4</v>
      </c>
      <c r="M71" s="90">
        <f>$H$7</f>
        <v>0.4</v>
      </c>
      <c r="N71" s="22" t="s">
        <v>24</v>
      </c>
      <c r="O71" s="18" t="s">
        <v>5</v>
      </c>
      <c r="P71" s="84" t="s">
        <v>21</v>
      </c>
    </row>
    <row r="72" spans="1:16" x14ac:dyDescent="0.2">
      <c r="A72" s="152" t="s">
        <v>68</v>
      </c>
      <c r="B72" s="93" t="s">
        <v>82</v>
      </c>
      <c r="C72" s="85">
        <v>144</v>
      </c>
      <c r="D72" s="94" t="s">
        <v>12</v>
      </c>
      <c r="E72" s="51">
        <v>1</v>
      </c>
      <c r="F72" s="334">
        <f t="shared" ref="F72:F78" si="21">IF(A72="x",SUM(C72*E72),0)</f>
        <v>144</v>
      </c>
      <c r="G72" s="335"/>
      <c r="H72" s="334">
        <f t="shared" ref="H72:H78" si="22">F72*$H$49</f>
        <v>13.32</v>
      </c>
      <c r="I72" s="335"/>
      <c r="J72" s="25" t="s">
        <v>25</v>
      </c>
      <c r="K72" s="15">
        <f>F72*$J$71</f>
        <v>36</v>
      </c>
      <c r="L72" s="3">
        <f t="shared" ref="L72:L78" si="23">SUM(F72:K72)</f>
        <v>193.32</v>
      </c>
      <c r="M72" s="26" t="s">
        <v>25</v>
      </c>
      <c r="N72" s="15">
        <f t="shared" ref="N72:N78" si="24">L72*$M$71</f>
        <v>77.328000000000003</v>
      </c>
      <c r="O72" s="3">
        <f t="shared" ref="O72:O78" si="25">SUM(N72+L72)</f>
        <v>270.64800000000002</v>
      </c>
      <c r="P72" s="80">
        <f t="shared" ref="P72:P80" si="26">SUM(O72)</f>
        <v>270.64800000000002</v>
      </c>
    </row>
    <row r="73" spans="1:16" x14ac:dyDescent="0.2">
      <c r="A73" s="152"/>
      <c r="B73" s="24"/>
      <c r="C73" s="85">
        <v>0</v>
      </c>
      <c r="D73" s="44" t="s">
        <v>17</v>
      </c>
      <c r="E73" s="28">
        <v>0.25</v>
      </c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ref="K73:K78" si="27">F73*$J$71</f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6" x14ac:dyDescent="0.2">
      <c r="A74" s="46" t="s">
        <v>26</v>
      </c>
      <c r="B74" s="24" t="s">
        <v>37</v>
      </c>
      <c r="C74" s="85">
        <f>$C$43+$C$29</f>
        <v>147</v>
      </c>
      <c r="D74" s="94" t="s">
        <v>53</v>
      </c>
      <c r="E74" s="28">
        <v>0.15</v>
      </c>
      <c r="F74" s="336">
        <f t="shared" si="21"/>
        <v>22.05</v>
      </c>
      <c r="G74" s="337"/>
      <c r="H74" s="336">
        <f t="shared" si="22"/>
        <v>2.039625</v>
      </c>
      <c r="I74" s="337"/>
      <c r="J74" s="27" t="s">
        <v>25</v>
      </c>
      <c r="K74" s="15">
        <f t="shared" si="27"/>
        <v>5.5125000000000002</v>
      </c>
      <c r="L74" s="3">
        <f t="shared" si="23"/>
        <v>29.602125000000001</v>
      </c>
      <c r="M74" s="26" t="s">
        <v>25</v>
      </c>
      <c r="N74" s="15">
        <f t="shared" si="24"/>
        <v>11.840850000000001</v>
      </c>
      <c r="O74" s="3">
        <f t="shared" si="25"/>
        <v>41.442975000000004</v>
      </c>
      <c r="P74" s="80">
        <f t="shared" si="26"/>
        <v>41.442975000000004</v>
      </c>
    </row>
    <row r="75" spans="1:16" x14ac:dyDescent="0.2">
      <c r="A75" s="95" t="s">
        <v>26</v>
      </c>
      <c r="B75" s="93" t="s">
        <v>125</v>
      </c>
      <c r="C75" s="85">
        <f>$C$43+$C$29</f>
        <v>147</v>
      </c>
      <c r="D75" s="94" t="s">
        <v>53</v>
      </c>
      <c r="E75" s="28">
        <v>0.25</v>
      </c>
      <c r="F75" s="336">
        <f>IF(A75="x",SUM(C75*E75),0)</f>
        <v>36.75</v>
      </c>
      <c r="G75" s="337"/>
      <c r="H75" s="336">
        <f t="shared" si="22"/>
        <v>3.399375</v>
      </c>
      <c r="I75" s="337"/>
      <c r="J75" s="27" t="s">
        <v>25</v>
      </c>
      <c r="K75" s="15">
        <f t="shared" si="27"/>
        <v>9.1875</v>
      </c>
      <c r="L75" s="3">
        <f t="shared" si="23"/>
        <v>49.336874999999999</v>
      </c>
      <c r="M75" s="26" t="s">
        <v>25</v>
      </c>
      <c r="N75" s="15">
        <f t="shared" si="24"/>
        <v>19.734750000000002</v>
      </c>
      <c r="O75" s="3">
        <f t="shared" si="25"/>
        <v>69.071624999999997</v>
      </c>
      <c r="P75" s="80">
        <f t="shared" si="26"/>
        <v>69.071624999999997</v>
      </c>
    </row>
    <row r="76" spans="1:16" x14ac:dyDescent="0.2">
      <c r="A76" s="95" t="s">
        <v>26</v>
      </c>
      <c r="B76" s="93" t="s">
        <v>22</v>
      </c>
      <c r="C76" s="85">
        <f>$C$43+$C$29</f>
        <v>147</v>
      </c>
      <c r="D76" s="94" t="s">
        <v>53</v>
      </c>
      <c r="E76" s="28">
        <v>0.5</v>
      </c>
      <c r="F76" s="336">
        <f t="shared" si="21"/>
        <v>73.5</v>
      </c>
      <c r="G76" s="337"/>
      <c r="H76" s="336">
        <f t="shared" si="22"/>
        <v>6.7987500000000001</v>
      </c>
      <c r="I76" s="337"/>
      <c r="J76" s="27" t="s">
        <v>25</v>
      </c>
      <c r="K76" s="15">
        <f t="shared" si="27"/>
        <v>18.375</v>
      </c>
      <c r="L76" s="3">
        <f t="shared" si="23"/>
        <v>98.673749999999998</v>
      </c>
      <c r="M76" s="26" t="s">
        <v>25</v>
      </c>
      <c r="N76" s="15">
        <f t="shared" si="24"/>
        <v>39.469500000000004</v>
      </c>
      <c r="O76" s="3">
        <f t="shared" si="25"/>
        <v>138.14324999999999</v>
      </c>
      <c r="P76" s="80">
        <f t="shared" si="26"/>
        <v>138.14324999999999</v>
      </c>
    </row>
    <row r="77" spans="1:16" x14ac:dyDescent="0.2">
      <c r="A77" s="95" t="s">
        <v>68</v>
      </c>
      <c r="B77" s="93" t="s">
        <v>94</v>
      </c>
      <c r="C77" s="85">
        <v>100</v>
      </c>
      <c r="D77" s="94" t="s">
        <v>11</v>
      </c>
      <c r="E77" s="28">
        <v>1.5</v>
      </c>
      <c r="F77" s="336">
        <f t="shared" si="21"/>
        <v>150</v>
      </c>
      <c r="G77" s="337"/>
      <c r="H77" s="336">
        <f t="shared" si="22"/>
        <v>13.875</v>
      </c>
      <c r="I77" s="337"/>
      <c r="J77" s="27" t="s">
        <v>25</v>
      </c>
      <c r="K77" s="15">
        <f t="shared" si="27"/>
        <v>37.5</v>
      </c>
      <c r="L77" s="3">
        <f t="shared" si="23"/>
        <v>201.375</v>
      </c>
      <c r="M77" s="26" t="s">
        <v>25</v>
      </c>
      <c r="N77" s="15">
        <f t="shared" si="24"/>
        <v>80.550000000000011</v>
      </c>
      <c r="O77" s="3">
        <f t="shared" si="25"/>
        <v>281.92500000000001</v>
      </c>
      <c r="P77" s="80">
        <f t="shared" si="26"/>
        <v>281.92500000000001</v>
      </c>
    </row>
    <row r="78" spans="1:16" x14ac:dyDescent="0.2">
      <c r="A78" s="46"/>
      <c r="B78" s="24"/>
      <c r="C78" s="85"/>
      <c r="D78" s="44"/>
      <c r="E78" s="28"/>
      <c r="F78" s="336">
        <f t="shared" si="21"/>
        <v>0</v>
      </c>
      <c r="G78" s="337"/>
      <c r="H78" s="336">
        <f t="shared" si="22"/>
        <v>0</v>
      </c>
      <c r="I78" s="337"/>
      <c r="J78" s="27" t="s">
        <v>25</v>
      </c>
      <c r="K78" s="15">
        <f t="shared" si="27"/>
        <v>0</v>
      </c>
      <c r="L78" s="3">
        <f t="shared" si="23"/>
        <v>0</v>
      </c>
      <c r="M78" s="26" t="s">
        <v>25</v>
      </c>
      <c r="N78" s="15">
        <f t="shared" si="24"/>
        <v>0</v>
      </c>
      <c r="O78" s="3">
        <f t="shared" si="25"/>
        <v>0</v>
      </c>
      <c r="P78" s="80">
        <f t="shared" si="26"/>
        <v>0</v>
      </c>
    </row>
    <row r="79" spans="1:16" ht="16.5" thickBot="1" x14ac:dyDescent="0.3">
      <c r="A79" s="9"/>
      <c r="B79" s="29"/>
      <c r="C79" s="87"/>
      <c r="D79" s="11"/>
      <c r="E79" s="30"/>
      <c r="F79" s="353"/>
      <c r="G79" s="354"/>
      <c r="H79" s="358"/>
      <c r="I79" s="359"/>
      <c r="J79" s="6"/>
      <c r="K79" s="4"/>
      <c r="L79" s="5"/>
      <c r="M79" s="2"/>
      <c r="N79" s="8"/>
      <c r="O79" s="1"/>
      <c r="P79" s="80">
        <f t="shared" si="26"/>
        <v>0</v>
      </c>
    </row>
    <row r="80" spans="1:16" ht="16.5" thickBot="1" x14ac:dyDescent="0.3">
      <c r="A80" s="9"/>
      <c r="B80" s="13"/>
      <c r="C80" s="326" t="s">
        <v>4</v>
      </c>
      <c r="D80" s="339"/>
      <c r="E80" s="34"/>
      <c r="F80" s="340">
        <f>SUM(F72:G78)</f>
        <v>426.3</v>
      </c>
      <c r="G80" s="329"/>
      <c r="H80" s="328">
        <f>SUM(H72:I79)</f>
        <v>39.432749999999999</v>
      </c>
      <c r="I80" s="329"/>
      <c r="J80" s="328">
        <f>SUM(K72:K79)</f>
        <v>106.575</v>
      </c>
      <c r="K80" s="329"/>
      <c r="L80" s="31">
        <f>SUM(L72:L79)</f>
        <v>572.30774999999994</v>
      </c>
      <c r="M80" s="341">
        <f>SUM(N72:N79)</f>
        <v>228.92310000000003</v>
      </c>
      <c r="N80" s="342"/>
      <c r="O80" s="31">
        <f>SUM(O72:O79)</f>
        <v>801.23084999999992</v>
      </c>
      <c r="P80" s="80">
        <f t="shared" si="26"/>
        <v>801.23084999999992</v>
      </c>
    </row>
    <row r="81" spans="1:16" ht="15.75" x14ac:dyDescent="0.25">
      <c r="A81" s="9"/>
      <c r="B81" s="13"/>
      <c r="C81" s="10"/>
      <c r="D81" s="10"/>
      <c r="E81" s="10"/>
      <c r="F81" s="126"/>
      <c r="G81" s="126"/>
      <c r="H81" s="126"/>
      <c r="I81" s="126"/>
      <c r="J81" s="126"/>
      <c r="K81" s="126"/>
      <c r="L81" s="127"/>
      <c r="M81" s="128"/>
      <c r="N81" s="128"/>
      <c r="O81" s="127"/>
      <c r="P81" s="129"/>
    </row>
    <row r="82" spans="1:16" ht="18" x14ac:dyDescent="0.25">
      <c r="A82" s="9"/>
      <c r="B82" s="16" t="s">
        <v>13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88"/>
    </row>
    <row r="83" spans="1:16" ht="14.25" x14ac:dyDescent="0.2">
      <c r="A83" s="9"/>
      <c r="B83" s="36" t="s">
        <v>30</v>
      </c>
      <c r="C83" s="238" t="s">
        <v>8</v>
      </c>
      <c r="D83" s="238" t="s">
        <v>20</v>
      </c>
      <c r="E83" s="238" t="s">
        <v>3</v>
      </c>
      <c r="F83" s="345" t="s">
        <v>13</v>
      </c>
      <c r="G83" s="345"/>
      <c r="H83" s="345" t="s">
        <v>29</v>
      </c>
      <c r="I83" s="345"/>
      <c r="J83" s="21">
        <f>H13</f>
        <v>0.25</v>
      </c>
      <c r="K83" s="19" t="s">
        <v>23</v>
      </c>
      <c r="L83" s="18" t="s">
        <v>4</v>
      </c>
      <c r="M83" s="90">
        <f>$H$7</f>
        <v>0.4</v>
      </c>
      <c r="N83" s="22" t="s">
        <v>24</v>
      </c>
      <c r="O83" s="18" t="s">
        <v>5</v>
      </c>
      <c r="P83" s="84" t="s">
        <v>21</v>
      </c>
    </row>
    <row r="84" spans="1:16" x14ac:dyDescent="0.2">
      <c r="A84" s="9"/>
      <c r="B84" s="167" t="s">
        <v>89</v>
      </c>
      <c r="C84" s="85">
        <v>1</v>
      </c>
      <c r="D84" s="52">
        <v>1</v>
      </c>
      <c r="E84" s="134">
        <v>25</v>
      </c>
      <c r="F84" s="346">
        <f t="shared" ref="F84:F89" si="28">C84*D84*E84</f>
        <v>25</v>
      </c>
      <c r="G84" s="347"/>
      <c r="H84" s="334">
        <v>3</v>
      </c>
      <c r="I84" s="335"/>
      <c r="J84" s="25" t="s">
        <v>25</v>
      </c>
      <c r="K84" s="15">
        <f t="shared" ref="K84:K89" si="29">F84*$J$83</f>
        <v>6.25</v>
      </c>
      <c r="L84" s="3">
        <f>SUM(F84:K84)</f>
        <v>34.25</v>
      </c>
      <c r="M84" s="26" t="s">
        <v>25</v>
      </c>
      <c r="N84" s="15">
        <f>L84*$M$83</f>
        <v>13.700000000000001</v>
      </c>
      <c r="O84" s="3">
        <f>SUM(N84+L84)</f>
        <v>47.95</v>
      </c>
      <c r="P84" s="80">
        <f t="shared" ref="P84:P90" si="30">SUM(O84)</f>
        <v>47.95</v>
      </c>
    </row>
    <row r="85" spans="1:16" x14ac:dyDescent="0.2">
      <c r="A85" s="9"/>
      <c r="B85" s="94" t="s">
        <v>90</v>
      </c>
      <c r="C85" s="85">
        <v>1</v>
      </c>
      <c r="D85" s="52">
        <v>2</v>
      </c>
      <c r="E85" s="45">
        <v>45</v>
      </c>
      <c r="F85" s="348">
        <f t="shared" si="28"/>
        <v>90</v>
      </c>
      <c r="G85" s="349"/>
      <c r="H85" s="336">
        <v>0</v>
      </c>
      <c r="I85" s="337"/>
      <c r="J85" s="27" t="s">
        <v>25</v>
      </c>
      <c r="K85" s="15">
        <f t="shared" si="29"/>
        <v>22.5</v>
      </c>
      <c r="L85" s="3">
        <f>SUM(F85:K85)</f>
        <v>112.5</v>
      </c>
      <c r="M85" s="26" t="s">
        <v>25</v>
      </c>
      <c r="N85" s="15">
        <f>L85*$M$83</f>
        <v>45</v>
      </c>
      <c r="O85" s="3">
        <f>SUM(N85+L85)</f>
        <v>157.5</v>
      </c>
      <c r="P85" s="80">
        <f t="shared" si="30"/>
        <v>157.5</v>
      </c>
    </row>
    <row r="86" spans="1:16" x14ac:dyDescent="0.2">
      <c r="A86" s="9"/>
      <c r="B86" s="94" t="s">
        <v>91</v>
      </c>
      <c r="C86" s="85">
        <v>1</v>
      </c>
      <c r="D86" s="52">
        <v>1</v>
      </c>
      <c r="E86" s="45">
        <v>20</v>
      </c>
      <c r="F86" s="348">
        <f t="shared" si="28"/>
        <v>20</v>
      </c>
      <c r="G86" s="349"/>
      <c r="H86" s="336">
        <v>0</v>
      </c>
      <c r="I86" s="337"/>
      <c r="J86" s="27" t="s">
        <v>25</v>
      </c>
      <c r="K86" s="15">
        <f t="shared" si="29"/>
        <v>5</v>
      </c>
      <c r="L86" s="3">
        <f>SUM(F86:K86)</f>
        <v>25</v>
      </c>
      <c r="M86" s="26" t="s">
        <v>25</v>
      </c>
      <c r="N86" s="15">
        <f>L86*$M$83</f>
        <v>10</v>
      </c>
      <c r="O86" s="3">
        <f>SUM(N86+L86)</f>
        <v>35</v>
      </c>
      <c r="P86" s="80">
        <f t="shared" si="30"/>
        <v>35</v>
      </c>
    </row>
    <row r="87" spans="1:16" x14ac:dyDescent="0.2">
      <c r="A87" s="165" t="s">
        <v>68</v>
      </c>
      <c r="B87" s="94" t="s">
        <v>92</v>
      </c>
      <c r="C87" s="85">
        <v>1</v>
      </c>
      <c r="D87" s="52">
        <v>1</v>
      </c>
      <c r="E87" s="45">
        <v>400</v>
      </c>
      <c r="F87" s="348">
        <f t="shared" si="28"/>
        <v>400</v>
      </c>
      <c r="G87" s="349"/>
      <c r="H87" s="336">
        <v>12</v>
      </c>
      <c r="I87" s="337"/>
      <c r="J87" s="27" t="s">
        <v>25</v>
      </c>
      <c r="K87" s="15">
        <f t="shared" si="29"/>
        <v>100</v>
      </c>
      <c r="L87" s="3">
        <f>SUM(F87:K87)</f>
        <v>512</v>
      </c>
      <c r="M87" s="26" t="s">
        <v>25</v>
      </c>
      <c r="N87" s="15">
        <f>L87*$M$83</f>
        <v>204.8</v>
      </c>
      <c r="O87" s="3">
        <f>SUM(N87+L87)</f>
        <v>716.8</v>
      </c>
      <c r="P87" s="80">
        <f t="shared" si="30"/>
        <v>716.8</v>
      </c>
    </row>
    <row r="88" spans="1:16" x14ac:dyDescent="0.2">
      <c r="A88" s="9"/>
      <c r="B88" s="94" t="s">
        <v>93</v>
      </c>
      <c r="C88" s="85">
        <v>1</v>
      </c>
      <c r="D88" s="52">
        <v>2</v>
      </c>
      <c r="E88" s="45">
        <v>100</v>
      </c>
      <c r="F88" s="348">
        <f t="shared" si="28"/>
        <v>200</v>
      </c>
      <c r="G88" s="349"/>
      <c r="H88" s="336">
        <v>0</v>
      </c>
      <c r="I88" s="337"/>
      <c r="J88" s="27" t="s">
        <v>25</v>
      </c>
      <c r="K88" s="15">
        <f t="shared" si="29"/>
        <v>50</v>
      </c>
      <c r="L88" s="3">
        <f>SUM(F88:K88)</f>
        <v>250</v>
      </c>
      <c r="M88" s="26" t="s">
        <v>25</v>
      </c>
      <c r="N88" s="15">
        <f>L88*$M$83</f>
        <v>100</v>
      </c>
      <c r="O88" s="3">
        <f>SUM(N88+L88)</f>
        <v>350</v>
      </c>
      <c r="P88" s="80">
        <f t="shared" si="30"/>
        <v>350</v>
      </c>
    </row>
    <row r="89" spans="1:16" ht="13.5" thickBot="1" x14ac:dyDescent="0.25">
      <c r="A89" s="9"/>
      <c r="B89" s="94" t="s">
        <v>105</v>
      </c>
      <c r="C89" s="87">
        <v>1</v>
      </c>
      <c r="D89" s="52">
        <v>4</v>
      </c>
      <c r="E89" s="45">
        <v>400</v>
      </c>
      <c r="F89" s="348">
        <f t="shared" si="28"/>
        <v>1600</v>
      </c>
      <c r="G89" s="349"/>
      <c r="H89" s="336"/>
      <c r="I89" s="337"/>
      <c r="J89" s="27"/>
      <c r="K89" s="15">
        <f t="shared" si="29"/>
        <v>400</v>
      </c>
      <c r="L89" s="3"/>
      <c r="M89" s="26"/>
      <c r="N89" s="15"/>
      <c r="O89" s="3"/>
      <c r="P89" s="80">
        <f t="shared" si="30"/>
        <v>0</v>
      </c>
    </row>
    <row r="90" spans="1:16" ht="16.5" thickBot="1" x14ac:dyDescent="0.3">
      <c r="A90" s="9"/>
      <c r="B90" s="13"/>
      <c r="C90" s="326" t="s">
        <v>4</v>
      </c>
      <c r="D90" s="339"/>
      <c r="E90" s="34"/>
      <c r="F90" s="328">
        <f>SUM(F84:G89)</f>
        <v>2335</v>
      </c>
      <c r="G90" s="329"/>
      <c r="H90" s="328">
        <f>SUM(H84:I89)</f>
        <v>15</v>
      </c>
      <c r="I90" s="329"/>
      <c r="J90" s="328">
        <f>SUM(J84:K89)</f>
        <v>583.75</v>
      </c>
      <c r="K90" s="329"/>
      <c r="L90" s="31">
        <f>SUM(L84:L89)</f>
        <v>933.75</v>
      </c>
      <c r="M90" s="328">
        <f>SUM(M84:N89)</f>
        <v>373.5</v>
      </c>
      <c r="N90" s="329"/>
      <c r="O90" s="31">
        <f>SUM(O84:O89)</f>
        <v>1307.25</v>
      </c>
      <c r="P90" s="80">
        <f t="shared" si="30"/>
        <v>1307.25</v>
      </c>
    </row>
    <row r="91" spans="1:16" x14ac:dyDescent="0.2">
      <c r="A91" s="9"/>
      <c r="B91" s="1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4"/>
    </row>
    <row r="92" spans="1:16" ht="13.5" thickBot="1" x14ac:dyDescent="0.25">
      <c r="A92" s="9"/>
      <c r="B92" s="1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"/>
      <c r="O92" s="10"/>
      <c r="P92" s="80">
        <f>SUM(O92)</f>
        <v>0</v>
      </c>
    </row>
    <row r="93" spans="1:16" ht="21" thickBot="1" x14ac:dyDescent="0.35">
      <c r="A93" s="9"/>
      <c r="B93" s="13"/>
      <c r="C93" s="350" t="s">
        <v>15</v>
      </c>
      <c r="D93" s="351"/>
      <c r="E93" s="37"/>
      <c r="F93" s="37"/>
      <c r="G93" s="37"/>
      <c r="H93" s="37"/>
      <c r="I93" s="37"/>
      <c r="J93" s="37"/>
      <c r="K93" s="37"/>
      <c r="L93" s="202">
        <f>SUM(L45,L68,L80,L90)</f>
        <v>18235.789159722226</v>
      </c>
      <c r="M93" s="37"/>
      <c r="N93" s="38"/>
      <c r="O93" s="202">
        <f>SUM(O29,O43,O68,O80,O90)</f>
        <v>25530.104823611109</v>
      </c>
      <c r="P93" s="80">
        <f>SUM(O93)</f>
        <v>25530.104823611109</v>
      </c>
    </row>
    <row r="94" spans="1:16" ht="17.25" thickBot="1" x14ac:dyDescent="0.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 t="e">
        <f>O94/$C$3</f>
        <v>#VALUE!</v>
      </c>
    </row>
    <row r="95" spans="1:16" ht="17.25" thickBot="1" x14ac:dyDescent="0.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 t="e">
        <f>SUM(#REF!)</f>
        <v>#REF!</v>
      </c>
      <c r="P95" s="89" t="e">
        <f>O95/$C$3</f>
        <v>#REF!</v>
      </c>
    </row>
    <row r="96" spans="1:16" ht="17.25" thickBot="1" x14ac:dyDescent="0.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5"/>
      <c r="O96" s="13"/>
      <c r="P96" s="89" t="e">
        <f>O96/$C$3</f>
        <v>#VALUE!</v>
      </c>
    </row>
  </sheetData>
  <mergeCells count="122"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C9:E9"/>
    <mergeCell ref="H9:I9"/>
    <mergeCell ref="C10:E10"/>
    <mergeCell ref="G10:I10"/>
    <mergeCell ref="K10:L10"/>
    <mergeCell ref="C11:E11"/>
    <mergeCell ref="H11:I11"/>
    <mergeCell ref="G6:I6"/>
    <mergeCell ref="C7:E7"/>
    <mergeCell ref="H7:I7"/>
    <mergeCell ref="K7:L7"/>
    <mergeCell ref="C8:E8"/>
    <mergeCell ref="H8:I8"/>
    <mergeCell ref="K8:L8"/>
    <mergeCell ref="C46:P46"/>
    <mergeCell ref="C47:P47"/>
    <mergeCell ref="F49:G49"/>
    <mergeCell ref="F50:G50"/>
    <mergeCell ref="H50:I50"/>
    <mergeCell ref="F51:G51"/>
    <mergeCell ref="H51:I51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61:G61"/>
    <mergeCell ref="H61:I61"/>
    <mergeCell ref="F62:G62"/>
    <mergeCell ref="H62:I62"/>
    <mergeCell ref="F63:G63"/>
    <mergeCell ref="H63:I63"/>
    <mergeCell ref="F58:G58"/>
    <mergeCell ref="H58:I58"/>
    <mergeCell ref="F59:G59"/>
    <mergeCell ref="H59:I59"/>
    <mergeCell ref="F60:G60"/>
    <mergeCell ref="H60:I60"/>
    <mergeCell ref="F67:G67"/>
    <mergeCell ref="H67:I67"/>
    <mergeCell ref="C68:D68"/>
    <mergeCell ref="F68:G68"/>
    <mergeCell ref="H68:I68"/>
    <mergeCell ref="J68:K68"/>
    <mergeCell ref="F64:G64"/>
    <mergeCell ref="H64:I64"/>
    <mergeCell ref="F65:G65"/>
    <mergeCell ref="H65:I65"/>
    <mergeCell ref="F66:G66"/>
    <mergeCell ref="H66:I66"/>
    <mergeCell ref="F74:G74"/>
    <mergeCell ref="H74:I74"/>
    <mergeCell ref="F75:G75"/>
    <mergeCell ref="H75:I75"/>
    <mergeCell ref="F76:G76"/>
    <mergeCell ref="H76:I76"/>
    <mergeCell ref="M68:N68"/>
    <mergeCell ref="C69:P69"/>
    <mergeCell ref="F71:G71"/>
    <mergeCell ref="F72:G72"/>
    <mergeCell ref="H72:I72"/>
    <mergeCell ref="F73:G73"/>
    <mergeCell ref="H73:I73"/>
    <mergeCell ref="J80:K80"/>
    <mergeCell ref="M80:N80"/>
    <mergeCell ref="F83:G83"/>
    <mergeCell ref="H83:I83"/>
    <mergeCell ref="F77:G77"/>
    <mergeCell ref="H77:I77"/>
    <mergeCell ref="F78:G78"/>
    <mergeCell ref="H78:I78"/>
    <mergeCell ref="F79:G79"/>
    <mergeCell ref="H79:I79"/>
    <mergeCell ref="F84:G84"/>
    <mergeCell ref="H84:I84"/>
    <mergeCell ref="F85:G85"/>
    <mergeCell ref="H85:I85"/>
    <mergeCell ref="F86:G86"/>
    <mergeCell ref="H86:I86"/>
    <mergeCell ref="C80:D80"/>
    <mergeCell ref="F80:G80"/>
    <mergeCell ref="H80:I80"/>
    <mergeCell ref="C93:D93"/>
    <mergeCell ref="C90:D90"/>
    <mergeCell ref="F90:G90"/>
    <mergeCell ref="H90:I90"/>
    <mergeCell ref="J90:K90"/>
    <mergeCell ref="M90:N90"/>
    <mergeCell ref="C91:P91"/>
    <mergeCell ref="F87:G87"/>
    <mergeCell ref="H87:I87"/>
    <mergeCell ref="F88:G88"/>
    <mergeCell ref="H88:I88"/>
    <mergeCell ref="F89:G89"/>
    <mergeCell ref="H89:I8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38" sqref="A38"/>
    </sheetView>
  </sheetViews>
  <sheetFormatPr defaultRowHeight="12.75" x14ac:dyDescent="0.2"/>
  <cols>
    <col min="1" max="1" width="41.7109375" bestFit="1" customWidth="1"/>
    <col min="2" max="2" width="10.42578125" bestFit="1" customWidth="1"/>
    <col min="3" max="3" width="6.28515625" bestFit="1" customWidth="1"/>
    <col min="4" max="4" width="6.5703125" bestFit="1" customWidth="1"/>
    <col min="5" max="5" width="19.42578125" bestFit="1" customWidth="1"/>
    <col min="6" max="6" width="12" bestFit="1" customWidth="1"/>
    <col min="7" max="7" width="12.5703125" bestFit="1" customWidth="1"/>
    <col min="8" max="8" width="14.140625" bestFit="1" customWidth="1"/>
    <col min="9" max="9" width="9.855468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271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272">
        <v>18</v>
      </c>
      <c r="E4" s="245">
        <v>0.33329999999999999</v>
      </c>
      <c r="F4">
        <f>SUM(C4*C3*E4)/27*2</f>
        <v>4.444</v>
      </c>
    </row>
    <row r="5" spans="1:10" x14ac:dyDescent="0.2">
      <c r="A5" s="178" t="s">
        <v>112</v>
      </c>
      <c r="B5" s="178" t="s">
        <v>111</v>
      </c>
      <c r="C5" s="272">
        <v>18</v>
      </c>
      <c r="E5" s="246">
        <v>0.33329999999999999</v>
      </c>
      <c r="F5">
        <f>SUM(C5*C3*E5)/27*2</f>
        <v>4.444</v>
      </c>
    </row>
    <row r="6" spans="1:10" x14ac:dyDescent="0.2">
      <c r="A6" s="178" t="s">
        <v>117</v>
      </c>
      <c r="B6" s="178" t="s">
        <v>120</v>
      </c>
      <c r="C6" s="188">
        <f>C5-1.32</f>
        <v>16.68</v>
      </c>
      <c r="D6">
        <f>C4-1.32</f>
        <v>16.68</v>
      </c>
      <c r="E6" s="246">
        <v>0.5</v>
      </c>
      <c r="F6" s="175">
        <f>SUM(C6*D6*E6)/27*2</f>
        <v>10.304533333333334</v>
      </c>
    </row>
    <row r="7" spans="1:10" x14ac:dyDescent="0.2">
      <c r="A7" s="178" t="s">
        <v>119</v>
      </c>
      <c r="B7" s="178" t="s">
        <v>120</v>
      </c>
      <c r="C7" s="270">
        <v>18.5</v>
      </c>
      <c r="D7" s="270">
        <v>18.5</v>
      </c>
      <c r="E7" s="246">
        <v>0.5</v>
      </c>
      <c r="F7" s="181">
        <f>SUM(C7*D7*E7)/27</f>
        <v>6.3379629629629628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246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273">
        <f>SUM(F4:F7)</f>
        <v>25.530496296296295</v>
      </c>
      <c r="G9" s="247">
        <f>SUM(27*110)</f>
        <v>2970</v>
      </c>
      <c r="H9" s="191">
        <f>SUM(F9*G9)</f>
        <v>75825.573999999993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226</v>
      </c>
      <c r="B29" s="206"/>
      <c r="C29" s="206"/>
      <c r="D29" s="206"/>
      <c r="E29" s="206"/>
      <c r="F29" s="206"/>
    </row>
    <row r="30" spans="1:10" x14ac:dyDescent="0.2">
      <c r="C30" t="s">
        <v>118</v>
      </c>
      <c r="D30" t="s">
        <v>132</v>
      </c>
      <c r="E30" t="s">
        <v>109</v>
      </c>
    </row>
    <row r="31" spans="1:10" x14ac:dyDescent="0.2">
      <c r="A31" t="s">
        <v>239</v>
      </c>
      <c r="C31">
        <v>10.5</v>
      </c>
      <c r="D31" s="272">
        <v>18</v>
      </c>
      <c r="E31">
        <v>4</v>
      </c>
      <c r="F31" t="s">
        <v>12</v>
      </c>
      <c r="G31" s="274">
        <f>SUM(C31*D31*E31)+(18*18)</f>
        <v>1080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6"/>
  <sheetViews>
    <sheetView workbookViewId="0">
      <selection activeCell="C69" sqref="C69"/>
    </sheetView>
  </sheetViews>
  <sheetFormatPr defaultRowHeight="12.75" x14ac:dyDescent="0.2"/>
  <cols>
    <col min="1" max="1" width="2.28515625" bestFit="1" customWidth="1"/>
    <col min="2" max="2" width="29.28515625" bestFit="1" customWidth="1"/>
    <col min="3" max="3" width="11.42578125" bestFit="1" customWidth="1"/>
    <col min="4" max="4" width="8.42578125" bestFit="1" customWidth="1"/>
    <col min="5" max="5" width="12.85546875" bestFit="1" customWidth="1"/>
    <col min="7" max="7" width="17.28515625" bestFit="1" customWidth="1"/>
    <col min="8" max="8" width="6.7109375" bestFit="1" customWidth="1"/>
    <col min="9" max="9" width="11.140625" bestFit="1" customWidth="1"/>
    <col min="10" max="10" width="6.7109375" bestFit="1" customWidth="1"/>
    <col min="11" max="11" width="11.140625" bestFit="1" customWidth="1"/>
    <col min="12" max="12" width="18.5703125" bestFit="1" customWidth="1"/>
    <col min="13" max="13" width="5" bestFit="1" customWidth="1"/>
    <col min="14" max="14" width="13.85546875" bestFit="1" customWidth="1"/>
    <col min="15" max="15" width="18.5703125" bestFit="1" customWidth="1"/>
    <col min="16" max="16" width="11.425781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SUM(O90)</f>
        <v>28941.189608333338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</row>
    <row r="3" spans="1:16" ht="18.75" thickBot="1" x14ac:dyDescent="0.3">
      <c r="A3" s="296"/>
      <c r="B3" s="92" t="s">
        <v>84</v>
      </c>
      <c r="C3" s="172" t="s">
        <v>244</v>
      </c>
      <c r="D3" s="100" t="s">
        <v>102</v>
      </c>
      <c r="E3" s="302"/>
      <c r="F3" s="302"/>
      <c r="G3" s="302"/>
      <c r="H3" s="101"/>
      <c r="I3" s="56">
        <v>400</v>
      </c>
      <c r="J3" s="201" t="s">
        <v>12</v>
      </c>
      <c r="K3" s="101"/>
      <c r="L3" s="203">
        <f>SUM(L90/I3)</f>
        <v>48.235316013888884</v>
      </c>
      <c r="M3" s="101"/>
      <c r="N3" s="203">
        <f>SUM(G1/I3)</f>
        <v>72.352974020833344</v>
      </c>
      <c r="O3" s="101"/>
      <c r="P3" s="101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M87</f>
        <v>9647.0632027777774</v>
      </c>
      <c r="I8" s="316"/>
      <c r="J8" s="308"/>
      <c r="K8" s="357">
        <f>N8*H8</f>
        <v>1929412.6405555555</v>
      </c>
      <c r="L8" s="357"/>
      <c r="M8" s="55" t="s">
        <v>103</v>
      </c>
      <c r="N8" s="195">
        <v>200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H8/5</f>
        <v>1929.4126405555555</v>
      </c>
      <c r="I9" s="320"/>
      <c r="J9" s="308"/>
      <c r="K9" s="10"/>
      <c r="L9" s="11">
        <f>200*H9</f>
        <v>385882.52811111108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42193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SUM(H45,J64,J76,J86)</f>
        <v>3483.9364814814817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1741.9682407407408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16</v>
      </c>
      <c r="D20" s="69">
        <f>SUM(E15)</f>
        <v>15</v>
      </c>
      <c r="E20" s="41">
        <f t="shared" ref="E20:E28" si="0">IF(A20="X",D20*C20,0)</f>
        <v>240</v>
      </c>
      <c r="F20" s="97" t="s">
        <v>25</v>
      </c>
      <c r="G20" s="107">
        <f t="shared" ref="G20:G28" si="1">E20*$F$19</f>
        <v>72</v>
      </c>
      <c r="H20" s="25" t="s">
        <v>25</v>
      </c>
      <c r="I20" s="15">
        <f t="shared" ref="I20:I28" si="2">E20*$H$19</f>
        <v>60</v>
      </c>
      <c r="J20" s="108"/>
      <c r="K20" s="109"/>
      <c r="L20" s="3">
        <f t="shared" ref="L20:L28" si="3">SUM(E20:K20)</f>
        <v>372</v>
      </c>
      <c r="M20" s="26" t="s">
        <v>25</v>
      </c>
      <c r="N20" s="15">
        <f t="shared" ref="N20:N28" si="4">L20*$M$19</f>
        <v>186</v>
      </c>
      <c r="O20" s="3">
        <f t="shared" ref="O20:O28" si="5">SUM(N20+L20)</f>
        <v>558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41">
        <f t="shared" si="0"/>
        <v>120</v>
      </c>
      <c r="F21" s="98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</row>
    <row r="22" spans="1:16" x14ac:dyDescent="0.2">
      <c r="A22" s="95" t="s">
        <v>68</v>
      </c>
      <c r="B22" s="151" t="s">
        <v>242</v>
      </c>
      <c r="C22" s="82">
        <v>15</v>
      </c>
      <c r="D22" s="69">
        <v>15</v>
      </c>
      <c r="E22" s="41">
        <f>IF(A22="X",D22*C22,0)</f>
        <v>225</v>
      </c>
      <c r="F22" s="98" t="s">
        <v>25</v>
      </c>
      <c r="G22" s="107">
        <f t="shared" si="1"/>
        <v>67.5</v>
      </c>
      <c r="H22" s="27" t="s">
        <v>25</v>
      </c>
      <c r="I22" s="15">
        <f t="shared" si="2"/>
        <v>56.25</v>
      </c>
      <c r="J22" s="110"/>
      <c r="K22" s="111"/>
      <c r="L22" s="3">
        <f t="shared" si="3"/>
        <v>348.75</v>
      </c>
      <c r="M22" s="26" t="s">
        <v>25</v>
      </c>
      <c r="N22" s="15">
        <f t="shared" si="4"/>
        <v>174.375</v>
      </c>
      <c r="O22" s="3">
        <f>SUM(N22+L22)</f>
        <v>523.125</v>
      </c>
      <c r="P22" s="80">
        <f t="shared" si="6"/>
        <v>523.125</v>
      </c>
    </row>
    <row r="23" spans="1:16" x14ac:dyDescent="0.2">
      <c r="A23" s="95" t="s">
        <v>68</v>
      </c>
      <c r="B23" s="151" t="s">
        <v>79</v>
      </c>
      <c r="C23" s="82">
        <v>8</v>
      </c>
      <c r="D23" s="69">
        <v>15</v>
      </c>
      <c r="E23" s="41">
        <f>IF(A23="X",D23*C23,0)</f>
        <v>120</v>
      </c>
      <c r="F23" s="98" t="s">
        <v>25</v>
      </c>
      <c r="G23" s="107">
        <f t="shared" si="1"/>
        <v>36</v>
      </c>
      <c r="H23" s="27" t="s">
        <v>25</v>
      </c>
      <c r="I23" s="15">
        <f t="shared" si="2"/>
        <v>30</v>
      </c>
      <c r="J23" s="110"/>
      <c r="K23" s="111"/>
      <c r="L23" s="3">
        <f t="shared" si="3"/>
        <v>186</v>
      </c>
      <c r="M23" s="26" t="s">
        <v>25</v>
      </c>
      <c r="N23" s="15">
        <f t="shared" si="4"/>
        <v>93</v>
      </c>
      <c r="O23" s="3">
        <f>SUM(N23+L23)</f>
        <v>279</v>
      </c>
      <c r="P23" s="80">
        <f t="shared" si="6"/>
        <v>279</v>
      </c>
    </row>
    <row r="24" spans="1:16" x14ac:dyDescent="0.2">
      <c r="A24" s="95" t="s">
        <v>68</v>
      </c>
      <c r="B24" s="151" t="s">
        <v>72</v>
      </c>
      <c r="C24" s="82">
        <v>6</v>
      </c>
      <c r="D24" s="159">
        <v>15</v>
      </c>
      <c r="E24" s="41">
        <f>IF(A24="X",D24*C24,0)</f>
        <v>90</v>
      </c>
      <c r="F24" s="98" t="s">
        <v>25</v>
      </c>
      <c r="G24" s="107">
        <f t="shared" si="1"/>
        <v>27</v>
      </c>
      <c r="H24" s="27" t="s">
        <v>25</v>
      </c>
      <c r="I24" s="15">
        <f t="shared" si="2"/>
        <v>22.5</v>
      </c>
      <c r="J24" s="110"/>
      <c r="K24" s="111"/>
      <c r="L24" s="3">
        <f t="shared" si="3"/>
        <v>139.5</v>
      </c>
      <c r="M24" s="26" t="s">
        <v>25</v>
      </c>
      <c r="N24" s="15">
        <f t="shared" si="4"/>
        <v>69.75</v>
      </c>
      <c r="O24" s="3">
        <f>SUM(N24+L24)</f>
        <v>209.25</v>
      </c>
      <c r="P24" s="80">
        <f t="shared" si="6"/>
        <v>209.25</v>
      </c>
    </row>
    <row r="25" spans="1:16" x14ac:dyDescent="0.2">
      <c r="A25" s="33" t="s">
        <v>26</v>
      </c>
      <c r="B25" s="151" t="s">
        <v>154</v>
      </c>
      <c r="C25" s="82">
        <v>6</v>
      </c>
      <c r="D25" s="69">
        <f>SUM(E15)</f>
        <v>15</v>
      </c>
      <c r="E25" s="41">
        <f t="shared" si="0"/>
        <v>90</v>
      </c>
      <c r="F25" s="98" t="s">
        <v>25</v>
      </c>
      <c r="G25" s="107">
        <f t="shared" si="1"/>
        <v>27</v>
      </c>
      <c r="H25" s="27" t="s">
        <v>25</v>
      </c>
      <c r="I25" s="15">
        <f t="shared" si="2"/>
        <v>22.5</v>
      </c>
      <c r="J25" s="110"/>
      <c r="K25" s="111"/>
      <c r="L25" s="3">
        <f t="shared" si="3"/>
        <v>139.5</v>
      </c>
      <c r="M25" s="26" t="s">
        <v>25</v>
      </c>
      <c r="N25" s="15">
        <f t="shared" si="4"/>
        <v>69.75</v>
      </c>
      <c r="O25" s="3">
        <f t="shared" si="5"/>
        <v>209.25</v>
      </c>
      <c r="P25" s="80">
        <f t="shared" si="6"/>
        <v>209.25</v>
      </c>
    </row>
    <row r="26" spans="1:16" x14ac:dyDescent="0.2">
      <c r="A26" s="149" t="s">
        <v>68</v>
      </c>
      <c r="B26" s="151" t="s">
        <v>148</v>
      </c>
      <c r="C26" s="82">
        <v>16</v>
      </c>
      <c r="D26" s="159">
        <v>15</v>
      </c>
      <c r="E26" s="41">
        <f t="shared" si="0"/>
        <v>240</v>
      </c>
      <c r="F26" s="98" t="s">
        <v>25</v>
      </c>
      <c r="G26" s="107">
        <f t="shared" si="1"/>
        <v>72</v>
      </c>
      <c r="H26" s="27" t="s">
        <v>25</v>
      </c>
      <c r="I26" s="15">
        <f t="shared" si="2"/>
        <v>60</v>
      </c>
      <c r="J26" s="110"/>
      <c r="K26" s="111"/>
      <c r="L26" s="3">
        <f t="shared" si="3"/>
        <v>372</v>
      </c>
      <c r="M26" s="26" t="s">
        <v>25</v>
      </c>
      <c r="N26" s="15">
        <f t="shared" si="4"/>
        <v>186</v>
      </c>
      <c r="O26" s="3">
        <f t="shared" si="5"/>
        <v>558</v>
      </c>
      <c r="P26" s="80">
        <f t="shared" si="6"/>
        <v>558</v>
      </c>
    </row>
    <row r="27" spans="1:16" x14ac:dyDescent="0.2">
      <c r="A27" s="149" t="s">
        <v>68</v>
      </c>
      <c r="B27" s="93" t="s">
        <v>81</v>
      </c>
      <c r="C27" s="82">
        <v>1</v>
      </c>
      <c r="D27" s="159">
        <v>15</v>
      </c>
      <c r="E27" s="41">
        <f t="shared" si="0"/>
        <v>15</v>
      </c>
      <c r="F27" s="98" t="s">
        <v>25</v>
      </c>
      <c r="G27" s="107">
        <f t="shared" si="1"/>
        <v>4.5</v>
      </c>
      <c r="H27" s="27" t="s">
        <v>25</v>
      </c>
      <c r="I27" s="15">
        <f t="shared" si="2"/>
        <v>3.75</v>
      </c>
      <c r="J27" s="110"/>
      <c r="K27" s="111"/>
      <c r="L27" s="3">
        <f t="shared" si="3"/>
        <v>23.25</v>
      </c>
      <c r="M27" s="26" t="s">
        <v>25</v>
      </c>
      <c r="N27" s="15">
        <f t="shared" si="4"/>
        <v>11.625</v>
      </c>
      <c r="O27" s="3">
        <f t="shared" si="5"/>
        <v>34.875</v>
      </c>
      <c r="P27" s="80">
        <f t="shared" si="6"/>
        <v>34.875</v>
      </c>
    </row>
    <row r="28" spans="1:16" x14ac:dyDescent="0.2">
      <c r="A28" s="149" t="s">
        <v>68</v>
      </c>
      <c r="B28" s="93" t="s">
        <v>149</v>
      </c>
      <c r="C28" s="64">
        <v>18</v>
      </c>
      <c r="D28" s="69">
        <v>15</v>
      </c>
      <c r="E28" s="41">
        <f t="shared" si="0"/>
        <v>270</v>
      </c>
      <c r="F28" s="112" t="s">
        <v>25</v>
      </c>
      <c r="G28" s="113">
        <f t="shared" si="1"/>
        <v>81</v>
      </c>
      <c r="H28" s="114" t="s">
        <v>25</v>
      </c>
      <c r="I28" s="119">
        <f t="shared" si="2"/>
        <v>67.5</v>
      </c>
      <c r="J28" s="115"/>
      <c r="K28" s="116"/>
      <c r="L28" s="117">
        <f t="shared" si="3"/>
        <v>418.5</v>
      </c>
      <c r="M28" s="118" t="s">
        <v>25</v>
      </c>
      <c r="N28" s="119">
        <f t="shared" si="4"/>
        <v>209.25</v>
      </c>
      <c r="O28" s="117">
        <f t="shared" si="5"/>
        <v>627.75</v>
      </c>
      <c r="P28" s="80">
        <f t="shared" si="6"/>
        <v>627.75</v>
      </c>
    </row>
    <row r="29" spans="1:16" x14ac:dyDescent="0.2">
      <c r="A29" s="9"/>
      <c r="B29" s="24"/>
      <c r="C29" s="65">
        <f>SUM(C20:C28)</f>
        <v>94</v>
      </c>
      <c r="D29" s="60"/>
      <c r="E29" s="48">
        <f>SUM(E20:E28)</f>
        <v>1410</v>
      </c>
      <c r="F29" s="120" t="s">
        <v>25</v>
      </c>
      <c r="G29" s="59">
        <f>SUM(G20:G28)</f>
        <v>423</v>
      </c>
      <c r="H29" s="121" t="s">
        <v>25</v>
      </c>
      <c r="I29" s="57">
        <f>SUM(I20:I28)</f>
        <v>352.5</v>
      </c>
      <c r="J29" s="121"/>
      <c r="K29" s="59"/>
      <c r="L29" s="63">
        <f>SUM(L20:L28)</f>
        <v>2185.5</v>
      </c>
      <c r="M29" s="121" t="s">
        <v>25</v>
      </c>
      <c r="N29" s="57">
        <f>SUM(N20:N28)</f>
        <v>1092.75</v>
      </c>
      <c r="O29" s="58">
        <f>SUM(O20:O28)</f>
        <v>3278.25</v>
      </c>
      <c r="P29" s="122">
        <f>SUM(O29/1)</f>
        <v>3278.25</v>
      </c>
    </row>
    <row r="30" spans="1:16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15</v>
      </c>
      <c r="D32" s="45">
        <v>40</v>
      </c>
      <c r="E32" s="41">
        <f>IF(A32="X",D32*C32,0)</f>
        <v>600</v>
      </c>
      <c r="F32" s="112" t="s">
        <v>25</v>
      </c>
      <c r="G32" s="113">
        <f>E32*$F$19</f>
        <v>180</v>
      </c>
      <c r="H32" s="27" t="s">
        <v>25</v>
      </c>
      <c r="I32" s="15">
        <f t="shared" ref="I32:I42" si="7">E32*$H$19</f>
        <v>150</v>
      </c>
      <c r="J32" s="110"/>
      <c r="K32" s="111"/>
      <c r="L32" s="3">
        <f t="shared" ref="L32:L42" si="8">SUM(E32:K32)</f>
        <v>930</v>
      </c>
      <c r="M32" s="26" t="s">
        <v>25</v>
      </c>
      <c r="N32" s="15">
        <f t="shared" ref="N32:N42" si="9">L32*$M$19</f>
        <v>465</v>
      </c>
      <c r="O32" s="3">
        <f>SUM(N32+L32)</f>
        <v>1395</v>
      </c>
      <c r="P32" s="80">
        <f t="shared" ref="P32:P45" si="10">SUM(O32)</f>
        <v>1395</v>
      </c>
    </row>
    <row r="33" spans="1:16" x14ac:dyDescent="0.2">
      <c r="A33" s="150" t="str">
        <f>IF(A20="X",A20,"")</f>
        <v>x</v>
      </c>
      <c r="B33" s="151" t="s">
        <v>227</v>
      </c>
      <c r="C33" s="83">
        <v>8</v>
      </c>
      <c r="D33" s="45">
        <v>40</v>
      </c>
      <c r="E33" s="41">
        <f t="shared" ref="E33:E42" si="11">IF(A33="X",D33*C33,0)</f>
        <v>320</v>
      </c>
      <c r="F33" s="98" t="s">
        <v>25</v>
      </c>
      <c r="G33" s="107">
        <f t="shared" ref="G33:G42" si="12">E33*$F$19</f>
        <v>96</v>
      </c>
      <c r="H33" s="27" t="s">
        <v>25</v>
      </c>
      <c r="I33" s="15">
        <f t="shared" si="7"/>
        <v>80</v>
      </c>
      <c r="J33" s="110"/>
      <c r="K33" s="111"/>
      <c r="L33" s="3">
        <f t="shared" si="8"/>
        <v>496</v>
      </c>
      <c r="M33" s="26" t="s">
        <v>25</v>
      </c>
      <c r="N33" s="15">
        <f t="shared" si="9"/>
        <v>248</v>
      </c>
      <c r="O33" s="3">
        <f t="shared" ref="O33:O42" si="13">SUM(N33+L33)</f>
        <v>744</v>
      </c>
      <c r="P33" s="80">
        <f t="shared" si="10"/>
        <v>744</v>
      </c>
    </row>
    <row r="34" spans="1:16" x14ac:dyDescent="0.2">
      <c r="A34" s="150" t="str">
        <f>IF(A21="X",A21,"")</f>
        <v>X</v>
      </c>
      <c r="B34" s="93" t="s">
        <v>75</v>
      </c>
      <c r="C34" s="83">
        <v>2</v>
      </c>
      <c r="D34" s="45">
        <v>40</v>
      </c>
      <c r="E34" s="41">
        <f t="shared" si="11"/>
        <v>80</v>
      </c>
      <c r="F34" s="112" t="s">
        <v>25</v>
      </c>
      <c r="G34" s="113">
        <f t="shared" si="12"/>
        <v>24</v>
      </c>
      <c r="H34" s="27" t="s">
        <v>25</v>
      </c>
      <c r="I34" s="15">
        <f t="shared" si="7"/>
        <v>20</v>
      </c>
      <c r="J34" s="110"/>
      <c r="K34" s="111"/>
      <c r="L34" s="3">
        <f t="shared" si="8"/>
        <v>124</v>
      </c>
      <c r="M34" s="26" t="s">
        <v>25</v>
      </c>
      <c r="N34" s="15">
        <f t="shared" si="9"/>
        <v>62</v>
      </c>
      <c r="O34" s="3">
        <f t="shared" si="13"/>
        <v>186</v>
      </c>
      <c r="P34" s="80">
        <f t="shared" si="10"/>
        <v>186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41">
        <f>IF(A36="X",D36*C36,0)</f>
        <v>120</v>
      </c>
      <c r="F36" s="98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93</v>
      </c>
      <c r="O36" s="3">
        <f>SUM(N36+L36)</f>
        <v>279</v>
      </c>
      <c r="P36" s="80">
        <f t="shared" si="10"/>
        <v>279</v>
      </c>
    </row>
    <row r="37" spans="1:16" x14ac:dyDescent="0.2">
      <c r="A37" s="150" t="str">
        <f>IF(A23="X",A23,"")</f>
        <v>x</v>
      </c>
      <c r="B37" s="151" t="s">
        <v>124</v>
      </c>
      <c r="C37" s="83">
        <v>1</v>
      </c>
      <c r="D37" s="45">
        <v>40</v>
      </c>
      <c r="E37" s="41">
        <f>IF(A37="X",D37*C37,0)</f>
        <v>40</v>
      </c>
      <c r="F37" s="98" t="s">
        <v>25</v>
      </c>
      <c r="G37" s="107">
        <f t="shared" si="12"/>
        <v>12</v>
      </c>
      <c r="H37" s="27" t="s">
        <v>25</v>
      </c>
      <c r="I37" s="15">
        <f t="shared" si="7"/>
        <v>10</v>
      </c>
      <c r="J37" s="110"/>
      <c r="K37" s="111"/>
      <c r="L37" s="3">
        <f t="shared" si="8"/>
        <v>62</v>
      </c>
      <c r="M37" s="26" t="s">
        <v>25</v>
      </c>
      <c r="N37" s="15">
        <f t="shared" si="9"/>
        <v>31</v>
      </c>
      <c r="O37" s="3">
        <f>SUM(N37+L37)</f>
        <v>93</v>
      </c>
      <c r="P37" s="80">
        <f t="shared" si="10"/>
        <v>93</v>
      </c>
    </row>
    <row r="38" spans="1:16" x14ac:dyDescent="0.2">
      <c r="A38" s="150" t="str">
        <f>IF(A24="X",A24,"")</f>
        <v>x</v>
      </c>
      <c r="B38" s="151" t="s">
        <v>72</v>
      </c>
      <c r="C38" s="83">
        <v>4</v>
      </c>
      <c r="D38" s="45">
        <v>40</v>
      </c>
      <c r="E38" s="41">
        <f>IF(A38="X",D38*C38,0)</f>
        <v>160</v>
      </c>
      <c r="F38" s="98" t="s">
        <v>25</v>
      </c>
      <c r="G38" s="107">
        <f t="shared" si="12"/>
        <v>48</v>
      </c>
      <c r="H38" s="27" t="s">
        <v>25</v>
      </c>
      <c r="I38" s="15">
        <f t="shared" si="7"/>
        <v>40</v>
      </c>
      <c r="J38" s="110"/>
      <c r="K38" s="111"/>
      <c r="L38" s="3">
        <f t="shared" si="8"/>
        <v>248</v>
      </c>
      <c r="M38" s="26" t="s">
        <v>25</v>
      </c>
      <c r="N38" s="15">
        <f t="shared" si="9"/>
        <v>124</v>
      </c>
      <c r="O38" s="3">
        <f>SUM(N38+L38)</f>
        <v>372</v>
      </c>
      <c r="P38" s="80">
        <f t="shared" si="10"/>
        <v>372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6</v>
      </c>
      <c r="D40" s="45">
        <v>40</v>
      </c>
      <c r="E40" s="41">
        <f t="shared" si="11"/>
        <v>240</v>
      </c>
      <c r="F40" s="112" t="s">
        <v>25</v>
      </c>
      <c r="G40" s="113">
        <f t="shared" si="12"/>
        <v>72</v>
      </c>
      <c r="H40" s="27" t="s">
        <v>25</v>
      </c>
      <c r="I40" s="15">
        <f t="shared" si="7"/>
        <v>60</v>
      </c>
      <c r="J40" s="110"/>
      <c r="K40" s="111"/>
      <c r="L40" s="3">
        <f t="shared" si="8"/>
        <v>372</v>
      </c>
      <c r="M40" s="26" t="s">
        <v>25</v>
      </c>
      <c r="N40" s="15">
        <f t="shared" si="9"/>
        <v>186</v>
      </c>
      <c r="O40" s="3">
        <f t="shared" si="13"/>
        <v>558</v>
      </c>
      <c r="P40" s="80">
        <f t="shared" si="10"/>
        <v>558</v>
      </c>
    </row>
    <row r="41" spans="1:16" x14ac:dyDescent="0.2">
      <c r="A41" s="166" t="s">
        <v>68</v>
      </c>
      <c r="B41" s="93" t="s">
        <v>81</v>
      </c>
      <c r="C41" s="83">
        <v>4</v>
      </c>
      <c r="D41" s="45">
        <v>40</v>
      </c>
      <c r="E41" s="41">
        <f t="shared" si="11"/>
        <v>160</v>
      </c>
      <c r="F41" s="112" t="s">
        <v>25</v>
      </c>
      <c r="G41" s="113">
        <f t="shared" si="12"/>
        <v>48</v>
      </c>
      <c r="H41" s="27" t="s">
        <v>25</v>
      </c>
      <c r="I41" s="15">
        <f t="shared" si="7"/>
        <v>40</v>
      </c>
      <c r="J41" s="110"/>
      <c r="K41" s="111"/>
      <c r="L41" s="3">
        <f t="shared" si="8"/>
        <v>248</v>
      </c>
      <c r="M41" s="26" t="s">
        <v>25</v>
      </c>
      <c r="N41" s="15">
        <f t="shared" si="9"/>
        <v>124</v>
      </c>
      <c r="O41" s="3">
        <f t="shared" si="13"/>
        <v>372</v>
      </c>
      <c r="P41" s="80">
        <f t="shared" si="10"/>
        <v>372</v>
      </c>
    </row>
    <row r="42" spans="1:16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43</v>
      </c>
      <c r="D43" s="60"/>
      <c r="E43" s="60">
        <f>SUM(E32:E42)</f>
        <v>1720</v>
      </c>
      <c r="F43" s="123" t="s">
        <v>25</v>
      </c>
      <c r="G43" s="61">
        <f>SUM(G32:G42)</f>
        <v>516</v>
      </c>
      <c r="H43" s="124" t="s">
        <v>25</v>
      </c>
      <c r="I43" s="62">
        <f>SUM(I32:I42)</f>
        <v>430</v>
      </c>
      <c r="J43" s="124"/>
      <c r="K43" s="61"/>
      <c r="L43" s="63">
        <f>SUM(L32:L42)</f>
        <v>2666</v>
      </c>
      <c r="M43" s="124" t="s">
        <v>25</v>
      </c>
      <c r="N43" s="62">
        <f>SUM(N32:N42)</f>
        <v>1333</v>
      </c>
      <c r="O43" s="63">
        <f>SUM(O32:O42)</f>
        <v>3999</v>
      </c>
      <c r="P43" s="80">
        <f t="shared" si="10"/>
        <v>3999</v>
      </c>
    </row>
    <row r="44" spans="1:16" ht="13.5" thickBot="1" x14ac:dyDescent="0.25">
      <c r="A44" s="9"/>
      <c r="B44" s="49" t="s">
        <v>73</v>
      </c>
      <c r="C44" s="161">
        <f>SUM(C29+C43)</f>
        <v>137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3130</v>
      </c>
      <c r="F45" s="328">
        <f>G43+G29</f>
        <v>939</v>
      </c>
      <c r="G45" s="329"/>
      <c r="H45" s="328">
        <f>I43+I29</f>
        <v>782.5</v>
      </c>
      <c r="I45" s="329"/>
      <c r="J45" s="328"/>
      <c r="K45" s="329"/>
      <c r="L45" s="31">
        <f>L43+L29</f>
        <v>4851.5</v>
      </c>
      <c r="M45" s="330">
        <f>N43+N29</f>
        <v>2425.75</v>
      </c>
      <c r="N45" s="331"/>
      <c r="O45" s="31">
        <f>O43+O29</f>
        <v>7277.25</v>
      </c>
      <c r="P45" s="80">
        <f t="shared" si="10"/>
        <v>7277.25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f>H7</f>
        <v>0.5</v>
      </c>
      <c r="N48" s="56"/>
      <c r="O48" s="56"/>
      <c r="P48" s="86"/>
    </row>
    <row r="49" spans="1:19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0.5</v>
      </c>
      <c r="N49" s="22" t="s">
        <v>24</v>
      </c>
      <c r="O49" s="18" t="s">
        <v>5</v>
      </c>
      <c r="P49" s="84" t="s">
        <v>21</v>
      </c>
    </row>
    <row r="50" spans="1:19" x14ac:dyDescent="0.2">
      <c r="A50" s="95"/>
      <c r="B50" s="93" t="s">
        <v>187</v>
      </c>
      <c r="C50" s="85">
        <v>0</v>
      </c>
      <c r="D50" s="94" t="s">
        <v>18</v>
      </c>
      <c r="E50" s="51">
        <v>105</v>
      </c>
      <c r="F50" s="334">
        <f t="shared" ref="F50:F60" si="14">IF(A50="x",SUM(C50*E50),0)</f>
        <v>0</v>
      </c>
      <c r="G50" s="335"/>
      <c r="H50" s="334">
        <f t="shared" ref="H50:H60" si="15">F50*$H$49</f>
        <v>0</v>
      </c>
      <c r="I50" s="335"/>
      <c r="J50" s="25" t="s">
        <v>25</v>
      </c>
      <c r="K50" s="15">
        <f>F50*$J$49</f>
        <v>0</v>
      </c>
      <c r="L50" s="3">
        <f t="shared" ref="L50:L63" si="16">SUM(F50:K50)</f>
        <v>0</v>
      </c>
      <c r="M50" s="26" t="s">
        <v>25</v>
      </c>
      <c r="N50" s="15">
        <f>L50*$M$48</f>
        <v>0</v>
      </c>
      <c r="O50" s="3">
        <f t="shared" ref="O50:O60" si="17">SUM(N50+L50)</f>
        <v>0</v>
      </c>
      <c r="P50" s="80">
        <f t="shared" ref="P50:P64" si="18">SUM(O50)</f>
        <v>0</v>
      </c>
      <c r="Q50">
        <v>17</v>
      </c>
      <c r="R50">
        <v>60</v>
      </c>
      <c r="S50">
        <f>Q50*R50</f>
        <v>1020</v>
      </c>
    </row>
    <row r="51" spans="1:19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3" si="19">F51*$J$49</f>
        <v>250</v>
      </c>
      <c r="L51" s="3">
        <f t="shared" si="16"/>
        <v>1342.5</v>
      </c>
      <c r="M51" s="26" t="s">
        <v>25</v>
      </c>
      <c r="N51" s="15">
        <f t="shared" ref="N51:N63" si="20">L51*$M$49</f>
        <v>671.25</v>
      </c>
      <c r="O51" s="3">
        <f>SUM(N51+L51)</f>
        <v>2013.75</v>
      </c>
      <c r="P51" s="80">
        <f t="shared" si="18"/>
        <v>2013.75</v>
      </c>
    </row>
    <row r="52" spans="1:19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</row>
    <row r="53" spans="1:19" x14ac:dyDescent="0.2">
      <c r="A53" s="95" t="s">
        <v>68</v>
      </c>
      <c r="B53" s="93" t="s">
        <v>151</v>
      </c>
      <c r="C53" s="85">
        <v>1400</v>
      </c>
      <c r="D53" s="94" t="s">
        <v>17</v>
      </c>
      <c r="E53" s="28">
        <v>0.3</v>
      </c>
      <c r="F53" s="336">
        <f t="shared" si="14"/>
        <v>420</v>
      </c>
      <c r="G53" s="337"/>
      <c r="H53" s="336">
        <f t="shared" si="15"/>
        <v>38.85</v>
      </c>
      <c r="I53" s="337"/>
      <c r="J53" s="27" t="s">
        <v>25</v>
      </c>
      <c r="K53" s="15">
        <f t="shared" si="19"/>
        <v>105</v>
      </c>
      <c r="L53" s="3">
        <f t="shared" si="16"/>
        <v>563.85</v>
      </c>
      <c r="M53" s="26" t="s">
        <v>25</v>
      </c>
      <c r="N53" s="15">
        <f t="shared" si="20"/>
        <v>281.92500000000001</v>
      </c>
      <c r="O53" s="3">
        <f t="shared" si="17"/>
        <v>845.77500000000009</v>
      </c>
      <c r="P53" s="80">
        <f t="shared" si="18"/>
        <v>845.77500000000009</v>
      </c>
    </row>
    <row r="54" spans="1:19" x14ac:dyDescent="0.2">
      <c r="A54" s="95" t="s">
        <v>68</v>
      </c>
      <c r="B54" s="93" t="s">
        <v>97</v>
      </c>
      <c r="C54" s="85">
        <v>6</v>
      </c>
      <c r="D54" s="94" t="s">
        <v>18</v>
      </c>
      <c r="E54" s="28">
        <v>105</v>
      </c>
      <c r="F54" s="336">
        <f t="shared" si="14"/>
        <v>630</v>
      </c>
      <c r="G54" s="337"/>
      <c r="H54" s="336">
        <f t="shared" si="15"/>
        <v>58.274999999999999</v>
      </c>
      <c r="I54" s="337"/>
      <c r="J54" s="27" t="s">
        <v>25</v>
      </c>
      <c r="K54" s="15">
        <f t="shared" si="19"/>
        <v>157.5</v>
      </c>
      <c r="L54" s="3">
        <f t="shared" si="16"/>
        <v>845.77499999999998</v>
      </c>
      <c r="M54" s="26" t="s">
        <v>25</v>
      </c>
      <c r="N54" s="15">
        <f t="shared" si="20"/>
        <v>422.88749999999999</v>
      </c>
      <c r="O54" s="3">
        <f t="shared" si="17"/>
        <v>1268.6624999999999</v>
      </c>
      <c r="P54" s="80">
        <f t="shared" si="18"/>
        <v>1268.6624999999999</v>
      </c>
    </row>
    <row r="55" spans="1:19" x14ac:dyDescent="0.2">
      <c r="A55" s="95" t="s">
        <v>68</v>
      </c>
      <c r="B55" s="93" t="s">
        <v>98</v>
      </c>
      <c r="C55" s="85">
        <f>SUM(C50,C54,C62)*10</f>
        <v>299.7956740740741</v>
      </c>
      <c r="D55" s="94" t="s">
        <v>115</v>
      </c>
      <c r="E55" s="28">
        <v>2</v>
      </c>
      <c r="F55" s="336">
        <f>IF(A55="x",SUM(C55*E55),0)</f>
        <v>599.5913481481482</v>
      </c>
      <c r="G55" s="337"/>
      <c r="H55" s="336">
        <f>F55*$H$49</f>
        <v>55.46219970370371</v>
      </c>
      <c r="I55" s="337"/>
      <c r="J55" s="27" t="s">
        <v>25</v>
      </c>
      <c r="K55" s="15">
        <f t="shared" si="19"/>
        <v>149.89783703703705</v>
      </c>
      <c r="L55" s="3">
        <f t="shared" si="16"/>
        <v>804.95138488888892</v>
      </c>
      <c r="M55" s="26" t="s">
        <v>25</v>
      </c>
      <c r="N55" s="15">
        <f t="shared" si="20"/>
        <v>402.47569244444446</v>
      </c>
      <c r="O55" s="3">
        <f>SUM(N55+L55)</f>
        <v>1207.4270773333333</v>
      </c>
      <c r="P55" s="80">
        <f t="shared" si="18"/>
        <v>1207.4270773333333</v>
      </c>
    </row>
    <row r="56" spans="1:19" x14ac:dyDescent="0.2">
      <c r="A56" s="95"/>
      <c r="B56" s="93" t="s">
        <v>168</v>
      </c>
      <c r="C56" s="85">
        <v>1904</v>
      </c>
      <c r="D56" s="94" t="s">
        <v>115</v>
      </c>
      <c r="E56" s="28">
        <v>0.75</v>
      </c>
      <c r="F56" s="336">
        <f t="shared" si="14"/>
        <v>0</v>
      </c>
      <c r="G56" s="337"/>
      <c r="H56" s="336">
        <f t="shared" si="15"/>
        <v>0</v>
      </c>
      <c r="I56" s="337"/>
      <c r="J56" s="27" t="s">
        <v>25</v>
      </c>
      <c r="K56" s="15">
        <f t="shared" si="19"/>
        <v>0</v>
      </c>
      <c r="L56" s="3">
        <f t="shared" si="16"/>
        <v>0</v>
      </c>
      <c r="M56" s="26" t="s">
        <v>25</v>
      </c>
      <c r="N56" s="15">
        <f t="shared" si="20"/>
        <v>0</v>
      </c>
      <c r="O56" s="3">
        <f t="shared" si="17"/>
        <v>0</v>
      </c>
      <c r="P56" s="80">
        <f t="shared" si="18"/>
        <v>0</v>
      </c>
    </row>
    <row r="57" spans="1:19" x14ac:dyDescent="0.2">
      <c r="A57" s="95" t="s">
        <v>68</v>
      </c>
      <c r="B57" s="93" t="s">
        <v>27</v>
      </c>
      <c r="C57" s="85">
        <v>3</v>
      </c>
      <c r="D57" s="94" t="s">
        <v>16</v>
      </c>
      <c r="E57" s="28">
        <v>30</v>
      </c>
      <c r="F57" s="336">
        <f>IF(A57="x",SUM(C57*E57),0)</f>
        <v>90</v>
      </c>
      <c r="G57" s="337"/>
      <c r="H57" s="336">
        <f>F57*$H$49</f>
        <v>8.3249999999999993</v>
      </c>
      <c r="I57" s="337"/>
      <c r="J57" s="27" t="s">
        <v>25</v>
      </c>
      <c r="K57" s="15">
        <f>F57*$J$49</f>
        <v>22.5</v>
      </c>
      <c r="L57" s="3">
        <f t="shared" si="16"/>
        <v>120.825</v>
      </c>
      <c r="M57" s="26" t="s">
        <v>25</v>
      </c>
      <c r="N57" s="15">
        <f>L57*$M$49</f>
        <v>60.412500000000001</v>
      </c>
      <c r="O57" s="3">
        <f>SUM(N57+L57)</f>
        <v>181.23750000000001</v>
      </c>
      <c r="P57" s="80">
        <f t="shared" si="18"/>
        <v>181.23750000000001</v>
      </c>
    </row>
    <row r="58" spans="1:19" x14ac:dyDescent="0.2">
      <c r="A58" s="95" t="s">
        <v>68</v>
      </c>
      <c r="B58" s="93" t="s">
        <v>83</v>
      </c>
      <c r="C58" s="85">
        <v>2</v>
      </c>
      <c r="D58" s="94" t="s">
        <v>16</v>
      </c>
      <c r="E58" s="50">
        <v>30</v>
      </c>
      <c r="F58" s="336">
        <f t="shared" si="14"/>
        <v>60</v>
      </c>
      <c r="G58" s="337"/>
      <c r="H58" s="338">
        <f t="shared" si="15"/>
        <v>5.55</v>
      </c>
      <c r="I58" s="337"/>
      <c r="J58" s="27" t="s">
        <v>25</v>
      </c>
      <c r="K58" s="15">
        <f t="shared" si="19"/>
        <v>15</v>
      </c>
      <c r="L58" s="3">
        <f t="shared" si="16"/>
        <v>80.55</v>
      </c>
      <c r="M58" s="26" t="s">
        <v>25</v>
      </c>
      <c r="N58" s="15">
        <f>L58*$M$48</f>
        <v>40.274999999999999</v>
      </c>
      <c r="O58" s="3">
        <f t="shared" si="17"/>
        <v>120.82499999999999</v>
      </c>
      <c r="P58" s="80">
        <f t="shared" si="18"/>
        <v>120.82499999999999</v>
      </c>
    </row>
    <row r="59" spans="1:19" x14ac:dyDescent="0.2">
      <c r="A59" s="95" t="s">
        <v>68</v>
      </c>
      <c r="B59" s="93" t="s">
        <v>94</v>
      </c>
      <c r="C59" s="40">
        <v>300</v>
      </c>
      <c r="D59" s="94" t="s">
        <v>16</v>
      </c>
      <c r="E59" s="23">
        <v>1</v>
      </c>
      <c r="F59" s="336">
        <f t="shared" si="14"/>
        <v>300</v>
      </c>
      <c r="G59" s="337"/>
      <c r="H59" s="338">
        <f t="shared" si="15"/>
        <v>27.75</v>
      </c>
      <c r="I59" s="337"/>
      <c r="J59" s="27" t="s">
        <v>25</v>
      </c>
      <c r="K59" s="15">
        <f t="shared" si="19"/>
        <v>75</v>
      </c>
      <c r="L59" s="3">
        <f t="shared" si="16"/>
        <v>402.75</v>
      </c>
      <c r="M59" s="26" t="s">
        <v>25</v>
      </c>
      <c r="N59" s="15">
        <f t="shared" si="20"/>
        <v>201.375</v>
      </c>
      <c r="O59" s="3">
        <f t="shared" si="17"/>
        <v>604.125</v>
      </c>
      <c r="P59" s="80">
        <f t="shared" si="18"/>
        <v>604.125</v>
      </c>
    </row>
    <row r="60" spans="1:19" x14ac:dyDescent="0.2">
      <c r="A60" s="33" t="s">
        <v>68</v>
      </c>
      <c r="B60" s="93" t="s">
        <v>169</v>
      </c>
      <c r="C60" s="85">
        <f>'20X20 Concrete'!J42</f>
        <v>1120</v>
      </c>
      <c r="D60" s="94" t="s">
        <v>12</v>
      </c>
      <c r="E60" s="28">
        <v>3</v>
      </c>
      <c r="F60" s="336">
        <f t="shared" si="14"/>
        <v>3360</v>
      </c>
      <c r="G60" s="337"/>
      <c r="H60" s="338">
        <f t="shared" si="15"/>
        <v>310.8</v>
      </c>
      <c r="I60" s="337"/>
      <c r="J60" s="27" t="s">
        <v>25</v>
      </c>
      <c r="K60" s="15">
        <f t="shared" si="19"/>
        <v>840</v>
      </c>
      <c r="L60" s="3">
        <f t="shared" si="16"/>
        <v>4510.8</v>
      </c>
      <c r="M60" s="26" t="s">
        <v>25</v>
      </c>
      <c r="N60" s="15">
        <f t="shared" si="20"/>
        <v>2255.4</v>
      </c>
      <c r="O60" s="3">
        <f t="shared" si="17"/>
        <v>6766.2000000000007</v>
      </c>
      <c r="P60" s="80">
        <f t="shared" si="18"/>
        <v>6766.2000000000007</v>
      </c>
    </row>
    <row r="61" spans="1:19" x14ac:dyDescent="0.2">
      <c r="A61" s="33"/>
      <c r="B61" s="13" t="s">
        <v>170</v>
      </c>
      <c r="C61" s="85">
        <v>560</v>
      </c>
      <c r="D61" s="10" t="s">
        <v>12</v>
      </c>
      <c r="E61" s="28">
        <v>2</v>
      </c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9" x14ac:dyDescent="0.2">
      <c r="A62" s="33" t="s">
        <v>68</v>
      </c>
      <c r="B62" s="93" t="s">
        <v>188</v>
      </c>
      <c r="C62" s="85">
        <f>'20X20 Concrete'!F9</f>
        <v>23.979567407407409</v>
      </c>
      <c r="D62" s="10" t="s">
        <v>18</v>
      </c>
      <c r="E62" s="28">
        <v>105</v>
      </c>
      <c r="F62" s="336">
        <f>IF(A62="x",SUM(C62*E62),0)</f>
        <v>2517.8545777777781</v>
      </c>
      <c r="G62" s="337"/>
      <c r="H62" s="338">
        <f>F62*$H$49</f>
        <v>232.90154844444447</v>
      </c>
      <c r="I62" s="337"/>
      <c r="J62" s="27" t="s">
        <v>25</v>
      </c>
      <c r="K62" s="15">
        <f t="shared" si="19"/>
        <v>629.46364444444453</v>
      </c>
      <c r="L62" s="3">
        <f t="shared" si="16"/>
        <v>3380.219770666667</v>
      </c>
      <c r="M62" s="26" t="s">
        <v>25</v>
      </c>
      <c r="N62" s="15">
        <f t="shared" si="20"/>
        <v>1690.1098853333335</v>
      </c>
      <c r="O62" s="3">
        <f>SUM(N62+L62)</f>
        <v>5070.3296560000008</v>
      </c>
      <c r="P62" s="80">
        <f t="shared" si="18"/>
        <v>5070.3296560000008</v>
      </c>
    </row>
    <row r="63" spans="1:19" ht="13.5" thickBot="1" x14ac:dyDescent="0.25">
      <c r="A63" s="33"/>
      <c r="B63" s="13"/>
      <c r="C63" s="85"/>
      <c r="D63" s="10"/>
      <c r="E63" s="28"/>
      <c r="F63" s="336">
        <f>IF(A63="x",SUM(C63*E63),0)</f>
        <v>0</v>
      </c>
      <c r="G63" s="337"/>
      <c r="H63" s="338">
        <f>F63*$H$49</f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>SUM(N63+L63)</f>
        <v>0</v>
      </c>
      <c r="P63" s="80">
        <f t="shared" si="18"/>
        <v>0</v>
      </c>
    </row>
    <row r="64" spans="1:19" ht="16.5" thickBot="1" x14ac:dyDescent="0.3">
      <c r="A64" s="9"/>
      <c r="B64" s="13"/>
      <c r="C64" s="326" t="s">
        <v>4</v>
      </c>
      <c r="D64" s="339"/>
      <c r="E64" s="34"/>
      <c r="F64" s="340">
        <f>SUM(F50:G63)</f>
        <v>9227.4459259259274</v>
      </c>
      <c r="G64" s="329"/>
      <c r="H64" s="328">
        <f>SUM(H50:I63)</f>
        <v>853.53874814814822</v>
      </c>
      <c r="I64" s="329"/>
      <c r="J64" s="328">
        <f>SUM(K50:K63)</f>
        <v>2306.8614814814819</v>
      </c>
      <c r="K64" s="329"/>
      <c r="L64" s="31">
        <f>SUM(L50:L63)</f>
        <v>12387.846155555555</v>
      </c>
      <c r="M64" s="341">
        <f>SUM(N50:N63)</f>
        <v>6193.9230777777775</v>
      </c>
      <c r="N64" s="342"/>
      <c r="O64" s="31">
        <f>SUM(O50:O63)</f>
        <v>18581.769233333336</v>
      </c>
      <c r="P64" s="80">
        <f t="shared" si="18"/>
        <v>18581.769233333336</v>
      </c>
    </row>
    <row r="65" spans="1:16" x14ac:dyDescent="0.2">
      <c r="A65" s="9"/>
      <c r="B65" s="1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4"/>
    </row>
    <row r="66" spans="1:16" ht="18" x14ac:dyDescent="0.25">
      <c r="A66" s="9"/>
      <c r="B66" s="16" t="s">
        <v>36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86"/>
    </row>
    <row r="67" spans="1:16" ht="18" x14ac:dyDescent="0.25">
      <c r="A67" s="9"/>
      <c r="B67" s="16"/>
      <c r="C67" s="17" t="s">
        <v>8</v>
      </c>
      <c r="D67" s="17" t="s">
        <v>9</v>
      </c>
      <c r="E67" s="17" t="s">
        <v>10</v>
      </c>
      <c r="F67" s="333" t="s">
        <v>36</v>
      </c>
      <c r="G67" s="333"/>
      <c r="H67" s="162">
        <f>H49</f>
        <v>9.2499999999999999E-2</v>
      </c>
      <c r="I67" s="19" t="s">
        <v>19</v>
      </c>
      <c r="J67" s="21">
        <f>H13</f>
        <v>0.25</v>
      </c>
      <c r="K67" s="19" t="s">
        <v>23</v>
      </c>
      <c r="L67" s="18" t="s">
        <v>4</v>
      </c>
      <c r="M67" s="90">
        <f>$H$7</f>
        <v>0.5</v>
      </c>
      <c r="N67" s="22" t="s">
        <v>24</v>
      </c>
      <c r="O67" s="18" t="s">
        <v>5</v>
      </c>
      <c r="P67" s="84" t="s">
        <v>21</v>
      </c>
    </row>
    <row r="68" spans="1:16" x14ac:dyDescent="0.2">
      <c r="A68" s="152" t="s">
        <v>68</v>
      </c>
      <c r="B68" s="93" t="s">
        <v>82</v>
      </c>
      <c r="C68" s="85">
        <v>600</v>
      </c>
      <c r="D68" s="94" t="s">
        <v>12</v>
      </c>
      <c r="E68" s="51">
        <v>1</v>
      </c>
      <c r="F68" s="334">
        <f t="shared" ref="F68:F74" si="21">IF(A68="x",SUM(C68*E68),0)</f>
        <v>600</v>
      </c>
      <c r="G68" s="335"/>
      <c r="H68" s="334">
        <f t="shared" ref="H68:H74" si="22">F68*$H$49</f>
        <v>55.5</v>
      </c>
      <c r="I68" s="335"/>
      <c r="J68" s="25" t="s">
        <v>25</v>
      </c>
      <c r="K68" s="15">
        <f>F68*$J$67</f>
        <v>150</v>
      </c>
      <c r="L68" s="3">
        <f t="shared" ref="L68:L74" si="23">SUM(F68:K68)</f>
        <v>805.5</v>
      </c>
      <c r="M68" s="26" t="s">
        <v>25</v>
      </c>
      <c r="N68" s="15">
        <f t="shared" ref="N68:N74" si="24">L68*$M$67</f>
        <v>402.75</v>
      </c>
      <c r="O68" s="3">
        <f t="shared" ref="O68:O74" si="25">SUM(N68+L68)</f>
        <v>1208.25</v>
      </c>
      <c r="P68" s="80">
        <f t="shared" ref="P68:P76" si="26">SUM(O68)</f>
        <v>1208.25</v>
      </c>
    </row>
    <row r="69" spans="1:16" x14ac:dyDescent="0.2">
      <c r="A69" s="152"/>
      <c r="B69" s="24"/>
      <c r="C69" s="85">
        <v>0</v>
      </c>
      <c r="D69" s="44" t="s">
        <v>17</v>
      </c>
      <c r="E69" s="28">
        <v>0.25</v>
      </c>
      <c r="F69" s="336">
        <f t="shared" si="21"/>
        <v>0</v>
      </c>
      <c r="G69" s="337"/>
      <c r="H69" s="336">
        <f t="shared" si="22"/>
        <v>0</v>
      </c>
      <c r="I69" s="337"/>
      <c r="J69" s="27" t="s">
        <v>25</v>
      </c>
      <c r="K69" s="15">
        <f t="shared" ref="K69:K74" si="27">F69*$J$67</f>
        <v>0</v>
      </c>
      <c r="L69" s="3">
        <f t="shared" si="23"/>
        <v>0</v>
      </c>
      <c r="M69" s="26" t="s">
        <v>25</v>
      </c>
      <c r="N69" s="15">
        <f t="shared" si="24"/>
        <v>0</v>
      </c>
      <c r="O69" s="3">
        <f t="shared" si="25"/>
        <v>0</v>
      </c>
      <c r="P69" s="80">
        <f t="shared" si="26"/>
        <v>0</v>
      </c>
    </row>
    <row r="70" spans="1:16" x14ac:dyDescent="0.2">
      <c r="A70" s="46" t="s">
        <v>26</v>
      </c>
      <c r="B70" s="24" t="s">
        <v>37</v>
      </c>
      <c r="C70" s="85">
        <f>$C$43+$C$29</f>
        <v>137</v>
      </c>
      <c r="D70" s="94" t="s">
        <v>53</v>
      </c>
      <c r="E70" s="28">
        <v>0.15</v>
      </c>
      <c r="F70" s="336">
        <f t="shared" si="21"/>
        <v>20.55</v>
      </c>
      <c r="G70" s="337"/>
      <c r="H70" s="336">
        <f t="shared" si="22"/>
        <v>1.9008750000000001</v>
      </c>
      <c r="I70" s="337"/>
      <c r="J70" s="27" t="s">
        <v>25</v>
      </c>
      <c r="K70" s="15">
        <f t="shared" si="27"/>
        <v>5.1375000000000002</v>
      </c>
      <c r="L70" s="3">
        <f t="shared" si="23"/>
        <v>27.588374999999999</v>
      </c>
      <c r="M70" s="26" t="s">
        <v>25</v>
      </c>
      <c r="N70" s="15">
        <f t="shared" si="24"/>
        <v>13.7941875</v>
      </c>
      <c r="O70" s="3">
        <f t="shared" si="25"/>
        <v>41.382562499999999</v>
      </c>
      <c r="P70" s="80">
        <f t="shared" si="26"/>
        <v>41.382562499999999</v>
      </c>
    </row>
    <row r="71" spans="1:16" x14ac:dyDescent="0.2">
      <c r="A71" s="95" t="s">
        <v>26</v>
      </c>
      <c r="B71" s="93" t="s">
        <v>125</v>
      </c>
      <c r="C71" s="85">
        <f>$C$43+$C$29</f>
        <v>137</v>
      </c>
      <c r="D71" s="94" t="s">
        <v>53</v>
      </c>
      <c r="E71" s="28">
        <v>0.25</v>
      </c>
      <c r="F71" s="336">
        <f>IF(A71="x",SUM(C71*E71),0)</f>
        <v>34.25</v>
      </c>
      <c r="G71" s="337"/>
      <c r="H71" s="336">
        <f t="shared" si="22"/>
        <v>3.1681249999999999</v>
      </c>
      <c r="I71" s="337"/>
      <c r="J71" s="27" t="s">
        <v>25</v>
      </c>
      <c r="K71" s="15">
        <f t="shared" si="27"/>
        <v>8.5625</v>
      </c>
      <c r="L71" s="3">
        <f t="shared" si="23"/>
        <v>45.980625000000003</v>
      </c>
      <c r="M71" s="26" t="s">
        <v>25</v>
      </c>
      <c r="N71" s="15">
        <f t="shared" si="24"/>
        <v>22.990312500000002</v>
      </c>
      <c r="O71" s="3">
        <f t="shared" si="25"/>
        <v>68.970937500000005</v>
      </c>
      <c r="P71" s="80">
        <f t="shared" si="26"/>
        <v>68.970937500000005</v>
      </c>
    </row>
    <row r="72" spans="1:16" x14ac:dyDescent="0.2">
      <c r="A72" s="95" t="s">
        <v>26</v>
      </c>
      <c r="B72" s="93" t="s">
        <v>22</v>
      </c>
      <c r="C72" s="85">
        <f>$C$43+$C$29</f>
        <v>137</v>
      </c>
      <c r="D72" s="94" t="s">
        <v>53</v>
      </c>
      <c r="E72" s="28">
        <v>0.5</v>
      </c>
      <c r="F72" s="336">
        <f t="shared" si="21"/>
        <v>68.5</v>
      </c>
      <c r="G72" s="337"/>
      <c r="H72" s="336">
        <f t="shared" si="22"/>
        <v>6.3362499999999997</v>
      </c>
      <c r="I72" s="337"/>
      <c r="J72" s="27" t="s">
        <v>25</v>
      </c>
      <c r="K72" s="15">
        <f t="shared" si="27"/>
        <v>17.125</v>
      </c>
      <c r="L72" s="3">
        <f t="shared" si="23"/>
        <v>91.961250000000007</v>
      </c>
      <c r="M72" s="26" t="s">
        <v>25</v>
      </c>
      <c r="N72" s="15">
        <f t="shared" si="24"/>
        <v>45.980625000000003</v>
      </c>
      <c r="O72" s="3">
        <f t="shared" si="25"/>
        <v>137.94187500000001</v>
      </c>
      <c r="P72" s="80">
        <f t="shared" si="26"/>
        <v>137.94187500000001</v>
      </c>
    </row>
    <row r="73" spans="1:16" x14ac:dyDescent="0.2">
      <c r="A73" s="95"/>
      <c r="B73" s="93"/>
      <c r="C73" s="85"/>
      <c r="D73" s="94" t="s">
        <v>11</v>
      </c>
      <c r="E73" s="28"/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si="27"/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6" x14ac:dyDescent="0.2">
      <c r="A74" s="46"/>
      <c r="B74" s="24"/>
      <c r="C74" s="85"/>
      <c r="D74" s="44"/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ht="16.5" thickBot="1" x14ac:dyDescent="0.3">
      <c r="A75" s="9"/>
      <c r="B75" s="29"/>
      <c r="C75" s="87"/>
      <c r="D75" s="11"/>
      <c r="E75" s="30"/>
      <c r="F75" s="353"/>
      <c r="G75" s="354"/>
      <c r="H75" s="358"/>
      <c r="I75" s="359"/>
      <c r="J75" s="6"/>
      <c r="K75" s="4"/>
      <c r="L75" s="5"/>
      <c r="M75" s="2"/>
      <c r="N75" s="8"/>
      <c r="O75" s="1"/>
      <c r="P75" s="80">
        <f t="shared" si="26"/>
        <v>0</v>
      </c>
    </row>
    <row r="76" spans="1:16" ht="16.5" thickBot="1" x14ac:dyDescent="0.3">
      <c r="A76" s="9"/>
      <c r="B76" s="13"/>
      <c r="C76" s="326" t="s">
        <v>4</v>
      </c>
      <c r="D76" s="339"/>
      <c r="E76" s="34"/>
      <c r="F76" s="340">
        <f>SUM(F68:G74)</f>
        <v>723.3</v>
      </c>
      <c r="G76" s="329"/>
      <c r="H76" s="328">
        <f>SUM(H68:I75)</f>
        <v>66.905249999999995</v>
      </c>
      <c r="I76" s="329"/>
      <c r="J76" s="328">
        <f>SUM(K68:K75)</f>
        <v>180.82499999999999</v>
      </c>
      <c r="K76" s="329"/>
      <c r="L76" s="31">
        <f>SUM(L68:L75)</f>
        <v>971.03025000000002</v>
      </c>
      <c r="M76" s="341">
        <f>SUM(N68:N75)</f>
        <v>485.51512500000001</v>
      </c>
      <c r="N76" s="342"/>
      <c r="O76" s="31">
        <f>SUM(O68:O75)</f>
        <v>1456.5453749999999</v>
      </c>
      <c r="P76" s="80">
        <f t="shared" si="26"/>
        <v>1456.5453749999999</v>
      </c>
    </row>
    <row r="77" spans="1:16" ht="15.75" x14ac:dyDescent="0.25">
      <c r="A77" s="9"/>
      <c r="B77" s="13"/>
      <c r="C77" s="10"/>
      <c r="D77" s="10"/>
      <c r="E77" s="10"/>
      <c r="F77" s="126"/>
      <c r="G77" s="126"/>
      <c r="H77" s="126"/>
      <c r="I77" s="126"/>
      <c r="J77" s="126"/>
      <c r="K77" s="126"/>
      <c r="L77" s="127"/>
      <c r="M77" s="128"/>
      <c r="N77" s="128"/>
      <c r="O77" s="127"/>
      <c r="P77" s="129"/>
    </row>
    <row r="78" spans="1:16" ht="18" x14ac:dyDescent="0.25">
      <c r="A78" s="9"/>
      <c r="B78" s="16" t="s">
        <v>13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88"/>
    </row>
    <row r="79" spans="1:16" ht="14.25" x14ac:dyDescent="0.2">
      <c r="A79" s="9"/>
      <c r="B79" s="36" t="s">
        <v>30</v>
      </c>
      <c r="C79" s="96" t="s">
        <v>8</v>
      </c>
      <c r="D79" s="96" t="s">
        <v>20</v>
      </c>
      <c r="E79" s="96" t="s">
        <v>3</v>
      </c>
      <c r="F79" s="345" t="s">
        <v>13</v>
      </c>
      <c r="G79" s="345"/>
      <c r="H79" s="345" t="s">
        <v>29</v>
      </c>
      <c r="I79" s="345"/>
      <c r="J79" s="21">
        <f>H13</f>
        <v>0.25</v>
      </c>
      <c r="K79" s="19" t="s">
        <v>23</v>
      </c>
      <c r="L79" s="18" t="s">
        <v>4</v>
      </c>
      <c r="M79" s="90">
        <f>$H$7</f>
        <v>0.5</v>
      </c>
      <c r="N79" s="22" t="s">
        <v>24</v>
      </c>
      <c r="O79" s="18" t="s">
        <v>5</v>
      </c>
      <c r="P79" s="84" t="s">
        <v>21</v>
      </c>
    </row>
    <row r="80" spans="1:16" x14ac:dyDescent="0.2">
      <c r="A80" s="9"/>
      <c r="B80" s="167" t="s">
        <v>89</v>
      </c>
      <c r="C80" s="85">
        <v>1</v>
      </c>
      <c r="D80" s="52">
        <v>1</v>
      </c>
      <c r="E80" s="134">
        <v>25</v>
      </c>
      <c r="F80" s="346">
        <f>C80*D80*E80</f>
        <v>25</v>
      </c>
      <c r="G80" s="347"/>
      <c r="H80" s="334">
        <v>3</v>
      </c>
      <c r="I80" s="335"/>
      <c r="J80" s="25" t="s">
        <v>25</v>
      </c>
      <c r="K80" s="15">
        <f>F80*$J$79</f>
        <v>6.25</v>
      </c>
      <c r="L80" s="3">
        <f>SUM(F80:K80)</f>
        <v>34.25</v>
      </c>
      <c r="M80" s="26" t="s">
        <v>25</v>
      </c>
      <c r="N80" s="15">
        <f>L80*$M$79</f>
        <v>17.125</v>
      </c>
      <c r="O80" s="3">
        <f>SUM(N80+L80)</f>
        <v>51.375</v>
      </c>
      <c r="P80" s="80">
        <f t="shared" ref="P80:P86" si="28">SUM(O80)</f>
        <v>51.375</v>
      </c>
    </row>
    <row r="81" spans="1:16" x14ac:dyDescent="0.2">
      <c r="A81" s="9"/>
      <c r="B81" s="94" t="s">
        <v>90</v>
      </c>
      <c r="C81" s="85">
        <v>1</v>
      </c>
      <c r="D81" s="52">
        <v>2</v>
      </c>
      <c r="E81" s="45">
        <v>25</v>
      </c>
      <c r="F81" s="348">
        <f>C81*D81*E81</f>
        <v>50</v>
      </c>
      <c r="G81" s="349"/>
      <c r="H81" s="336">
        <v>0</v>
      </c>
      <c r="I81" s="337"/>
      <c r="J81" s="27" t="s">
        <v>25</v>
      </c>
      <c r="K81" s="15">
        <f>F81*$J$79</f>
        <v>12.5</v>
      </c>
      <c r="L81" s="3">
        <f>SUM(F81:K81)</f>
        <v>62.5</v>
      </c>
      <c r="M81" s="26" t="s">
        <v>25</v>
      </c>
      <c r="N81" s="15">
        <f>L81*$M$79</f>
        <v>31.25</v>
      </c>
      <c r="O81" s="3">
        <f>SUM(N81+L81)</f>
        <v>93.75</v>
      </c>
      <c r="P81" s="80">
        <f t="shared" si="28"/>
        <v>93.75</v>
      </c>
    </row>
    <row r="82" spans="1:16" x14ac:dyDescent="0.2">
      <c r="A82" s="9"/>
      <c r="B82" s="94" t="s">
        <v>91</v>
      </c>
      <c r="C82" s="85">
        <v>1</v>
      </c>
      <c r="D82" s="52">
        <v>1</v>
      </c>
      <c r="E82" s="45">
        <v>20</v>
      </c>
      <c r="F82" s="348">
        <f>C82*D82*E82</f>
        <v>20</v>
      </c>
      <c r="G82" s="349"/>
      <c r="H82" s="336">
        <v>0</v>
      </c>
      <c r="I82" s="337"/>
      <c r="J82" s="27" t="s">
        <v>25</v>
      </c>
      <c r="K82" s="15">
        <f>F82*$J$79</f>
        <v>5</v>
      </c>
      <c r="L82" s="3">
        <f>SUM(F82:K82)</f>
        <v>25</v>
      </c>
      <c r="M82" s="26" t="s">
        <v>25</v>
      </c>
      <c r="N82" s="15">
        <f>L82*$M$79</f>
        <v>12.5</v>
      </c>
      <c r="O82" s="3">
        <f>SUM(N82+L82)</f>
        <v>37.5</v>
      </c>
      <c r="P82" s="80">
        <f t="shared" si="28"/>
        <v>37.5</v>
      </c>
    </row>
    <row r="83" spans="1:16" x14ac:dyDescent="0.2">
      <c r="A83" s="165" t="s">
        <v>68</v>
      </c>
      <c r="B83" s="94" t="s">
        <v>92</v>
      </c>
      <c r="C83" s="85">
        <v>1</v>
      </c>
      <c r="D83" s="52">
        <v>2</v>
      </c>
      <c r="E83" s="45">
        <v>300</v>
      </c>
      <c r="F83" s="348">
        <f>C83*D83*E83</f>
        <v>600</v>
      </c>
      <c r="G83" s="349"/>
      <c r="H83" s="336">
        <v>12</v>
      </c>
      <c r="I83" s="337"/>
      <c r="J83" s="27" t="s">
        <v>25</v>
      </c>
      <c r="K83" s="15">
        <f>F83*$J$79</f>
        <v>150</v>
      </c>
      <c r="L83" s="3">
        <f>SUM(F83:K83)</f>
        <v>762</v>
      </c>
      <c r="M83" s="26" t="s">
        <v>25</v>
      </c>
      <c r="N83" s="15">
        <f>L83*$M$79</f>
        <v>381</v>
      </c>
      <c r="O83" s="3">
        <f>SUM(N83+L83)</f>
        <v>1143</v>
      </c>
      <c r="P83" s="80">
        <f t="shared" si="28"/>
        <v>1143</v>
      </c>
    </row>
    <row r="84" spans="1:16" x14ac:dyDescent="0.2">
      <c r="A84" s="9" t="s">
        <v>68</v>
      </c>
      <c r="B84" s="94" t="s">
        <v>93</v>
      </c>
      <c r="C84" s="85">
        <v>1</v>
      </c>
      <c r="D84" s="52">
        <v>2</v>
      </c>
      <c r="E84" s="45">
        <v>80</v>
      </c>
      <c r="F84" s="348">
        <f>C84*D84*E84</f>
        <v>160</v>
      </c>
      <c r="G84" s="349"/>
      <c r="H84" s="336">
        <v>0</v>
      </c>
      <c r="I84" s="337"/>
      <c r="J84" s="27" t="s">
        <v>25</v>
      </c>
      <c r="K84" s="15">
        <f>F84*$J$79</f>
        <v>40</v>
      </c>
      <c r="L84" s="3">
        <f>SUM(F84:K84)</f>
        <v>200</v>
      </c>
      <c r="M84" s="26" t="s">
        <v>25</v>
      </c>
      <c r="N84" s="15">
        <f>L84*$M$79</f>
        <v>100</v>
      </c>
      <c r="O84" s="3">
        <f>SUM(N84+L84)</f>
        <v>300</v>
      </c>
      <c r="P84" s="80">
        <f t="shared" si="28"/>
        <v>300</v>
      </c>
    </row>
    <row r="85" spans="1:16" ht="13.5" thickBot="1" x14ac:dyDescent="0.25">
      <c r="A85" s="9"/>
      <c r="B85" s="44"/>
      <c r="C85" s="87"/>
      <c r="D85" s="52"/>
      <c r="E85" s="44"/>
      <c r="F85" s="348"/>
      <c r="G85" s="349"/>
      <c r="H85" s="336"/>
      <c r="I85" s="337"/>
      <c r="J85" s="27"/>
      <c r="K85" s="15"/>
      <c r="L85" s="3"/>
      <c r="M85" s="26"/>
      <c r="N85" s="15"/>
      <c r="O85" s="3"/>
      <c r="P85" s="80">
        <f t="shared" si="28"/>
        <v>0</v>
      </c>
    </row>
    <row r="86" spans="1:16" ht="16.5" thickBot="1" x14ac:dyDescent="0.3">
      <c r="A86" s="9"/>
      <c r="B86" s="13"/>
      <c r="C86" s="326" t="s">
        <v>4</v>
      </c>
      <c r="D86" s="339"/>
      <c r="E86" s="34"/>
      <c r="F86" s="328">
        <f>SUM(F80:G85)</f>
        <v>855</v>
      </c>
      <c r="G86" s="329"/>
      <c r="H86" s="328">
        <f>SUM(H80:I85)</f>
        <v>15</v>
      </c>
      <c r="I86" s="329"/>
      <c r="J86" s="328">
        <f>SUM(J80:K85)</f>
        <v>213.75</v>
      </c>
      <c r="K86" s="329"/>
      <c r="L86" s="31">
        <f>SUM(L80:L85)</f>
        <v>1083.75</v>
      </c>
      <c r="M86" s="328">
        <f>SUM(M80:N85)</f>
        <v>541.875</v>
      </c>
      <c r="N86" s="329"/>
      <c r="O86" s="31">
        <f>SUM(O80:O85)</f>
        <v>1625.625</v>
      </c>
      <c r="P86" s="80">
        <f t="shared" si="28"/>
        <v>1625.625</v>
      </c>
    </row>
    <row r="87" spans="1:16" ht="16.5" thickBot="1" x14ac:dyDescent="0.3">
      <c r="A87" s="9"/>
      <c r="B87" s="13"/>
      <c r="C87" s="360" t="s">
        <v>229</v>
      </c>
      <c r="D87" s="339"/>
      <c r="E87" s="34"/>
      <c r="F87" s="229"/>
      <c r="G87" s="230"/>
      <c r="H87" s="229"/>
      <c r="I87" s="230"/>
      <c r="J87" s="328">
        <f>SUM(H45,J64,J76,J86)</f>
        <v>3483.9364814814817</v>
      </c>
      <c r="K87" s="329"/>
      <c r="L87" s="31"/>
      <c r="M87" s="328">
        <f>SUM(M45,M64,M76,M86)</f>
        <v>9647.0632027777774</v>
      </c>
      <c r="N87" s="329"/>
      <c r="O87" s="31"/>
      <c r="P87" s="80"/>
    </row>
    <row r="88" spans="1:16" x14ac:dyDescent="0.2">
      <c r="A88" s="9"/>
      <c r="B88" s="1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4"/>
    </row>
    <row r="89" spans="1:16" ht="13.5" thickBot="1" x14ac:dyDescent="0.25">
      <c r="A89" s="9"/>
      <c r="B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"/>
      <c r="O89" s="10"/>
      <c r="P89" s="80">
        <f>SUM(O89)</f>
        <v>0</v>
      </c>
    </row>
    <row r="90" spans="1:16" ht="21" thickBot="1" x14ac:dyDescent="0.35">
      <c r="A90" s="9"/>
      <c r="B90" s="13"/>
      <c r="C90" s="350" t="s">
        <v>15</v>
      </c>
      <c r="D90" s="351"/>
      <c r="E90" s="37"/>
      <c r="F90" s="37"/>
      <c r="G90" s="37"/>
      <c r="H90" s="37"/>
      <c r="I90" s="37"/>
      <c r="J90" s="37"/>
      <c r="K90" s="37"/>
      <c r="L90" s="202">
        <f>SUM(L45,L64,L76,L86)</f>
        <v>19294.126405555555</v>
      </c>
      <c r="M90" s="37"/>
      <c r="N90" s="38"/>
      <c r="O90" s="202">
        <f>SUM(O29,O43,O64,O76,O86)</f>
        <v>28941.189608333338</v>
      </c>
      <c r="P90" s="80">
        <f>SUM(O90)</f>
        <v>28941.189608333338</v>
      </c>
    </row>
    <row r="91" spans="1:16" ht="17.25" thickBot="1" x14ac:dyDescent="0.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5"/>
      <c r="O91" s="13"/>
      <c r="P91" s="89"/>
    </row>
    <row r="92" spans="1:16" ht="17.25" thickBot="1" x14ac:dyDescent="0.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5"/>
      <c r="O92" s="135"/>
      <c r="P92" s="89"/>
    </row>
    <row r="93" spans="1:16" ht="17.25" thickBot="1" x14ac:dyDescent="0.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5"/>
      <c r="O93" s="13"/>
      <c r="P93" s="89"/>
    </row>
    <row r="94" spans="1:16" ht="17.25" thickBot="1" x14ac:dyDescent="0.3">
      <c r="A94" s="9"/>
      <c r="B94" s="13" t="s">
        <v>105</v>
      </c>
      <c r="C94" s="171">
        <v>14500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/>
    </row>
    <row r="95" spans="1:16" ht="17.25" thickBot="1" x14ac:dyDescent="0.3">
      <c r="A95" s="9"/>
      <c r="B95" s="93" t="s">
        <v>101</v>
      </c>
      <c r="C95" s="171">
        <v>5000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/>
      <c r="P95" s="168"/>
    </row>
    <row r="96" spans="1:16" ht="17.25" thickBot="1" x14ac:dyDescent="0.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5"/>
      <c r="M96" s="13"/>
      <c r="N96" s="35"/>
      <c r="O96" s="13"/>
      <c r="P96" s="89"/>
    </row>
  </sheetData>
  <mergeCells count="117"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C9:E9"/>
    <mergeCell ref="H9:I9"/>
    <mergeCell ref="C10:E10"/>
    <mergeCell ref="G10:I10"/>
    <mergeCell ref="K10:L10"/>
    <mergeCell ref="C11:E11"/>
    <mergeCell ref="H11:I11"/>
    <mergeCell ref="G6:I6"/>
    <mergeCell ref="C7:E7"/>
    <mergeCell ref="H7:I7"/>
    <mergeCell ref="K7:L7"/>
    <mergeCell ref="C8:E8"/>
    <mergeCell ref="H8:I8"/>
    <mergeCell ref="K8:L8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F52:G52"/>
    <mergeCell ref="H52:I52"/>
    <mergeCell ref="F53:G53"/>
    <mergeCell ref="H53:I53"/>
    <mergeCell ref="F54:G54"/>
    <mergeCell ref="H54:I54"/>
    <mergeCell ref="C46:P46"/>
    <mergeCell ref="C47:P47"/>
    <mergeCell ref="F49:G49"/>
    <mergeCell ref="F50:G50"/>
    <mergeCell ref="H50:I50"/>
    <mergeCell ref="F51:G51"/>
    <mergeCell ref="H51:I51"/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J64:K64"/>
    <mergeCell ref="M64:N64"/>
    <mergeCell ref="C65:P65"/>
    <mergeCell ref="F61:G61"/>
    <mergeCell ref="H61:I61"/>
    <mergeCell ref="F62:G62"/>
    <mergeCell ref="H62:I62"/>
    <mergeCell ref="F63:G63"/>
    <mergeCell ref="H63:I63"/>
    <mergeCell ref="F67:G67"/>
    <mergeCell ref="F68:G68"/>
    <mergeCell ref="H68:I68"/>
    <mergeCell ref="F69:G69"/>
    <mergeCell ref="H69:I69"/>
    <mergeCell ref="F70:G70"/>
    <mergeCell ref="H70:I70"/>
    <mergeCell ref="C64:D64"/>
    <mergeCell ref="F64:G64"/>
    <mergeCell ref="H64:I64"/>
    <mergeCell ref="F74:G74"/>
    <mergeCell ref="H74:I74"/>
    <mergeCell ref="F75:G75"/>
    <mergeCell ref="H75:I75"/>
    <mergeCell ref="C76:D76"/>
    <mergeCell ref="F76:G76"/>
    <mergeCell ref="H76:I76"/>
    <mergeCell ref="F71:G71"/>
    <mergeCell ref="H71:I71"/>
    <mergeCell ref="F72:G72"/>
    <mergeCell ref="H72:I72"/>
    <mergeCell ref="F73:G73"/>
    <mergeCell ref="H73:I73"/>
    <mergeCell ref="F81:G81"/>
    <mergeCell ref="H81:I81"/>
    <mergeCell ref="F82:G82"/>
    <mergeCell ref="H82:I82"/>
    <mergeCell ref="F83:G83"/>
    <mergeCell ref="H83:I83"/>
    <mergeCell ref="J76:K76"/>
    <mergeCell ref="M76:N76"/>
    <mergeCell ref="F79:G79"/>
    <mergeCell ref="H79:I79"/>
    <mergeCell ref="F80:G80"/>
    <mergeCell ref="H80:I80"/>
    <mergeCell ref="C90:D90"/>
    <mergeCell ref="J86:K86"/>
    <mergeCell ref="M86:N86"/>
    <mergeCell ref="C87:D87"/>
    <mergeCell ref="J87:K87"/>
    <mergeCell ref="M87:N87"/>
    <mergeCell ref="C88:P88"/>
    <mergeCell ref="F84:G84"/>
    <mergeCell ref="H84:I84"/>
    <mergeCell ref="F85:G85"/>
    <mergeCell ref="H85:I85"/>
    <mergeCell ref="C86:D86"/>
    <mergeCell ref="F86:G86"/>
    <mergeCell ref="H86:I86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26" workbookViewId="0">
      <selection activeCell="E7" sqref="E7"/>
    </sheetView>
  </sheetViews>
  <sheetFormatPr defaultRowHeight="12.75" x14ac:dyDescent="0.2"/>
  <cols>
    <col min="1" max="1" width="41.5703125" bestFit="1" customWidth="1"/>
    <col min="2" max="2" width="10.71093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20</v>
      </c>
      <c r="E4" s="193">
        <v>0.33329999999999999</v>
      </c>
      <c r="F4">
        <f>SUM(C4*C3*E4)/27*2</f>
        <v>4.9377777777777778</v>
      </c>
    </row>
    <row r="5" spans="1:10" x14ac:dyDescent="0.2">
      <c r="A5" s="178" t="s">
        <v>112</v>
      </c>
      <c r="B5" s="178" t="s">
        <v>111</v>
      </c>
      <c r="C5" s="174">
        <v>20</v>
      </c>
      <c r="E5" s="177">
        <v>0.33329999999999999</v>
      </c>
      <c r="F5">
        <f>SUM((C5-(C9*2))*C3*E5)/27*2</f>
        <v>4.5262962962962954</v>
      </c>
    </row>
    <row r="6" spans="1:10" x14ac:dyDescent="0.2">
      <c r="A6" s="178" t="s">
        <v>117</v>
      </c>
      <c r="B6" s="178" t="s">
        <v>120</v>
      </c>
      <c r="C6" s="188">
        <f>C5-1.32</f>
        <v>18.68</v>
      </c>
      <c r="D6">
        <f>C4-1.32</f>
        <v>18.68</v>
      </c>
      <c r="E6" s="177">
        <v>0.55000000000000004</v>
      </c>
      <c r="F6" s="175">
        <f>SUM(C6*D6*E6)/27*1</f>
        <v>7.1080859259259261</v>
      </c>
    </row>
    <row r="7" spans="1:10" x14ac:dyDescent="0.2">
      <c r="A7" s="178" t="s">
        <v>119</v>
      </c>
      <c r="B7" s="178" t="s">
        <v>120</v>
      </c>
      <c r="C7" s="188">
        <f>C5</f>
        <v>20</v>
      </c>
      <c r="D7">
        <f>C4</f>
        <v>20</v>
      </c>
      <c r="E7" s="177">
        <v>0.5</v>
      </c>
      <c r="F7" s="181">
        <f>SUM(C7*D7*E7)/27</f>
        <v>7.4074074074074074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A9" s="178" t="s">
        <v>233</v>
      </c>
      <c r="B9">
        <v>10</v>
      </c>
      <c r="C9">
        <f>B9/12</f>
        <v>0.83333333333333337</v>
      </c>
      <c r="F9" s="189">
        <f>SUM(F4:F7)</f>
        <v>23.979567407407409</v>
      </c>
      <c r="G9" s="190">
        <f>SUM(27*110)</f>
        <v>2970</v>
      </c>
      <c r="H9" s="191">
        <f>SUM(F9*G9)</f>
        <v>71219.315199999997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167</v>
      </c>
      <c r="B29" s="206"/>
      <c r="C29" s="206"/>
      <c r="D29" s="206"/>
      <c r="E29" s="206"/>
      <c r="F29" s="206"/>
    </row>
    <row r="30" spans="1:10" x14ac:dyDescent="0.2">
      <c r="A30" s="206"/>
      <c r="B30" s="206"/>
      <c r="C30" s="206"/>
      <c r="D30" s="206"/>
      <c r="E30" s="206"/>
      <c r="F30" s="206"/>
    </row>
    <row r="31" spans="1:10" x14ac:dyDescent="0.2">
      <c r="A31" s="209" t="s">
        <v>243</v>
      </c>
      <c r="B31" s="191"/>
      <c r="C31" s="191"/>
      <c r="D31" s="191"/>
      <c r="E31" s="191"/>
      <c r="F31" s="191"/>
      <c r="G31" s="191"/>
      <c r="H31" s="191"/>
      <c r="I31" s="191"/>
      <c r="J31" s="210"/>
    </row>
    <row r="32" spans="1:10" x14ac:dyDescent="0.2">
      <c r="A32" s="211"/>
      <c r="B32" s="186"/>
      <c r="C32" s="180" t="s">
        <v>107</v>
      </c>
      <c r="D32" s="374" t="s">
        <v>172</v>
      </c>
      <c r="E32" s="374"/>
      <c r="F32" s="173" t="s">
        <v>18</v>
      </c>
      <c r="G32" s="173" t="s">
        <v>108</v>
      </c>
      <c r="H32" s="186"/>
      <c r="I32" s="375" t="s">
        <v>173</v>
      </c>
      <c r="J32" s="376"/>
    </row>
    <row r="33" spans="1:10" x14ac:dyDescent="0.2">
      <c r="A33" s="211" t="s">
        <v>109</v>
      </c>
      <c r="B33" s="186" t="s">
        <v>110</v>
      </c>
      <c r="C33" s="207"/>
      <c r="D33" s="186">
        <v>10</v>
      </c>
      <c r="E33" s="186">
        <v>0.33</v>
      </c>
      <c r="F33" s="186">
        <f>SUM(C33*D33*E33)/27*2</f>
        <v>0</v>
      </c>
      <c r="G33" s="186"/>
      <c r="H33" s="186"/>
      <c r="I33" s="186"/>
      <c r="J33" s="213">
        <f>SUM(C33*D33*2)+(C35*D35)+(C36*D36*2)</f>
        <v>754.69560000000001</v>
      </c>
    </row>
    <row r="34" spans="1:10" x14ac:dyDescent="0.2">
      <c r="A34" s="211"/>
      <c r="B34" s="186" t="s">
        <v>174</v>
      </c>
      <c r="C34" s="186">
        <v>10</v>
      </c>
      <c r="D34" s="186"/>
      <c r="E34" s="186"/>
      <c r="F34" s="186"/>
      <c r="G34" s="186"/>
      <c r="H34" s="186"/>
      <c r="I34" s="186"/>
      <c r="J34" s="213"/>
    </row>
    <row r="35" spans="1:10" x14ac:dyDescent="0.2">
      <c r="A35" s="211" t="s">
        <v>117</v>
      </c>
      <c r="B35" s="186" t="s">
        <v>111</v>
      </c>
      <c r="C35" s="207">
        <f>SUM(20-1.66)</f>
        <v>18.34</v>
      </c>
      <c r="D35" s="186">
        <f>SUM(21-1.66)</f>
        <v>19.34</v>
      </c>
      <c r="E35" s="186">
        <v>0.75</v>
      </c>
      <c r="F35" s="181">
        <f>SUM(C35*D35*E35)/27*1</f>
        <v>9.8526555555555557</v>
      </c>
      <c r="G35" s="186"/>
      <c r="H35" s="186"/>
      <c r="I35" s="186"/>
      <c r="J35" s="213"/>
    </row>
    <row r="36" spans="1:10" x14ac:dyDescent="0.2">
      <c r="A36" s="211" t="s">
        <v>112</v>
      </c>
      <c r="B36" s="186" t="s">
        <v>112</v>
      </c>
      <c r="C36" s="207">
        <v>20</v>
      </c>
      <c r="D36" s="186">
        <v>10</v>
      </c>
      <c r="E36" s="186">
        <v>0.33</v>
      </c>
      <c r="F36" s="214">
        <f>SUM(C36*D36*E36)/27*2</f>
        <v>4.8888888888888893</v>
      </c>
      <c r="G36" s="212" t="s">
        <v>113</v>
      </c>
      <c r="H36" s="176" t="s">
        <v>114</v>
      </c>
      <c r="I36" s="186"/>
      <c r="J36" s="213"/>
    </row>
    <row r="37" spans="1:10" x14ac:dyDescent="0.2">
      <c r="A37" s="215"/>
      <c r="B37" s="173"/>
      <c r="C37" s="173"/>
      <c r="D37" s="173"/>
      <c r="E37" s="173"/>
      <c r="F37" s="214">
        <f>SUM(F33:F36)</f>
        <v>14.741544444444445</v>
      </c>
      <c r="G37" s="180">
        <f>SUM(27*105)</f>
        <v>2835</v>
      </c>
      <c r="H37" s="173">
        <f>SUM(F37*G37)</f>
        <v>41792.2785</v>
      </c>
      <c r="I37" s="176" t="s">
        <v>115</v>
      </c>
      <c r="J37" s="216"/>
    </row>
    <row r="38" spans="1:10" x14ac:dyDescent="0.2">
      <c r="A38" s="211"/>
      <c r="B38" s="186"/>
      <c r="C38" s="186"/>
      <c r="D38" s="186"/>
      <c r="E38" s="186"/>
      <c r="F38" s="181"/>
      <c r="G38" s="184"/>
      <c r="H38" s="186"/>
      <c r="I38" s="183"/>
      <c r="J38" s="213"/>
    </row>
    <row r="39" spans="1:10" x14ac:dyDescent="0.2">
      <c r="A39" s="211"/>
      <c r="B39" s="186"/>
      <c r="C39" s="186"/>
      <c r="D39" s="186"/>
      <c r="E39" s="186"/>
      <c r="F39" s="181"/>
      <c r="G39" s="184"/>
      <c r="H39" s="186"/>
      <c r="I39" s="183"/>
      <c r="J39" s="213"/>
    </row>
    <row r="40" spans="1:10" x14ac:dyDescent="0.2">
      <c r="A40" s="209" t="s">
        <v>171</v>
      </c>
      <c r="B40" s="191"/>
      <c r="C40" s="191"/>
      <c r="D40" s="191"/>
      <c r="E40" s="191"/>
      <c r="F40" s="191"/>
      <c r="G40" s="191"/>
      <c r="H40" s="191"/>
      <c r="I40" s="191"/>
      <c r="J40" s="210"/>
    </row>
    <row r="41" spans="1:10" x14ac:dyDescent="0.2">
      <c r="A41" s="211"/>
      <c r="B41" s="186"/>
      <c r="C41" s="180" t="s">
        <v>107</v>
      </c>
      <c r="D41" s="374" t="s">
        <v>172</v>
      </c>
      <c r="E41" s="374"/>
      <c r="F41" s="173" t="s">
        <v>18</v>
      </c>
      <c r="G41" s="173" t="s">
        <v>108</v>
      </c>
      <c r="H41" s="186"/>
      <c r="I41" s="375" t="s">
        <v>173</v>
      </c>
      <c r="J41" s="376"/>
    </row>
    <row r="42" spans="1:10" x14ac:dyDescent="0.2">
      <c r="A42" s="211" t="s">
        <v>109</v>
      </c>
      <c r="B42" s="186" t="s">
        <v>110</v>
      </c>
      <c r="C42" s="207">
        <v>20</v>
      </c>
      <c r="D42" s="186">
        <v>10</v>
      </c>
      <c r="E42" s="186">
        <v>0.33</v>
      </c>
      <c r="F42" s="186">
        <f>SUM(C42*D42*E42)/27*2</f>
        <v>4.8888888888888893</v>
      </c>
      <c r="G42" s="186"/>
      <c r="H42" s="186"/>
      <c r="I42" s="186"/>
      <c r="J42" s="213">
        <f>SUM(C42*D42*2)+(C44*D44)+(C45*D45*2)</f>
        <v>1120</v>
      </c>
    </row>
    <row r="43" spans="1:10" x14ac:dyDescent="0.2">
      <c r="A43" s="211"/>
      <c r="B43" s="186" t="s">
        <v>174</v>
      </c>
      <c r="C43" s="186">
        <v>10</v>
      </c>
      <c r="D43" s="186"/>
      <c r="E43" s="186"/>
      <c r="F43" s="186"/>
      <c r="G43" s="186"/>
      <c r="H43" s="186"/>
      <c r="I43" s="186"/>
      <c r="J43" s="213"/>
    </row>
    <row r="44" spans="1:10" x14ac:dyDescent="0.2">
      <c r="A44" s="211" t="s">
        <v>117</v>
      </c>
      <c r="B44" s="186" t="s">
        <v>111</v>
      </c>
      <c r="C44" s="207">
        <v>20</v>
      </c>
      <c r="D44" s="186">
        <v>18</v>
      </c>
      <c r="E44" s="186">
        <v>0.5</v>
      </c>
      <c r="F44" s="181">
        <f>SUM(C44*D44*E44)/27*1</f>
        <v>6.666666666666667</v>
      </c>
      <c r="G44" s="186"/>
      <c r="H44" s="186"/>
      <c r="I44" s="186"/>
      <c r="J44" s="213"/>
    </row>
    <row r="45" spans="1:10" x14ac:dyDescent="0.2">
      <c r="A45" s="211" t="s">
        <v>112</v>
      </c>
      <c r="B45" s="186" t="s">
        <v>112</v>
      </c>
      <c r="C45" s="207">
        <v>18</v>
      </c>
      <c r="D45" s="186">
        <v>10</v>
      </c>
      <c r="E45" s="186">
        <v>0.33</v>
      </c>
      <c r="F45" s="214">
        <f>SUM(C45*D45*E45)/27*2</f>
        <v>4.4000000000000004</v>
      </c>
      <c r="G45" s="212" t="s">
        <v>113</v>
      </c>
      <c r="H45" s="176" t="s">
        <v>114</v>
      </c>
      <c r="I45" s="186"/>
      <c r="J45" s="213"/>
    </row>
    <row r="46" spans="1:10" x14ac:dyDescent="0.2">
      <c r="A46" s="215"/>
      <c r="B46" s="173"/>
      <c r="C46" s="173"/>
      <c r="D46" s="173"/>
      <c r="E46" s="173"/>
      <c r="F46" s="214">
        <f>SUM(F42:F45)</f>
        <v>15.955555555555557</v>
      </c>
      <c r="G46" s="180">
        <f>SUM(27*105)</f>
        <v>2835</v>
      </c>
      <c r="H46" s="173">
        <f>SUM(F46*G46)</f>
        <v>45234.000000000007</v>
      </c>
      <c r="I46" s="176" t="s">
        <v>115</v>
      </c>
      <c r="J46" s="216"/>
    </row>
    <row r="47" spans="1:10" x14ac:dyDescent="0.2">
      <c r="A47" s="186"/>
      <c r="B47" s="186"/>
      <c r="C47" s="186"/>
      <c r="D47" s="186"/>
      <c r="E47" s="186"/>
      <c r="F47" s="181"/>
      <c r="G47" s="184"/>
      <c r="H47" s="186"/>
      <c r="I47" s="183"/>
      <c r="J47" s="186"/>
    </row>
    <row r="48" spans="1:10" x14ac:dyDescent="0.2">
      <c r="A48" s="186"/>
      <c r="B48" s="186"/>
      <c r="C48" s="186"/>
      <c r="D48" s="186"/>
      <c r="E48" s="186"/>
      <c r="F48" s="181"/>
      <c r="G48" s="184"/>
      <c r="H48" s="186"/>
      <c r="I48" s="183"/>
      <c r="J48" s="186"/>
    </row>
    <row r="49" spans="1:10" x14ac:dyDescent="0.2">
      <c r="A49" s="209" t="s">
        <v>175</v>
      </c>
      <c r="B49" s="191"/>
      <c r="C49" s="191"/>
      <c r="D49" s="191"/>
      <c r="E49" s="191"/>
      <c r="F49" s="191"/>
      <c r="G49" s="191"/>
      <c r="H49" s="191"/>
      <c r="I49" s="191"/>
      <c r="J49" s="210"/>
    </row>
    <row r="50" spans="1:10" x14ac:dyDescent="0.2">
      <c r="A50" s="211"/>
      <c r="B50" s="186"/>
      <c r="C50" s="180" t="s">
        <v>107</v>
      </c>
      <c r="D50" s="374" t="s">
        <v>172</v>
      </c>
      <c r="E50" s="374"/>
      <c r="F50" s="173" t="s">
        <v>18</v>
      </c>
      <c r="G50" s="173" t="s">
        <v>108</v>
      </c>
      <c r="H50" s="186"/>
      <c r="I50" s="375" t="s">
        <v>173</v>
      </c>
      <c r="J50" s="376"/>
    </row>
    <row r="51" spans="1:10" x14ac:dyDescent="0.2">
      <c r="A51" s="211" t="s">
        <v>109</v>
      </c>
      <c r="B51" s="186" t="s">
        <v>110</v>
      </c>
      <c r="C51" s="207">
        <v>28</v>
      </c>
      <c r="D51" s="186">
        <v>10</v>
      </c>
      <c r="E51" s="186">
        <v>0.33</v>
      </c>
      <c r="F51" s="186">
        <f>SUM(C51*D51*E51)/27*2</f>
        <v>6.844444444444445</v>
      </c>
      <c r="G51" s="186"/>
      <c r="H51" s="186"/>
      <c r="I51" s="186"/>
      <c r="J51" s="213">
        <f>SUM(C51*D51*2)+(C53*D53)+(C54*D54*2)</f>
        <v>1232</v>
      </c>
    </row>
    <row r="52" spans="1:10" x14ac:dyDescent="0.2">
      <c r="A52" s="211"/>
      <c r="B52" s="186" t="s">
        <v>174</v>
      </c>
      <c r="C52" s="186">
        <v>10</v>
      </c>
      <c r="D52" s="186"/>
      <c r="E52" s="186"/>
      <c r="F52" s="186"/>
      <c r="G52" s="186"/>
      <c r="H52" s="186"/>
      <c r="I52" s="186"/>
      <c r="J52" s="213"/>
    </row>
    <row r="53" spans="1:10" x14ac:dyDescent="0.2">
      <c r="A53" s="211" t="s">
        <v>117</v>
      </c>
      <c r="B53" s="186" t="s">
        <v>111</v>
      </c>
      <c r="C53" s="207">
        <v>28</v>
      </c>
      <c r="D53" s="186">
        <v>14</v>
      </c>
      <c r="E53" s="186">
        <v>0.5</v>
      </c>
      <c r="F53" s="181">
        <f>SUM(C53*D53*E53)/27*1</f>
        <v>7.2592592592592595</v>
      </c>
      <c r="G53" s="186"/>
      <c r="H53" s="186"/>
      <c r="I53" s="186"/>
      <c r="J53" s="213"/>
    </row>
    <row r="54" spans="1:10" x14ac:dyDescent="0.2">
      <c r="A54" s="211" t="s">
        <v>112</v>
      </c>
      <c r="B54" s="186" t="s">
        <v>112</v>
      </c>
      <c r="C54" s="207">
        <v>14</v>
      </c>
      <c r="D54" s="186">
        <v>10</v>
      </c>
      <c r="E54" s="186">
        <v>0.33</v>
      </c>
      <c r="F54" s="214">
        <f>SUM(C54*D54*E54)/27*2</f>
        <v>3.4222222222222225</v>
      </c>
      <c r="G54" s="212" t="s">
        <v>113</v>
      </c>
      <c r="H54" s="176" t="s">
        <v>114</v>
      </c>
      <c r="I54" s="186"/>
      <c r="J54" s="213"/>
    </row>
    <row r="55" spans="1:10" x14ac:dyDescent="0.2">
      <c r="A55" s="215"/>
      <c r="B55" s="173"/>
      <c r="C55" s="173"/>
      <c r="D55" s="173"/>
      <c r="E55" s="173"/>
      <c r="F55" s="214">
        <f>SUM(F51:F54)</f>
        <v>17.525925925925925</v>
      </c>
      <c r="G55" s="180">
        <f>SUM(27*105)</f>
        <v>2835</v>
      </c>
      <c r="H55" s="173">
        <f>SUM(F55*G55)</f>
        <v>49686</v>
      </c>
      <c r="I55" s="176" t="s">
        <v>115</v>
      </c>
      <c r="J55" s="216"/>
    </row>
    <row r="58" spans="1:10" x14ac:dyDescent="0.2">
      <c r="A58" s="209" t="s">
        <v>176</v>
      </c>
      <c r="B58" s="191"/>
      <c r="C58" s="217" t="s">
        <v>107</v>
      </c>
      <c r="D58" s="371" t="s">
        <v>172</v>
      </c>
      <c r="E58" s="371"/>
      <c r="F58" s="218" t="s">
        <v>18</v>
      </c>
      <c r="G58" s="218" t="s">
        <v>108</v>
      </c>
      <c r="H58" s="191"/>
      <c r="I58" s="372" t="s">
        <v>173</v>
      </c>
      <c r="J58" s="373"/>
    </row>
    <row r="59" spans="1:10" x14ac:dyDescent="0.2">
      <c r="A59" s="211" t="s">
        <v>109</v>
      </c>
      <c r="B59" s="186" t="s">
        <v>110</v>
      </c>
      <c r="C59" s="207">
        <v>21</v>
      </c>
      <c r="D59" s="186">
        <v>10</v>
      </c>
      <c r="E59" s="186">
        <v>0.33</v>
      </c>
      <c r="F59" s="186">
        <f>SUM(C59*D59*E59)/27*2</f>
        <v>5.1333333333333329</v>
      </c>
      <c r="G59" s="186"/>
      <c r="H59" s="186"/>
      <c r="I59" s="186"/>
      <c r="J59" s="213">
        <f>SUM(C59*D59*2)+(C61*D61)+(C62*D62*2)</f>
        <v>1140</v>
      </c>
    </row>
    <row r="60" spans="1:10" x14ac:dyDescent="0.2">
      <c r="A60" s="211"/>
      <c r="B60" s="186" t="s">
        <v>174</v>
      </c>
      <c r="C60" s="186">
        <v>10</v>
      </c>
      <c r="D60" s="186"/>
      <c r="E60" s="186"/>
      <c r="F60" s="186"/>
      <c r="G60" s="186"/>
      <c r="H60" s="186"/>
      <c r="I60" s="186"/>
      <c r="J60" s="213"/>
    </row>
    <row r="61" spans="1:10" x14ac:dyDescent="0.2">
      <c r="A61" s="211" t="s">
        <v>117</v>
      </c>
      <c r="B61" s="186" t="s">
        <v>111</v>
      </c>
      <c r="C61" s="207">
        <v>20</v>
      </c>
      <c r="D61" s="186">
        <v>20</v>
      </c>
      <c r="E61" s="186">
        <v>0.5</v>
      </c>
      <c r="F61" s="181">
        <f>SUM(C61*D61*E61)/27*1</f>
        <v>7.4074074074074074</v>
      </c>
      <c r="G61" s="186"/>
      <c r="H61" s="186"/>
      <c r="I61" s="186"/>
      <c r="J61" s="213"/>
    </row>
    <row r="62" spans="1:10" x14ac:dyDescent="0.2">
      <c r="A62" s="211" t="s">
        <v>112</v>
      </c>
      <c r="B62" s="186" t="s">
        <v>112</v>
      </c>
      <c r="C62" s="207">
        <v>16</v>
      </c>
      <c r="D62" s="186">
        <v>10</v>
      </c>
      <c r="E62" s="186">
        <v>0.33</v>
      </c>
      <c r="F62" s="214">
        <f>SUM(C62*D62*E62)/27*2</f>
        <v>3.9111111111111114</v>
      </c>
      <c r="G62" s="212" t="s">
        <v>113</v>
      </c>
      <c r="H62" s="176" t="s">
        <v>114</v>
      </c>
      <c r="I62" s="186"/>
      <c r="J62" s="213"/>
    </row>
    <row r="63" spans="1:10" x14ac:dyDescent="0.2">
      <c r="A63" s="215"/>
      <c r="B63" s="173"/>
      <c r="C63" s="173"/>
      <c r="D63" s="173"/>
      <c r="E63" s="173"/>
      <c r="F63" s="214">
        <f>SUM(F59:F62)</f>
        <v>16.451851851851853</v>
      </c>
      <c r="G63" s="180">
        <f>SUM(27*105)</f>
        <v>2835</v>
      </c>
      <c r="H63" s="173">
        <f>SUM(F63*G63)</f>
        <v>46641</v>
      </c>
      <c r="I63" s="176" t="s">
        <v>115</v>
      </c>
      <c r="J63" s="216"/>
    </row>
    <row r="66" spans="1:10" x14ac:dyDescent="0.2">
      <c r="A66" s="209" t="s">
        <v>177</v>
      </c>
      <c r="B66" s="191"/>
      <c r="C66" s="217" t="s">
        <v>107</v>
      </c>
      <c r="D66" s="371" t="s">
        <v>172</v>
      </c>
      <c r="E66" s="371"/>
      <c r="F66" s="218" t="s">
        <v>18</v>
      </c>
      <c r="G66" s="218" t="s">
        <v>108</v>
      </c>
      <c r="H66" s="191"/>
      <c r="I66" s="372" t="s">
        <v>173</v>
      </c>
      <c r="J66" s="373"/>
    </row>
    <row r="67" spans="1:10" x14ac:dyDescent="0.2">
      <c r="A67" s="211" t="s">
        <v>109</v>
      </c>
      <c r="B67" s="186" t="s">
        <v>110</v>
      </c>
      <c r="C67" s="207">
        <v>16</v>
      </c>
      <c r="D67" s="186">
        <v>10</v>
      </c>
      <c r="E67" s="186">
        <v>0.33</v>
      </c>
      <c r="F67" s="186">
        <f>SUM(C67*D67*E67)/27*2</f>
        <v>3.9111111111111114</v>
      </c>
      <c r="G67" s="186"/>
      <c r="H67" s="186"/>
      <c r="I67" s="186"/>
      <c r="J67" s="213">
        <f>SUM(C67*D67*2)+(C69*D69)+(C70*D70*2)</f>
        <v>608</v>
      </c>
    </row>
    <row r="68" spans="1:10" x14ac:dyDescent="0.2">
      <c r="A68" s="211"/>
      <c r="B68" s="186" t="s">
        <v>174</v>
      </c>
      <c r="C68" s="186">
        <v>10</v>
      </c>
      <c r="D68" s="186"/>
      <c r="E68" s="186"/>
      <c r="F68" s="186"/>
      <c r="G68" s="186"/>
      <c r="H68" s="186"/>
      <c r="I68" s="186"/>
      <c r="J68" s="213"/>
    </row>
    <row r="69" spans="1:10" x14ac:dyDescent="0.2">
      <c r="A69" s="211" t="s">
        <v>117</v>
      </c>
      <c r="B69" s="186" t="s">
        <v>111</v>
      </c>
      <c r="C69" s="207">
        <v>8</v>
      </c>
      <c r="D69" s="186">
        <v>16</v>
      </c>
      <c r="E69" s="186">
        <v>0.5</v>
      </c>
      <c r="F69" s="181">
        <f>SUM(C69*D69*E69)/27*1</f>
        <v>2.3703703703703702</v>
      </c>
      <c r="G69" s="186"/>
      <c r="H69" s="186"/>
      <c r="I69" s="186"/>
      <c r="J69" s="213"/>
    </row>
    <row r="70" spans="1:10" x14ac:dyDescent="0.2">
      <c r="A70" s="211" t="s">
        <v>112</v>
      </c>
      <c r="B70" s="186" t="s">
        <v>112</v>
      </c>
      <c r="C70" s="207">
        <v>8</v>
      </c>
      <c r="D70" s="186">
        <v>10</v>
      </c>
      <c r="E70" s="186">
        <v>0.33</v>
      </c>
      <c r="F70" s="214">
        <f>SUM(C70*D70*E70)/27*2</f>
        <v>1.9555555555555557</v>
      </c>
      <c r="G70" s="212" t="s">
        <v>113</v>
      </c>
      <c r="H70" s="176" t="s">
        <v>114</v>
      </c>
      <c r="I70" s="186"/>
      <c r="J70" s="213"/>
    </row>
    <row r="71" spans="1:10" x14ac:dyDescent="0.2">
      <c r="A71" s="215"/>
      <c r="B71" s="173"/>
      <c r="C71" s="173"/>
      <c r="D71" s="173"/>
      <c r="E71" s="173"/>
      <c r="F71" s="214">
        <f>SUM(F67:F70)</f>
        <v>8.2370370370370374</v>
      </c>
      <c r="G71" s="180">
        <f>SUM(27*105)</f>
        <v>2835</v>
      </c>
      <c r="H71" s="173">
        <f>SUM(F71*G71)</f>
        <v>23352</v>
      </c>
      <c r="I71" s="176" t="s">
        <v>115</v>
      </c>
      <c r="J71" s="216"/>
    </row>
    <row r="74" spans="1:10" x14ac:dyDescent="0.2">
      <c r="A74" s="209" t="s">
        <v>178</v>
      </c>
      <c r="B74" s="191"/>
      <c r="C74" s="217" t="s">
        <v>107</v>
      </c>
      <c r="D74" s="371" t="s">
        <v>172</v>
      </c>
      <c r="E74" s="371"/>
      <c r="F74" s="218" t="s">
        <v>18</v>
      </c>
      <c r="G74" s="218" t="s">
        <v>108</v>
      </c>
      <c r="H74" s="191"/>
      <c r="I74" s="372" t="s">
        <v>173</v>
      </c>
      <c r="J74" s="373"/>
    </row>
    <row r="75" spans="1:10" x14ac:dyDescent="0.2">
      <c r="A75" s="211" t="s">
        <v>109</v>
      </c>
      <c r="B75" s="186" t="s">
        <v>110</v>
      </c>
      <c r="C75" s="207">
        <v>20</v>
      </c>
      <c r="D75" s="186">
        <v>10</v>
      </c>
      <c r="E75" s="186">
        <v>0.33</v>
      </c>
      <c r="F75" s="186">
        <f>SUM(C75*D75*E75)/27*2</f>
        <v>4.8888888888888893</v>
      </c>
      <c r="G75" s="186"/>
      <c r="H75" s="186"/>
      <c r="I75" s="186"/>
      <c r="J75" s="213">
        <f>SUM(C75*D75*2)+(C77*D77)+(C78*D78*2)</f>
        <v>960</v>
      </c>
    </row>
    <row r="76" spans="1:10" x14ac:dyDescent="0.2">
      <c r="A76" s="211"/>
      <c r="B76" s="186" t="s">
        <v>174</v>
      </c>
      <c r="C76" s="186">
        <v>10</v>
      </c>
      <c r="D76" s="186"/>
      <c r="E76" s="186"/>
      <c r="F76" s="186"/>
      <c r="G76" s="186"/>
      <c r="H76" s="186"/>
      <c r="I76" s="186"/>
      <c r="J76" s="213"/>
    </row>
    <row r="77" spans="1:10" x14ac:dyDescent="0.2">
      <c r="A77" s="211" t="s">
        <v>117</v>
      </c>
      <c r="B77" s="186" t="s">
        <v>111</v>
      </c>
      <c r="C77" s="207">
        <v>20</v>
      </c>
      <c r="D77" s="186">
        <v>14</v>
      </c>
      <c r="E77" s="186">
        <v>0.5</v>
      </c>
      <c r="F77" s="181">
        <f>SUM(C77*D77*E77)/27*1</f>
        <v>5.1851851851851851</v>
      </c>
      <c r="G77" s="186"/>
      <c r="H77" s="186"/>
      <c r="I77" s="186"/>
      <c r="J77" s="213"/>
    </row>
    <row r="78" spans="1:10" x14ac:dyDescent="0.2">
      <c r="A78" s="211" t="s">
        <v>112</v>
      </c>
      <c r="B78" s="186" t="s">
        <v>112</v>
      </c>
      <c r="C78" s="207">
        <v>14</v>
      </c>
      <c r="D78" s="186">
        <v>10</v>
      </c>
      <c r="E78" s="186">
        <v>0.33</v>
      </c>
      <c r="F78" s="214">
        <f>SUM(C78*D78*E78)/27*2</f>
        <v>3.4222222222222225</v>
      </c>
      <c r="G78" s="212" t="s">
        <v>113</v>
      </c>
      <c r="H78" s="176" t="s">
        <v>114</v>
      </c>
      <c r="I78" s="186"/>
      <c r="J78" s="213"/>
    </row>
    <row r="79" spans="1:10" x14ac:dyDescent="0.2">
      <c r="A79" s="215"/>
      <c r="B79" s="173"/>
      <c r="C79" s="173"/>
      <c r="D79" s="173"/>
      <c r="E79" s="173"/>
      <c r="F79" s="214">
        <f>SUM(F75:F78)</f>
        <v>13.496296296296297</v>
      </c>
      <c r="G79" s="180">
        <f>SUM(27*105)</f>
        <v>2835</v>
      </c>
      <c r="H79" s="173">
        <f>SUM(F79*G79)</f>
        <v>38262</v>
      </c>
      <c r="I79" s="176" t="s">
        <v>115</v>
      </c>
      <c r="J79" s="216"/>
    </row>
    <row r="83" spans="1:10" x14ac:dyDescent="0.2">
      <c r="A83" s="209" t="s">
        <v>179</v>
      </c>
      <c r="B83" s="191"/>
      <c r="C83" s="217" t="s">
        <v>107</v>
      </c>
      <c r="D83" s="371" t="s">
        <v>172</v>
      </c>
      <c r="E83" s="371"/>
      <c r="F83" s="218" t="s">
        <v>18</v>
      </c>
      <c r="G83" s="218" t="s">
        <v>108</v>
      </c>
      <c r="H83" s="191"/>
      <c r="I83" s="372" t="s">
        <v>173</v>
      </c>
      <c r="J83" s="373"/>
    </row>
    <row r="84" spans="1:10" x14ac:dyDescent="0.2">
      <c r="A84" s="211" t="s">
        <v>109</v>
      </c>
      <c r="B84" s="186" t="s">
        <v>110</v>
      </c>
      <c r="C84" s="207">
        <v>16</v>
      </c>
      <c r="D84" s="186">
        <v>10</v>
      </c>
      <c r="E84" s="186">
        <v>0.33</v>
      </c>
      <c r="F84" s="186">
        <f>SUM(C84*D84*E84)/27*2</f>
        <v>3.9111111111111114</v>
      </c>
      <c r="G84" s="186"/>
      <c r="H84" s="186"/>
      <c r="I84" s="186"/>
      <c r="J84" s="213">
        <f>SUM(C84*D84*2)+(C86*D86)+(C87*D87*2)</f>
        <v>896</v>
      </c>
    </row>
    <row r="85" spans="1:10" x14ac:dyDescent="0.2">
      <c r="A85" s="211"/>
      <c r="B85" s="186" t="s">
        <v>174</v>
      </c>
      <c r="C85" s="186">
        <v>10</v>
      </c>
      <c r="D85" s="186"/>
      <c r="E85" s="186"/>
      <c r="F85" s="186"/>
      <c r="G85" s="186"/>
      <c r="H85" s="186"/>
      <c r="I85" s="186"/>
      <c r="J85" s="213"/>
    </row>
    <row r="86" spans="1:10" x14ac:dyDescent="0.2">
      <c r="A86" s="211" t="s">
        <v>117</v>
      </c>
      <c r="B86" s="186" t="s">
        <v>111</v>
      </c>
      <c r="C86" s="207">
        <v>16</v>
      </c>
      <c r="D86" s="186">
        <v>16</v>
      </c>
      <c r="E86" s="186">
        <v>0.5</v>
      </c>
      <c r="F86" s="181">
        <f>SUM(C86*D86*E86)/27*1</f>
        <v>4.7407407407407405</v>
      </c>
      <c r="G86" s="186"/>
      <c r="H86" s="186"/>
      <c r="I86" s="186"/>
      <c r="J86" s="213"/>
    </row>
    <row r="87" spans="1:10" x14ac:dyDescent="0.2">
      <c r="A87" s="211" t="s">
        <v>112</v>
      </c>
      <c r="B87" s="186" t="s">
        <v>112</v>
      </c>
      <c r="C87" s="207">
        <v>16</v>
      </c>
      <c r="D87" s="186">
        <v>10</v>
      </c>
      <c r="E87" s="186">
        <v>0.33</v>
      </c>
      <c r="F87" s="214">
        <f>SUM(C87*D87*E87)/27*2</f>
        <v>3.9111111111111114</v>
      </c>
      <c r="G87" s="212" t="s">
        <v>113</v>
      </c>
      <c r="H87" s="176" t="s">
        <v>114</v>
      </c>
      <c r="I87" s="186"/>
      <c r="J87" s="213"/>
    </row>
    <row r="88" spans="1:10" x14ac:dyDescent="0.2">
      <c r="A88" s="215"/>
      <c r="B88" s="173"/>
      <c r="C88" s="173"/>
      <c r="D88" s="173"/>
      <c r="E88" s="173"/>
      <c r="F88" s="214">
        <f>SUM(F84:F87)</f>
        <v>12.562962962962963</v>
      </c>
      <c r="G88" s="180">
        <f>SUM(27*105)</f>
        <v>2835</v>
      </c>
      <c r="H88" s="173">
        <f>SUM(F88*G88)</f>
        <v>35616</v>
      </c>
      <c r="I88" s="176" t="s">
        <v>115</v>
      </c>
      <c r="J88" s="216"/>
    </row>
    <row r="90" spans="1:10" x14ac:dyDescent="0.2">
      <c r="A90" s="209" t="s">
        <v>180</v>
      </c>
      <c r="B90" s="219" t="s">
        <v>181</v>
      </c>
      <c r="C90" s="217" t="s">
        <v>107</v>
      </c>
      <c r="D90" s="371" t="s">
        <v>172</v>
      </c>
      <c r="E90" s="371"/>
      <c r="F90" s="218" t="s">
        <v>18</v>
      </c>
      <c r="G90" s="218" t="s">
        <v>108</v>
      </c>
      <c r="H90" s="191"/>
      <c r="I90" s="372" t="s">
        <v>173</v>
      </c>
      <c r="J90" s="373"/>
    </row>
    <row r="91" spans="1:10" x14ac:dyDescent="0.2">
      <c r="A91" s="220" t="s">
        <v>182</v>
      </c>
      <c r="B91" s="184">
        <v>2</v>
      </c>
      <c r="C91" s="186">
        <v>19</v>
      </c>
      <c r="D91" s="186">
        <v>10</v>
      </c>
      <c r="E91" s="186">
        <v>0.33</v>
      </c>
      <c r="F91" s="186">
        <f>SUM(C91*D91*E91*1)/27*2</f>
        <v>4.6444444444444448</v>
      </c>
      <c r="G91" s="186"/>
      <c r="H91" s="186"/>
      <c r="I91" s="186"/>
      <c r="J91" s="213">
        <f>SUM(C91*D91*2)+(C92*D92*2)+(C93*D93)+(C94*D94)</f>
        <v>1484</v>
      </c>
    </row>
    <row r="92" spans="1:10" x14ac:dyDescent="0.2">
      <c r="A92" s="220" t="s">
        <v>182</v>
      </c>
      <c r="B92" s="186">
        <v>2</v>
      </c>
      <c r="C92" s="186">
        <v>20</v>
      </c>
      <c r="D92" s="186">
        <v>10</v>
      </c>
      <c r="E92" s="186">
        <v>0.33</v>
      </c>
      <c r="F92" s="186">
        <f>SUM(C92*D92*E92*1)/27*2</f>
        <v>4.8888888888888893</v>
      </c>
      <c r="G92" s="186"/>
      <c r="H92" s="186"/>
      <c r="I92" s="186"/>
      <c r="J92" s="213"/>
    </row>
    <row r="93" spans="1:10" x14ac:dyDescent="0.2">
      <c r="A93" s="220" t="s">
        <v>183</v>
      </c>
      <c r="B93" s="186"/>
      <c r="C93" s="186">
        <v>19</v>
      </c>
      <c r="D93" s="186">
        <v>16</v>
      </c>
      <c r="E93" s="186">
        <v>0.33</v>
      </c>
      <c r="F93" s="186">
        <f>SUM(C93*D93*E93*1)/27*1</f>
        <v>3.7155555555555559</v>
      </c>
      <c r="G93" s="186"/>
      <c r="H93" s="186"/>
      <c r="I93" s="186"/>
      <c r="J93" s="213"/>
    </row>
    <row r="94" spans="1:10" x14ac:dyDescent="0.2">
      <c r="A94" s="221" t="s">
        <v>183</v>
      </c>
      <c r="B94" s="173"/>
      <c r="C94" s="173">
        <v>20</v>
      </c>
      <c r="D94" s="173">
        <v>20</v>
      </c>
      <c r="E94" s="173">
        <v>0.33</v>
      </c>
      <c r="F94" s="173">
        <f>SUM(C94*D94*E94*1)/27*1</f>
        <v>4.8888888888888893</v>
      </c>
      <c r="G94" s="173"/>
      <c r="H94" s="173"/>
      <c r="I94" s="173"/>
      <c r="J94" s="216"/>
    </row>
    <row r="96" spans="1:10" x14ac:dyDescent="0.2">
      <c r="E96" s="363" t="s">
        <v>184</v>
      </c>
      <c r="F96" s="364"/>
      <c r="G96" s="364"/>
      <c r="I96" s="365" t="s">
        <v>185</v>
      </c>
      <c r="J96" s="365"/>
    </row>
    <row r="97" spans="1:13" x14ac:dyDescent="0.2">
      <c r="F97" s="175">
        <f>SUM(F46,F55,F63,F71,F79,F88,F91,F92,F93,F94,F88,F88)</f>
        <v>127.49333333333334</v>
      </c>
      <c r="G97" s="178" t="s">
        <v>18</v>
      </c>
      <c r="J97">
        <f>SUM(J42,J51,J59,J67,J75,J84,J91)</f>
        <v>7440</v>
      </c>
    </row>
    <row r="98" spans="1:13" x14ac:dyDescent="0.2">
      <c r="J98" s="173">
        <v>1800</v>
      </c>
    </row>
    <row r="99" spans="1:13" x14ac:dyDescent="0.2">
      <c r="J99" s="222">
        <f>SUM(J97:J98)</f>
        <v>9240</v>
      </c>
    </row>
    <row r="102" spans="1:13" x14ac:dyDescent="0.2">
      <c r="A102" s="223" t="s">
        <v>189</v>
      </c>
      <c r="B102" s="173" t="s">
        <v>190</v>
      </c>
      <c r="C102" s="223" t="s">
        <v>191</v>
      </c>
      <c r="D102" s="224" t="s">
        <v>192</v>
      </c>
      <c r="E102" s="366" t="s">
        <v>193</v>
      </c>
      <c r="F102" s="366"/>
      <c r="G102" s="367" t="s">
        <v>194</v>
      </c>
      <c r="H102" s="368"/>
      <c r="I102" s="225" t="s">
        <v>195</v>
      </c>
      <c r="M102" s="173" t="s">
        <v>196</v>
      </c>
    </row>
    <row r="103" spans="1:13" x14ac:dyDescent="0.2">
      <c r="A103" s="226" t="s">
        <v>197</v>
      </c>
      <c r="B103" t="s">
        <v>198</v>
      </c>
      <c r="C103" s="226">
        <v>268</v>
      </c>
      <c r="D103" s="178" t="s">
        <v>199</v>
      </c>
      <c r="E103" s="369" t="s">
        <v>200</v>
      </c>
      <c r="F103" s="369"/>
      <c r="G103" s="370" t="s">
        <v>201</v>
      </c>
      <c r="H103" s="370"/>
      <c r="I103" s="226">
        <f>C103*9.17</f>
        <v>2457.56</v>
      </c>
      <c r="M103" t="s">
        <v>202</v>
      </c>
    </row>
    <row r="104" spans="1:13" x14ac:dyDescent="0.2">
      <c r="A104" s="226" t="s">
        <v>197</v>
      </c>
      <c r="B104" t="s">
        <v>203</v>
      </c>
      <c r="C104" s="226">
        <v>400</v>
      </c>
      <c r="D104" s="178" t="s">
        <v>199</v>
      </c>
      <c r="E104" s="362" t="s">
        <v>200</v>
      </c>
      <c r="F104" s="362"/>
      <c r="G104" s="364" t="s">
        <v>204</v>
      </c>
      <c r="H104" s="364"/>
      <c r="I104" s="226">
        <f>C104*9.17</f>
        <v>3668</v>
      </c>
      <c r="M104" t="s">
        <v>205</v>
      </c>
    </row>
    <row r="105" spans="1:13" x14ac:dyDescent="0.2">
      <c r="A105" s="188"/>
      <c r="B105" s="188"/>
      <c r="C105" s="188"/>
      <c r="D105" s="188"/>
      <c r="E105" s="227"/>
      <c r="F105" s="227"/>
      <c r="G105" s="177"/>
      <c r="I105" s="226"/>
    </row>
    <row r="106" spans="1:13" x14ac:dyDescent="0.2">
      <c r="A106" s="226" t="s">
        <v>206</v>
      </c>
      <c r="B106" t="s">
        <v>207</v>
      </c>
      <c r="C106" s="226">
        <v>48</v>
      </c>
      <c r="E106" s="362" t="s">
        <v>208</v>
      </c>
      <c r="F106" s="362"/>
      <c r="G106" s="363" t="s">
        <v>209</v>
      </c>
      <c r="H106" s="363"/>
      <c r="I106" s="226">
        <f>C106*18.67</f>
        <v>896.16000000000008</v>
      </c>
      <c r="J106" t="s">
        <v>210</v>
      </c>
      <c r="M106" t="s">
        <v>211</v>
      </c>
    </row>
    <row r="107" spans="1:13" x14ac:dyDescent="0.2">
      <c r="A107" s="226" t="s">
        <v>206</v>
      </c>
      <c r="B107" t="s">
        <v>207</v>
      </c>
      <c r="C107" s="226">
        <v>28</v>
      </c>
      <c r="E107" s="362" t="s">
        <v>212</v>
      </c>
      <c r="F107" s="362"/>
      <c r="G107" s="363" t="s">
        <v>209</v>
      </c>
      <c r="H107" s="363"/>
      <c r="I107" s="226">
        <f>C107*12.67</f>
        <v>354.76</v>
      </c>
      <c r="J107" t="s">
        <v>213</v>
      </c>
    </row>
    <row r="108" spans="1:13" x14ac:dyDescent="0.2">
      <c r="A108" s="226" t="s">
        <v>206</v>
      </c>
      <c r="B108" t="s">
        <v>207</v>
      </c>
      <c r="C108" s="226">
        <v>36</v>
      </c>
      <c r="E108" s="362" t="s">
        <v>214</v>
      </c>
      <c r="F108" s="362"/>
      <c r="G108" s="363" t="s">
        <v>215</v>
      </c>
      <c r="H108" s="363"/>
      <c r="I108" s="226">
        <f>C108*14.67</f>
        <v>528.12</v>
      </c>
      <c r="J108" t="s">
        <v>216</v>
      </c>
    </row>
    <row r="109" spans="1:13" x14ac:dyDescent="0.2">
      <c r="A109" s="226" t="s">
        <v>217</v>
      </c>
      <c r="B109" t="s">
        <v>218</v>
      </c>
      <c r="C109" s="226">
        <v>60</v>
      </c>
      <c r="D109" t="s">
        <v>200</v>
      </c>
      <c r="E109" s="362" t="s">
        <v>214</v>
      </c>
      <c r="F109" s="362"/>
      <c r="G109" s="363" t="s">
        <v>215</v>
      </c>
      <c r="H109" s="363"/>
      <c r="I109" s="226">
        <f>C109*14.67</f>
        <v>880.2</v>
      </c>
      <c r="J109" t="s">
        <v>219</v>
      </c>
      <c r="M109" t="s">
        <v>220</v>
      </c>
    </row>
    <row r="110" spans="1:13" x14ac:dyDescent="0.2">
      <c r="A110" s="188"/>
      <c r="B110" s="188"/>
      <c r="C110" s="188"/>
      <c r="D110" s="188"/>
      <c r="E110" s="361"/>
      <c r="F110" s="361"/>
      <c r="G110" s="177"/>
    </row>
    <row r="111" spans="1:13" x14ac:dyDescent="0.2">
      <c r="A111" s="228" t="s">
        <v>221</v>
      </c>
      <c r="B111" s="188"/>
      <c r="C111" s="226">
        <v>1400</v>
      </c>
      <c r="D111" s="188"/>
      <c r="E111" s="361"/>
      <c r="F111" s="361"/>
      <c r="G111" s="177"/>
    </row>
    <row r="112" spans="1:13" x14ac:dyDescent="0.2">
      <c r="A112" s="228" t="s">
        <v>222</v>
      </c>
      <c r="B112" s="188"/>
      <c r="C112" s="226">
        <v>469</v>
      </c>
      <c r="D112" s="188"/>
      <c r="E112" s="361"/>
      <c r="F112" s="361"/>
      <c r="G112" s="177"/>
    </row>
    <row r="113" spans="1:7" x14ac:dyDescent="0.2">
      <c r="A113" s="228" t="s">
        <v>223</v>
      </c>
      <c r="B113" s="188"/>
      <c r="C113" s="226">
        <v>212</v>
      </c>
      <c r="D113" s="188"/>
      <c r="E113" s="188"/>
      <c r="F113" s="188"/>
      <c r="G113" s="177"/>
    </row>
  </sheetData>
  <mergeCells count="37">
    <mergeCell ref="C1:D1"/>
    <mergeCell ref="C2:D2"/>
    <mergeCell ref="D32:E32"/>
    <mergeCell ref="I32:J32"/>
    <mergeCell ref="D41:E41"/>
    <mergeCell ref="I41:J41"/>
    <mergeCell ref="D50:E50"/>
    <mergeCell ref="I50:J50"/>
    <mergeCell ref="D58:E58"/>
    <mergeCell ref="I58:J58"/>
    <mergeCell ref="D66:E66"/>
    <mergeCell ref="I66:J66"/>
    <mergeCell ref="D74:E74"/>
    <mergeCell ref="I74:J74"/>
    <mergeCell ref="D83:E83"/>
    <mergeCell ref="I83:J83"/>
    <mergeCell ref="D90:E90"/>
    <mergeCell ref="I90:J90"/>
    <mergeCell ref="E96:G96"/>
    <mergeCell ref="I96:J96"/>
    <mergeCell ref="E102:F102"/>
    <mergeCell ref="G102:H102"/>
    <mergeCell ref="E103:F103"/>
    <mergeCell ref="G103:H103"/>
    <mergeCell ref="E104:F104"/>
    <mergeCell ref="G104:H104"/>
    <mergeCell ref="E106:F106"/>
    <mergeCell ref="G106:H106"/>
    <mergeCell ref="E107:F107"/>
    <mergeCell ref="G107:H107"/>
    <mergeCell ref="E112:F112"/>
    <mergeCell ref="E108:F108"/>
    <mergeCell ref="G108:H108"/>
    <mergeCell ref="E109:F109"/>
    <mergeCell ref="G109:H109"/>
    <mergeCell ref="E110:F110"/>
    <mergeCell ref="E111:F1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3"/>
  <sheetViews>
    <sheetView workbookViewId="0">
      <selection activeCell="K14" sqref="K14:P17"/>
    </sheetView>
  </sheetViews>
  <sheetFormatPr defaultRowHeight="12.75" x14ac:dyDescent="0.2"/>
  <cols>
    <col min="1" max="1" width="2.28515625" bestFit="1" customWidth="1"/>
    <col min="2" max="2" width="29" bestFit="1" customWidth="1"/>
    <col min="3" max="3" width="11.42578125" bestFit="1" customWidth="1"/>
    <col min="4" max="4" width="8.42578125" bestFit="1" customWidth="1"/>
    <col min="5" max="5" width="12.85546875" bestFit="1" customWidth="1"/>
    <col min="6" max="6" width="5" bestFit="1" customWidth="1"/>
    <col min="7" max="7" width="17.28515625" bestFit="1" customWidth="1"/>
    <col min="8" max="8" width="6.7109375" bestFit="1" customWidth="1"/>
    <col min="9" max="9" width="11.140625" bestFit="1" customWidth="1"/>
    <col min="10" max="10" width="6.7109375" bestFit="1" customWidth="1"/>
    <col min="11" max="11" width="11.140625" bestFit="1" customWidth="1"/>
    <col min="12" max="12" width="18.5703125" bestFit="1" customWidth="1"/>
    <col min="13" max="13" width="5" bestFit="1" customWidth="1"/>
    <col min="14" max="14" width="13.85546875" bestFit="1" customWidth="1"/>
    <col min="15" max="15" width="18.5703125" bestFit="1" customWidth="1"/>
    <col min="16" max="16" width="11.42578125" bestFit="1" customWidth="1"/>
  </cols>
  <sheetData>
    <row r="1" spans="1:17" x14ac:dyDescent="0.2">
      <c r="A1" s="296"/>
      <c r="B1" s="297"/>
      <c r="C1" s="297"/>
      <c r="D1" s="297"/>
      <c r="E1" s="298" t="s">
        <v>127</v>
      </c>
      <c r="F1" s="299"/>
      <c r="G1" s="99">
        <f>SUM(O91)</f>
        <v>29330.514586000001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  <c r="Q1" s="208"/>
    </row>
    <row r="2" spans="1:17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  <c r="Q2" s="208"/>
    </row>
    <row r="3" spans="1:17" ht="18.75" thickBot="1" x14ac:dyDescent="0.3">
      <c r="A3" s="296"/>
      <c r="B3" s="92" t="s">
        <v>84</v>
      </c>
      <c r="C3" s="172" t="s">
        <v>228</v>
      </c>
      <c r="D3" s="100" t="s">
        <v>102</v>
      </c>
      <c r="E3" s="302"/>
      <c r="F3" s="302"/>
      <c r="G3" s="302"/>
      <c r="H3" s="101"/>
      <c r="I3" s="56">
        <v>420</v>
      </c>
      <c r="J3" s="201" t="s">
        <v>12</v>
      </c>
      <c r="K3" s="101"/>
      <c r="L3" s="203">
        <f>SUM(L91/I3)</f>
        <v>46.543586644444446</v>
      </c>
      <c r="M3" s="101"/>
      <c r="N3" s="203">
        <f>SUM(G1/I3)</f>
        <v>69.834558538095237</v>
      </c>
      <c r="O3" s="101"/>
      <c r="P3" s="101"/>
      <c r="Q3" s="208"/>
    </row>
    <row r="4" spans="1:17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  <c r="Q4" s="208"/>
    </row>
    <row r="5" spans="1:17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  <c r="Q5" s="208"/>
    </row>
    <row r="6" spans="1:17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  <c r="Q6" s="208"/>
    </row>
    <row r="7" spans="1:17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  <c r="Q7" s="208"/>
    </row>
    <row r="8" spans="1:17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SUM(N29,N43,M65,M77,M87)</f>
        <v>9782.2081953333345</v>
      </c>
      <c r="I8" s="316"/>
      <c r="J8" s="308"/>
      <c r="K8" s="357">
        <f>N8*H8</f>
        <v>1956441.6390666668</v>
      </c>
      <c r="L8" s="357"/>
      <c r="M8" s="55" t="s">
        <v>103</v>
      </c>
      <c r="N8" s="195">
        <v>200</v>
      </c>
      <c r="O8" s="75"/>
      <c r="P8" s="80"/>
      <c r="Q8" s="208"/>
    </row>
    <row r="9" spans="1:17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4891.1040976666673</v>
      </c>
      <c r="I9" s="320"/>
      <c r="J9" s="308"/>
      <c r="K9" s="10"/>
      <c r="L9" s="11">
        <f>200*H9</f>
        <v>978220.81953333342</v>
      </c>
      <c r="M9" s="10" t="s">
        <v>104</v>
      </c>
      <c r="N9" s="12"/>
      <c r="O9" s="75"/>
      <c r="P9" s="80"/>
      <c r="Q9" s="208"/>
    </row>
    <row r="10" spans="1:17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  <c r="Q10" s="208"/>
    </row>
    <row r="11" spans="1:17" ht="18" x14ac:dyDescent="0.25">
      <c r="A11" s="296"/>
      <c r="B11" s="76" t="s">
        <v>45</v>
      </c>
      <c r="C11" s="322">
        <v>42193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  <c r="Q11" s="208"/>
    </row>
    <row r="12" spans="1:17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  <c r="Q12" s="208"/>
    </row>
    <row r="13" spans="1:17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  <c r="Q13" s="208"/>
    </row>
    <row r="14" spans="1:17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SUM(H45,J65,J77,J87)</f>
        <v>3525.5896444444443</v>
      </c>
      <c r="I14" s="316"/>
      <c r="J14" s="308"/>
      <c r="K14" s="323"/>
      <c r="L14" s="324"/>
      <c r="M14" s="324"/>
      <c r="N14" s="324"/>
      <c r="O14" s="324"/>
      <c r="P14" s="325"/>
      <c r="Q14" s="208"/>
    </row>
    <row r="15" spans="1:17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1762.7948222222221</v>
      </c>
      <c r="I15" s="320"/>
      <c r="J15" s="308"/>
      <c r="K15" s="324"/>
      <c r="L15" s="324"/>
      <c r="M15" s="324"/>
      <c r="N15" s="324"/>
      <c r="O15" s="324"/>
      <c r="P15" s="325"/>
      <c r="Q15" s="208"/>
    </row>
    <row r="16" spans="1:17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  <c r="Q16" s="208"/>
    </row>
    <row r="17" spans="1:17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  <c r="Q17" s="208"/>
    </row>
    <row r="18" spans="1:17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  <c r="Q18" s="208"/>
    </row>
    <row r="19" spans="1:17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  <c r="Q19" s="208"/>
    </row>
    <row r="20" spans="1:17" x14ac:dyDescent="0.2">
      <c r="A20" s="95" t="s">
        <v>68</v>
      </c>
      <c r="B20" s="151" t="s">
        <v>88</v>
      </c>
      <c r="C20" s="82">
        <v>8</v>
      </c>
      <c r="D20" s="69">
        <f>SUM(E15)</f>
        <v>15</v>
      </c>
      <c r="E20" s="41">
        <f t="shared" ref="E20:E28" si="0">IF(A20="X",D20*C20,0)</f>
        <v>120</v>
      </c>
      <c r="F20" s="97" t="s">
        <v>25</v>
      </c>
      <c r="G20" s="107">
        <f t="shared" ref="G20:G28" si="1">E20*$F$19</f>
        <v>36</v>
      </c>
      <c r="H20" s="25" t="s">
        <v>25</v>
      </c>
      <c r="I20" s="15">
        <f t="shared" ref="I20:I28" si="2">E20*$H$19</f>
        <v>30</v>
      </c>
      <c r="J20" s="108"/>
      <c r="K20" s="109"/>
      <c r="L20" s="3">
        <f t="shared" ref="L20:L28" si="3">SUM(E20:K20)</f>
        <v>186</v>
      </c>
      <c r="M20" s="26" t="s">
        <v>25</v>
      </c>
      <c r="N20" s="15">
        <f t="shared" ref="N20:N28" si="4">L20*$M$19</f>
        <v>93</v>
      </c>
      <c r="O20" s="3">
        <f t="shared" ref="O20:O28" si="5">SUM(N20+L20)</f>
        <v>279</v>
      </c>
      <c r="P20" s="80">
        <f>SUM(I1/O20)</f>
        <v>0</v>
      </c>
      <c r="Q20" s="208"/>
    </row>
    <row r="21" spans="1:17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41">
        <f t="shared" si="0"/>
        <v>120</v>
      </c>
      <c r="F21" s="98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  <c r="Q21" s="208"/>
    </row>
    <row r="22" spans="1:17" x14ac:dyDescent="0.2">
      <c r="A22" s="95" t="s">
        <v>68</v>
      </c>
      <c r="B22" s="151" t="s">
        <v>106</v>
      </c>
      <c r="C22" s="82">
        <v>12</v>
      </c>
      <c r="D22" s="69">
        <f>SUM(E15)</f>
        <v>15</v>
      </c>
      <c r="E22" s="41">
        <f>IF(A22="X",D22*C22,0)</f>
        <v>180</v>
      </c>
      <c r="F22" s="98" t="s">
        <v>25</v>
      </c>
      <c r="G22" s="107">
        <f t="shared" si="1"/>
        <v>54</v>
      </c>
      <c r="H22" s="27" t="s">
        <v>25</v>
      </c>
      <c r="I22" s="15">
        <f t="shared" si="2"/>
        <v>45</v>
      </c>
      <c r="J22" s="110"/>
      <c r="K22" s="111"/>
      <c r="L22" s="3">
        <f t="shared" si="3"/>
        <v>279</v>
      </c>
      <c r="M22" s="26" t="s">
        <v>25</v>
      </c>
      <c r="N22" s="15">
        <f t="shared" si="4"/>
        <v>139.5</v>
      </c>
      <c r="O22" s="3">
        <f>SUM(N22+L22)</f>
        <v>418.5</v>
      </c>
      <c r="P22" s="80">
        <f t="shared" si="6"/>
        <v>418.5</v>
      </c>
      <c r="Q22" s="208"/>
    </row>
    <row r="23" spans="1:17" x14ac:dyDescent="0.2">
      <c r="A23" s="95" t="s">
        <v>68</v>
      </c>
      <c r="B23" s="151" t="s">
        <v>79</v>
      </c>
      <c r="C23" s="82">
        <v>9</v>
      </c>
      <c r="D23" s="69">
        <v>15</v>
      </c>
      <c r="E23" s="41">
        <f>IF(A23="X",D23*C23,0)</f>
        <v>135</v>
      </c>
      <c r="F23" s="98" t="s">
        <v>25</v>
      </c>
      <c r="G23" s="107">
        <f t="shared" si="1"/>
        <v>40.5</v>
      </c>
      <c r="H23" s="27" t="s">
        <v>25</v>
      </c>
      <c r="I23" s="15">
        <f t="shared" si="2"/>
        <v>33.75</v>
      </c>
      <c r="J23" s="110"/>
      <c r="K23" s="111"/>
      <c r="L23" s="3">
        <f t="shared" si="3"/>
        <v>209.25</v>
      </c>
      <c r="M23" s="26" t="s">
        <v>25</v>
      </c>
      <c r="N23" s="15">
        <f t="shared" si="4"/>
        <v>104.625</v>
      </c>
      <c r="O23" s="3">
        <f>SUM(N23+L23)</f>
        <v>313.875</v>
      </c>
      <c r="P23" s="80">
        <f t="shared" si="6"/>
        <v>313.875</v>
      </c>
      <c r="Q23" s="208"/>
    </row>
    <row r="24" spans="1:17" x14ac:dyDescent="0.2">
      <c r="A24" s="95" t="s">
        <v>68</v>
      </c>
      <c r="B24" s="151" t="s">
        <v>72</v>
      </c>
      <c r="C24" s="82">
        <v>6</v>
      </c>
      <c r="D24" s="159">
        <f>SUM(E16)</f>
        <v>16.100000000000001</v>
      </c>
      <c r="E24" s="41">
        <f>IF(A24="X",D24*C24,0)</f>
        <v>96.600000000000009</v>
      </c>
      <c r="F24" s="98" t="s">
        <v>25</v>
      </c>
      <c r="G24" s="107">
        <f t="shared" si="1"/>
        <v>28.98</v>
      </c>
      <c r="H24" s="27" t="s">
        <v>25</v>
      </c>
      <c r="I24" s="15">
        <f t="shared" si="2"/>
        <v>24.150000000000002</v>
      </c>
      <c r="J24" s="110"/>
      <c r="K24" s="111"/>
      <c r="L24" s="3">
        <f t="shared" si="3"/>
        <v>149.73000000000002</v>
      </c>
      <c r="M24" s="26" t="s">
        <v>25</v>
      </c>
      <c r="N24" s="15">
        <f t="shared" si="4"/>
        <v>74.865000000000009</v>
      </c>
      <c r="O24" s="3">
        <f>SUM(N24+L24)</f>
        <v>224.59500000000003</v>
      </c>
      <c r="P24" s="80">
        <f t="shared" si="6"/>
        <v>224.59500000000003</v>
      </c>
      <c r="Q24" s="208"/>
    </row>
    <row r="25" spans="1:17" x14ac:dyDescent="0.2">
      <c r="A25" s="33" t="s">
        <v>26</v>
      </c>
      <c r="B25" s="151" t="s">
        <v>154</v>
      </c>
      <c r="C25" s="82">
        <v>10</v>
      </c>
      <c r="D25" s="69">
        <v>20</v>
      </c>
      <c r="E25" s="41">
        <f t="shared" si="0"/>
        <v>200</v>
      </c>
      <c r="F25" s="98" t="s">
        <v>25</v>
      </c>
      <c r="G25" s="107">
        <f t="shared" si="1"/>
        <v>60</v>
      </c>
      <c r="H25" s="27" t="s">
        <v>25</v>
      </c>
      <c r="I25" s="15">
        <f t="shared" si="2"/>
        <v>50</v>
      </c>
      <c r="J25" s="110"/>
      <c r="K25" s="111"/>
      <c r="L25" s="3">
        <f t="shared" si="3"/>
        <v>310</v>
      </c>
      <c r="M25" s="26" t="s">
        <v>25</v>
      </c>
      <c r="N25" s="15">
        <f t="shared" si="4"/>
        <v>155</v>
      </c>
      <c r="O25" s="3">
        <f t="shared" si="5"/>
        <v>465</v>
      </c>
      <c r="P25" s="80">
        <f t="shared" si="6"/>
        <v>465</v>
      </c>
      <c r="Q25" s="208"/>
    </row>
    <row r="26" spans="1:17" x14ac:dyDescent="0.2">
      <c r="A26" s="149" t="s">
        <v>68</v>
      </c>
      <c r="B26" s="151" t="s">
        <v>148</v>
      </c>
      <c r="C26" s="82">
        <v>12</v>
      </c>
      <c r="D26" s="159">
        <f>SUM(E16)</f>
        <v>16.100000000000001</v>
      </c>
      <c r="E26" s="41">
        <f t="shared" si="0"/>
        <v>193.20000000000002</v>
      </c>
      <c r="F26" s="98" t="s">
        <v>25</v>
      </c>
      <c r="G26" s="107">
        <f t="shared" si="1"/>
        <v>57.96</v>
      </c>
      <c r="H26" s="27" t="s">
        <v>25</v>
      </c>
      <c r="I26" s="15">
        <f t="shared" si="2"/>
        <v>48.300000000000004</v>
      </c>
      <c r="J26" s="110"/>
      <c r="K26" s="111"/>
      <c r="L26" s="3">
        <f t="shared" si="3"/>
        <v>299.46000000000004</v>
      </c>
      <c r="M26" s="26" t="s">
        <v>25</v>
      </c>
      <c r="N26" s="15">
        <f t="shared" si="4"/>
        <v>149.73000000000002</v>
      </c>
      <c r="O26" s="3">
        <f t="shared" si="5"/>
        <v>449.19000000000005</v>
      </c>
      <c r="P26" s="80">
        <f t="shared" si="6"/>
        <v>449.19000000000005</v>
      </c>
      <c r="Q26" s="208"/>
    </row>
    <row r="27" spans="1:17" x14ac:dyDescent="0.2">
      <c r="A27" s="149" t="s">
        <v>68</v>
      </c>
      <c r="B27" s="93" t="s">
        <v>81</v>
      </c>
      <c r="C27" s="82">
        <v>2</v>
      </c>
      <c r="D27" s="159">
        <f>SUM(E16)</f>
        <v>16.100000000000001</v>
      </c>
      <c r="E27" s="41">
        <f t="shared" si="0"/>
        <v>32.200000000000003</v>
      </c>
      <c r="F27" s="98" t="s">
        <v>25</v>
      </c>
      <c r="G27" s="107">
        <f t="shared" si="1"/>
        <v>9.66</v>
      </c>
      <c r="H27" s="27" t="s">
        <v>25</v>
      </c>
      <c r="I27" s="15">
        <f t="shared" si="2"/>
        <v>8.0500000000000007</v>
      </c>
      <c r="J27" s="110"/>
      <c r="K27" s="111"/>
      <c r="L27" s="3">
        <f t="shared" si="3"/>
        <v>49.91</v>
      </c>
      <c r="M27" s="26" t="s">
        <v>25</v>
      </c>
      <c r="N27" s="15">
        <f t="shared" si="4"/>
        <v>24.954999999999998</v>
      </c>
      <c r="O27" s="3">
        <f t="shared" si="5"/>
        <v>74.864999999999995</v>
      </c>
      <c r="P27" s="80">
        <f t="shared" si="6"/>
        <v>74.864999999999995</v>
      </c>
      <c r="Q27" s="208"/>
    </row>
    <row r="28" spans="1:17" x14ac:dyDescent="0.2">
      <c r="A28" s="149" t="s">
        <v>68</v>
      </c>
      <c r="B28" s="93" t="s">
        <v>149</v>
      </c>
      <c r="C28" s="64">
        <v>32</v>
      </c>
      <c r="D28" s="69">
        <f>SUM(E15)</f>
        <v>15</v>
      </c>
      <c r="E28" s="41">
        <f t="shared" si="0"/>
        <v>480</v>
      </c>
      <c r="F28" s="112" t="s">
        <v>25</v>
      </c>
      <c r="G28" s="113">
        <f t="shared" si="1"/>
        <v>144</v>
      </c>
      <c r="H28" s="114" t="s">
        <v>25</v>
      </c>
      <c r="I28" s="119">
        <f t="shared" si="2"/>
        <v>120</v>
      </c>
      <c r="J28" s="115"/>
      <c r="K28" s="116"/>
      <c r="L28" s="117">
        <f t="shared" si="3"/>
        <v>744</v>
      </c>
      <c r="M28" s="118" t="s">
        <v>25</v>
      </c>
      <c r="N28" s="119">
        <f t="shared" si="4"/>
        <v>372</v>
      </c>
      <c r="O28" s="117">
        <f t="shared" si="5"/>
        <v>1116</v>
      </c>
      <c r="P28" s="80">
        <f t="shared" si="6"/>
        <v>1116</v>
      </c>
      <c r="Q28" s="208"/>
    </row>
    <row r="29" spans="1:17" x14ac:dyDescent="0.2">
      <c r="A29" s="9"/>
      <c r="B29" s="24"/>
      <c r="C29" s="65">
        <f>SUM(C20:C28)</f>
        <v>99</v>
      </c>
      <c r="D29" s="60"/>
      <c r="E29" s="48">
        <f>SUM(E20:E28)</f>
        <v>1557</v>
      </c>
      <c r="F29" s="120" t="s">
        <v>25</v>
      </c>
      <c r="G29" s="59">
        <f>SUM(G20:G28)</f>
        <v>467.1</v>
      </c>
      <c r="H29" s="121" t="s">
        <v>25</v>
      </c>
      <c r="I29" s="57">
        <f>SUM(I20:I28)</f>
        <v>389.25</v>
      </c>
      <c r="J29" s="121"/>
      <c r="K29" s="59"/>
      <c r="L29" s="63">
        <f>SUM(L20:L28)</f>
        <v>2413.3500000000004</v>
      </c>
      <c r="M29" s="121" t="s">
        <v>25</v>
      </c>
      <c r="N29" s="57">
        <f>SUM(N20:N28)</f>
        <v>1206.6750000000002</v>
      </c>
      <c r="O29" s="58">
        <f>SUM(O20:O28)</f>
        <v>3620.0249999999996</v>
      </c>
      <c r="P29" s="122">
        <f>SUM(O29/1)</f>
        <v>3620.0249999999996</v>
      </c>
      <c r="Q29" s="208"/>
    </row>
    <row r="30" spans="1:17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  <c r="Q30" s="208"/>
    </row>
    <row r="31" spans="1:17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  <c r="Q31" s="208"/>
    </row>
    <row r="32" spans="1:17" x14ac:dyDescent="0.2">
      <c r="A32" s="152" t="s">
        <v>26</v>
      </c>
      <c r="B32" s="24" t="s">
        <v>35</v>
      </c>
      <c r="C32" s="83">
        <v>4</v>
      </c>
      <c r="D32" s="45">
        <v>40</v>
      </c>
      <c r="E32" s="41">
        <f>IF(A32="X",D32*C32,0)</f>
        <v>160</v>
      </c>
      <c r="F32" s="112" t="s">
        <v>25</v>
      </c>
      <c r="G32" s="113">
        <f>E32*$F$19</f>
        <v>48</v>
      </c>
      <c r="H32" s="27" t="s">
        <v>25</v>
      </c>
      <c r="I32" s="15">
        <f t="shared" ref="I32:I42" si="7">E32*$H$19</f>
        <v>40</v>
      </c>
      <c r="J32" s="110"/>
      <c r="K32" s="111"/>
      <c r="L32" s="3">
        <f t="shared" ref="L32:L42" si="8">SUM(E32:K32)</f>
        <v>248</v>
      </c>
      <c r="M32" s="26" t="s">
        <v>25</v>
      </c>
      <c r="N32" s="15">
        <f t="shared" ref="N32:N42" si="9">L32*$M$19</f>
        <v>124</v>
      </c>
      <c r="O32" s="3">
        <f>SUM(N32+L32)</f>
        <v>372</v>
      </c>
      <c r="P32" s="80">
        <f t="shared" ref="P32:P45" si="10">SUM(O32)</f>
        <v>372</v>
      </c>
      <c r="Q32" s="208"/>
    </row>
    <row r="33" spans="1:17" x14ac:dyDescent="0.2">
      <c r="A33" s="150" t="str">
        <f>IF(A20="X",A20,"")</f>
        <v>x</v>
      </c>
      <c r="B33" s="151" t="s">
        <v>227</v>
      </c>
      <c r="C33" s="83">
        <v>16</v>
      </c>
      <c r="D33" s="45">
        <v>40</v>
      </c>
      <c r="E33" s="41">
        <f t="shared" ref="E33:E42" si="11">IF(A33="X",D33*C33,0)</f>
        <v>640</v>
      </c>
      <c r="F33" s="98" t="s">
        <v>25</v>
      </c>
      <c r="G33" s="107">
        <f t="shared" ref="G33:G42" si="12">E33*$F$19</f>
        <v>192</v>
      </c>
      <c r="H33" s="27" t="s">
        <v>25</v>
      </c>
      <c r="I33" s="15">
        <f t="shared" si="7"/>
        <v>160</v>
      </c>
      <c r="J33" s="110"/>
      <c r="K33" s="111"/>
      <c r="L33" s="3">
        <f t="shared" si="8"/>
        <v>992</v>
      </c>
      <c r="M33" s="26" t="s">
        <v>25</v>
      </c>
      <c r="N33" s="15">
        <f t="shared" si="9"/>
        <v>496</v>
      </c>
      <c r="O33" s="3">
        <f t="shared" ref="O33:O42" si="13">SUM(N33+L33)</f>
        <v>1488</v>
      </c>
      <c r="P33" s="80">
        <f t="shared" si="10"/>
        <v>1488</v>
      </c>
      <c r="Q33" s="208"/>
    </row>
    <row r="34" spans="1:17" x14ac:dyDescent="0.2">
      <c r="A34" s="150" t="str">
        <f>IF(A21="X",A21,"")</f>
        <v>X</v>
      </c>
      <c r="B34" s="93" t="s">
        <v>75</v>
      </c>
      <c r="C34" s="83">
        <v>2</v>
      </c>
      <c r="D34" s="45">
        <v>40</v>
      </c>
      <c r="E34" s="41">
        <f t="shared" si="11"/>
        <v>80</v>
      </c>
      <c r="F34" s="112" t="s">
        <v>25</v>
      </c>
      <c r="G34" s="113">
        <f t="shared" si="12"/>
        <v>24</v>
      </c>
      <c r="H34" s="27" t="s">
        <v>25</v>
      </c>
      <c r="I34" s="15">
        <f t="shared" si="7"/>
        <v>20</v>
      </c>
      <c r="J34" s="110"/>
      <c r="K34" s="111"/>
      <c r="L34" s="3">
        <f t="shared" si="8"/>
        <v>124</v>
      </c>
      <c r="M34" s="26" t="s">
        <v>25</v>
      </c>
      <c r="N34" s="15">
        <f t="shared" si="9"/>
        <v>62</v>
      </c>
      <c r="O34" s="3">
        <f t="shared" si="13"/>
        <v>186</v>
      </c>
      <c r="P34" s="80">
        <f t="shared" si="10"/>
        <v>186</v>
      </c>
      <c r="Q34" s="208"/>
    </row>
    <row r="35" spans="1:17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  <c r="Q35" s="208"/>
    </row>
    <row r="36" spans="1:17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41">
        <f>IF(A36="X",D36*C36,0)</f>
        <v>120</v>
      </c>
      <c r="F36" s="98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93</v>
      </c>
      <c r="O36" s="3">
        <f>SUM(N36+L36)</f>
        <v>279</v>
      </c>
      <c r="P36" s="80">
        <f t="shared" si="10"/>
        <v>279</v>
      </c>
      <c r="Q36" s="208"/>
    </row>
    <row r="37" spans="1:17" x14ac:dyDescent="0.2">
      <c r="A37" s="150" t="str">
        <f>IF(A23="X",A23,"")</f>
        <v>x</v>
      </c>
      <c r="B37" s="151" t="s">
        <v>124</v>
      </c>
      <c r="C37" s="83">
        <v>1</v>
      </c>
      <c r="D37" s="45">
        <v>40</v>
      </c>
      <c r="E37" s="41">
        <f>IF(A37="X",D37*C37,0)</f>
        <v>40</v>
      </c>
      <c r="F37" s="98" t="s">
        <v>25</v>
      </c>
      <c r="G37" s="107">
        <f t="shared" si="12"/>
        <v>12</v>
      </c>
      <c r="H37" s="27" t="s">
        <v>25</v>
      </c>
      <c r="I37" s="15">
        <f t="shared" si="7"/>
        <v>10</v>
      </c>
      <c r="J37" s="110"/>
      <c r="K37" s="111"/>
      <c r="L37" s="3">
        <f t="shared" si="8"/>
        <v>62</v>
      </c>
      <c r="M37" s="26" t="s">
        <v>25</v>
      </c>
      <c r="N37" s="15">
        <f t="shared" si="9"/>
        <v>31</v>
      </c>
      <c r="O37" s="3">
        <f>SUM(N37+L37)</f>
        <v>93</v>
      </c>
      <c r="P37" s="80">
        <f t="shared" si="10"/>
        <v>93</v>
      </c>
      <c r="Q37" s="208"/>
    </row>
    <row r="38" spans="1:17" x14ac:dyDescent="0.2">
      <c r="A38" s="150" t="str">
        <f>IF(A24="X",A24,"")</f>
        <v>x</v>
      </c>
      <c r="B38" s="151" t="s">
        <v>72</v>
      </c>
      <c r="C38" s="83">
        <v>8</v>
      </c>
      <c r="D38" s="45">
        <v>40</v>
      </c>
      <c r="E38" s="41">
        <f>IF(A38="X",D38*C38,0)</f>
        <v>320</v>
      </c>
      <c r="F38" s="98" t="s">
        <v>25</v>
      </c>
      <c r="G38" s="107">
        <f t="shared" si="12"/>
        <v>96</v>
      </c>
      <c r="H38" s="27" t="s">
        <v>25</v>
      </c>
      <c r="I38" s="15">
        <f t="shared" si="7"/>
        <v>80</v>
      </c>
      <c r="J38" s="110"/>
      <c r="K38" s="111"/>
      <c r="L38" s="3">
        <f t="shared" si="8"/>
        <v>496</v>
      </c>
      <c r="M38" s="26" t="s">
        <v>25</v>
      </c>
      <c r="N38" s="15">
        <f t="shared" si="9"/>
        <v>248</v>
      </c>
      <c r="O38" s="3">
        <f>SUM(N38+L38)</f>
        <v>744</v>
      </c>
      <c r="P38" s="80">
        <f t="shared" si="10"/>
        <v>744</v>
      </c>
      <c r="Q38" s="208"/>
    </row>
    <row r="39" spans="1:17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  <c r="Q39" s="208"/>
    </row>
    <row r="40" spans="1:17" x14ac:dyDescent="0.2">
      <c r="A40" s="150" t="str">
        <f>IF(A26="X",A26,"")</f>
        <v>x</v>
      </c>
      <c r="B40" s="151" t="s">
        <v>149</v>
      </c>
      <c r="C40" s="83">
        <v>8</v>
      </c>
      <c r="D40" s="45">
        <v>40</v>
      </c>
      <c r="E40" s="41">
        <f t="shared" si="11"/>
        <v>320</v>
      </c>
      <c r="F40" s="112" t="s">
        <v>25</v>
      </c>
      <c r="G40" s="113">
        <f t="shared" si="12"/>
        <v>96</v>
      </c>
      <c r="H40" s="27" t="s">
        <v>25</v>
      </c>
      <c r="I40" s="15">
        <f t="shared" si="7"/>
        <v>80</v>
      </c>
      <c r="J40" s="110"/>
      <c r="K40" s="111"/>
      <c r="L40" s="3">
        <f t="shared" si="8"/>
        <v>496</v>
      </c>
      <c r="M40" s="26" t="s">
        <v>25</v>
      </c>
      <c r="N40" s="15">
        <f t="shared" si="9"/>
        <v>248</v>
      </c>
      <c r="O40" s="3">
        <f t="shared" si="13"/>
        <v>744</v>
      </c>
      <c r="P40" s="80">
        <f t="shared" si="10"/>
        <v>744</v>
      </c>
      <c r="Q40" s="208"/>
    </row>
    <row r="41" spans="1:17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31</v>
      </c>
      <c r="O41" s="3">
        <f t="shared" si="13"/>
        <v>93</v>
      </c>
      <c r="P41" s="80">
        <f t="shared" si="10"/>
        <v>93</v>
      </c>
      <c r="Q41" s="208"/>
    </row>
    <row r="42" spans="1:17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  <c r="Q42" s="208"/>
    </row>
    <row r="43" spans="1:17" x14ac:dyDescent="0.2">
      <c r="A43" s="54"/>
      <c r="B43" s="24"/>
      <c r="C43" s="66">
        <f>SUM(C32:C42)</f>
        <v>43</v>
      </c>
      <c r="D43" s="60"/>
      <c r="E43" s="60">
        <f>SUM(E32:E42)</f>
        <v>1720</v>
      </c>
      <c r="F43" s="123" t="s">
        <v>25</v>
      </c>
      <c r="G43" s="61">
        <f>SUM(G32:G42)</f>
        <v>516</v>
      </c>
      <c r="H43" s="124" t="s">
        <v>25</v>
      </c>
      <c r="I43" s="62">
        <f>SUM(I32:I42)</f>
        <v>430</v>
      </c>
      <c r="J43" s="124"/>
      <c r="K43" s="61"/>
      <c r="L43" s="63">
        <f>SUM(L32:L42)</f>
        <v>2666</v>
      </c>
      <c r="M43" s="124" t="s">
        <v>25</v>
      </c>
      <c r="N43" s="62">
        <f>SUM(N32:N42)</f>
        <v>1333</v>
      </c>
      <c r="O43" s="63">
        <f>SUM(O32:O42)</f>
        <v>3999</v>
      </c>
      <c r="P43" s="80">
        <f t="shared" si="10"/>
        <v>3999</v>
      </c>
      <c r="Q43" s="208"/>
    </row>
    <row r="44" spans="1:17" ht="13.5" thickBot="1" x14ac:dyDescent="0.25">
      <c r="A44" s="9"/>
      <c r="B44" s="49" t="s">
        <v>73</v>
      </c>
      <c r="C44" s="161">
        <f>SUM(C29+C43)</f>
        <v>142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  <c r="Q44" s="208"/>
    </row>
    <row r="45" spans="1:17" ht="16.5" thickBot="1" x14ac:dyDescent="0.3">
      <c r="A45" s="9"/>
      <c r="B45" s="154"/>
      <c r="C45" s="326" t="s">
        <v>4</v>
      </c>
      <c r="D45" s="327"/>
      <c r="E45" s="125">
        <f>E43+E29</f>
        <v>3277</v>
      </c>
      <c r="F45" s="328">
        <f>G43+G29</f>
        <v>983.1</v>
      </c>
      <c r="G45" s="329"/>
      <c r="H45" s="328">
        <f>I43+I29</f>
        <v>819.25</v>
      </c>
      <c r="I45" s="329"/>
      <c r="J45" s="328"/>
      <c r="K45" s="329"/>
      <c r="L45" s="31">
        <f>L43+L29</f>
        <v>5079.3500000000004</v>
      </c>
      <c r="M45" s="330">
        <f>N43+N29</f>
        <v>2539.6750000000002</v>
      </c>
      <c r="N45" s="331"/>
      <c r="O45" s="31">
        <f>O43+O29</f>
        <v>7619.0249999999996</v>
      </c>
      <c r="P45" s="80">
        <f t="shared" si="10"/>
        <v>7619.0249999999996</v>
      </c>
      <c r="Q45" s="208"/>
    </row>
    <row r="46" spans="1:17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  <c r="Q46" s="208"/>
    </row>
    <row r="47" spans="1:17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  <c r="Q47" s="208"/>
    </row>
    <row r="48" spans="1:17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v>0.6</v>
      </c>
      <c r="N48" s="56"/>
      <c r="O48" s="56"/>
      <c r="P48" s="86"/>
      <c r="Q48" s="208"/>
    </row>
    <row r="49" spans="1:17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0.5</v>
      </c>
      <c r="N49" s="22" t="s">
        <v>24</v>
      </c>
      <c r="O49" s="18" t="s">
        <v>5</v>
      </c>
      <c r="P49" s="84" t="s">
        <v>21</v>
      </c>
      <c r="Q49" s="208"/>
    </row>
    <row r="50" spans="1:17" x14ac:dyDescent="0.2">
      <c r="A50" s="95"/>
      <c r="B50" s="93" t="s">
        <v>187</v>
      </c>
      <c r="C50" s="85">
        <f>SUM('Concrete 21x20'!F4:F6,'Concrete 21x20'!F8)</f>
        <v>23.738088888888889</v>
      </c>
      <c r="D50" s="94" t="s">
        <v>18</v>
      </c>
      <c r="E50" s="51">
        <v>105</v>
      </c>
      <c r="F50" s="334">
        <f t="shared" ref="F50:F61" si="14">IF(A50="x",SUM(C50*E50),0)</f>
        <v>0</v>
      </c>
      <c r="G50" s="335"/>
      <c r="H50" s="334">
        <f t="shared" ref="H50:H61" si="15">F50*$H$49</f>
        <v>0</v>
      </c>
      <c r="I50" s="335"/>
      <c r="J50" s="25" t="s">
        <v>25</v>
      </c>
      <c r="K50" s="15">
        <f>F50*$J$49</f>
        <v>0</v>
      </c>
      <c r="L50" s="3">
        <f t="shared" ref="L50:L64" si="16">SUM(F50:K50)</f>
        <v>0</v>
      </c>
      <c r="M50" s="26" t="s">
        <v>25</v>
      </c>
      <c r="N50" s="15">
        <f>L50*$M$48</f>
        <v>0</v>
      </c>
      <c r="O50" s="3">
        <f t="shared" ref="O50:O61" si="17">SUM(N50+L50)</f>
        <v>0</v>
      </c>
      <c r="P50" s="80">
        <f t="shared" ref="P50:P65" si="18">SUM(O50)</f>
        <v>0</v>
      </c>
      <c r="Q50" s="208"/>
    </row>
    <row r="51" spans="1:17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500</v>
      </c>
      <c r="F51" s="336">
        <f>IF(A51="x",SUM(C51*E51),0)</f>
        <v>500</v>
      </c>
      <c r="G51" s="337"/>
      <c r="H51" s="336">
        <f>F51*$H$49</f>
        <v>46.25</v>
      </c>
      <c r="I51" s="337"/>
      <c r="J51" s="27" t="s">
        <v>25</v>
      </c>
      <c r="K51" s="15">
        <f t="shared" ref="K51:K64" si="19">F51*$J$49</f>
        <v>125</v>
      </c>
      <c r="L51" s="3">
        <f t="shared" si="16"/>
        <v>671.25</v>
      </c>
      <c r="M51" s="26" t="s">
        <v>25</v>
      </c>
      <c r="N51" s="15">
        <f t="shared" ref="N51:N64" si="20">L51*$M$49</f>
        <v>335.625</v>
      </c>
      <c r="O51" s="3">
        <f>SUM(N51+L51)</f>
        <v>1006.875</v>
      </c>
      <c r="P51" s="80">
        <f t="shared" si="18"/>
        <v>1006.875</v>
      </c>
      <c r="Q51" s="208"/>
    </row>
    <row r="52" spans="1:17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  <c r="Q52" s="208"/>
    </row>
    <row r="53" spans="1:17" x14ac:dyDescent="0.2">
      <c r="A53" s="95" t="s">
        <v>68</v>
      </c>
      <c r="B53" s="93" t="s">
        <v>151</v>
      </c>
      <c r="C53" s="85">
        <v>1400</v>
      </c>
      <c r="D53" s="94" t="s">
        <v>17</v>
      </c>
      <c r="E53" s="28">
        <v>0.3</v>
      </c>
      <c r="F53" s="336">
        <f t="shared" si="14"/>
        <v>420</v>
      </c>
      <c r="G53" s="337"/>
      <c r="H53" s="336">
        <f t="shared" si="15"/>
        <v>38.85</v>
      </c>
      <c r="I53" s="337"/>
      <c r="J53" s="27" t="s">
        <v>25</v>
      </c>
      <c r="K53" s="15">
        <f t="shared" si="19"/>
        <v>105</v>
      </c>
      <c r="L53" s="3">
        <f t="shared" si="16"/>
        <v>563.85</v>
      </c>
      <c r="M53" s="26" t="s">
        <v>25</v>
      </c>
      <c r="N53" s="15">
        <f t="shared" si="20"/>
        <v>281.92500000000001</v>
      </c>
      <c r="O53" s="3">
        <f t="shared" si="17"/>
        <v>845.77500000000009</v>
      </c>
      <c r="P53" s="80">
        <f t="shared" si="18"/>
        <v>845.77500000000009</v>
      </c>
      <c r="Q53" s="208"/>
    </row>
    <row r="54" spans="1:17" x14ac:dyDescent="0.2">
      <c r="A54" s="95" t="s">
        <v>68</v>
      </c>
      <c r="B54" s="93" t="s">
        <v>234</v>
      </c>
      <c r="C54" s="85">
        <f>'Concrete 21x20'!F7</f>
        <v>7.7777777777777777</v>
      </c>
      <c r="D54" s="94" t="s">
        <v>18</v>
      </c>
      <c r="E54" s="28">
        <v>105</v>
      </c>
      <c r="F54" s="336">
        <f t="shared" si="14"/>
        <v>816.66666666666663</v>
      </c>
      <c r="G54" s="337"/>
      <c r="H54" s="336">
        <f t="shared" si="15"/>
        <v>75.541666666666657</v>
      </c>
      <c r="I54" s="337"/>
      <c r="J54" s="27" t="s">
        <v>25</v>
      </c>
      <c r="K54" s="15">
        <f t="shared" si="19"/>
        <v>204.16666666666666</v>
      </c>
      <c r="L54" s="3">
        <f t="shared" si="16"/>
        <v>1096.375</v>
      </c>
      <c r="M54" s="26" t="s">
        <v>25</v>
      </c>
      <c r="N54" s="15">
        <f t="shared" si="20"/>
        <v>548.1875</v>
      </c>
      <c r="O54" s="3">
        <f t="shared" si="17"/>
        <v>1644.5625</v>
      </c>
      <c r="P54" s="80">
        <f t="shared" si="18"/>
        <v>1644.5625</v>
      </c>
      <c r="Q54" s="208"/>
    </row>
    <row r="55" spans="1:17" x14ac:dyDescent="0.2">
      <c r="A55" s="95" t="s">
        <v>68</v>
      </c>
      <c r="B55" s="93" t="s">
        <v>235</v>
      </c>
      <c r="C55">
        <v>6</v>
      </c>
      <c r="D55" s="94" t="s">
        <v>18</v>
      </c>
      <c r="E55" s="28">
        <v>105</v>
      </c>
      <c r="F55" s="336">
        <f>IF(A55="x",SUM(C55*E55),0)</f>
        <v>630</v>
      </c>
      <c r="G55" s="337"/>
      <c r="H55" s="336">
        <f>F55*$H$49</f>
        <v>58.274999999999999</v>
      </c>
      <c r="I55" s="337"/>
      <c r="J55" s="27"/>
      <c r="K55" s="15"/>
      <c r="L55" s="3"/>
      <c r="M55" s="26"/>
      <c r="N55" s="15"/>
      <c r="O55" s="3"/>
      <c r="P55" s="80"/>
      <c r="Q55" s="208"/>
    </row>
    <row r="56" spans="1:17" x14ac:dyDescent="0.2">
      <c r="A56" s="95" t="s">
        <v>68</v>
      </c>
      <c r="B56" s="93" t="s">
        <v>98</v>
      </c>
      <c r="C56" s="85">
        <f>SUM(C50,C54)*10</f>
        <v>315.1586666666667</v>
      </c>
      <c r="D56" s="94" t="s">
        <v>115</v>
      </c>
      <c r="E56" s="28">
        <v>2</v>
      </c>
      <c r="F56" s="336">
        <f>IF(A56="x",SUM(C56*E56),0)</f>
        <v>630.31733333333341</v>
      </c>
      <c r="G56" s="337"/>
      <c r="H56" s="336">
        <f>F56*$H$49</f>
        <v>58.304353333333339</v>
      </c>
      <c r="I56" s="337"/>
      <c r="J56" s="27" t="s">
        <v>25</v>
      </c>
      <c r="K56" s="15">
        <f t="shared" si="19"/>
        <v>157.57933333333335</v>
      </c>
      <c r="L56" s="3">
        <f t="shared" si="16"/>
        <v>846.20102000000009</v>
      </c>
      <c r="M56" s="26" t="s">
        <v>25</v>
      </c>
      <c r="N56" s="15">
        <f t="shared" si="20"/>
        <v>423.10051000000004</v>
      </c>
      <c r="O56" s="3">
        <f>SUM(N56+L56)</f>
        <v>1269.3015300000002</v>
      </c>
      <c r="P56" s="80">
        <f t="shared" si="18"/>
        <v>1269.3015300000002</v>
      </c>
      <c r="Q56" s="208"/>
    </row>
    <row r="57" spans="1:17" x14ac:dyDescent="0.2">
      <c r="A57" s="95"/>
      <c r="B57" s="93" t="s">
        <v>168</v>
      </c>
      <c r="C57" s="85">
        <v>1904</v>
      </c>
      <c r="D57" s="94" t="s">
        <v>115</v>
      </c>
      <c r="E57" s="28">
        <v>0.75</v>
      </c>
      <c r="F57" s="336">
        <f t="shared" si="14"/>
        <v>0</v>
      </c>
      <c r="G57" s="337"/>
      <c r="H57" s="336">
        <f t="shared" si="15"/>
        <v>0</v>
      </c>
      <c r="I57" s="337"/>
      <c r="J57" s="27" t="s">
        <v>25</v>
      </c>
      <c r="K57" s="15">
        <f t="shared" si="19"/>
        <v>0</v>
      </c>
      <c r="L57" s="3">
        <f t="shared" si="16"/>
        <v>0</v>
      </c>
      <c r="M57" s="26" t="s">
        <v>25</v>
      </c>
      <c r="N57" s="15">
        <f t="shared" si="20"/>
        <v>0</v>
      </c>
      <c r="O57" s="3">
        <f t="shared" si="17"/>
        <v>0</v>
      </c>
      <c r="P57" s="80">
        <f t="shared" si="18"/>
        <v>0</v>
      </c>
      <c r="Q57" s="208"/>
    </row>
    <row r="58" spans="1:17" x14ac:dyDescent="0.2">
      <c r="A58" s="95" t="s">
        <v>68</v>
      </c>
      <c r="B58" s="93" t="s">
        <v>27</v>
      </c>
      <c r="C58" s="85">
        <v>3</v>
      </c>
      <c r="D58" s="94" t="s">
        <v>16</v>
      </c>
      <c r="E58" s="28">
        <v>30</v>
      </c>
      <c r="F58" s="336">
        <f>IF(A58="x",SUM(C58*E58),0)</f>
        <v>90</v>
      </c>
      <c r="G58" s="337"/>
      <c r="H58" s="336">
        <f>F58*$H$49</f>
        <v>8.3249999999999993</v>
      </c>
      <c r="I58" s="337"/>
      <c r="J58" s="27" t="s">
        <v>25</v>
      </c>
      <c r="K58" s="15">
        <f>F58*$J$49</f>
        <v>22.5</v>
      </c>
      <c r="L58" s="3">
        <f t="shared" si="16"/>
        <v>120.825</v>
      </c>
      <c r="M58" s="26" t="s">
        <v>25</v>
      </c>
      <c r="N58" s="15">
        <f>L58*$M$49</f>
        <v>60.412500000000001</v>
      </c>
      <c r="O58" s="3">
        <f>SUM(N58+L58)</f>
        <v>181.23750000000001</v>
      </c>
      <c r="P58" s="80">
        <f t="shared" si="18"/>
        <v>181.23750000000001</v>
      </c>
      <c r="Q58" s="208"/>
    </row>
    <row r="59" spans="1:17" x14ac:dyDescent="0.2">
      <c r="A59" s="95" t="s">
        <v>68</v>
      </c>
      <c r="B59" s="93" t="s">
        <v>83</v>
      </c>
      <c r="C59" s="85">
        <v>2</v>
      </c>
      <c r="D59" s="94" t="s">
        <v>16</v>
      </c>
      <c r="E59" s="50">
        <v>30</v>
      </c>
      <c r="F59" s="336">
        <f t="shared" si="14"/>
        <v>60</v>
      </c>
      <c r="G59" s="337"/>
      <c r="H59" s="338">
        <f t="shared" si="15"/>
        <v>5.55</v>
      </c>
      <c r="I59" s="337"/>
      <c r="J59" s="27" t="s">
        <v>25</v>
      </c>
      <c r="K59" s="15">
        <f t="shared" si="19"/>
        <v>15</v>
      </c>
      <c r="L59" s="3">
        <f t="shared" si="16"/>
        <v>80.55</v>
      </c>
      <c r="M59" s="26" t="s">
        <v>25</v>
      </c>
      <c r="N59" s="15">
        <f>L59*$M$48</f>
        <v>48.33</v>
      </c>
      <c r="O59" s="3">
        <f t="shared" si="17"/>
        <v>128.88</v>
      </c>
      <c r="P59" s="80">
        <f t="shared" si="18"/>
        <v>128.88</v>
      </c>
      <c r="Q59" s="208"/>
    </row>
    <row r="60" spans="1:17" x14ac:dyDescent="0.2">
      <c r="A60" s="95" t="s">
        <v>68</v>
      </c>
      <c r="B60" s="93" t="s">
        <v>94</v>
      </c>
      <c r="C60" s="40">
        <v>300</v>
      </c>
      <c r="D60" s="94" t="s">
        <v>16</v>
      </c>
      <c r="E60" s="23">
        <v>1</v>
      </c>
      <c r="F60" s="336">
        <f t="shared" si="14"/>
        <v>300</v>
      </c>
      <c r="G60" s="337"/>
      <c r="H60" s="338">
        <f t="shared" si="15"/>
        <v>27.75</v>
      </c>
      <c r="I60" s="337"/>
      <c r="J60" s="27" t="s">
        <v>25</v>
      </c>
      <c r="K60" s="15">
        <f t="shared" si="19"/>
        <v>75</v>
      </c>
      <c r="L60" s="3">
        <f t="shared" si="16"/>
        <v>402.75</v>
      </c>
      <c r="M60" s="26" t="s">
        <v>25</v>
      </c>
      <c r="N60" s="15">
        <f t="shared" si="20"/>
        <v>201.375</v>
      </c>
      <c r="O60" s="3">
        <f t="shared" si="17"/>
        <v>604.125</v>
      </c>
      <c r="P60" s="80">
        <f t="shared" si="18"/>
        <v>604.125</v>
      </c>
      <c r="Q60" s="208"/>
    </row>
    <row r="61" spans="1:17" x14ac:dyDescent="0.2">
      <c r="A61" s="33" t="s">
        <v>68</v>
      </c>
      <c r="B61" s="93" t="s">
        <v>169</v>
      </c>
      <c r="C61" s="85">
        <f>'Concrete 21x20'!J33</f>
        <v>1174.6956</v>
      </c>
      <c r="D61" s="94" t="s">
        <v>12</v>
      </c>
      <c r="E61" s="28">
        <v>3</v>
      </c>
      <c r="F61" s="336">
        <f t="shared" si="14"/>
        <v>3524.0868</v>
      </c>
      <c r="G61" s="337"/>
      <c r="H61" s="338">
        <f t="shared" si="15"/>
        <v>325.97802899999999</v>
      </c>
      <c r="I61" s="337"/>
      <c r="J61" s="27" t="s">
        <v>25</v>
      </c>
      <c r="K61" s="15">
        <f t="shared" si="19"/>
        <v>881.02170000000001</v>
      </c>
      <c r="L61" s="3">
        <f t="shared" si="16"/>
        <v>4731.0865290000002</v>
      </c>
      <c r="M61" s="26" t="s">
        <v>25</v>
      </c>
      <c r="N61" s="15">
        <f t="shared" si="20"/>
        <v>2365.5432645000001</v>
      </c>
      <c r="O61" s="3">
        <f t="shared" si="17"/>
        <v>7096.6297935000002</v>
      </c>
      <c r="P61" s="80">
        <f t="shared" si="18"/>
        <v>7096.6297935000002</v>
      </c>
      <c r="Q61" s="208"/>
    </row>
    <row r="62" spans="1:17" x14ac:dyDescent="0.2">
      <c r="A62" s="33" t="s">
        <v>68</v>
      </c>
      <c r="B62" s="13" t="s">
        <v>170</v>
      </c>
      <c r="C62" s="85">
        <v>560</v>
      </c>
      <c r="D62" s="10" t="s">
        <v>12</v>
      </c>
      <c r="E62" s="28">
        <v>2</v>
      </c>
      <c r="F62" s="336">
        <f>IF(A62="x",SUM(C62*E62),0)</f>
        <v>1120</v>
      </c>
      <c r="G62" s="337"/>
      <c r="H62" s="338">
        <f>F62*$H$49</f>
        <v>103.6</v>
      </c>
      <c r="I62" s="337"/>
      <c r="J62" s="27" t="s">
        <v>25</v>
      </c>
      <c r="K62" s="15">
        <f t="shared" si="19"/>
        <v>280</v>
      </c>
      <c r="L62" s="3">
        <f t="shared" si="16"/>
        <v>1503.6</v>
      </c>
      <c r="M62" s="26" t="s">
        <v>25</v>
      </c>
      <c r="N62" s="15">
        <f t="shared" si="20"/>
        <v>751.8</v>
      </c>
      <c r="O62" s="3">
        <f>SUM(N62+L62)</f>
        <v>2255.3999999999996</v>
      </c>
      <c r="P62" s="80">
        <f t="shared" si="18"/>
        <v>2255.3999999999996</v>
      </c>
      <c r="Q62" s="208"/>
    </row>
    <row r="63" spans="1:17" x14ac:dyDescent="0.2">
      <c r="A63" s="33" t="s">
        <v>68</v>
      </c>
      <c r="B63" s="93" t="s">
        <v>188</v>
      </c>
      <c r="C63" s="85">
        <f>'Concrete 21x20'!F37</f>
        <v>19.874877777777776</v>
      </c>
      <c r="D63" s="10" t="s">
        <v>18</v>
      </c>
      <c r="E63" s="28">
        <v>100</v>
      </c>
      <c r="F63" s="336">
        <f>IF(A63="x",SUM(C63*E63),0)</f>
        <v>1987.4877777777776</v>
      </c>
      <c r="G63" s="337"/>
      <c r="H63" s="338">
        <f>F63*$H$49</f>
        <v>183.84261944444444</v>
      </c>
      <c r="I63" s="337"/>
      <c r="J63" s="27" t="s">
        <v>25</v>
      </c>
      <c r="K63" s="15">
        <f t="shared" si="19"/>
        <v>496.87194444444441</v>
      </c>
      <c r="L63" s="3">
        <f t="shared" si="16"/>
        <v>2668.2023416666666</v>
      </c>
      <c r="M63" s="26" t="s">
        <v>25</v>
      </c>
      <c r="N63" s="15">
        <f t="shared" si="20"/>
        <v>1334.1011708333333</v>
      </c>
      <c r="O63" s="3">
        <f>SUM(N63+L63)</f>
        <v>4002.3035124999997</v>
      </c>
      <c r="P63" s="80">
        <f t="shared" si="18"/>
        <v>4002.3035124999997</v>
      </c>
    </row>
    <row r="64" spans="1:17" ht="13.5" thickBot="1" x14ac:dyDescent="0.25">
      <c r="A64" s="33"/>
      <c r="B64" s="13"/>
      <c r="C64" s="85"/>
      <c r="D64" s="10"/>
      <c r="E64" s="28"/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</row>
    <row r="65" spans="1:16" ht="16.5" thickBot="1" x14ac:dyDescent="0.3">
      <c r="A65" s="9"/>
      <c r="B65" s="13"/>
      <c r="C65" s="326" t="s">
        <v>4</v>
      </c>
      <c r="D65" s="339"/>
      <c r="E65" s="34"/>
      <c r="F65" s="340">
        <f>SUM(F50:G64)</f>
        <v>10328.558577777778</v>
      </c>
      <c r="G65" s="329"/>
      <c r="H65" s="328">
        <f>SUM(H50:I64)</f>
        <v>955.39166844444458</v>
      </c>
      <c r="I65" s="329"/>
      <c r="J65" s="328">
        <f>SUM(K50:K64)</f>
        <v>2424.6396444444445</v>
      </c>
      <c r="K65" s="329"/>
      <c r="L65" s="31">
        <f>SUM(L50:L64)</f>
        <v>13020.314890666667</v>
      </c>
      <c r="M65" s="341">
        <f>SUM(N50:N64)</f>
        <v>6518.2124453333336</v>
      </c>
      <c r="N65" s="342"/>
      <c r="O65" s="31">
        <f>SUM(O50:O64)</f>
        <v>19538.527335999999</v>
      </c>
      <c r="P65" s="80">
        <f t="shared" si="18"/>
        <v>19538.527335999999</v>
      </c>
    </row>
    <row r="66" spans="1:16" x14ac:dyDescent="0.2">
      <c r="A66" s="9"/>
      <c r="B66" s="1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4"/>
    </row>
    <row r="67" spans="1:16" ht="18" x14ac:dyDescent="0.25">
      <c r="A67" s="9"/>
      <c r="B67" s="16" t="s">
        <v>36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86"/>
    </row>
    <row r="68" spans="1:16" ht="18" x14ac:dyDescent="0.25">
      <c r="A68" s="9"/>
      <c r="B68" s="16"/>
      <c r="C68" s="17" t="s">
        <v>8</v>
      </c>
      <c r="D68" s="17" t="s">
        <v>9</v>
      </c>
      <c r="E68" s="17" t="s">
        <v>10</v>
      </c>
      <c r="F68" s="333" t="s">
        <v>36</v>
      </c>
      <c r="G68" s="333"/>
      <c r="H68" s="162">
        <f>H49</f>
        <v>9.2499999999999999E-2</v>
      </c>
      <c r="I68" s="19" t="s">
        <v>19</v>
      </c>
      <c r="J68" s="21">
        <f>H13</f>
        <v>0.25</v>
      </c>
      <c r="K68" s="19" t="s">
        <v>23</v>
      </c>
      <c r="L68" s="18" t="s">
        <v>4</v>
      </c>
      <c r="M68" s="90">
        <f>$H$7</f>
        <v>0.5</v>
      </c>
      <c r="N68" s="22" t="s">
        <v>24</v>
      </c>
      <c r="O68" s="18" t="s">
        <v>5</v>
      </c>
      <c r="P68" s="84" t="s">
        <v>21</v>
      </c>
    </row>
    <row r="69" spans="1:16" x14ac:dyDescent="0.2">
      <c r="A69" s="152" t="s">
        <v>68</v>
      </c>
      <c r="B69" s="93" t="s">
        <v>82</v>
      </c>
      <c r="C69" s="85">
        <v>144</v>
      </c>
      <c r="D69" s="94" t="s">
        <v>12</v>
      </c>
      <c r="E69" s="51">
        <v>1</v>
      </c>
      <c r="F69" s="334">
        <f t="shared" ref="F69:F75" si="21">IF(A69="x",SUM(C69*E69),0)</f>
        <v>144</v>
      </c>
      <c r="G69" s="335"/>
      <c r="H69" s="334">
        <f t="shared" ref="H69:H75" si="22">F69*$H$49</f>
        <v>13.32</v>
      </c>
      <c r="I69" s="335"/>
      <c r="J69" s="25" t="s">
        <v>25</v>
      </c>
      <c r="K69" s="15">
        <f>F69*$J$68</f>
        <v>36</v>
      </c>
      <c r="L69" s="3">
        <f t="shared" ref="L69:L75" si="23">SUM(F69:K69)</f>
        <v>193.32</v>
      </c>
      <c r="M69" s="26" t="s">
        <v>25</v>
      </c>
      <c r="N69" s="15">
        <f t="shared" ref="N69:N75" si="24">L69*$M$68</f>
        <v>96.66</v>
      </c>
      <c r="O69" s="3">
        <f t="shared" ref="O69:O75" si="25">SUM(N69+L69)</f>
        <v>289.98</v>
      </c>
      <c r="P69" s="80">
        <f t="shared" ref="P69:P77" si="26">SUM(O69)</f>
        <v>289.98</v>
      </c>
    </row>
    <row r="70" spans="1:16" x14ac:dyDescent="0.2">
      <c r="A70" s="152"/>
      <c r="B70" s="24"/>
      <c r="C70" s="85">
        <v>0</v>
      </c>
      <c r="D70" s="44" t="s">
        <v>17</v>
      </c>
      <c r="E70" s="28">
        <v>0.25</v>
      </c>
      <c r="F70" s="336">
        <f t="shared" si="21"/>
        <v>0</v>
      </c>
      <c r="G70" s="337"/>
      <c r="H70" s="336">
        <f t="shared" si="22"/>
        <v>0</v>
      </c>
      <c r="I70" s="337"/>
      <c r="J70" s="27" t="s">
        <v>25</v>
      </c>
      <c r="K70" s="15">
        <f t="shared" ref="K70:K75" si="27">F70*$J$68</f>
        <v>0</v>
      </c>
      <c r="L70" s="3">
        <f t="shared" si="23"/>
        <v>0</v>
      </c>
      <c r="M70" s="26" t="s">
        <v>25</v>
      </c>
      <c r="N70" s="15">
        <f t="shared" si="24"/>
        <v>0</v>
      </c>
      <c r="O70" s="3">
        <f t="shared" si="25"/>
        <v>0</v>
      </c>
      <c r="P70" s="80">
        <f t="shared" si="26"/>
        <v>0</v>
      </c>
    </row>
    <row r="71" spans="1:16" x14ac:dyDescent="0.2">
      <c r="A71" s="46" t="s">
        <v>26</v>
      </c>
      <c r="B71" s="24" t="s">
        <v>37</v>
      </c>
      <c r="C71" s="85">
        <f>$C$43+$C$29</f>
        <v>142</v>
      </c>
      <c r="D71" s="94" t="s">
        <v>53</v>
      </c>
      <c r="E71" s="28">
        <v>0.15</v>
      </c>
      <c r="F71" s="336">
        <f t="shared" si="21"/>
        <v>21.3</v>
      </c>
      <c r="G71" s="337"/>
      <c r="H71" s="336">
        <f t="shared" si="22"/>
        <v>1.9702500000000001</v>
      </c>
      <c r="I71" s="337"/>
      <c r="J71" s="27" t="s">
        <v>25</v>
      </c>
      <c r="K71" s="15">
        <f t="shared" si="27"/>
        <v>5.3250000000000002</v>
      </c>
      <c r="L71" s="3">
        <f t="shared" si="23"/>
        <v>28.59525</v>
      </c>
      <c r="M71" s="26" t="s">
        <v>25</v>
      </c>
      <c r="N71" s="15">
        <f t="shared" si="24"/>
        <v>14.297625</v>
      </c>
      <c r="O71" s="3">
        <f t="shared" si="25"/>
        <v>42.892875000000004</v>
      </c>
      <c r="P71" s="80">
        <f t="shared" si="26"/>
        <v>42.892875000000004</v>
      </c>
    </row>
    <row r="72" spans="1:16" x14ac:dyDescent="0.2">
      <c r="A72" s="95" t="s">
        <v>26</v>
      </c>
      <c r="B72" s="93" t="s">
        <v>125</v>
      </c>
      <c r="C72" s="85">
        <f>$C$43+$C$29</f>
        <v>142</v>
      </c>
      <c r="D72" s="94" t="s">
        <v>53</v>
      </c>
      <c r="E72" s="28">
        <v>0.25</v>
      </c>
      <c r="F72" s="336">
        <f>IF(A72="x",SUM(C72*E72),0)</f>
        <v>35.5</v>
      </c>
      <c r="G72" s="337"/>
      <c r="H72" s="336">
        <f t="shared" si="22"/>
        <v>3.2837499999999999</v>
      </c>
      <c r="I72" s="337"/>
      <c r="J72" s="27" t="s">
        <v>25</v>
      </c>
      <c r="K72" s="15">
        <f t="shared" si="27"/>
        <v>8.875</v>
      </c>
      <c r="L72" s="3">
        <f t="shared" si="23"/>
        <v>47.658749999999998</v>
      </c>
      <c r="M72" s="26" t="s">
        <v>25</v>
      </c>
      <c r="N72" s="15">
        <f t="shared" si="24"/>
        <v>23.829374999999999</v>
      </c>
      <c r="O72" s="3">
        <f t="shared" si="25"/>
        <v>71.488124999999997</v>
      </c>
      <c r="P72" s="80">
        <f t="shared" si="26"/>
        <v>71.488124999999997</v>
      </c>
    </row>
    <row r="73" spans="1:16" x14ac:dyDescent="0.2">
      <c r="A73" s="95" t="s">
        <v>26</v>
      </c>
      <c r="B73" s="93" t="s">
        <v>22</v>
      </c>
      <c r="C73" s="85">
        <f>$C$43+$C$29</f>
        <v>142</v>
      </c>
      <c r="D73" s="94" t="s">
        <v>53</v>
      </c>
      <c r="E73" s="28">
        <v>0.5</v>
      </c>
      <c r="F73" s="336">
        <f t="shared" si="21"/>
        <v>71</v>
      </c>
      <c r="G73" s="337"/>
      <c r="H73" s="336">
        <f t="shared" si="22"/>
        <v>6.5674999999999999</v>
      </c>
      <c r="I73" s="337"/>
      <c r="J73" s="27" t="s">
        <v>25</v>
      </c>
      <c r="K73" s="15">
        <f t="shared" si="27"/>
        <v>17.75</v>
      </c>
      <c r="L73" s="3">
        <f t="shared" si="23"/>
        <v>95.317499999999995</v>
      </c>
      <c r="M73" s="26" t="s">
        <v>25</v>
      </c>
      <c r="N73" s="15">
        <f t="shared" si="24"/>
        <v>47.658749999999998</v>
      </c>
      <c r="O73" s="3">
        <f t="shared" si="25"/>
        <v>142.97624999999999</v>
      </c>
      <c r="P73" s="80">
        <f t="shared" si="26"/>
        <v>142.97624999999999</v>
      </c>
    </row>
    <row r="74" spans="1:16" x14ac:dyDescent="0.2">
      <c r="A74" s="95"/>
      <c r="B74" s="93"/>
      <c r="C74" s="85"/>
      <c r="D74" s="94" t="s">
        <v>11</v>
      </c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x14ac:dyDescent="0.2">
      <c r="A75" s="46"/>
      <c r="B75" s="24"/>
      <c r="C75" s="85"/>
      <c r="D75" s="44"/>
      <c r="E75" s="28"/>
      <c r="F75" s="336">
        <f t="shared" si="21"/>
        <v>0</v>
      </c>
      <c r="G75" s="337"/>
      <c r="H75" s="336">
        <f t="shared" si="22"/>
        <v>0</v>
      </c>
      <c r="I75" s="337"/>
      <c r="J75" s="27" t="s">
        <v>25</v>
      </c>
      <c r="K75" s="15">
        <f t="shared" si="27"/>
        <v>0</v>
      </c>
      <c r="L75" s="3">
        <f t="shared" si="23"/>
        <v>0</v>
      </c>
      <c r="M75" s="26" t="s">
        <v>25</v>
      </c>
      <c r="N75" s="15">
        <f t="shared" si="24"/>
        <v>0</v>
      </c>
      <c r="O75" s="3">
        <f t="shared" si="25"/>
        <v>0</v>
      </c>
      <c r="P75" s="80">
        <f t="shared" si="26"/>
        <v>0</v>
      </c>
    </row>
    <row r="76" spans="1:16" ht="16.5" thickBot="1" x14ac:dyDescent="0.3">
      <c r="A76" s="9"/>
      <c r="B76" s="29"/>
      <c r="C76" s="87"/>
      <c r="D76" s="11"/>
      <c r="E76" s="30"/>
      <c r="F76" s="353"/>
      <c r="G76" s="354"/>
      <c r="H76" s="358"/>
      <c r="I76" s="359"/>
      <c r="J76" s="6"/>
      <c r="K76" s="4"/>
      <c r="L76" s="5"/>
      <c r="M76" s="2"/>
      <c r="N76" s="8"/>
      <c r="O76" s="1"/>
      <c r="P76" s="80">
        <f t="shared" si="26"/>
        <v>0</v>
      </c>
    </row>
    <row r="77" spans="1:16" ht="16.5" thickBot="1" x14ac:dyDescent="0.3">
      <c r="A77" s="9"/>
      <c r="B77" s="13"/>
      <c r="C77" s="326" t="s">
        <v>4</v>
      </c>
      <c r="D77" s="339"/>
      <c r="E77" s="34"/>
      <c r="F77" s="340">
        <f>SUM(F69:G75)</f>
        <v>271.8</v>
      </c>
      <c r="G77" s="329"/>
      <c r="H77" s="328">
        <f>SUM(H69:I76)</f>
        <v>25.141500000000001</v>
      </c>
      <c r="I77" s="329"/>
      <c r="J77" s="328">
        <f>SUM(K69:K76)</f>
        <v>67.95</v>
      </c>
      <c r="K77" s="329"/>
      <c r="L77" s="31">
        <f>SUM(L69:L76)</f>
        <v>364.89149999999995</v>
      </c>
      <c r="M77" s="341">
        <f>SUM(N69:N76)</f>
        <v>182.44574999999998</v>
      </c>
      <c r="N77" s="342"/>
      <c r="O77" s="31">
        <f>SUM(O69:O76)</f>
        <v>547.33725000000004</v>
      </c>
      <c r="P77" s="80">
        <f t="shared" si="26"/>
        <v>547.33725000000004</v>
      </c>
    </row>
    <row r="78" spans="1:16" ht="15.75" x14ac:dyDescent="0.25">
      <c r="A78" s="9"/>
      <c r="B78" s="13"/>
      <c r="C78" s="10"/>
      <c r="D78" s="10"/>
      <c r="E78" s="10"/>
      <c r="F78" s="126"/>
      <c r="G78" s="126"/>
      <c r="H78" s="126"/>
      <c r="I78" s="126"/>
      <c r="J78" s="126"/>
      <c r="K78" s="126"/>
      <c r="L78" s="127"/>
      <c r="M78" s="128"/>
      <c r="N78" s="128"/>
      <c r="O78" s="127"/>
      <c r="P78" s="129"/>
    </row>
    <row r="79" spans="1:16" ht="18" x14ac:dyDescent="0.25">
      <c r="A79" s="9"/>
      <c r="B79" s="16" t="s">
        <v>13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88"/>
    </row>
    <row r="80" spans="1:16" ht="14.25" x14ac:dyDescent="0.2">
      <c r="A80" s="9"/>
      <c r="B80" s="36" t="s">
        <v>30</v>
      </c>
      <c r="C80" s="96" t="s">
        <v>8</v>
      </c>
      <c r="D80" s="96" t="s">
        <v>20</v>
      </c>
      <c r="E80" s="96" t="s">
        <v>3</v>
      </c>
      <c r="F80" s="345" t="s">
        <v>13</v>
      </c>
      <c r="G80" s="345"/>
      <c r="H80" s="345" t="s">
        <v>29</v>
      </c>
      <c r="I80" s="345"/>
      <c r="J80" s="21">
        <f>H13</f>
        <v>0.25</v>
      </c>
      <c r="K80" s="19" t="s">
        <v>23</v>
      </c>
      <c r="L80" s="18" t="s">
        <v>4</v>
      </c>
      <c r="M80" s="90">
        <f>$H$7</f>
        <v>0.5</v>
      </c>
      <c r="N80" s="22" t="s">
        <v>24</v>
      </c>
      <c r="O80" s="18" t="s">
        <v>5</v>
      </c>
      <c r="P80" s="84" t="s">
        <v>21</v>
      </c>
    </row>
    <row r="81" spans="1:16" x14ac:dyDescent="0.2">
      <c r="A81" s="9"/>
      <c r="B81" s="167" t="s">
        <v>89</v>
      </c>
      <c r="C81" s="85">
        <v>1</v>
      </c>
      <c r="D81" s="52">
        <v>1</v>
      </c>
      <c r="E81" s="134">
        <v>25</v>
      </c>
      <c r="F81" s="346">
        <f>C81*D81*E81</f>
        <v>25</v>
      </c>
      <c r="G81" s="347"/>
      <c r="H81" s="334">
        <v>3</v>
      </c>
      <c r="I81" s="335"/>
      <c r="J81" s="25" t="s">
        <v>25</v>
      </c>
      <c r="K81" s="15">
        <f>F81*$J$80</f>
        <v>6.25</v>
      </c>
      <c r="L81" s="3">
        <f>SUM(F81:K81)</f>
        <v>34.25</v>
      </c>
      <c r="M81" s="26" t="s">
        <v>25</v>
      </c>
      <c r="N81" s="15">
        <f>L81*$M$80</f>
        <v>17.125</v>
      </c>
      <c r="O81" s="3">
        <f>SUM(N81+L81)</f>
        <v>51.375</v>
      </c>
      <c r="P81" s="80">
        <f t="shared" ref="P81:P87" si="28">SUM(O81)</f>
        <v>51.375</v>
      </c>
    </row>
    <row r="82" spans="1:16" x14ac:dyDescent="0.2">
      <c r="A82" s="9"/>
      <c r="B82" s="94" t="s">
        <v>90</v>
      </c>
      <c r="C82" s="85">
        <v>1</v>
      </c>
      <c r="D82" s="52">
        <v>2</v>
      </c>
      <c r="E82" s="45">
        <v>25</v>
      </c>
      <c r="F82" s="348">
        <f>C82*D82*E82</f>
        <v>50</v>
      </c>
      <c r="G82" s="349"/>
      <c r="H82" s="336">
        <v>0</v>
      </c>
      <c r="I82" s="337"/>
      <c r="J82" s="27" t="s">
        <v>25</v>
      </c>
      <c r="K82" s="15">
        <f>F82*$J$80</f>
        <v>12.5</v>
      </c>
      <c r="L82" s="3">
        <f>SUM(F82:K82)</f>
        <v>62.5</v>
      </c>
      <c r="M82" s="26" t="s">
        <v>25</v>
      </c>
      <c r="N82" s="15">
        <f>L82*$M$80</f>
        <v>31.25</v>
      </c>
      <c r="O82" s="3">
        <f>SUM(N82+L82)</f>
        <v>93.75</v>
      </c>
      <c r="P82" s="80">
        <f t="shared" si="28"/>
        <v>93.75</v>
      </c>
    </row>
    <row r="83" spans="1:16" x14ac:dyDescent="0.2">
      <c r="A83" s="9"/>
      <c r="B83" s="94" t="s">
        <v>91</v>
      </c>
      <c r="C83" s="85">
        <v>1</v>
      </c>
      <c r="D83" s="52">
        <v>1</v>
      </c>
      <c r="E83" s="45">
        <v>20</v>
      </c>
      <c r="F83" s="348">
        <f>C83*D83*E83</f>
        <v>20</v>
      </c>
      <c r="G83" s="349"/>
      <c r="H83" s="336">
        <v>0</v>
      </c>
      <c r="I83" s="337"/>
      <c r="J83" s="27" t="s">
        <v>25</v>
      </c>
      <c r="K83" s="15">
        <f>F83*$J$80</f>
        <v>5</v>
      </c>
      <c r="L83" s="3">
        <f>SUM(F83:K83)</f>
        <v>25</v>
      </c>
      <c r="M83" s="26" t="s">
        <v>25</v>
      </c>
      <c r="N83" s="15">
        <f>L83*$M$80</f>
        <v>12.5</v>
      </c>
      <c r="O83" s="3">
        <f>SUM(N83+L83)</f>
        <v>37.5</v>
      </c>
      <c r="P83" s="80">
        <f t="shared" si="28"/>
        <v>37.5</v>
      </c>
    </row>
    <row r="84" spans="1:16" x14ac:dyDescent="0.2">
      <c r="A84" s="165" t="s">
        <v>68</v>
      </c>
      <c r="B84" s="94" t="s">
        <v>92</v>
      </c>
      <c r="C84" s="85">
        <v>1</v>
      </c>
      <c r="D84" s="52">
        <v>2</v>
      </c>
      <c r="E84" s="45">
        <v>300</v>
      </c>
      <c r="F84" s="348">
        <f>C84*D84*E84</f>
        <v>600</v>
      </c>
      <c r="G84" s="349"/>
      <c r="H84" s="336">
        <v>12</v>
      </c>
      <c r="I84" s="337"/>
      <c r="J84" s="27" t="s">
        <v>25</v>
      </c>
      <c r="K84" s="15">
        <f>F84*$J$80</f>
        <v>150</v>
      </c>
      <c r="L84" s="3">
        <f>SUM(F84:K84)</f>
        <v>762</v>
      </c>
      <c r="M84" s="26" t="s">
        <v>25</v>
      </c>
      <c r="N84" s="15">
        <f>L84*$M$80</f>
        <v>381</v>
      </c>
      <c r="O84" s="3">
        <f>SUM(N84+L84)</f>
        <v>1143</v>
      </c>
      <c r="P84" s="80">
        <f t="shared" si="28"/>
        <v>1143</v>
      </c>
    </row>
    <row r="85" spans="1:16" x14ac:dyDescent="0.2">
      <c r="A85" s="9"/>
      <c r="B85" s="94" t="s">
        <v>93</v>
      </c>
      <c r="C85" s="85">
        <v>1</v>
      </c>
      <c r="D85" s="52">
        <v>2</v>
      </c>
      <c r="E85" s="45">
        <v>80</v>
      </c>
      <c r="F85" s="348">
        <f>C85*D85*E85</f>
        <v>160</v>
      </c>
      <c r="G85" s="349"/>
      <c r="H85" s="336">
        <v>0</v>
      </c>
      <c r="I85" s="337"/>
      <c r="J85" s="27" t="s">
        <v>25</v>
      </c>
      <c r="K85" s="15">
        <f>F85*$J$80</f>
        <v>40</v>
      </c>
      <c r="L85" s="3">
        <f>SUM(F85:K85)</f>
        <v>200</v>
      </c>
      <c r="M85" s="26" t="s">
        <v>25</v>
      </c>
      <c r="N85" s="15">
        <f>L85*$M$80</f>
        <v>100</v>
      </c>
      <c r="O85" s="3">
        <f>SUM(N85+L85)</f>
        <v>300</v>
      </c>
      <c r="P85" s="80">
        <f t="shared" si="28"/>
        <v>300</v>
      </c>
    </row>
    <row r="86" spans="1:16" ht="13.5" thickBot="1" x14ac:dyDescent="0.25">
      <c r="A86" s="9"/>
      <c r="B86" s="44"/>
      <c r="C86" s="87"/>
      <c r="D86" s="52"/>
      <c r="E86" s="44"/>
      <c r="F86" s="348"/>
      <c r="G86" s="349"/>
      <c r="H86" s="336"/>
      <c r="I86" s="337"/>
      <c r="J86" s="27"/>
      <c r="K86" s="15"/>
      <c r="L86" s="3"/>
      <c r="M86" s="26"/>
      <c r="N86" s="15"/>
      <c r="O86" s="3"/>
      <c r="P86" s="80">
        <f t="shared" si="28"/>
        <v>0</v>
      </c>
    </row>
    <row r="87" spans="1:16" ht="16.5" thickBot="1" x14ac:dyDescent="0.3">
      <c r="A87" s="9"/>
      <c r="B87" s="13"/>
      <c r="C87" s="326" t="s">
        <v>4</v>
      </c>
      <c r="D87" s="339"/>
      <c r="E87" s="34"/>
      <c r="F87" s="328">
        <f>SUM(F81:G86)</f>
        <v>855</v>
      </c>
      <c r="G87" s="329"/>
      <c r="H87" s="328">
        <f>SUM(H81:I86)</f>
        <v>15</v>
      </c>
      <c r="I87" s="329"/>
      <c r="J87" s="328">
        <f>SUM(J81:K86)</f>
        <v>213.75</v>
      </c>
      <c r="K87" s="329"/>
      <c r="L87" s="31">
        <f>SUM(L81:L86)</f>
        <v>1083.75</v>
      </c>
      <c r="M87" s="328">
        <f>SUM(M81:N86)</f>
        <v>541.875</v>
      </c>
      <c r="N87" s="329"/>
      <c r="O87" s="31">
        <f>SUM(O81:O86)</f>
        <v>1625.625</v>
      </c>
      <c r="P87" s="80">
        <f t="shared" si="28"/>
        <v>1625.625</v>
      </c>
    </row>
    <row r="88" spans="1:16" ht="16.5" thickBot="1" x14ac:dyDescent="0.3">
      <c r="A88" s="9"/>
      <c r="B88" s="13"/>
      <c r="C88" s="360" t="s">
        <v>229</v>
      </c>
      <c r="D88" s="339"/>
      <c r="E88" s="34"/>
      <c r="F88" s="229"/>
      <c r="G88" s="230"/>
      <c r="H88" s="229"/>
      <c r="I88" s="230"/>
      <c r="J88" s="328">
        <f>SUM(H45,J65,J77,J87)</f>
        <v>3525.5896444444443</v>
      </c>
      <c r="K88" s="329"/>
      <c r="L88" s="31"/>
      <c r="M88" s="328">
        <f>SUM(M45,M65,M77,M87)</f>
        <v>9782.2081953333345</v>
      </c>
      <c r="N88" s="329"/>
      <c r="O88" s="31"/>
      <c r="P88" s="80"/>
    </row>
    <row r="89" spans="1:16" x14ac:dyDescent="0.2">
      <c r="A89" s="9"/>
      <c r="B89" s="1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4"/>
    </row>
    <row r="90" spans="1:16" ht="13.5" thickBot="1" x14ac:dyDescent="0.25">
      <c r="A90" s="9"/>
      <c r="B90" s="13"/>
      <c r="C90" s="10"/>
      <c r="D90" s="10"/>
      <c r="E90" s="10"/>
      <c r="F90" s="10"/>
      <c r="G90" s="231" t="s">
        <v>236</v>
      </c>
      <c r="H90" s="10"/>
      <c r="I90" s="10"/>
      <c r="J90" s="10"/>
      <c r="K90" s="10"/>
      <c r="L90" s="10"/>
      <c r="M90" s="10"/>
      <c r="N90" s="12"/>
      <c r="O90" s="10"/>
      <c r="P90" s="80">
        <f>SUM(O90)</f>
        <v>0</v>
      </c>
    </row>
    <row r="91" spans="1:16" ht="21" thickBot="1" x14ac:dyDescent="0.35">
      <c r="A91" s="9"/>
      <c r="B91" s="13"/>
      <c r="C91" s="350" t="s">
        <v>15</v>
      </c>
      <c r="D91" s="351"/>
      <c r="E91" s="37"/>
      <c r="F91" s="37"/>
      <c r="G91" s="39">
        <f>SUM(E45,F45,F65,F77,F87,H87)</f>
        <v>15730.458577777777</v>
      </c>
      <c r="H91" s="37"/>
      <c r="I91" s="37"/>
      <c r="J91" s="37"/>
      <c r="K91" s="37"/>
      <c r="L91" s="202">
        <f>SUM(L45,L65,L77,L87)</f>
        <v>19548.306390666668</v>
      </c>
      <c r="M91" s="37"/>
      <c r="N91" s="38"/>
      <c r="O91" s="202">
        <f>SUM(O29,O43,O65,O77,O87)</f>
        <v>29330.514586000001</v>
      </c>
      <c r="P91" s="80">
        <f>SUM(O91)</f>
        <v>29330.514586000001</v>
      </c>
    </row>
    <row r="92" spans="1:16" ht="17.25" thickBot="1" x14ac:dyDescent="0.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5"/>
      <c r="O92" s="13"/>
      <c r="P92" s="89" t="e">
        <f>O92/$C$3</f>
        <v>#VALUE!</v>
      </c>
    </row>
    <row r="93" spans="1:16" ht="17.25" thickBot="1" x14ac:dyDescent="0.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5"/>
      <c r="O93" s="135" t="e">
        <f>SUM(#REF!)</f>
        <v>#REF!</v>
      </c>
      <c r="P93" s="89" t="e">
        <f>O93/$C$3</f>
        <v>#REF!</v>
      </c>
    </row>
    <row r="94" spans="1:16" ht="17.25" thickBot="1" x14ac:dyDescent="0.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 t="e">
        <f>O94/$C$3</f>
        <v>#VALUE!</v>
      </c>
    </row>
    <row r="95" spans="1:16" ht="17.25" thickBot="1" x14ac:dyDescent="0.3">
      <c r="A95" s="9"/>
      <c r="B95" s="13" t="s">
        <v>105</v>
      </c>
      <c r="C95" s="171">
        <v>14500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"/>
      <c r="P95" s="89"/>
    </row>
    <row r="96" spans="1:16" ht="17.25" thickBot="1" x14ac:dyDescent="0.3">
      <c r="A96" s="9"/>
      <c r="B96" s="93" t="s">
        <v>101</v>
      </c>
      <c r="C96" s="171">
        <v>5000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5"/>
      <c r="O96" s="135"/>
      <c r="P96" s="168"/>
    </row>
    <row r="97" spans="1:16" ht="17.25" thickBot="1" x14ac:dyDescent="0.3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5"/>
      <c r="M97" s="13"/>
      <c r="N97" s="35"/>
      <c r="O97" s="13"/>
      <c r="P97" s="89"/>
    </row>
    <row r="98" spans="1:16" ht="17.25" thickBot="1" x14ac:dyDescent="0.3">
      <c r="A98" s="9"/>
      <c r="B98" s="13"/>
      <c r="C98" s="13"/>
      <c r="D98" s="13"/>
      <c r="E98" s="13">
        <f>(O24+O38)/2</f>
        <v>484.29750000000001</v>
      </c>
      <c r="F98" s="13"/>
      <c r="G98" s="13"/>
      <c r="H98" s="13"/>
      <c r="I98" s="13"/>
      <c r="J98" s="13"/>
      <c r="K98" s="13"/>
      <c r="L98" s="13"/>
      <c r="M98" s="13"/>
      <c r="N98" s="35"/>
      <c r="O98" s="135"/>
      <c r="P98" s="89"/>
    </row>
    <row r="99" spans="1:16" ht="16.5" x14ac:dyDescent="0.25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35"/>
      <c r="O99" s="13"/>
      <c r="P99" s="169"/>
    </row>
    <row r="100" spans="1:16" ht="16.5" x14ac:dyDescent="0.25">
      <c r="A100" s="9"/>
      <c r="B100" s="93" t="s">
        <v>126</v>
      </c>
      <c r="C100" s="171">
        <v>5700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35"/>
      <c r="O100" s="135"/>
      <c r="P100" s="170"/>
    </row>
    <row r="101" spans="1:16" ht="16.5" x14ac:dyDescent="0.25">
      <c r="A101" s="9"/>
      <c r="B101" s="93" t="s">
        <v>99</v>
      </c>
      <c r="C101" s="171">
        <v>25000</v>
      </c>
      <c r="D101" s="13"/>
      <c r="E101" s="13"/>
      <c r="F101" s="13"/>
      <c r="G101" s="13"/>
      <c r="H101" s="13"/>
      <c r="I101" s="13"/>
      <c r="J101" s="13"/>
      <c r="K101" s="13"/>
      <c r="L101" s="153"/>
      <c r="M101" s="13"/>
      <c r="N101" s="35"/>
      <c r="O101" s="135"/>
      <c r="P101" s="170"/>
    </row>
    <row r="102" spans="1:16" ht="16.5" x14ac:dyDescent="0.25">
      <c r="A102" s="9"/>
      <c r="B102" s="93" t="s">
        <v>100</v>
      </c>
      <c r="C102" s="43">
        <v>5000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2"/>
      <c r="O102" s="11"/>
      <c r="P102" s="170"/>
    </row>
    <row r="103" spans="1:16" ht="16.5" x14ac:dyDescent="0.25">
      <c r="A103" s="9"/>
      <c r="B103" s="93"/>
      <c r="C103" s="42">
        <f>SUM(C95:C102)</f>
        <v>55200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2"/>
      <c r="O103" s="11"/>
      <c r="P103" s="170"/>
    </row>
  </sheetData>
  <mergeCells count="119">
    <mergeCell ref="H5:I5"/>
    <mergeCell ref="G6:I6"/>
    <mergeCell ref="C7:E7"/>
    <mergeCell ref="K7:L7"/>
    <mergeCell ref="C8:E8"/>
    <mergeCell ref="K8:L8"/>
    <mergeCell ref="C9:E9"/>
    <mergeCell ref="C10:E10"/>
    <mergeCell ref="G10:I10"/>
    <mergeCell ref="K10:L10"/>
    <mergeCell ref="A1:A19"/>
    <mergeCell ref="B1:D2"/>
    <mergeCell ref="E1:F1"/>
    <mergeCell ref="C11:E11"/>
    <mergeCell ref="G12:I12"/>
    <mergeCell ref="K14:P17"/>
    <mergeCell ref="F45:G45"/>
    <mergeCell ref="H45:I45"/>
    <mergeCell ref="J45:K45"/>
    <mergeCell ref="M45:N45"/>
    <mergeCell ref="C45:D45"/>
    <mergeCell ref="H14:I14"/>
    <mergeCell ref="H15:I15"/>
    <mergeCell ref="N1:O1"/>
    <mergeCell ref="E2:G3"/>
    <mergeCell ref="C4:E6"/>
    <mergeCell ref="F4:F18"/>
    <mergeCell ref="G4:I4"/>
    <mergeCell ref="J4:J18"/>
    <mergeCell ref="H13:I13"/>
    <mergeCell ref="H11:I11"/>
    <mergeCell ref="H7:I7"/>
    <mergeCell ref="H8:I8"/>
    <mergeCell ref="H9:I9"/>
    <mergeCell ref="F52:G52"/>
    <mergeCell ref="H52:I52"/>
    <mergeCell ref="F53:G53"/>
    <mergeCell ref="H53:I53"/>
    <mergeCell ref="F54:G54"/>
    <mergeCell ref="H54:I54"/>
    <mergeCell ref="C46:P46"/>
    <mergeCell ref="C47:P47"/>
    <mergeCell ref="F49:G49"/>
    <mergeCell ref="F50:G50"/>
    <mergeCell ref="H50:I50"/>
    <mergeCell ref="F51:G51"/>
    <mergeCell ref="H51:I51"/>
    <mergeCell ref="F59:G59"/>
    <mergeCell ref="H59:I59"/>
    <mergeCell ref="F60:G60"/>
    <mergeCell ref="H60:I60"/>
    <mergeCell ref="F61:G61"/>
    <mergeCell ref="H61:I61"/>
    <mergeCell ref="F56:G56"/>
    <mergeCell ref="H56:I56"/>
    <mergeCell ref="F57:G57"/>
    <mergeCell ref="H57:I57"/>
    <mergeCell ref="F58:G58"/>
    <mergeCell ref="H58:I58"/>
    <mergeCell ref="F64:G64"/>
    <mergeCell ref="H64:I64"/>
    <mergeCell ref="C65:D65"/>
    <mergeCell ref="F65:G65"/>
    <mergeCell ref="H65:I65"/>
    <mergeCell ref="J65:K65"/>
    <mergeCell ref="F62:G62"/>
    <mergeCell ref="H62:I62"/>
    <mergeCell ref="F63:G63"/>
    <mergeCell ref="H63:I63"/>
    <mergeCell ref="F71:G71"/>
    <mergeCell ref="H71:I71"/>
    <mergeCell ref="F72:G72"/>
    <mergeCell ref="H72:I72"/>
    <mergeCell ref="F73:G73"/>
    <mergeCell ref="H73:I73"/>
    <mergeCell ref="M65:N65"/>
    <mergeCell ref="C66:P66"/>
    <mergeCell ref="F68:G68"/>
    <mergeCell ref="F69:G69"/>
    <mergeCell ref="H69:I69"/>
    <mergeCell ref="F70:G70"/>
    <mergeCell ref="H70:I70"/>
    <mergeCell ref="C77:D77"/>
    <mergeCell ref="F77:G77"/>
    <mergeCell ref="H77:I77"/>
    <mergeCell ref="J77:K77"/>
    <mergeCell ref="M77:N77"/>
    <mergeCell ref="F80:G80"/>
    <mergeCell ref="H80:I80"/>
    <mergeCell ref="F74:G74"/>
    <mergeCell ref="H74:I74"/>
    <mergeCell ref="F75:G75"/>
    <mergeCell ref="H75:I75"/>
    <mergeCell ref="F76:G76"/>
    <mergeCell ref="H76:I76"/>
    <mergeCell ref="F55:G55"/>
    <mergeCell ref="H55:I55"/>
    <mergeCell ref="J88:K88"/>
    <mergeCell ref="M88:N88"/>
    <mergeCell ref="C91:D91"/>
    <mergeCell ref="C87:D87"/>
    <mergeCell ref="F87:G87"/>
    <mergeCell ref="H87:I87"/>
    <mergeCell ref="J87:K87"/>
    <mergeCell ref="M87:N87"/>
    <mergeCell ref="C89:P89"/>
    <mergeCell ref="C88:D88"/>
    <mergeCell ref="F84:G84"/>
    <mergeCell ref="H84:I84"/>
    <mergeCell ref="F85:G85"/>
    <mergeCell ref="H85:I85"/>
    <mergeCell ref="F86:G86"/>
    <mergeCell ref="H86:I86"/>
    <mergeCell ref="F81:G81"/>
    <mergeCell ref="H81:I81"/>
    <mergeCell ref="F82:G82"/>
    <mergeCell ref="H82:I82"/>
    <mergeCell ref="F83:G83"/>
    <mergeCell ref="H83:I83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10" workbookViewId="0">
      <selection activeCell="G29" sqref="G29"/>
    </sheetView>
  </sheetViews>
  <sheetFormatPr defaultRowHeight="12.75" x14ac:dyDescent="0.2"/>
  <cols>
    <col min="1" max="1" width="41.5703125" bestFit="1" customWidth="1"/>
    <col min="2" max="2" width="10.7109375" bestFit="1" customWidth="1"/>
    <col min="3" max="3" width="13" customWidth="1"/>
    <col min="4" max="4" width="15.85546875" customWidth="1"/>
    <col min="10" max="10" width="7.855468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21</v>
      </c>
      <c r="E4" s="193">
        <v>0.33329999999999999</v>
      </c>
      <c r="F4">
        <f>SUM(C4*C3*E4)/27*2</f>
        <v>5.1846666666666659</v>
      </c>
    </row>
    <row r="5" spans="1:10" x14ac:dyDescent="0.2">
      <c r="A5" s="178" t="s">
        <v>112</v>
      </c>
      <c r="B5" s="178" t="s">
        <v>111</v>
      </c>
      <c r="C5" s="174">
        <v>20</v>
      </c>
      <c r="E5" s="177">
        <v>0.33329999999999999</v>
      </c>
      <c r="F5">
        <f>SUM(C5*C3*E5)/27*2</f>
        <v>4.9377777777777778</v>
      </c>
    </row>
    <row r="6" spans="1:10" x14ac:dyDescent="0.2">
      <c r="A6" s="178" t="s">
        <v>117</v>
      </c>
      <c r="B6" s="178" t="s">
        <v>120</v>
      </c>
      <c r="C6" s="188">
        <f>C5-1.32</f>
        <v>18.68</v>
      </c>
      <c r="D6">
        <f>C4-1.32</f>
        <v>19.68</v>
      </c>
      <c r="E6" s="177">
        <v>0.5</v>
      </c>
      <c r="F6" s="175">
        <f>SUM(C6*D6*E6)/27*2</f>
        <v>13.615644444444444</v>
      </c>
    </row>
    <row r="7" spans="1:10" x14ac:dyDescent="0.2">
      <c r="A7" s="178" t="s">
        <v>119</v>
      </c>
      <c r="B7" s="178" t="s">
        <v>120</v>
      </c>
      <c r="C7" s="188">
        <f>C5</f>
        <v>20</v>
      </c>
      <c r="D7">
        <f>C4</f>
        <v>21</v>
      </c>
      <c r="E7" s="177">
        <v>0.5</v>
      </c>
      <c r="F7" s="181">
        <f>SUM(C7*D7*E7)/27</f>
        <v>7.7777777777777777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0</v>
      </c>
      <c r="E8" s="177">
        <v>0.66659999999999997</v>
      </c>
      <c r="F8" s="181">
        <f>SUM(C8*D8*E8)/-27</f>
        <v>0</v>
      </c>
      <c r="G8" s="182"/>
      <c r="H8" s="183"/>
    </row>
    <row r="9" spans="1:10" x14ac:dyDescent="0.2">
      <c r="F9" s="189">
        <f>SUM(F4:F7)</f>
        <v>31.515866666666668</v>
      </c>
      <c r="G9" s="190">
        <f>SUM(27*110)</f>
        <v>2970</v>
      </c>
      <c r="H9" s="191">
        <f>SUM(F9*G9)</f>
        <v>93602.123999999996</v>
      </c>
      <c r="I9" s="192" t="s">
        <v>115</v>
      </c>
    </row>
    <row r="10" spans="1:10" x14ac:dyDescent="0.2">
      <c r="A10" t="s">
        <v>235</v>
      </c>
      <c r="C10">
        <v>20</v>
      </c>
      <c r="D10">
        <v>21</v>
      </c>
      <c r="E10" s="177">
        <v>2</v>
      </c>
      <c r="F10">
        <f>SUM((C10+C10+D10+D10)*2)/27</f>
        <v>6.0740740740740744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167</v>
      </c>
      <c r="B29" s="206"/>
      <c r="C29" s="206"/>
      <c r="D29" s="206"/>
      <c r="E29" s="206"/>
      <c r="F29" s="206"/>
    </row>
    <row r="30" spans="1:10" x14ac:dyDescent="0.2">
      <c r="A30" s="206"/>
      <c r="B30" s="206"/>
      <c r="C30" s="206"/>
      <c r="D30" s="206"/>
      <c r="E30" s="206"/>
      <c r="F30" s="206"/>
    </row>
    <row r="31" spans="1:10" x14ac:dyDescent="0.2">
      <c r="A31" s="209" t="s">
        <v>186</v>
      </c>
      <c r="B31" s="191"/>
      <c r="C31" s="191"/>
      <c r="D31" s="191"/>
      <c r="E31" s="191"/>
      <c r="F31" s="191"/>
      <c r="G31" s="191"/>
      <c r="H31" s="191"/>
      <c r="I31" s="191"/>
      <c r="J31" s="210"/>
    </row>
    <row r="32" spans="1:10" x14ac:dyDescent="0.2">
      <c r="A32" s="211"/>
      <c r="B32" s="186"/>
      <c r="C32" s="180" t="s">
        <v>107</v>
      </c>
      <c r="D32" s="374" t="s">
        <v>172</v>
      </c>
      <c r="E32" s="374"/>
      <c r="F32" s="173" t="s">
        <v>18</v>
      </c>
      <c r="G32" s="173" t="s">
        <v>108</v>
      </c>
      <c r="H32" s="186"/>
      <c r="I32" s="375" t="s">
        <v>173</v>
      </c>
      <c r="J32" s="376"/>
    </row>
    <row r="33" spans="1:10" x14ac:dyDescent="0.2">
      <c r="A33" s="211" t="s">
        <v>109</v>
      </c>
      <c r="B33" s="186" t="s">
        <v>110</v>
      </c>
      <c r="C33" s="207">
        <v>21</v>
      </c>
      <c r="D33" s="186">
        <v>10</v>
      </c>
      <c r="E33" s="186">
        <v>0.33</v>
      </c>
      <c r="F33" s="186">
        <f>SUM(C33*D33*E33)/27*2</f>
        <v>5.1333333333333329</v>
      </c>
      <c r="G33" s="186"/>
      <c r="H33" s="186"/>
      <c r="I33" s="186"/>
      <c r="J33" s="213">
        <f>SUM(C33*D33*2)+(C35*D35)+(C36*D36*2)</f>
        <v>1174.6956</v>
      </c>
    </row>
    <row r="34" spans="1:10" x14ac:dyDescent="0.2">
      <c r="A34" s="211"/>
      <c r="B34" s="186" t="s">
        <v>174</v>
      </c>
      <c r="C34" s="186">
        <v>10</v>
      </c>
      <c r="D34" s="186"/>
      <c r="E34" s="186"/>
      <c r="F34" s="186"/>
      <c r="G34" s="186"/>
      <c r="H34" s="186"/>
      <c r="I34" s="186"/>
      <c r="J34" s="213"/>
    </row>
    <row r="35" spans="1:10" x14ac:dyDescent="0.2">
      <c r="A35" s="211" t="s">
        <v>117</v>
      </c>
      <c r="B35" s="186" t="s">
        <v>111</v>
      </c>
      <c r="C35" s="207">
        <f>SUM(20-1.66)</f>
        <v>18.34</v>
      </c>
      <c r="D35" s="186">
        <f>SUM(21-1.66)</f>
        <v>19.34</v>
      </c>
      <c r="E35" s="186">
        <v>0.75</v>
      </c>
      <c r="F35" s="181">
        <f>SUM(C35*D35*E35)/27*1</f>
        <v>9.8526555555555557</v>
      </c>
      <c r="G35" s="186"/>
      <c r="H35" s="186"/>
      <c r="I35" s="186"/>
      <c r="J35" s="213"/>
    </row>
    <row r="36" spans="1:10" x14ac:dyDescent="0.2">
      <c r="A36" s="211" t="s">
        <v>112</v>
      </c>
      <c r="B36" s="186" t="s">
        <v>112</v>
      </c>
      <c r="C36" s="207">
        <v>20</v>
      </c>
      <c r="D36" s="186">
        <v>10</v>
      </c>
      <c r="E36" s="186">
        <v>0.33</v>
      </c>
      <c r="F36" s="214">
        <f>SUM(C36*D36*E36)/27*2</f>
        <v>4.8888888888888893</v>
      </c>
      <c r="G36" s="212" t="s">
        <v>113</v>
      </c>
      <c r="H36" s="176" t="s">
        <v>114</v>
      </c>
      <c r="I36" s="186"/>
      <c r="J36" s="213"/>
    </row>
    <row r="37" spans="1:10" x14ac:dyDescent="0.2">
      <c r="A37" s="215"/>
      <c r="B37" s="173"/>
      <c r="C37" s="173"/>
      <c r="D37" s="173"/>
      <c r="E37" s="173"/>
      <c r="F37" s="214">
        <f>SUM(F33:F36)</f>
        <v>19.874877777777776</v>
      </c>
      <c r="G37" s="180">
        <f>SUM(27*105)</f>
        <v>2835</v>
      </c>
      <c r="H37" s="173">
        <f>SUM(F37*G37)</f>
        <v>56345.278499999993</v>
      </c>
      <c r="I37" s="176" t="s">
        <v>115</v>
      </c>
      <c r="J37" s="216"/>
    </row>
    <row r="38" spans="1:10" x14ac:dyDescent="0.2">
      <c r="A38" s="211"/>
      <c r="B38" s="186"/>
      <c r="C38" s="186"/>
      <c r="D38" s="186"/>
      <c r="E38" s="186"/>
      <c r="F38" s="181"/>
      <c r="G38" s="184"/>
      <c r="H38" s="186"/>
      <c r="I38" s="183"/>
      <c r="J38" s="213"/>
    </row>
    <row r="39" spans="1:10" x14ac:dyDescent="0.2">
      <c r="A39" s="211"/>
      <c r="B39" s="186"/>
      <c r="C39" s="186"/>
      <c r="D39" s="186"/>
      <c r="E39" s="186"/>
      <c r="F39" s="181"/>
      <c r="G39" s="184"/>
      <c r="H39" s="186"/>
      <c r="I39" s="183"/>
      <c r="J39" s="213"/>
    </row>
    <row r="40" spans="1:10" x14ac:dyDescent="0.2">
      <c r="A40" s="209" t="s">
        <v>171</v>
      </c>
      <c r="B40" s="191"/>
      <c r="C40" s="191"/>
      <c r="D40" s="191"/>
      <c r="E40" s="191"/>
      <c r="F40" s="191"/>
      <c r="G40" s="191"/>
      <c r="H40" s="191"/>
      <c r="I40" s="191"/>
      <c r="J40" s="210"/>
    </row>
    <row r="41" spans="1:10" x14ac:dyDescent="0.2">
      <c r="A41" s="211"/>
      <c r="B41" s="186"/>
      <c r="C41" s="180" t="s">
        <v>107</v>
      </c>
      <c r="D41" s="374" t="s">
        <v>172</v>
      </c>
      <c r="E41" s="374"/>
      <c r="F41" s="173" t="s">
        <v>18</v>
      </c>
      <c r="G41" s="173" t="s">
        <v>108</v>
      </c>
      <c r="H41" s="186"/>
      <c r="I41" s="375" t="s">
        <v>173</v>
      </c>
      <c r="J41" s="376"/>
    </row>
    <row r="42" spans="1:10" x14ac:dyDescent="0.2">
      <c r="A42" s="211" t="s">
        <v>109</v>
      </c>
      <c r="B42" s="186" t="s">
        <v>110</v>
      </c>
      <c r="C42" s="207">
        <v>20</v>
      </c>
      <c r="D42" s="186">
        <v>10</v>
      </c>
      <c r="E42" s="186">
        <v>0.33</v>
      </c>
      <c r="F42" s="186">
        <f>SUM(C42*D42*E42)/27*2</f>
        <v>4.8888888888888893</v>
      </c>
      <c r="G42" s="186"/>
      <c r="H42" s="186"/>
      <c r="I42" s="186"/>
      <c r="J42" s="213">
        <f>SUM(C42*D42*2)+(C44*D44)+(C45*D45*2)</f>
        <v>1120</v>
      </c>
    </row>
    <row r="43" spans="1:10" x14ac:dyDescent="0.2">
      <c r="A43" s="211"/>
      <c r="B43" s="186" t="s">
        <v>174</v>
      </c>
      <c r="C43" s="186">
        <v>10</v>
      </c>
      <c r="D43" s="186"/>
      <c r="E43" s="186"/>
      <c r="F43" s="186"/>
      <c r="G43" s="186"/>
      <c r="H43" s="186"/>
      <c r="I43" s="186"/>
      <c r="J43" s="213"/>
    </row>
    <row r="44" spans="1:10" x14ac:dyDescent="0.2">
      <c r="A44" s="211" t="s">
        <v>117</v>
      </c>
      <c r="B44" s="186" t="s">
        <v>111</v>
      </c>
      <c r="C44" s="207">
        <v>20</v>
      </c>
      <c r="D44" s="186">
        <v>18</v>
      </c>
      <c r="E44" s="186">
        <v>0.5</v>
      </c>
      <c r="F44" s="181">
        <f>SUM(C44*D44*E44)/27*1</f>
        <v>6.666666666666667</v>
      </c>
      <c r="G44" s="186"/>
      <c r="H44" s="186"/>
      <c r="I44" s="186"/>
      <c r="J44" s="213"/>
    </row>
    <row r="45" spans="1:10" x14ac:dyDescent="0.2">
      <c r="A45" s="211" t="s">
        <v>112</v>
      </c>
      <c r="B45" s="186" t="s">
        <v>112</v>
      </c>
      <c r="C45" s="207">
        <v>18</v>
      </c>
      <c r="D45" s="186">
        <v>10</v>
      </c>
      <c r="E45" s="186">
        <v>0.33</v>
      </c>
      <c r="F45" s="214">
        <f>SUM(C45*D45*E45)/27*2</f>
        <v>4.4000000000000004</v>
      </c>
      <c r="G45" s="212" t="s">
        <v>113</v>
      </c>
      <c r="H45" s="176" t="s">
        <v>114</v>
      </c>
      <c r="I45" s="186"/>
      <c r="J45" s="213"/>
    </row>
    <row r="46" spans="1:10" x14ac:dyDescent="0.2">
      <c r="A46" s="215"/>
      <c r="B46" s="173"/>
      <c r="C46" s="173"/>
      <c r="D46" s="173"/>
      <c r="E46" s="173"/>
      <c r="F46" s="214">
        <f>SUM(F42:F45)</f>
        <v>15.955555555555557</v>
      </c>
      <c r="G46" s="180">
        <f>SUM(27*105)</f>
        <v>2835</v>
      </c>
      <c r="H46" s="173">
        <f>SUM(F46*G46)</f>
        <v>45234.000000000007</v>
      </c>
      <c r="I46" s="176" t="s">
        <v>115</v>
      </c>
      <c r="J46" s="216"/>
    </row>
    <row r="47" spans="1:10" x14ac:dyDescent="0.2">
      <c r="A47" s="186"/>
      <c r="B47" s="186"/>
      <c r="C47" s="186"/>
      <c r="D47" s="186"/>
      <c r="E47" s="186"/>
      <c r="F47" s="181"/>
      <c r="G47" s="184"/>
      <c r="H47" s="186"/>
      <c r="I47" s="183"/>
      <c r="J47" s="186"/>
    </row>
    <row r="48" spans="1:10" x14ac:dyDescent="0.2">
      <c r="A48" s="186"/>
      <c r="B48" s="186"/>
      <c r="C48" s="186"/>
      <c r="D48" s="186"/>
      <c r="E48" s="186"/>
      <c r="F48" s="181"/>
      <c r="G48" s="184"/>
      <c r="H48" s="186"/>
      <c r="I48" s="183"/>
      <c r="J48" s="186"/>
    </row>
    <row r="49" spans="1:10" x14ac:dyDescent="0.2">
      <c r="A49" s="209" t="s">
        <v>175</v>
      </c>
      <c r="B49" s="191"/>
      <c r="C49" s="191"/>
      <c r="D49" s="191"/>
      <c r="E49" s="191"/>
      <c r="F49" s="191"/>
      <c r="G49" s="191"/>
      <c r="H49" s="191"/>
      <c r="I49" s="191"/>
      <c r="J49" s="210"/>
    </row>
    <row r="50" spans="1:10" x14ac:dyDescent="0.2">
      <c r="A50" s="211"/>
      <c r="B50" s="186"/>
      <c r="C50" s="180" t="s">
        <v>107</v>
      </c>
      <c r="D50" s="374" t="s">
        <v>172</v>
      </c>
      <c r="E50" s="374"/>
      <c r="F50" s="173" t="s">
        <v>18</v>
      </c>
      <c r="G50" s="173" t="s">
        <v>108</v>
      </c>
      <c r="H50" s="186"/>
      <c r="I50" s="375" t="s">
        <v>173</v>
      </c>
      <c r="J50" s="376"/>
    </row>
    <row r="51" spans="1:10" x14ac:dyDescent="0.2">
      <c r="A51" s="211" t="s">
        <v>109</v>
      </c>
      <c r="B51" s="186" t="s">
        <v>110</v>
      </c>
      <c r="C51" s="207">
        <v>28</v>
      </c>
      <c r="D51" s="186">
        <v>10</v>
      </c>
      <c r="E51" s="186">
        <v>0.33</v>
      </c>
      <c r="F51" s="186">
        <f>SUM(C51*D51*E51)/27*2</f>
        <v>6.844444444444445</v>
      </c>
      <c r="G51" s="186"/>
      <c r="H51" s="186"/>
      <c r="I51" s="186"/>
      <c r="J51" s="213">
        <f>SUM(C51*D51*2)+(C53*D53)+(C54*D54*2)</f>
        <v>1232</v>
      </c>
    </row>
    <row r="52" spans="1:10" x14ac:dyDescent="0.2">
      <c r="A52" s="211"/>
      <c r="B52" s="186" t="s">
        <v>174</v>
      </c>
      <c r="C52" s="186">
        <v>10</v>
      </c>
      <c r="D52" s="186"/>
      <c r="E52" s="186"/>
      <c r="F52" s="186"/>
      <c r="G52" s="186"/>
      <c r="H52" s="186"/>
      <c r="I52" s="186"/>
      <c r="J52" s="213"/>
    </row>
    <row r="53" spans="1:10" x14ac:dyDescent="0.2">
      <c r="A53" s="211" t="s">
        <v>117</v>
      </c>
      <c r="B53" s="186" t="s">
        <v>111</v>
      </c>
      <c r="C53" s="207">
        <v>28</v>
      </c>
      <c r="D53" s="186">
        <v>14</v>
      </c>
      <c r="E53" s="186">
        <v>0.5</v>
      </c>
      <c r="F53" s="181">
        <f>SUM(C53*D53*E53)/27*1</f>
        <v>7.2592592592592595</v>
      </c>
      <c r="G53" s="186"/>
      <c r="H53" s="186"/>
      <c r="I53" s="186"/>
      <c r="J53" s="213"/>
    </row>
    <row r="54" spans="1:10" x14ac:dyDescent="0.2">
      <c r="A54" s="211" t="s">
        <v>112</v>
      </c>
      <c r="B54" s="186" t="s">
        <v>112</v>
      </c>
      <c r="C54" s="207">
        <v>14</v>
      </c>
      <c r="D54" s="186">
        <v>10</v>
      </c>
      <c r="E54" s="186">
        <v>0.33</v>
      </c>
      <c r="F54" s="214">
        <f>SUM(C54*D54*E54)/27*2</f>
        <v>3.4222222222222225</v>
      </c>
      <c r="G54" s="212" t="s">
        <v>113</v>
      </c>
      <c r="H54" s="176" t="s">
        <v>114</v>
      </c>
      <c r="I54" s="186"/>
      <c r="J54" s="213"/>
    </row>
    <row r="55" spans="1:10" x14ac:dyDescent="0.2">
      <c r="A55" s="215"/>
      <c r="B55" s="173"/>
      <c r="C55" s="173"/>
      <c r="D55" s="173"/>
      <c r="E55" s="173"/>
      <c r="F55" s="214">
        <f>SUM(F51:F54)</f>
        <v>17.525925925925925</v>
      </c>
      <c r="G55" s="180">
        <f>SUM(27*105)</f>
        <v>2835</v>
      </c>
      <c r="H55" s="173">
        <f>SUM(F55*G55)</f>
        <v>49686</v>
      </c>
      <c r="I55" s="176" t="s">
        <v>115</v>
      </c>
      <c r="J55" s="216"/>
    </row>
    <row r="58" spans="1:10" x14ac:dyDescent="0.2">
      <c r="A58" s="209" t="s">
        <v>176</v>
      </c>
      <c r="B58" s="191"/>
      <c r="C58" s="217" t="s">
        <v>107</v>
      </c>
      <c r="D58" s="371" t="s">
        <v>172</v>
      </c>
      <c r="E58" s="371"/>
      <c r="F58" s="218" t="s">
        <v>18</v>
      </c>
      <c r="G58" s="218" t="s">
        <v>108</v>
      </c>
      <c r="H58" s="191"/>
      <c r="I58" s="372" t="s">
        <v>173</v>
      </c>
      <c r="J58" s="373"/>
    </row>
    <row r="59" spans="1:10" x14ac:dyDescent="0.2">
      <c r="A59" s="211" t="s">
        <v>109</v>
      </c>
      <c r="B59" s="186" t="s">
        <v>110</v>
      </c>
      <c r="C59" s="207">
        <v>21</v>
      </c>
      <c r="D59" s="186">
        <v>10</v>
      </c>
      <c r="E59" s="186">
        <v>0.33</v>
      </c>
      <c r="F59" s="186">
        <f>SUM(C59*D59*E59)/27*2</f>
        <v>5.1333333333333329</v>
      </c>
      <c r="G59" s="186"/>
      <c r="H59" s="186"/>
      <c r="I59" s="186"/>
      <c r="J59" s="213">
        <f>SUM(C59*D59*2)+(C61*D61)+(C62*D62*2)</f>
        <v>1140</v>
      </c>
    </row>
    <row r="60" spans="1:10" x14ac:dyDescent="0.2">
      <c r="A60" s="211"/>
      <c r="B60" s="186" t="s">
        <v>174</v>
      </c>
      <c r="C60" s="186">
        <v>10</v>
      </c>
      <c r="D60" s="186"/>
      <c r="E60" s="186"/>
      <c r="F60" s="186"/>
      <c r="G60" s="186"/>
      <c r="H60" s="186"/>
      <c r="I60" s="186"/>
      <c r="J60" s="213"/>
    </row>
    <row r="61" spans="1:10" x14ac:dyDescent="0.2">
      <c r="A61" s="211" t="s">
        <v>117</v>
      </c>
      <c r="B61" s="186" t="s">
        <v>111</v>
      </c>
      <c r="C61" s="207">
        <v>20</v>
      </c>
      <c r="D61" s="186">
        <v>20</v>
      </c>
      <c r="E61" s="186">
        <v>0.5</v>
      </c>
      <c r="F61" s="181">
        <f>SUM(C61*D61*E61)/27*1</f>
        <v>7.4074074074074074</v>
      </c>
      <c r="G61" s="186"/>
      <c r="H61" s="186"/>
      <c r="I61" s="186"/>
      <c r="J61" s="213"/>
    </row>
    <row r="62" spans="1:10" x14ac:dyDescent="0.2">
      <c r="A62" s="211" t="s">
        <v>112</v>
      </c>
      <c r="B62" s="186" t="s">
        <v>112</v>
      </c>
      <c r="C62" s="207">
        <v>16</v>
      </c>
      <c r="D62" s="186">
        <v>10</v>
      </c>
      <c r="E62" s="186">
        <v>0.33</v>
      </c>
      <c r="F62" s="214">
        <f>SUM(C62*D62*E62)/27*2</f>
        <v>3.9111111111111114</v>
      </c>
      <c r="G62" s="212" t="s">
        <v>113</v>
      </c>
      <c r="H62" s="176" t="s">
        <v>114</v>
      </c>
      <c r="I62" s="186"/>
      <c r="J62" s="213"/>
    </row>
    <row r="63" spans="1:10" x14ac:dyDescent="0.2">
      <c r="A63" s="215"/>
      <c r="B63" s="173"/>
      <c r="C63" s="173"/>
      <c r="D63" s="173"/>
      <c r="E63" s="173"/>
      <c r="F63" s="214">
        <f>SUM(F59:F62)</f>
        <v>16.451851851851853</v>
      </c>
      <c r="G63" s="180">
        <f>SUM(27*105)</f>
        <v>2835</v>
      </c>
      <c r="H63" s="173">
        <f>SUM(F63*G63)</f>
        <v>46641</v>
      </c>
      <c r="I63" s="176" t="s">
        <v>115</v>
      </c>
      <c r="J63" s="216"/>
    </row>
    <row r="66" spans="1:10" x14ac:dyDescent="0.2">
      <c r="A66" s="209" t="s">
        <v>177</v>
      </c>
      <c r="B66" s="191"/>
      <c r="C66" s="217" t="s">
        <v>107</v>
      </c>
      <c r="D66" s="371" t="s">
        <v>172</v>
      </c>
      <c r="E66" s="371"/>
      <c r="F66" s="218" t="s">
        <v>18</v>
      </c>
      <c r="G66" s="218" t="s">
        <v>108</v>
      </c>
      <c r="H66" s="191"/>
      <c r="I66" s="372" t="s">
        <v>173</v>
      </c>
      <c r="J66" s="373"/>
    </row>
    <row r="67" spans="1:10" x14ac:dyDescent="0.2">
      <c r="A67" s="211" t="s">
        <v>109</v>
      </c>
      <c r="B67" s="186" t="s">
        <v>110</v>
      </c>
      <c r="C67" s="207">
        <v>16</v>
      </c>
      <c r="D67" s="186">
        <v>10</v>
      </c>
      <c r="E67" s="186">
        <v>0.33</v>
      </c>
      <c r="F67" s="186">
        <f>SUM(C67*D67*E67)/27*2</f>
        <v>3.9111111111111114</v>
      </c>
      <c r="G67" s="186"/>
      <c r="H67" s="186"/>
      <c r="I67" s="186"/>
      <c r="J67" s="213">
        <f>SUM(C67*D67*2)+(C69*D69)+(C70*D70*2)</f>
        <v>608</v>
      </c>
    </row>
    <row r="68" spans="1:10" x14ac:dyDescent="0.2">
      <c r="A68" s="211"/>
      <c r="B68" s="186" t="s">
        <v>174</v>
      </c>
      <c r="C68" s="186">
        <v>10</v>
      </c>
      <c r="D68" s="186"/>
      <c r="E68" s="186"/>
      <c r="F68" s="186"/>
      <c r="G68" s="186"/>
      <c r="H68" s="186"/>
      <c r="I68" s="186"/>
      <c r="J68" s="213"/>
    </row>
    <row r="69" spans="1:10" x14ac:dyDescent="0.2">
      <c r="A69" s="211" t="s">
        <v>117</v>
      </c>
      <c r="B69" s="186" t="s">
        <v>111</v>
      </c>
      <c r="C69" s="207">
        <v>8</v>
      </c>
      <c r="D69" s="186">
        <v>16</v>
      </c>
      <c r="E69" s="186">
        <v>0.5</v>
      </c>
      <c r="F69" s="181">
        <f>SUM(C69*D69*E69)/27*1</f>
        <v>2.3703703703703702</v>
      </c>
      <c r="G69" s="186"/>
      <c r="H69" s="186"/>
      <c r="I69" s="186"/>
      <c r="J69" s="213"/>
    </row>
    <row r="70" spans="1:10" x14ac:dyDescent="0.2">
      <c r="A70" s="211" t="s">
        <v>112</v>
      </c>
      <c r="B70" s="186" t="s">
        <v>112</v>
      </c>
      <c r="C70" s="207">
        <v>8</v>
      </c>
      <c r="D70" s="186">
        <v>10</v>
      </c>
      <c r="E70" s="186">
        <v>0.33</v>
      </c>
      <c r="F70" s="214">
        <f>SUM(C70*D70*E70)/27*2</f>
        <v>1.9555555555555557</v>
      </c>
      <c r="G70" s="212" t="s">
        <v>113</v>
      </c>
      <c r="H70" s="176" t="s">
        <v>114</v>
      </c>
      <c r="I70" s="186"/>
      <c r="J70" s="213"/>
    </row>
    <row r="71" spans="1:10" x14ac:dyDescent="0.2">
      <c r="A71" s="215"/>
      <c r="B71" s="173"/>
      <c r="C71" s="173"/>
      <c r="D71" s="173"/>
      <c r="E71" s="173"/>
      <c r="F71" s="214">
        <f>SUM(F67:F70)</f>
        <v>8.2370370370370374</v>
      </c>
      <c r="G71" s="180">
        <f>SUM(27*105)</f>
        <v>2835</v>
      </c>
      <c r="H71" s="173">
        <f>SUM(F71*G71)</f>
        <v>23352</v>
      </c>
      <c r="I71" s="176" t="s">
        <v>115</v>
      </c>
      <c r="J71" s="216"/>
    </row>
    <row r="74" spans="1:10" x14ac:dyDescent="0.2">
      <c r="A74" s="209" t="s">
        <v>178</v>
      </c>
      <c r="B74" s="191"/>
      <c r="C74" s="217" t="s">
        <v>107</v>
      </c>
      <c r="D74" s="371" t="s">
        <v>172</v>
      </c>
      <c r="E74" s="371"/>
      <c r="F74" s="218" t="s">
        <v>18</v>
      </c>
      <c r="G74" s="218" t="s">
        <v>108</v>
      </c>
      <c r="H74" s="191"/>
      <c r="I74" s="372" t="s">
        <v>173</v>
      </c>
      <c r="J74" s="373"/>
    </row>
    <row r="75" spans="1:10" x14ac:dyDescent="0.2">
      <c r="A75" s="211" t="s">
        <v>109</v>
      </c>
      <c r="B75" s="186" t="s">
        <v>110</v>
      </c>
      <c r="C75" s="207">
        <v>20</v>
      </c>
      <c r="D75" s="186">
        <v>10</v>
      </c>
      <c r="E75" s="186">
        <v>0.33</v>
      </c>
      <c r="F75" s="186">
        <f>SUM(C75*D75*E75)/27*2</f>
        <v>4.8888888888888893</v>
      </c>
      <c r="G75" s="186"/>
      <c r="H75" s="186"/>
      <c r="I75" s="186"/>
      <c r="J75" s="213">
        <f>SUM(C75*D75*2)+(C77*D77)+(C78*D78*2)</f>
        <v>960</v>
      </c>
    </row>
    <row r="76" spans="1:10" x14ac:dyDescent="0.2">
      <c r="A76" s="211"/>
      <c r="B76" s="186" t="s">
        <v>174</v>
      </c>
      <c r="C76" s="186">
        <v>10</v>
      </c>
      <c r="D76" s="186"/>
      <c r="E76" s="186"/>
      <c r="F76" s="186"/>
      <c r="G76" s="186"/>
      <c r="H76" s="186"/>
      <c r="I76" s="186"/>
      <c r="J76" s="213"/>
    </row>
    <row r="77" spans="1:10" x14ac:dyDescent="0.2">
      <c r="A77" s="211" t="s">
        <v>117</v>
      </c>
      <c r="B77" s="186" t="s">
        <v>111</v>
      </c>
      <c r="C77" s="207">
        <v>20</v>
      </c>
      <c r="D77" s="186">
        <v>14</v>
      </c>
      <c r="E77" s="186">
        <v>0.5</v>
      </c>
      <c r="F77" s="181">
        <f>SUM(C77*D77*E77)/27*1</f>
        <v>5.1851851851851851</v>
      </c>
      <c r="G77" s="186"/>
      <c r="H77" s="186"/>
      <c r="I77" s="186"/>
      <c r="J77" s="213"/>
    </row>
    <row r="78" spans="1:10" x14ac:dyDescent="0.2">
      <c r="A78" s="211" t="s">
        <v>112</v>
      </c>
      <c r="B78" s="186" t="s">
        <v>112</v>
      </c>
      <c r="C78" s="207">
        <v>14</v>
      </c>
      <c r="D78" s="186">
        <v>10</v>
      </c>
      <c r="E78" s="186">
        <v>0.33</v>
      </c>
      <c r="F78" s="214">
        <f>SUM(C78*D78*E78)/27*2</f>
        <v>3.4222222222222225</v>
      </c>
      <c r="G78" s="212" t="s">
        <v>113</v>
      </c>
      <c r="H78" s="176" t="s">
        <v>114</v>
      </c>
      <c r="I78" s="186"/>
      <c r="J78" s="213"/>
    </row>
    <row r="79" spans="1:10" x14ac:dyDescent="0.2">
      <c r="A79" s="215"/>
      <c r="B79" s="173"/>
      <c r="C79" s="173"/>
      <c r="D79" s="173"/>
      <c r="E79" s="173"/>
      <c r="F79" s="214">
        <f>SUM(F75:F78)</f>
        <v>13.496296296296297</v>
      </c>
      <c r="G79" s="180">
        <f>SUM(27*105)</f>
        <v>2835</v>
      </c>
      <c r="H79" s="173">
        <f>SUM(F79*G79)</f>
        <v>38262</v>
      </c>
      <c r="I79" s="176" t="s">
        <v>115</v>
      </c>
      <c r="J79" s="216"/>
    </row>
    <row r="83" spans="1:10" x14ac:dyDescent="0.2">
      <c r="A83" s="209" t="s">
        <v>179</v>
      </c>
      <c r="B83" s="191"/>
      <c r="C83" s="217" t="s">
        <v>107</v>
      </c>
      <c r="D83" s="371" t="s">
        <v>172</v>
      </c>
      <c r="E83" s="371"/>
      <c r="F83" s="218" t="s">
        <v>18</v>
      </c>
      <c r="G83" s="218" t="s">
        <v>108</v>
      </c>
      <c r="H83" s="191"/>
      <c r="I83" s="372" t="s">
        <v>173</v>
      </c>
      <c r="J83" s="373"/>
    </row>
    <row r="84" spans="1:10" x14ac:dyDescent="0.2">
      <c r="A84" s="211" t="s">
        <v>109</v>
      </c>
      <c r="B84" s="186" t="s">
        <v>110</v>
      </c>
      <c r="C84" s="207">
        <v>16</v>
      </c>
      <c r="D84" s="186">
        <v>10</v>
      </c>
      <c r="E84" s="186">
        <v>0.33</v>
      </c>
      <c r="F84" s="186">
        <f>SUM(C84*D84*E84)/27*2</f>
        <v>3.9111111111111114</v>
      </c>
      <c r="G84" s="186"/>
      <c r="H84" s="186"/>
      <c r="I84" s="186"/>
      <c r="J84" s="213">
        <f>SUM(C84*D84*2)+(C86*D86)+(C87*D87*2)</f>
        <v>896</v>
      </c>
    </row>
    <row r="85" spans="1:10" x14ac:dyDescent="0.2">
      <c r="A85" s="211"/>
      <c r="B85" s="186" t="s">
        <v>174</v>
      </c>
      <c r="C85" s="186">
        <v>10</v>
      </c>
      <c r="D85" s="186"/>
      <c r="E85" s="186"/>
      <c r="F85" s="186"/>
      <c r="G85" s="186"/>
      <c r="H85" s="186"/>
      <c r="I85" s="186"/>
      <c r="J85" s="213"/>
    </row>
    <row r="86" spans="1:10" x14ac:dyDescent="0.2">
      <c r="A86" s="211" t="s">
        <v>117</v>
      </c>
      <c r="B86" s="186" t="s">
        <v>111</v>
      </c>
      <c r="C86" s="207">
        <v>16</v>
      </c>
      <c r="D86" s="186">
        <v>16</v>
      </c>
      <c r="E86" s="186">
        <v>0.5</v>
      </c>
      <c r="F86" s="181">
        <f>SUM(C86*D86*E86)/27*1</f>
        <v>4.7407407407407405</v>
      </c>
      <c r="G86" s="186"/>
      <c r="H86" s="186"/>
      <c r="I86" s="186"/>
      <c r="J86" s="213"/>
    </row>
    <row r="87" spans="1:10" x14ac:dyDescent="0.2">
      <c r="A87" s="211" t="s">
        <v>112</v>
      </c>
      <c r="B87" s="186" t="s">
        <v>112</v>
      </c>
      <c r="C87" s="207">
        <v>16</v>
      </c>
      <c r="D87" s="186">
        <v>10</v>
      </c>
      <c r="E87" s="186">
        <v>0.33</v>
      </c>
      <c r="F87" s="214">
        <f>SUM(C87*D87*E87)/27*2</f>
        <v>3.9111111111111114</v>
      </c>
      <c r="G87" s="212" t="s">
        <v>113</v>
      </c>
      <c r="H87" s="176" t="s">
        <v>114</v>
      </c>
      <c r="I87" s="186"/>
      <c r="J87" s="213"/>
    </row>
    <row r="88" spans="1:10" x14ac:dyDescent="0.2">
      <c r="A88" s="215"/>
      <c r="B88" s="173"/>
      <c r="C88" s="173"/>
      <c r="D88" s="173"/>
      <c r="E88" s="173"/>
      <c r="F88" s="214">
        <f>SUM(F84:F87)</f>
        <v>12.562962962962963</v>
      </c>
      <c r="G88" s="180">
        <f>SUM(27*105)</f>
        <v>2835</v>
      </c>
      <c r="H88" s="173">
        <f>SUM(F88*G88)</f>
        <v>35616</v>
      </c>
      <c r="I88" s="176" t="s">
        <v>115</v>
      </c>
      <c r="J88" s="216"/>
    </row>
    <row r="90" spans="1:10" x14ac:dyDescent="0.2">
      <c r="A90" s="209" t="s">
        <v>180</v>
      </c>
      <c r="B90" s="219" t="s">
        <v>181</v>
      </c>
      <c r="C90" s="217" t="s">
        <v>107</v>
      </c>
      <c r="D90" s="371" t="s">
        <v>172</v>
      </c>
      <c r="E90" s="371"/>
      <c r="F90" s="218" t="s">
        <v>18</v>
      </c>
      <c r="G90" s="218" t="s">
        <v>108</v>
      </c>
      <c r="H90" s="191"/>
      <c r="I90" s="372" t="s">
        <v>173</v>
      </c>
      <c r="J90" s="373"/>
    </row>
    <row r="91" spans="1:10" x14ac:dyDescent="0.2">
      <c r="A91" s="220" t="s">
        <v>182</v>
      </c>
      <c r="B91" s="184">
        <v>2</v>
      </c>
      <c r="C91" s="186">
        <v>19</v>
      </c>
      <c r="D91" s="186">
        <v>10</v>
      </c>
      <c r="E91" s="186">
        <v>0.33</v>
      </c>
      <c r="F91" s="186">
        <f>SUM(C91*D91*E91*1)/27*2</f>
        <v>4.6444444444444448</v>
      </c>
      <c r="G91" s="186"/>
      <c r="H91" s="186"/>
      <c r="I91" s="186"/>
      <c r="J91" s="213">
        <f>SUM(C91*D91*2)+(C92*D92*2)+(C93*D93)+(C94*D94)</f>
        <v>1484</v>
      </c>
    </row>
    <row r="92" spans="1:10" x14ac:dyDescent="0.2">
      <c r="A92" s="220" t="s">
        <v>182</v>
      </c>
      <c r="B92" s="186">
        <v>2</v>
      </c>
      <c r="C92" s="186">
        <v>20</v>
      </c>
      <c r="D92" s="186">
        <v>10</v>
      </c>
      <c r="E92" s="186">
        <v>0.33</v>
      </c>
      <c r="F92" s="186">
        <f>SUM(C92*D92*E92*1)/27*2</f>
        <v>4.8888888888888893</v>
      </c>
      <c r="G92" s="186"/>
      <c r="H92" s="186"/>
      <c r="I92" s="186"/>
      <c r="J92" s="213"/>
    </row>
    <row r="93" spans="1:10" x14ac:dyDescent="0.2">
      <c r="A93" s="220" t="s">
        <v>183</v>
      </c>
      <c r="B93" s="186"/>
      <c r="C93" s="186">
        <v>19</v>
      </c>
      <c r="D93" s="186">
        <v>16</v>
      </c>
      <c r="E93" s="186">
        <v>0.33</v>
      </c>
      <c r="F93" s="186">
        <f>SUM(C93*D93*E93*1)/27*1</f>
        <v>3.7155555555555559</v>
      </c>
      <c r="G93" s="186"/>
      <c r="H93" s="186"/>
      <c r="I93" s="186"/>
      <c r="J93" s="213"/>
    </row>
    <row r="94" spans="1:10" x14ac:dyDescent="0.2">
      <c r="A94" s="221" t="s">
        <v>183</v>
      </c>
      <c r="B94" s="173"/>
      <c r="C94" s="173">
        <v>20</v>
      </c>
      <c r="D94" s="173">
        <v>20</v>
      </c>
      <c r="E94" s="173">
        <v>0.33</v>
      </c>
      <c r="F94" s="173">
        <f>SUM(C94*D94*E94*1)/27*1</f>
        <v>4.8888888888888893</v>
      </c>
      <c r="G94" s="173"/>
      <c r="H94" s="173"/>
      <c r="I94" s="173"/>
      <c r="J94" s="216"/>
    </row>
    <row r="96" spans="1:10" x14ac:dyDescent="0.2">
      <c r="E96" s="363" t="s">
        <v>184</v>
      </c>
      <c r="F96" s="364"/>
      <c r="G96" s="364"/>
      <c r="I96" s="365" t="s">
        <v>185</v>
      </c>
      <c r="J96" s="365"/>
    </row>
    <row r="97" spans="1:13" x14ac:dyDescent="0.2">
      <c r="F97" s="175">
        <f>SUM(F46,F55,F63,F71,F79,F88,F91,F92,F93,F94,F88,F88)</f>
        <v>127.49333333333334</v>
      </c>
      <c r="G97" s="178" t="s">
        <v>18</v>
      </c>
      <c r="J97">
        <f>SUM(J42,J51,J59,J67,J75,J84,J91)</f>
        <v>7440</v>
      </c>
    </row>
    <row r="98" spans="1:13" x14ac:dyDescent="0.2">
      <c r="J98" s="173">
        <v>1800</v>
      </c>
    </row>
    <row r="99" spans="1:13" x14ac:dyDescent="0.2">
      <c r="J99" s="222">
        <f>SUM(J97:J98)</f>
        <v>9240</v>
      </c>
    </row>
    <row r="102" spans="1:13" x14ac:dyDescent="0.2">
      <c r="A102" s="223" t="s">
        <v>189</v>
      </c>
      <c r="B102" s="173" t="s">
        <v>190</v>
      </c>
      <c r="C102" s="223" t="s">
        <v>191</v>
      </c>
      <c r="D102" s="224" t="s">
        <v>192</v>
      </c>
      <c r="E102" s="366" t="s">
        <v>193</v>
      </c>
      <c r="F102" s="366"/>
      <c r="G102" s="367" t="s">
        <v>194</v>
      </c>
      <c r="H102" s="368"/>
      <c r="I102" s="225" t="s">
        <v>195</v>
      </c>
      <c r="M102" s="173" t="s">
        <v>196</v>
      </c>
    </row>
    <row r="103" spans="1:13" x14ac:dyDescent="0.2">
      <c r="A103" s="226" t="s">
        <v>197</v>
      </c>
      <c r="B103" t="s">
        <v>198</v>
      </c>
      <c r="C103" s="226">
        <v>268</v>
      </c>
      <c r="D103" s="178" t="s">
        <v>199</v>
      </c>
      <c r="E103" s="369" t="s">
        <v>200</v>
      </c>
      <c r="F103" s="369"/>
      <c r="G103" s="370" t="s">
        <v>201</v>
      </c>
      <c r="H103" s="370"/>
      <c r="I103" s="226">
        <f>C103*9.17</f>
        <v>2457.56</v>
      </c>
      <c r="M103" t="s">
        <v>202</v>
      </c>
    </row>
    <row r="104" spans="1:13" x14ac:dyDescent="0.2">
      <c r="A104" s="226" t="s">
        <v>197</v>
      </c>
      <c r="B104" t="s">
        <v>203</v>
      </c>
      <c r="C104" s="226">
        <v>400</v>
      </c>
      <c r="D104" s="178" t="s">
        <v>199</v>
      </c>
      <c r="E104" s="362" t="s">
        <v>200</v>
      </c>
      <c r="F104" s="362"/>
      <c r="G104" s="364" t="s">
        <v>204</v>
      </c>
      <c r="H104" s="364"/>
      <c r="I104" s="226">
        <f>C104*9.17</f>
        <v>3668</v>
      </c>
      <c r="M104" t="s">
        <v>205</v>
      </c>
    </row>
    <row r="105" spans="1:13" x14ac:dyDescent="0.2">
      <c r="A105" s="188"/>
      <c r="B105" s="188"/>
      <c r="C105" s="188"/>
      <c r="D105" s="188"/>
      <c r="E105" s="227"/>
      <c r="F105" s="227"/>
      <c r="G105" s="177"/>
      <c r="I105" s="226"/>
    </row>
    <row r="106" spans="1:13" x14ac:dyDescent="0.2">
      <c r="A106" s="226" t="s">
        <v>206</v>
      </c>
      <c r="B106" t="s">
        <v>207</v>
      </c>
      <c r="C106" s="226">
        <v>48</v>
      </c>
      <c r="E106" s="362" t="s">
        <v>208</v>
      </c>
      <c r="F106" s="362"/>
      <c r="G106" s="363" t="s">
        <v>209</v>
      </c>
      <c r="H106" s="363"/>
      <c r="I106" s="226">
        <f>C106*18.67</f>
        <v>896.16000000000008</v>
      </c>
      <c r="J106" t="s">
        <v>210</v>
      </c>
      <c r="M106" t="s">
        <v>211</v>
      </c>
    </row>
    <row r="107" spans="1:13" x14ac:dyDescent="0.2">
      <c r="A107" s="226" t="s">
        <v>206</v>
      </c>
      <c r="B107" t="s">
        <v>207</v>
      </c>
      <c r="C107" s="226">
        <v>28</v>
      </c>
      <c r="E107" s="362" t="s">
        <v>212</v>
      </c>
      <c r="F107" s="362"/>
      <c r="G107" s="363" t="s">
        <v>209</v>
      </c>
      <c r="H107" s="363"/>
      <c r="I107" s="226">
        <f>C107*12.67</f>
        <v>354.76</v>
      </c>
      <c r="J107" t="s">
        <v>213</v>
      </c>
    </row>
    <row r="108" spans="1:13" x14ac:dyDescent="0.2">
      <c r="A108" s="226" t="s">
        <v>206</v>
      </c>
      <c r="B108" t="s">
        <v>207</v>
      </c>
      <c r="C108" s="226">
        <v>36</v>
      </c>
      <c r="E108" s="362" t="s">
        <v>214</v>
      </c>
      <c r="F108" s="362"/>
      <c r="G108" s="363" t="s">
        <v>215</v>
      </c>
      <c r="H108" s="363"/>
      <c r="I108" s="226">
        <f>C108*14.67</f>
        <v>528.12</v>
      </c>
      <c r="J108" t="s">
        <v>216</v>
      </c>
    </row>
    <row r="109" spans="1:13" x14ac:dyDescent="0.2">
      <c r="A109" s="226" t="s">
        <v>217</v>
      </c>
      <c r="B109" t="s">
        <v>218</v>
      </c>
      <c r="C109" s="226">
        <v>60</v>
      </c>
      <c r="D109" t="s">
        <v>200</v>
      </c>
      <c r="E109" s="362" t="s">
        <v>214</v>
      </c>
      <c r="F109" s="362"/>
      <c r="G109" s="363" t="s">
        <v>215</v>
      </c>
      <c r="H109" s="363"/>
      <c r="I109" s="226">
        <f>C109*14.67</f>
        <v>880.2</v>
      </c>
      <c r="J109" t="s">
        <v>219</v>
      </c>
      <c r="M109" t="s">
        <v>220</v>
      </c>
    </row>
    <row r="110" spans="1:13" x14ac:dyDescent="0.2">
      <c r="A110" s="188"/>
      <c r="B110" s="188"/>
      <c r="C110" s="188"/>
      <c r="D110" s="188"/>
      <c r="E110" s="361"/>
      <c r="F110" s="361"/>
      <c r="G110" s="177"/>
    </row>
    <row r="111" spans="1:13" x14ac:dyDescent="0.2">
      <c r="A111" s="228" t="s">
        <v>221</v>
      </c>
      <c r="B111" s="188"/>
      <c r="C111" s="226">
        <v>1400</v>
      </c>
      <c r="D111" s="188"/>
      <c r="E111" s="361"/>
      <c r="F111" s="361"/>
      <c r="G111" s="177"/>
    </row>
    <row r="112" spans="1:13" x14ac:dyDescent="0.2">
      <c r="A112" s="228" t="s">
        <v>222</v>
      </c>
      <c r="B112" s="188"/>
      <c r="C112" s="226">
        <v>469</v>
      </c>
      <c r="D112" s="188"/>
      <c r="E112" s="361"/>
      <c r="F112" s="361"/>
      <c r="G112" s="177"/>
    </row>
    <row r="113" spans="1:7" x14ac:dyDescent="0.2">
      <c r="A113" s="228" t="s">
        <v>223</v>
      </c>
      <c r="B113" s="188"/>
      <c r="C113" s="226">
        <v>212</v>
      </c>
      <c r="D113" s="188"/>
      <c r="E113" s="188"/>
      <c r="F113" s="188"/>
      <c r="G113" s="177"/>
    </row>
  </sheetData>
  <mergeCells count="37">
    <mergeCell ref="D66:E66"/>
    <mergeCell ref="C1:D1"/>
    <mergeCell ref="C2:D2"/>
    <mergeCell ref="D41:E41"/>
    <mergeCell ref="D50:E50"/>
    <mergeCell ref="D58:E58"/>
    <mergeCell ref="I90:J90"/>
    <mergeCell ref="I96:J96"/>
    <mergeCell ref="D32:E32"/>
    <mergeCell ref="I32:J32"/>
    <mergeCell ref="E102:F102"/>
    <mergeCell ref="G102:H102"/>
    <mergeCell ref="D74:E74"/>
    <mergeCell ref="D83:E83"/>
    <mergeCell ref="D90:E90"/>
    <mergeCell ref="E96:G96"/>
    <mergeCell ref="I41:J41"/>
    <mergeCell ref="I50:J50"/>
    <mergeCell ref="I58:J58"/>
    <mergeCell ref="I66:J66"/>
    <mergeCell ref="I74:J74"/>
    <mergeCell ref="I83:J83"/>
    <mergeCell ref="E103:F103"/>
    <mergeCell ref="G103:H103"/>
    <mergeCell ref="E104:F104"/>
    <mergeCell ref="G104:H104"/>
    <mergeCell ref="E106:F106"/>
    <mergeCell ref="G106:H106"/>
    <mergeCell ref="E110:F110"/>
    <mergeCell ref="E111:F111"/>
    <mergeCell ref="E112:F112"/>
    <mergeCell ref="E107:F107"/>
    <mergeCell ref="G107:H107"/>
    <mergeCell ref="E108:F108"/>
    <mergeCell ref="G108:H108"/>
    <mergeCell ref="E109:F109"/>
    <mergeCell ref="G109:H10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2"/>
  <sheetViews>
    <sheetView topLeftCell="B4" workbookViewId="0">
      <selection activeCell="E20" sqref="E20"/>
    </sheetView>
  </sheetViews>
  <sheetFormatPr defaultRowHeight="12.75" x14ac:dyDescent="0.2"/>
  <cols>
    <col min="1" max="1" width="2.28515625" bestFit="1" customWidth="1"/>
    <col min="2" max="2" width="33.28515625" bestFit="1" customWidth="1"/>
    <col min="3" max="3" width="11.42578125" bestFit="1" customWidth="1"/>
    <col min="4" max="4" width="8.42578125" bestFit="1" customWidth="1"/>
    <col min="5" max="5" width="12.85546875" bestFit="1" customWidth="1"/>
    <col min="6" max="6" width="5" bestFit="1" customWidth="1"/>
    <col min="7" max="7" width="17.28515625" bestFit="1" customWidth="1"/>
    <col min="8" max="8" width="6.7109375" bestFit="1" customWidth="1"/>
    <col min="9" max="9" width="11.140625" bestFit="1" customWidth="1"/>
    <col min="10" max="10" width="6.7109375" bestFit="1" customWidth="1"/>
    <col min="11" max="11" width="11.140625" bestFit="1" customWidth="1"/>
    <col min="12" max="12" width="18.5703125" bestFit="1" customWidth="1"/>
    <col min="13" max="13" width="5" bestFit="1" customWidth="1"/>
    <col min="14" max="14" width="13.85546875" bestFit="1" customWidth="1"/>
    <col min="15" max="15" width="18.5703125" bestFit="1" customWidth="1"/>
    <col min="16" max="16" width="11.425781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SUM(O90)</f>
        <v>23525.407742202777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</row>
    <row r="3" spans="1:16" ht="18.75" thickBot="1" x14ac:dyDescent="0.3">
      <c r="A3" s="296"/>
      <c r="B3" s="92" t="s">
        <v>84</v>
      </c>
      <c r="C3" s="172" t="s">
        <v>155</v>
      </c>
      <c r="D3" s="100" t="s">
        <v>102</v>
      </c>
      <c r="E3" s="302"/>
      <c r="F3" s="302"/>
      <c r="G3" s="302"/>
      <c r="H3" s="101"/>
      <c r="I3" s="56">
        <v>320</v>
      </c>
      <c r="J3" s="201" t="s">
        <v>12</v>
      </c>
      <c r="K3" s="101"/>
      <c r="L3" s="203">
        <f>SUM(L90/I3)</f>
        <v>54.328918445624993</v>
      </c>
      <c r="M3" s="101"/>
      <c r="N3" s="203">
        <f>SUM(G1/I3)</f>
        <v>73.516899194383683</v>
      </c>
      <c r="O3" s="101"/>
      <c r="P3" s="101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0.25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SUM(N29,N43,M65,M77,M87)</f>
        <v>6140.1538396027772</v>
      </c>
      <c r="I8" s="316"/>
      <c r="J8" s="308"/>
      <c r="K8" s="357">
        <f>N8*H8</f>
        <v>1228030.7679205555</v>
      </c>
      <c r="L8" s="357"/>
      <c r="M8" s="55" t="s">
        <v>103</v>
      </c>
      <c r="N8" s="195">
        <v>200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3070.0769198013886</v>
      </c>
      <c r="I9" s="320"/>
      <c r="J9" s="308"/>
      <c r="K9" s="10"/>
      <c r="L9" s="11">
        <f>200*H9</f>
        <v>614015.38396027777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42193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SUM(H45,H65,H77,H87)</f>
        <v>1610.6256692666666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805.3128346333333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0.25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8</v>
      </c>
      <c r="D20" s="69">
        <f>SUM(E15)</f>
        <v>15</v>
      </c>
      <c r="E20" s="41">
        <f t="shared" ref="E20:E28" si="0">IF(A20="X",D20*C20,0)</f>
        <v>120</v>
      </c>
      <c r="F20" s="97" t="s">
        <v>25</v>
      </c>
      <c r="G20" s="107">
        <f t="shared" ref="G20:G28" si="1">E20*$F$19</f>
        <v>36</v>
      </c>
      <c r="H20" s="25" t="s">
        <v>25</v>
      </c>
      <c r="I20" s="15">
        <f t="shared" ref="I20:I28" si="2">E20*$H$19</f>
        <v>30</v>
      </c>
      <c r="J20" s="108"/>
      <c r="K20" s="109"/>
      <c r="L20" s="3">
        <f t="shared" ref="L20:L28" si="3">SUM(E20:K20)</f>
        <v>186</v>
      </c>
      <c r="M20" s="26" t="s">
        <v>25</v>
      </c>
      <c r="N20" s="15">
        <f t="shared" ref="N20:N28" si="4">L20*$M$19</f>
        <v>46.5</v>
      </c>
      <c r="O20" s="3">
        <f t="shared" ref="O20:O28" si="5">SUM(N20+L20)</f>
        <v>232.5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4</v>
      </c>
      <c r="D21" s="69">
        <f>SUM(E15)</f>
        <v>15</v>
      </c>
      <c r="E21" s="41">
        <f t="shared" si="0"/>
        <v>60</v>
      </c>
      <c r="F21" s="98" t="s">
        <v>25</v>
      </c>
      <c r="G21" s="107">
        <f t="shared" si="1"/>
        <v>18</v>
      </c>
      <c r="H21" s="27" t="s">
        <v>25</v>
      </c>
      <c r="I21" s="15">
        <f t="shared" si="2"/>
        <v>15</v>
      </c>
      <c r="J21" s="110"/>
      <c r="K21" s="111"/>
      <c r="L21" s="3">
        <f t="shared" si="3"/>
        <v>93</v>
      </c>
      <c r="M21" s="26" t="s">
        <v>25</v>
      </c>
      <c r="N21" s="15">
        <f t="shared" si="4"/>
        <v>23.25</v>
      </c>
      <c r="O21" s="3">
        <f t="shared" si="5"/>
        <v>116.25</v>
      </c>
      <c r="P21" s="80">
        <f t="shared" ref="P21:P28" si="6">SUM(O21)</f>
        <v>116.25</v>
      </c>
    </row>
    <row r="22" spans="1:16" x14ac:dyDescent="0.2">
      <c r="A22" s="95" t="s">
        <v>68</v>
      </c>
      <c r="B22" s="151" t="s">
        <v>106</v>
      </c>
      <c r="C22" s="82">
        <v>32</v>
      </c>
      <c r="D22" s="69">
        <f>SUM(E15)</f>
        <v>15</v>
      </c>
      <c r="E22" s="41">
        <f>IF(A22="X",D22*C22,0)</f>
        <v>480</v>
      </c>
      <c r="F22" s="98" t="s">
        <v>25</v>
      </c>
      <c r="G22" s="107">
        <f t="shared" si="1"/>
        <v>144</v>
      </c>
      <c r="H22" s="27" t="s">
        <v>25</v>
      </c>
      <c r="I22" s="15">
        <f t="shared" si="2"/>
        <v>120</v>
      </c>
      <c r="J22" s="110"/>
      <c r="K22" s="111"/>
      <c r="L22" s="3">
        <f t="shared" si="3"/>
        <v>744</v>
      </c>
      <c r="M22" s="26" t="s">
        <v>25</v>
      </c>
      <c r="N22" s="15">
        <f t="shared" si="4"/>
        <v>186</v>
      </c>
      <c r="O22" s="3">
        <f>SUM(N22+L22)</f>
        <v>930</v>
      </c>
      <c r="P22" s="80">
        <f t="shared" si="6"/>
        <v>930</v>
      </c>
    </row>
    <row r="23" spans="1:16" x14ac:dyDescent="0.2">
      <c r="A23" s="95" t="s">
        <v>68</v>
      </c>
      <c r="B23" s="151" t="s">
        <v>79</v>
      </c>
      <c r="C23" s="82">
        <v>24</v>
      </c>
      <c r="D23" s="69">
        <v>15</v>
      </c>
      <c r="E23" s="41">
        <f>IF(A23="X",D23*C23,0)</f>
        <v>360</v>
      </c>
      <c r="F23" s="98" t="s">
        <v>25</v>
      </c>
      <c r="G23" s="107">
        <f t="shared" si="1"/>
        <v>108</v>
      </c>
      <c r="H23" s="27" t="s">
        <v>25</v>
      </c>
      <c r="I23" s="15">
        <f t="shared" si="2"/>
        <v>90</v>
      </c>
      <c r="J23" s="110"/>
      <c r="K23" s="111"/>
      <c r="L23" s="3">
        <f t="shared" si="3"/>
        <v>558</v>
      </c>
      <c r="M23" s="26" t="s">
        <v>25</v>
      </c>
      <c r="N23" s="15">
        <f t="shared" si="4"/>
        <v>139.5</v>
      </c>
      <c r="O23" s="3">
        <f>SUM(N23+L23)</f>
        <v>697.5</v>
      </c>
      <c r="P23" s="80">
        <f t="shared" si="6"/>
        <v>697.5</v>
      </c>
    </row>
    <row r="24" spans="1:16" x14ac:dyDescent="0.2">
      <c r="A24" s="95" t="s">
        <v>68</v>
      </c>
      <c r="B24" s="151" t="s">
        <v>72</v>
      </c>
      <c r="C24" s="82">
        <v>4</v>
      </c>
      <c r="D24" s="159">
        <f>SUM(E16)</f>
        <v>16.100000000000001</v>
      </c>
      <c r="E24" s="41">
        <f>IF(A24="X",D24*C24,0)</f>
        <v>64.400000000000006</v>
      </c>
      <c r="F24" s="98" t="s">
        <v>25</v>
      </c>
      <c r="G24" s="107">
        <f t="shared" si="1"/>
        <v>19.32</v>
      </c>
      <c r="H24" s="27" t="s">
        <v>25</v>
      </c>
      <c r="I24" s="15">
        <f t="shared" si="2"/>
        <v>16.100000000000001</v>
      </c>
      <c r="J24" s="110"/>
      <c r="K24" s="111"/>
      <c r="L24" s="3">
        <f t="shared" si="3"/>
        <v>99.82</v>
      </c>
      <c r="M24" s="26" t="s">
        <v>25</v>
      </c>
      <c r="N24" s="15">
        <f t="shared" si="4"/>
        <v>24.954999999999998</v>
      </c>
      <c r="O24" s="3">
        <f>SUM(N24+L24)</f>
        <v>124.77499999999999</v>
      </c>
      <c r="P24" s="80">
        <f t="shared" si="6"/>
        <v>124.77499999999999</v>
      </c>
    </row>
    <row r="25" spans="1:16" x14ac:dyDescent="0.2">
      <c r="A25" s="33" t="s">
        <v>26</v>
      </c>
      <c r="B25" s="151" t="s">
        <v>154</v>
      </c>
      <c r="C25" s="82">
        <v>8</v>
      </c>
      <c r="D25" s="69">
        <f>SUM(E15)</f>
        <v>15</v>
      </c>
      <c r="E25" s="41">
        <f t="shared" si="0"/>
        <v>120</v>
      </c>
      <c r="F25" s="98" t="s">
        <v>25</v>
      </c>
      <c r="G25" s="107">
        <f t="shared" si="1"/>
        <v>36</v>
      </c>
      <c r="H25" s="27" t="s">
        <v>25</v>
      </c>
      <c r="I25" s="15">
        <f t="shared" si="2"/>
        <v>30</v>
      </c>
      <c r="J25" s="110"/>
      <c r="K25" s="111"/>
      <c r="L25" s="3">
        <f t="shared" si="3"/>
        <v>186</v>
      </c>
      <c r="M25" s="26" t="s">
        <v>25</v>
      </c>
      <c r="N25" s="15">
        <f t="shared" si="4"/>
        <v>46.5</v>
      </c>
      <c r="O25" s="3">
        <f t="shared" si="5"/>
        <v>232.5</v>
      </c>
      <c r="P25" s="80">
        <f t="shared" si="6"/>
        <v>232.5</v>
      </c>
    </row>
    <row r="26" spans="1:16" x14ac:dyDescent="0.2">
      <c r="A26" s="149" t="s">
        <v>68</v>
      </c>
      <c r="B26" s="151" t="s">
        <v>148</v>
      </c>
      <c r="C26" s="82">
        <v>16</v>
      </c>
      <c r="D26" s="159">
        <f>SUM(E16)</f>
        <v>16.100000000000001</v>
      </c>
      <c r="E26" s="41">
        <f t="shared" si="0"/>
        <v>257.60000000000002</v>
      </c>
      <c r="F26" s="98" t="s">
        <v>25</v>
      </c>
      <c r="G26" s="107">
        <f t="shared" si="1"/>
        <v>77.28</v>
      </c>
      <c r="H26" s="27" t="s">
        <v>25</v>
      </c>
      <c r="I26" s="15">
        <f t="shared" si="2"/>
        <v>64.400000000000006</v>
      </c>
      <c r="J26" s="110"/>
      <c r="K26" s="111"/>
      <c r="L26" s="3">
        <f t="shared" si="3"/>
        <v>399.28</v>
      </c>
      <c r="M26" s="26" t="s">
        <v>25</v>
      </c>
      <c r="N26" s="15">
        <f t="shared" si="4"/>
        <v>99.82</v>
      </c>
      <c r="O26" s="3">
        <f t="shared" si="5"/>
        <v>499.09999999999997</v>
      </c>
      <c r="P26" s="80">
        <f t="shared" si="6"/>
        <v>499.09999999999997</v>
      </c>
    </row>
    <row r="27" spans="1:16" x14ac:dyDescent="0.2">
      <c r="A27" s="149" t="s">
        <v>68</v>
      </c>
      <c r="B27" s="93" t="s">
        <v>81</v>
      </c>
      <c r="C27" s="82">
        <v>6</v>
      </c>
      <c r="D27" s="159">
        <f>SUM(E16)</f>
        <v>16.100000000000001</v>
      </c>
      <c r="E27" s="41">
        <f t="shared" si="0"/>
        <v>96.600000000000009</v>
      </c>
      <c r="F27" s="98" t="s">
        <v>25</v>
      </c>
      <c r="G27" s="107">
        <f t="shared" si="1"/>
        <v>28.98</v>
      </c>
      <c r="H27" s="27" t="s">
        <v>25</v>
      </c>
      <c r="I27" s="15">
        <f t="shared" si="2"/>
        <v>24.150000000000002</v>
      </c>
      <c r="J27" s="110"/>
      <c r="K27" s="111"/>
      <c r="L27" s="3">
        <f t="shared" si="3"/>
        <v>149.73000000000002</v>
      </c>
      <c r="M27" s="26" t="s">
        <v>25</v>
      </c>
      <c r="N27" s="15">
        <f t="shared" si="4"/>
        <v>37.432500000000005</v>
      </c>
      <c r="O27" s="3">
        <f t="shared" si="5"/>
        <v>187.16250000000002</v>
      </c>
      <c r="P27" s="80">
        <f t="shared" si="6"/>
        <v>187.16250000000002</v>
      </c>
    </row>
    <row r="28" spans="1:16" x14ac:dyDescent="0.2">
      <c r="A28" s="149" t="s">
        <v>68</v>
      </c>
      <c r="B28" s="93" t="s">
        <v>149</v>
      </c>
      <c r="C28" s="64">
        <v>16</v>
      </c>
      <c r="D28" s="69">
        <f>SUM(E15)</f>
        <v>15</v>
      </c>
      <c r="E28" s="41">
        <f t="shared" si="0"/>
        <v>240</v>
      </c>
      <c r="F28" s="112" t="s">
        <v>25</v>
      </c>
      <c r="G28" s="113">
        <f t="shared" si="1"/>
        <v>72</v>
      </c>
      <c r="H28" s="114" t="s">
        <v>25</v>
      </c>
      <c r="I28" s="119">
        <f t="shared" si="2"/>
        <v>60</v>
      </c>
      <c r="J28" s="115"/>
      <c r="K28" s="116"/>
      <c r="L28" s="117">
        <f t="shared" si="3"/>
        <v>372</v>
      </c>
      <c r="M28" s="118" t="s">
        <v>25</v>
      </c>
      <c r="N28" s="119">
        <f t="shared" si="4"/>
        <v>93</v>
      </c>
      <c r="O28" s="117">
        <f t="shared" si="5"/>
        <v>465</v>
      </c>
      <c r="P28" s="80">
        <f t="shared" si="6"/>
        <v>465</v>
      </c>
    </row>
    <row r="29" spans="1:16" x14ac:dyDescent="0.2">
      <c r="A29" s="9"/>
      <c r="B29" s="24"/>
      <c r="C29" s="65">
        <f>SUM(C20:C28)</f>
        <v>118</v>
      </c>
      <c r="D29" s="60"/>
      <c r="E29" s="48">
        <f>SUM(E20:E28)</f>
        <v>1798.6</v>
      </c>
      <c r="F29" s="120" t="s">
        <v>25</v>
      </c>
      <c r="G29" s="59">
        <f>SUM(G20:G28)</f>
        <v>539.58000000000004</v>
      </c>
      <c r="H29" s="121" t="s">
        <v>25</v>
      </c>
      <c r="I29" s="57">
        <f>SUM(I20:I28)</f>
        <v>449.65</v>
      </c>
      <c r="J29" s="121"/>
      <c r="K29" s="59"/>
      <c r="L29" s="63">
        <f>SUM(L20:L28)</f>
        <v>2787.83</v>
      </c>
      <c r="M29" s="121" t="s">
        <v>25</v>
      </c>
      <c r="N29" s="57">
        <f>SUM(N20:N28)</f>
        <v>696.95749999999998</v>
      </c>
      <c r="O29" s="58">
        <f>SUM(O20:O28)</f>
        <v>3484.7874999999999</v>
      </c>
      <c r="P29" s="122">
        <f>SUM(O29/1)</f>
        <v>3484.7874999999999</v>
      </c>
    </row>
    <row r="30" spans="1:16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12</v>
      </c>
      <c r="D32" s="45">
        <v>40</v>
      </c>
      <c r="E32" s="41">
        <f>IF(A32="X",D32*C32,0)</f>
        <v>480</v>
      </c>
      <c r="F32" s="112" t="s">
        <v>25</v>
      </c>
      <c r="G32" s="113">
        <f>E32*$F$19</f>
        <v>144</v>
      </c>
      <c r="H32" s="27" t="s">
        <v>25</v>
      </c>
      <c r="I32" s="15">
        <f t="shared" ref="I32:I42" si="7">E32*$H$19</f>
        <v>120</v>
      </c>
      <c r="J32" s="110"/>
      <c r="K32" s="111"/>
      <c r="L32" s="3">
        <f t="shared" ref="L32:L42" si="8">SUM(E32:K32)</f>
        <v>744</v>
      </c>
      <c r="M32" s="26" t="s">
        <v>25</v>
      </c>
      <c r="N32" s="15">
        <f t="shared" ref="N32:N42" si="9">L32*$M$19</f>
        <v>186</v>
      </c>
      <c r="O32" s="3">
        <f>SUM(N32+L32)</f>
        <v>930</v>
      </c>
      <c r="P32" s="80">
        <f t="shared" ref="P32:P45" si="10">SUM(O32)</f>
        <v>930</v>
      </c>
    </row>
    <row r="33" spans="1:16" x14ac:dyDescent="0.2">
      <c r="A33" s="150" t="str">
        <f>IF(A20="X",A20,"")</f>
        <v>x</v>
      </c>
      <c r="B33" s="68" t="s">
        <v>31</v>
      </c>
      <c r="C33" s="83">
        <v>0</v>
      </c>
      <c r="D33" s="45">
        <v>40</v>
      </c>
      <c r="E33" s="41">
        <f t="shared" ref="E33:E42" si="11">IF(A33="X",D33*C33,0)</f>
        <v>0</v>
      </c>
      <c r="F33" s="98" t="s">
        <v>25</v>
      </c>
      <c r="G33" s="107">
        <f t="shared" ref="G33:G42" si="12">E33*$F$19</f>
        <v>0</v>
      </c>
      <c r="H33" s="27" t="s">
        <v>25</v>
      </c>
      <c r="I33" s="15">
        <f t="shared" si="7"/>
        <v>0</v>
      </c>
      <c r="J33" s="110"/>
      <c r="K33" s="111"/>
      <c r="L33" s="3">
        <f t="shared" si="8"/>
        <v>0</v>
      </c>
      <c r="M33" s="26" t="s">
        <v>25</v>
      </c>
      <c r="N33" s="15">
        <f t="shared" si="9"/>
        <v>0</v>
      </c>
      <c r="O33" s="3">
        <f t="shared" ref="O33:O42" si="13">SUM(N33+L33)</f>
        <v>0</v>
      </c>
      <c r="P33" s="80">
        <f t="shared" si="10"/>
        <v>0</v>
      </c>
    </row>
    <row r="34" spans="1:16" x14ac:dyDescent="0.2">
      <c r="A34" s="150" t="str">
        <f>IF(A21="X",A21,"")</f>
        <v>X</v>
      </c>
      <c r="B34" s="93" t="s">
        <v>75</v>
      </c>
      <c r="C34" s="83">
        <v>4</v>
      </c>
      <c r="D34" s="45">
        <v>40</v>
      </c>
      <c r="E34" s="41">
        <f t="shared" si="11"/>
        <v>160</v>
      </c>
      <c r="F34" s="112" t="s">
        <v>25</v>
      </c>
      <c r="G34" s="113">
        <f t="shared" si="12"/>
        <v>48</v>
      </c>
      <c r="H34" s="27" t="s">
        <v>25</v>
      </c>
      <c r="I34" s="15">
        <f t="shared" si="7"/>
        <v>40</v>
      </c>
      <c r="J34" s="110"/>
      <c r="K34" s="111"/>
      <c r="L34" s="3">
        <f t="shared" si="8"/>
        <v>248</v>
      </c>
      <c r="M34" s="26" t="s">
        <v>25</v>
      </c>
      <c r="N34" s="15">
        <f t="shared" si="9"/>
        <v>62</v>
      </c>
      <c r="O34" s="3">
        <f t="shared" si="13"/>
        <v>310</v>
      </c>
      <c r="P34" s="80">
        <f t="shared" si="10"/>
        <v>310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41">
        <f>IF(A36="X",D36*C36,0)</f>
        <v>120</v>
      </c>
      <c r="F36" s="98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46.5</v>
      </c>
      <c r="O36" s="3">
        <f>SUM(N36+L36)</f>
        <v>232.5</v>
      </c>
      <c r="P36" s="80">
        <f t="shared" si="10"/>
        <v>232.5</v>
      </c>
    </row>
    <row r="37" spans="1:16" x14ac:dyDescent="0.2">
      <c r="A37" s="150" t="str">
        <f>IF(A23="X",A23,"")</f>
        <v>x</v>
      </c>
      <c r="B37" s="151" t="s">
        <v>124</v>
      </c>
      <c r="C37" s="83">
        <v>3</v>
      </c>
      <c r="D37" s="45">
        <v>40</v>
      </c>
      <c r="E37" s="41">
        <f>IF(A37="X",D37*C37,0)</f>
        <v>120</v>
      </c>
      <c r="F37" s="98" t="s">
        <v>25</v>
      </c>
      <c r="G37" s="107">
        <f t="shared" si="12"/>
        <v>36</v>
      </c>
      <c r="H37" s="27" t="s">
        <v>25</v>
      </c>
      <c r="I37" s="15">
        <f t="shared" si="7"/>
        <v>30</v>
      </c>
      <c r="J37" s="110"/>
      <c r="K37" s="111"/>
      <c r="L37" s="3">
        <f t="shared" si="8"/>
        <v>186</v>
      </c>
      <c r="M37" s="26" t="s">
        <v>25</v>
      </c>
      <c r="N37" s="15">
        <f t="shared" si="9"/>
        <v>46.5</v>
      </c>
      <c r="O37" s="3">
        <f>SUM(N37+L37)</f>
        <v>232.5</v>
      </c>
      <c r="P37" s="80">
        <f t="shared" si="10"/>
        <v>232.5</v>
      </c>
    </row>
    <row r="38" spans="1:16" x14ac:dyDescent="0.2">
      <c r="A38" s="150" t="str">
        <f>IF(A24="X",A24,"")</f>
        <v>x</v>
      </c>
      <c r="B38" s="151" t="s">
        <v>72</v>
      </c>
      <c r="C38" s="83">
        <v>4</v>
      </c>
      <c r="D38" s="45">
        <v>40</v>
      </c>
      <c r="E38" s="41">
        <f>IF(A38="X",D38*C38,0)</f>
        <v>160</v>
      </c>
      <c r="F38" s="98" t="s">
        <v>25</v>
      </c>
      <c r="G38" s="107">
        <f t="shared" si="12"/>
        <v>48</v>
      </c>
      <c r="H38" s="27" t="s">
        <v>25</v>
      </c>
      <c r="I38" s="15">
        <f t="shared" si="7"/>
        <v>40</v>
      </c>
      <c r="J38" s="110"/>
      <c r="K38" s="111"/>
      <c r="L38" s="3">
        <f t="shared" si="8"/>
        <v>248</v>
      </c>
      <c r="M38" s="26" t="s">
        <v>25</v>
      </c>
      <c r="N38" s="15">
        <f t="shared" si="9"/>
        <v>62</v>
      </c>
      <c r="O38" s="3">
        <f>SUM(N38+L38)</f>
        <v>310</v>
      </c>
      <c r="P38" s="80">
        <f t="shared" si="10"/>
        <v>310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6</v>
      </c>
      <c r="D40" s="45">
        <v>40</v>
      </c>
      <c r="E40" s="41">
        <f t="shared" si="11"/>
        <v>240</v>
      </c>
      <c r="F40" s="112" t="s">
        <v>25</v>
      </c>
      <c r="G40" s="113">
        <f t="shared" si="12"/>
        <v>72</v>
      </c>
      <c r="H40" s="27" t="s">
        <v>25</v>
      </c>
      <c r="I40" s="15">
        <f t="shared" si="7"/>
        <v>60</v>
      </c>
      <c r="J40" s="110"/>
      <c r="K40" s="111"/>
      <c r="L40" s="3">
        <f t="shared" si="8"/>
        <v>372</v>
      </c>
      <c r="M40" s="26" t="s">
        <v>25</v>
      </c>
      <c r="N40" s="15">
        <f t="shared" si="9"/>
        <v>93</v>
      </c>
      <c r="O40" s="3">
        <f t="shared" si="13"/>
        <v>465</v>
      </c>
      <c r="P40" s="80">
        <f t="shared" si="10"/>
        <v>465</v>
      </c>
    </row>
    <row r="41" spans="1:16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15.5</v>
      </c>
      <c r="O41" s="3">
        <f t="shared" si="13"/>
        <v>77.5</v>
      </c>
      <c r="P41" s="80">
        <f t="shared" si="10"/>
        <v>77.5</v>
      </c>
    </row>
    <row r="42" spans="1:16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33</v>
      </c>
      <c r="D43" s="60"/>
      <c r="E43" s="60">
        <f>SUM(E32:E42)</f>
        <v>1320</v>
      </c>
      <c r="F43" s="123" t="s">
        <v>25</v>
      </c>
      <c r="G43" s="61">
        <f>SUM(G32:G42)</f>
        <v>396</v>
      </c>
      <c r="H43" s="124" t="s">
        <v>25</v>
      </c>
      <c r="I43" s="62">
        <f>SUM(I32:I42)</f>
        <v>330</v>
      </c>
      <c r="J43" s="124"/>
      <c r="K43" s="61"/>
      <c r="L43" s="63">
        <f>SUM(L32:L42)</f>
        <v>2046</v>
      </c>
      <c r="M43" s="124" t="s">
        <v>25</v>
      </c>
      <c r="N43" s="62">
        <f>SUM(N32:N42)</f>
        <v>511.5</v>
      </c>
      <c r="O43" s="63">
        <f>SUM(O32:O42)</f>
        <v>2557.5</v>
      </c>
      <c r="P43" s="80">
        <f t="shared" si="10"/>
        <v>2557.5</v>
      </c>
    </row>
    <row r="44" spans="1:16" ht="13.5" thickBot="1" x14ac:dyDescent="0.25">
      <c r="A44" s="9"/>
      <c r="B44" s="49" t="s">
        <v>73</v>
      </c>
      <c r="C44" s="161">
        <f>SUM(C29+C43)</f>
        <v>151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3118.6</v>
      </c>
      <c r="F45" s="328">
        <f>G43+G29</f>
        <v>935.58</v>
      </c>
      <c r="G45" s="329"/>
      <c r="H45" s="328">
        <f>I43+I29</f>
        <v>779.65</v>
      </c>
      <c r="I45" s="329"/>
      <c r="J45" s="328"/>
      <c r="K45" s="329"/>
      <c r="L45" s="31">
        <f>L43+L29</f>
        <v>4833.83</v>
      </c>
      <c r="M45" s="330">
        <f>N43+N29</f>
        <v>1208.4575</v>
      </c>
      <c r="N45" s="331"/>
      <c r="O45" s="31">
        <f>O43+O29</f>
        <v>6042.2875000000004</v>
      </c>
      <c r="P45" s="80">
        <f t="shared" si="10"/>
        <v>6042.2875000000004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v>0.6</v>
      </c>
      <c r="N48" s="56"/>
      <c r="O48" s="56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0.25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 t="s">
        <v>68</v>
      </c>
      <c r="B50" s="93" t="s">
        <v>150</v>
      </c>
      <c r="C50" s="85">
        <f>SUM('Concrete 20x16'!F4:F6,'Concrete 20x16'!F8)</f>
        <v>37.576969703703703</v>
      </c>
      <c r="D50" s="94" t="s">
        <v>18</v>
      </c>
      <c r="E50" s="51">
        <v>100</v>
      </c>
      <c r="F50" s="334">
        <f t="shared" ref="F50:F61" si="14">IF(A50="x",SUM(C50*E50),0)</f>
        <v>3757.6969703703703</v>
      </c>
      <c r="G50" s="335"/>
      <c r="H50" s="334">
        <f t="shared" ref="H50:H61" si="15">F50*$H$49</f>
        <v>347.58696975925926</v>
      </c>
      <c r="I50" s="335"/>
      <c r="J50" s="25" t="s">
        <v>25</v>
      </c>
      <c r="K50" s="15">
        <f>F50*$J$49</f>
        <v>939.42424259259258</v>
      </c>
      <c r="L50" s="3">
        <f t="shared" ref="L50:L64" si="16">SUM(F50:K50)</f>
        <v>5044.7081827222219</v>
      </c>
      <c r="M50" s="26" t="s">
        <v>25</v>
      </c>
      <c r="N50" s="15">
        <f>L50*$M$48</f>
        <v>3026.8249096333329</v>
      </c>
      <c r="O50" s="3">
        <f t="shared" ref="O50:O61" si="17">SUM(N50+L50)</f>
        <v>8071.5330923555548</v>
      </c>
      <c r="P50" s="80">
        <f t="shared" ref="P50:P65" si="18">SUM(O50)</f>
        <v>8071.5330923555548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500</v>
      </c>
      <c r="F51" s="336">
        <f>IF(A51="x",SUM(C51*E51),0)</f>
        <v>500</v>
      </c>
      <c r="G51" s="337"/>
      <c r="H51" s="336">
        <f>F51*$H$49</f>
        <v>46.25</v>
      </c>
      <c r="I51" s="337"/>
      <c r="J51" s="27" t="s">
        <v>25</v>
      </c>
      <c r="K51" s="15">
        <f t="shared" ref="K51:K64" si="19">F51*$J$49</f>
        <v>125</v>
      </c>
      <c r="L51" s="3">
        <f t="shared" si="16"/>
        <v>671.25</v>
      </c>
      <c r="M51" s="26" t="s">
        <v>25</v>
      </c>
      <c r="N51" s="15">
        <f t="shared" ref="N51:N64" si="20">L51*$M$49</f>
        <v>167.8125</v>
      </c>
      <c r="O51" s="3">
        <f>SUM(N51+L51)</f>
        <v>839.0625</v>
      </c>
      <c r="P51" s="80">
        <f t="shared" si="18"/>
        <v>839.0625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83.90625</v>
      </c>
      <c r="O52" s="3">
        <f>SUM(N52+L52)</f>
        <v>419.53125</v>
      </c>
      <c r="P52" s="80">
        <f t="shared" si="18"/>
        <v>419.53125</v>
      </c>
    </row>
    <row r="53" spans="1:16" x14ac:dyDescent="0.2">
      <c r="A53" s="95" t="s">
        <v>68</v>
      </c>
      <c r="B53" s="93" t="s">
        <v>151</v>
      </c>
      <c r="C53" s="85">
        <v>1400</v>
      </c>
      <c r="D53" s="94" t="s">
        <v>17</v>
      </c>
      <c r="E53" s="28">
        <v>0.3</v>
      </c>
      <c r="F53" s="336">
        <f t="shared" si="14"/>
        <v>420</v>
      </c>
      <c r="G53" s="337"/>
      <c r="H53" s="336">
        <f t="shared" si="15"/>
        <v>38.85</v>
      </c>
      <c r="I53" s="337"/>
      <c r="J53" s="27" t="s">
        <v>25</v>
      </c>
      <c r="K53" s="15">
        <f t="shared" si="19"/>
        <v>105</v>
      </c>
      <c r="L53" s="3">
        <f t="shared" si="16"/>
        <v>563.85</v>
      </c>
      <c r="M53" s="26" t="s">
        <v>25</v>
      </c>
      <c r="N53" s="15">
        <f t="shared" si="20"/>
        <v>140.96250000000001</v>
      </c>
      <c r="O53" s="3">
        <f t="shared" si="17"/>
        <v>704.8125</v>
      </c>
      <c r="P53" s="80">
        <f t="shared" si="18"/>
        <v>704.8125</v>
      </c>
    </row>
    <row r="54" spans="1:16" x14ac:dyDescent="0.2">
      <c r="A54" s="95" t="s">
        <v>68</v>
      </c>
      <c r="B54" s="93" t="s">
        <v>97</v>
      </c>
      <c r="C54" s="85">
        <f>'Concrete 20x16'!F7</f>
        <v>11.851851851851851</v>
      </c>
      <c r="D54" s="94" t="s">
        <v>18</v>
      </c>
      <c r="E54" s="28">
        <v>100</v>
      </c>
      <c r="F54" s="336">
        <f t="shared" si="14"/>
        <v>1185.1851851851852</v>
      </c>
      <c r="G54" s="337"/>
      <c r="H54" s="336">
        <f t="shared" si="15"/>
        <v>109.62962962962963</v>
      </c>
      <c r="I54" s="337"/>
      <c r="J54" s="27" t="s">
        <v>25</v>
      </c>
      <c r="K54" s="15">
        <f t="shared" si="19"/>
        <v>296.2962962962963</v>
      </c>
      <c r="L54" s="3">
        <f t="shared" si="16"/>
        <v>1591.1111111111111</v>
      </c>
      <c r="M54" s="26" t="s">
        <v>25</v>
      </c>
      <c r="N54" s="15">
        <f t="shared" si="20"/>
        <v>397.77777777777777</v>
      </c>
      <c r="O54" s="3">
        <f t="shared" si="17"/>
        <v>1988.8888888888889</v>
      </c>
      <c r="P54" s="80">
        <f t="shared" si="18"/>
        <v>1988.8888888888889</v>
      </c>
    </row>
    <row r="55" spans="1:16" x14ac:dyDescent="0.2">
      <c r="A55" s="95" t="s">
        <v>68</v>
      </c>
      <c r="B55" s="93" t="s">
        <v>98</v>
      </c>
      <c r="C55" s="85">
        <f>SUM(C50,C54)*10</f>
        <v>494.28821555555555</v>
      </c>
      <c r="D55" s="94" t="s">
        <v>115</v>
      </c>
      <c r="E55" s="28">
        <v>2</v>
      </c>
      <c r="F55" s="336">
        <f>IF(A55="x",SUM(C55*E55),0)</f>
        <v>988.57643111111111</v>
      </c>
      <c r="G55" s="337"/>
      <c r="H55" s="336">
        <f>F55*$H$49</f>
        <v>91.443319877777782</v>
      </c>
      <c r="I55" s="337"/>
      <c r="J55" s="27" t="s">
        <v>25</v>
      </c>
      <c r="K55" s="15">
        <f t="shared" si="19"/>
        <v>247.14410777777778</v>
      </c>
      <c r="L55" s="3">
        <f t="shared" si="16"/>
        <v>1327.1638587666666</v>
      </c>
      <c r="M55" s="26" t="s">
        <v>25</v>
      </c>
      <c r="N55" s="15">
        <f t="shared" si="20"/>
        <v>331.79096469166666</v>
      </c>
      <c r="O55" s="3">
        <f>SUM(N55+L55)</f>
        <v>1658.9548234583333</v>
      </c>
      <c r="P55" s="80">
        <f t="shared" si="18"/>
        <v>1658.9548234583333</v>
      </c>
    </row>
    <row r="56" spans="1:16" x14ac:dyDescent="0.2">
      <c r="A56" s="95" t="s">
        <v>68</v>
      </c>
      <c r="B56" s="93" t="s">
        <v>162</v>
      </c>
      <c r="C56" s="85">
        <v>1360</v>
      </c>
      <c r="D56" s="94" t="s">
        <v>115</v>
      </c>
      <c r="E56" s="28">
        <v>0.75</v>
      </c>
      <c r="F56" s="336">
        <f t="shared" si="14"/>
        <v>1020</v>
      </c>
      <c r="G56" s="337"/>
      <c r="H56" s="336">
        <f t="shared" si="15"/>
        <v>94.35</v>
      </c>
      <c r="I56" s="337"/>
      <c r="J56" s="27" t="s">
        <v>25</v>
      </c>
      <c r="K56" s="15">
        <f t="shared" si="19"/>
        <v>255</v>
      </c>
      <c r="L56" s="3">
        <f t="shared" si="16"/>
        <v>1369.35</v>
      </c>
      <c r="M56" s="26" t="s">
        <v>25</v>
      </c>
      <c r="N56" s="15">
        <f t="shared" si="20"/>
        <v>342.33749999999998</v>
      </c>
      <c r="O56" s="3">
        <f t="shared" si="17"/>
        <v>1711.6875</v>
      </c>
      <c r="P56" s="80">
        <f t="shared" si="18"/>
        <v>1711.6875</v>
      </c>
    </row>
    <row r="57" spans="1:16" x14ac:dyDescent="0.2">
      <c r="A57" s="95" t="s">
        <v>68</v>
      </c>
      <c r="B57" s="93" t="s">
        <v>27</v>
      </c>
      <c r="C57" s="85">
        <v>3</v>
      </c>
      <c r="D57" s="94" t="s">
        <v>16</v>
      </c>
      <c r="E57" s="28">
        <v>20</v>
      </c>
      <c r="F57" s="336">
        <f>IF(A57="x",SUM(C57*E57),0)</f>
        <v>60</v>
      </c>
      <c r="G57" s="337"/>
      <c r="H57" s="336">
        <f>F57*$H$49</f>
        <v>5.55</v>
      </c>
      <c r="I57" s="337"/>
      <c r="J57" s="27" t="s">
        <v>25</v>
      </c>
      <c r="K57" s="15">
        <f>F57*$J$49</f>
        <v>15</v>
      </c>
      <c r="L57" s="3">
        <f t="shared" si="16"/>
        <v>80.55</v>
      </c>
      <c r="M57" s="26" t="s">
        <v>25</v>
      </c>
      <c r="N57" s="15">
        <f>L57*$M$49</f>
        <v>20.137499999999999</v>
      </c>
      <c r="O57" s="3">
        <f>SUM(N57+L57)</f>
        <v>100.6875</v>
      </c>
      <c r="P57" s="80">
        <f t="shared" si="18"/>
        <v>100.6875</v>
      </c>
    </row>
    <row r="58" spans="1:16" x14ac:dyDescent="0.2">
      <c r="A58" s="95" t="s">
        <v>68</v>
      </c>
      <c r="B58" s="93" t="s">
        <v>83</v>
      </c>
      <c r="C58" s="85">
        <v>2</v>
      </c>
      <c r="D58" s="94" t="s">
        <v>16</v>
      </c>
      <c r="E58" s="50">
        <v>30</v>
      </c>
      <c r="F58" s="336">
        <f t="shared" si="14"/>
        <v>60</v>
      </c>
      <c r="G58" s="337"/>
      <c r="H58" s="338">
        <f t="shared" si="15"/>
        <v>5.55</v>
      </c>
      <c r="I58" s="337"/>
      <c r="J58" s="27" t="s">
        <v>25</v>
      </c>
      <c r="K58" s="15">
        <f t="shared" si="19"/>
        <v>15</v>
      </c>
      <c r="L58" s="3">
        <f t="shared" si="16"/>
        <v>80.55</v>
      </c>
      <c r="M58" s="26" t="s">
        <v>25</v>
      </c>
      <c r="N58" s="15">
        <f>L58*$M$48</f>
        <v>48.33</v>
      </c>
      <c r="O58" s="3">
        <f t="shared" si="17"/>
        <v>128.88</v>
      </c>
      <c r="P58" s="80">
        <f t="shared" si="18"/>
        <v>128.88</v>
      </c>
    </row>
    <row r="59" spans="1:16" x14ac:dyDescent="0.2">
      <c r="A59" s="95" t="s">
        <v>68</v>
      </c>
      <c r="B59" s="93" t="s">
        <v>94</v>
      </c>
      <c r="C59" s="40">
        <v>300</v>
      </c>
      <c r="D59" s="94" t="s">
        <v>16</v>
      </c>
      <c r="E59" s="23">
        <v>1</v>
      </c>
      <c r="F59" s="336">
        <f t="shared" si="14"/>
        <v>300</v>
      </c>
      <c r="G59" s="337"/>
      <c r="H59" s="338">
        <f t="shared" si="15"/>
        <v>27.75</v>
      </c>
      <c r="I59" s="337"/>
      <c r="J59" s="27" t="s">
        <v>25</v>
      </c>
      <c r="K59" s="15">
        <f t="shared" si="19"/>
        <v>75</v>
      </c>
      <c r="L59" s="3">
        <f t="shared" si="16"/>
        <v>402.75</v>
      </c>
      <c r="M59" s="26" t="s">
        <v>25</v>
      </c>
      <c r="N59" s="15">
        <f t="shared" si="20"/>
        <v>100.6875</v>
      </c>
      <c r="O59" s="3">
        <f t="shared" si="17"/>
        <v>503.4375</v>
      </c>
      <c r="P59" s="80">
        <f t="shared" si="18"/>
        <v>503.4375</v>
      </c>
    </row>
    <row r="60" spans="1:16" x14ac:dyDescent="0.2">
      <c r="A60" s="33"/>
      <c r="B60" s="24"/>
      <c r="C60" s="85"/>
      <c r="D60" s="44"/>
      <c r="E60" s="28"/>
      <c r="F60" s="336">
        <f t="shared" si="14"/>
        <v>0</v>
      </c>
      <c r="G60" s="337"/>
      <c r="H60" s="338">
        <f t="shared" si="15"/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 t="shared" si="17"/>
        <v>0</v>
      </c>
      <c r="P60" s="80">
        <f t="shared" si="18"/>
        <v>0</v>
      </c>
    </row>
    <row r="61" spans="1:16" x14ac:dyDescent="0.2">
      <c r="A61" s="33"/>
      <c r="B61" s="13"/>
      <c r="C61" s="85"/>
      <c r="D61" s="10"/>
      <c r="E61" s="28"/>
      <c r="F61" s="336">
        <f t="shared" si="14"/>
        <v>0</v>
      </c>
      <c r="G61" s="337"/>
      <c r="H61" s="338">
        <f t="shared" si="15"/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 t="shared" si="17"/>
        <v>0</v>
      </c>
      <c r="P61" s="80">
        <f t="shared" si="18"/>
        <v>0</v>
      </c>
    </row>
    <row r="62" spans="1:16" x14ac:dyDescent="0.2">
      <c r="A62" s="33"/>
      <c r="B62" s="13"/>
      <c r="C62" s="85"/>
      <c r="D62" s="10"/>
      <c r="E62" s="28"/>
      <c r="F62" s="336">
        <f>IF(A62="x",SUM(C62*E62),0)</f>
        <v>0</v>
      </c>
      <c r="G62" s="337"/>
      <c r="H62" s="338">
        <f>F62*$H$49</f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>SUM(N62+L62)</f>
        <v>0</v>
      </c>
      <c r="P62" s="80">
        <f t="shared" si="18"/>
        <v>0</v>
      </c>
    </row>
    <row r="63" spans="1:16" x14ac:dyDescent="0.2">
      <c r="A63" s="33"/>
      <c r="B63" s="93"/>
      <c r="C63" s="85"/>
      <c r="D63" s="10"/>
      <c r="E63" s="28"/>
      <c r="F63" s="336">
        <f>IF(A63="x",SUM(C63*E63),0)</f>
        <v>0</v>
      </c>
      <c r="G63" s="337"/>
      <c r="H63" s="338">
        <f>F63*$H$49</f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>SUM(N63+L63)</f>
        <v>0</v>
      </c>
      <c r="P63" s="80">
        <f t="shared" si="18"/>
        <v>0</v>
      </c>
    </row>
    <row r="64" spans="1:16" ht="13.5" thickBot="1" x14ac:dyDescent="0.25">
      <c r="A64" s="33"/>
      <c r="B64" s="13"/>
      <c r="C64" s="85"/>
      <c r="D64" s="10"/>
      <c r="E64" s="28"/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</row>
    <row r="65" spans="1:16" ht="16.5" thickBot="1" x14ac:dyDescent="0.3">
      <c r="A65" s="9"/>
      <c r="B65" s="13"/>
      <c r="C65" s="326" t="s">
        <v>4</v>
      </c>
      <c r="D65" s="339"/>
      <c r="E65" s="34"/>
      <c r="F65" s="340">
        <f>SUM(F50:G64)</f>
        <v>8541.4585866666675</v>
      </c>
      <c r="G65" s="329"/>
      <c r="H65" s="328">
        <f>SUM(H50:I64)</f>
        <v>790.08491926666659</v>
      </c>
      <c r="I65" s="329"/>
      <c r="J65" s="328">
        <f>SUM(K50:K64)</f>
        <v>2135.3646466666669</v>
      </c>
      <c r="K65" s="329"/>
      <c r="L65" s="31">
        <f>SUM(L50:L64)</f>
        <v>11466.908152599999</v>
      </c>
      <c r="M65" s="341">
        <f>SUM(N50:N64)</f>
        <v>4660.5674021027771</v>
      </c>
      <c r="N65" s="342"/>
      <c r="O65" s="31">
        <f>SUM(O50:O64)</f>
        <v>16127.475554702776</v>
      </c>
      <c r="P65" s="80">
        <f t="shared" si="18"/>
        <v>16127.475554702776</v>
      </c>
    </row>
    <row r="66" spans="1:16" x14ac:dyDescent="0.2">
      <c r="A66" s="9"/>
      <c r="B66" s="1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4"/>
    </row>
    <row r="67" spans="1:16" ht="18" x14ac:dyDescent="0.25">
      <c r="A67" s="9"/>
      <c r="B67" s="16" t="s">
        <v>36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86"/>
    </row>
    <row r="68" spans="1:16" ht="18" x14ac:dyDescent="0.25">
      <c r="A68" s="9"/>
      <c r="B68" s="16"/>
      <c r="C68" s="17" t="s">
        <v>8</v>
      </c>
      <c r="D68" s="17" t="s">
        <v>9</v>
      </c>
      <c r="E68" s="17" t="s">
        <v>10</v>
      </c>
      <c r="F68" s="333" t="s">
        <v>36</v>
      </c>
      <c r="G68" s="333"/>
      <c r="H68" s="162">
        <f>H49</f>
        <v>9.2499999999999999E-2</v>
      </c>
      <c r="I68" s="19" t="s">
        <v>19</v>
      </c>
      <c r="J68" s="21">
        <f>H13</f>
        <v>0.25</v>
      </c>
      <c r="K68" s="19" t="s">
        <v>23</v>
      </c>
      <c r="L68" s="18" t="s">
        <v>4</v>
      </c>
      <c r="M68" s="90">
        <f>$H$7</f>
        <v>0.25</v>
      </c>
      <c r="N68" s="22" t="s">
        <v>24</v>
      </c>
      <c r="O68" s="18" t="s">
        <v>5</v>
      </c>
      <c r="P68" s="84" t="s">
        <v>21</v>
      </c>
    </row>
    <row r="69" spans="1:16" x14ac:dyDescent="0.2">
      <c r="A69" s="152" t="s">
        <v>68</v>
      </c>
      <c r="B69" s="93" t="s">
        <v>82</v>
      </c>
      <c r="C69" s="85">
        <v>144</v>
      </c>
      <c r="D69" s="94" t="s">
        <v>12</v>
      </c>
      <c r="E69" s="51">
        <v>1</v>
      </c>
      <c r="F69" s="334">
        <f t="shared" ref="F69:F75" si="21">IF(A69="x",SUM(C69*E69),0)</f>
        <v>144</v>
      </c>
      <c r="G69" s="335"/>
      <c r="H69" s="334">
        <f t="shared" ref="H69:H75" si="22">F69*$H$49</f>
        <v>13.32</v>
      </c>
      <c r="I69" s="335"/>
      <c r="J69" s="25" t="s">
        <v>25</v>
      </c>
      <c r="K69" s="15">
        <f>F69*$J$68</f>
        <v>36</v>
      </c>
      <c r="L69" s="3">
        <f t="shared" ref="L69:L75" si="23">SUM(F69:K69)</f>
        <v>193.32</v>
      </c>
      <c r="M69" s="26" t="s">
        <v>25</v>
      </c>
      <c r="N69" s="15">
        <f t="shared" ref="N69:N75" si="24">L69*$M$68</f>
        <v>48.33</v>
      </c>
      <c r="O69" s="3">
        <f t="shared" ref="O69:O75" si="25">SUM(N69+L69)</f>
        <v>241.64999999999998</v>
      </c>
      <c r="P69" s="80">
        <f t="shared" ref="P69:P77" si="26">SUM(O69)</f>
        <v>241.64999999999998</v>
      </c>
    </row>
    <row r="70" spans="1:16" x14ac:dyDescent="0.2">
      <c r="A70" s="152"/>
      <c r="B70" s="24"/>
      <c r="C70" s="85">
        <v>0</v>
      </c>
      <c r="D70" s="44" t="s">
        <v>17</v>
      </c>
      <c r="E70" s="28">
        <v>0.25</v>
      </c>
      <c r="F70" s="336">
        <f t="shared" si="21"/>
        <v>0</v>
      </c>
      <c r="G70" s="337"/>
      <c r="H70" s="336">
        <f t="shared" si="22"/>
        <v>0</v>
      </c>
      <c r="I70" s="337"/>
      <c r="J70" s="27" t="s">
        <v>25</v>
      </c>
      <c r="K70" s="15">
        <f t="shared" ref="K70:K75" si="27">F70*$J$68</f>
        <v>0</v>
      </c>
      <c r="L70" s="3">
        <f t="shared" si="23"/>
        <v>0</v>
      </c>
      <c r="M70" s="26" t="s">
        <v>25</v>
      </c>
      <c r="N70" s="15">
        <f t="shared" si="24"/>
        <v>0</v>
      </c>
      <c r="O70" s="3">
        <f t="shared" si="25"/>
        <v>0</v>
      </c>
      <c r="P70" s="80">
        <f t="shared" si="26"/>
        <v>0</v>
      </c>
    </row>
    <row r="71" spans="1:16" x14ac:dyDescent="0.2">
      <c r="A71" s="46" t="s">
        <v>26</v>
      </c>
      <c r="B71" s="24" t="s">
        <v>37</v>
      </c>
      <c r="C71" s="85">
        <f>$C$43+$C$29</f>
        <v>151</v>
      </c>
      <c r="D71" s="94" t="s">
        <v>53</v>
      </c>
      <c r="E71" s="28">
        <v>0.15</v>
      </c>
      <c r="F71" s="336">
        <f t="shared" si="21"/>
        <v>22.65</v>
      </c>
      <c r="G71" s="337"/>
      <c r="H71" s="336">
        <f t="shared" si="22"/>
        <v>2.0951249999999999</v>
      </c>
      <c r="I71" s="337"/>
      <c r="J71" s="27" t="s">
        <v>25</v>
      </c>
      <c r="K71" s="15">
        <f t="shared" si="27"/>
        <v>5.6624999999999996</v>
      </c>
      <c r="L71" s="3">
        <f t="shared" si="23"/>
        <v>30.407624999999996</v>
      </c>
      <c r="M71" s="26" t="s">
        <v>25</v>
      </c>
      <c r="N71" s="15">
        <f t="shared" si="24"/>
        <v>7.601906249999999</v>
      </c>
      <c r="O71" s="3">
        <f t="shared" si="25"/>
        <v>38.009531249999995</v>
      </c>
      <c r="P71" s="80">
        <f t="shared" si="26"/>
        <v>38.009531249999995</v>
      </c>
    </row>
    <row r="72" spans="1:16" x14ac:dyDescent="0.2">
      <c r="A72" s="95" t="s">
        <v>26</v>
      </c>
      <c r="B72" s="93" t="s">
        <v>125</v>
      </c>
      <c r="C72" s="85">
        <f>$C$43+$C$29</f>
        <v>151</v>
      </c>
      <c r="D72" s="94" t="s">
        <v>53</v>
      </c>
      <c r="E72" s="28">
        <v>0.25</v>
      </c>
      <c r="F72" s="336">
        <f>IF(A72="x",SUM(C72*E72),0)</f>
        <v>37.75</v>
      </c>
      <c r="G72" s="337"/>
      <c r="H72" s="336">
        <f t="shared" si="22"/>
        <v>3.4918749999999998</v>
      </c>
      <c r="I72" s="337"/>
      <c r="J72" s="27" t="s">
        <v>25</v>
      </c>
      <c r="K72" s="15">
        <f t="shared" si="27"/>
        <v>9.4375</v>
      </c>
      <c r="L72" s="3">
        <f t="shared" si="23"/>
        <v>50.679375</v>
      </c>
      <c r="M72" s="26" t="s">
        <v>25</v>
      </c>
      <c r="N72" s="15">
        <f t="shared" si="24"/>
        <v>12.66984375</v>
      </c>
      <c r="O72" s="3">
        <f t="shared" si="25"/>
        <v>63.349218749999999</v>
      </c>
      <c r="P72" s="80">
        <f t="shared" si="26"/>
        <v>63.349218749999999</v>
      </c>
    </row>
    <row r="73" spans="1:16" x14ac:dyDescent="0.2">
      <c r="A73" s="95" t="s">
        <v>26</v>
      </c>
      <c r="B73" s="93" t="s">
        <v>22</v>
      </c>
      <c r="C73" s="85">
        <f>$C$43+$C$29</f>
        <v>151</v>
      </c>
      <c r="D73" s="94" t="s">
        <v>53</v>
      </c>
      <c r="E73" s="28">
        <v>0.5</v>
      </c>
      <c r="F73" s="336">
        <f t="shared" si="21"/>
        <v>75.5</v>
      </c>
      <c r="G73" s="337"/>
      <c r="H73" s="336">
        <f t="shared" si="22"/>
        <v>6.9837499999999997</v>
      </c>
      <c r="I73" s="337"/>
      <c r="J73" s="27" t="s">
        <v>25</v>
      </c>
      <c r="K73" s="15">
        <f t="shared" si="27"/>
        <v>18.875</v>
      </c>
      <c r="L73" s="3">
        <f t="shared" si="23"/>
        <v>101.35875</v>
      </c>
      <c r="M73" s="26" t="s">
        <v>25</v>
      </c>
      <c r="N73" s="15">
        <f t="shared" si="24"/>
        <v>25.3396875</v>
      </c>
      <c r="O73" s="3">
        <f t="shared" si="25"/>
        <v>126.6984375</v>
      </c>
      <c r="P73" s="80">
        <f t="shared" si="26"/>
        <v>126.6984375</v>
      </c>
    </row>
    <row r="74" spans="1:16" x14ac:dyDescent="0.2">
      <c r="A74" s="95"/>
      <c r="B74" s="93"/>
      <c r="C74" s="85"/>
      <c r="D74" s="94" t="s">
        <v>11</v>
      </c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x14ac:dyDescent="0.2">
      <c r="A75" s="46"/>
      <c r="B75" s="24"/>
      <c r="C75" s="85"/>
      <c r="D75" s="44"/>
      <c r="E75" s="28"/>
      <c r="F75" s="336">
        <f t="shared" si="21"/>
        <v>0</v>
      </c>
      <c r="G75" s="337"/>
      <c r="H75" s="336">
        <f t="shared" si="22"/>
        <v>0</v>
      </c>
      <c r="I75" s="337"/>
      <c r="J75" s="27" t="s">
        <v>25</v>
      </c>
      <c r="K75" s="15">
        <f t="shared" si="27"/>
        <v>0</v>
      </c>
      <c r="L75" s="3">
        <f t="shared" si="23"/>
        <v>0</v>
      </c>
      <c r="M75" s="26" t="s">
        <v>25</v>
      </c>
      <c r="N75" s="15">
        <f t="shared" si="24"/>
        <v>0</v>
      </c>
      <c r="O75" s="3">
        <f t="shared" si="25"/>
        <v>0</v>
      </c>
      <c r="P75" s="80">
        <f t="shared" si="26"/>
        <v>0</v>
      </c>
    </row>
    <row r="76" spans="1:16" ht="16.5" thickBot="1" x14ac:dyDescent="0.3">
      <c r="A76" s="9"/>
      <c r="B76" s="29"/>
      <c r="C76" s="87"/>
      <c r="D76" s="11"/>
      <c r="E76" s="30"/>
      <c r="F76" s="353"/>
      <c r="G76" s="354"/>
      <c r="H76" s="358"/>
      <c r="I76" s="359"/>
      <c r="J76" s="6"/>
      <c r="K76" s="4"/>
      <c r="L76" s="5"/>
      <c r="M76" s="2"/>
      <c r="N76" s="8"/>
      <c r="O76" s="1"/>
      <c r="P76" s="80">
        <f t="shared" si="26"/>
        <v>0</v>
      </c>
    </row>
    <row r="77" spans="1:16" ht="16.5" thickBot="1" x14ac:dyDescent="0.3">
      <c r="A77" s="9"/>
      <c r="B77" s="13"/>
      <c r="C77" s="326" t="s">
        <v>4</v>
      </c>
      <c r="D77" s="339"/>
      <c r="E77" s="34"/>
      <c r="F77" s="340">
        <f>SUM(F69:G75)</f>
        <v>279.89999999999998</v>
      </c>
      <c r="G77" s="329"/>
      <c r="H77" s="328">
        <f>SUM(H69:I76)</f>
        <v>25.890750000000001</v>
      </c>
      <c r="I77" s="329"/>
      <c r="J77" s="328">
        <f>SUM(K69:K76)</f>
        <v>69.974999999999994</v>
      </c>
      <c r="K77" s="329"/>
      <c r="L77" s="31">
        <f>SUM(L69:L76)</f>
        <v>375.76574999999997</v>
      </c>
      <c r="M77" s="341">
        <f>SUM(N69:N76)</f>
        <v>93.941437499999992</v>
      </c>
      <c r="N77" s="342"/>
      <c r="O77" s="31">
        <f>SUM(O69:O76)</f>
        <v>469.70718749999997</v>
      </c>
      <c r="P77" s="80">
        <f t="shared" si="26"/>
        <v>469.70718749999997</v>
      </c>
    </row>
    <row r="78" spans="1:16" ht="15.75" x14ac:dyDescent="0.25">
      <c r="A78" s="9"/>
      <c r="B78" s="13"/>
      <c r="C78" s="10"/>
      <c r="D78" s="10"/>
      <c r="E78" s="10"/>
      <c r="F78" s="126"/>
      <c r="G78" s="126"/>
      <c r="H78" s="126"/>
      <c r="I78" s="126"/>
      <c r="J78" s="126"/>
      <c r="K78" s="126"/>
      <c r="L78" s="127"/>
      <c r="M78" s="128"/>
      <c r="N78" s="128"/>
      <c r="O78" s="127"/>
      <c r="P78" s="129"/>
    </row>
    <row r="79" spans="1:16" ht="18" x14ac:dyDescent="0.25">
      <c r="A79" s="9"/>
      <c r="B79" s="16" t="s">
        <v>13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88"/>
    </row>
    <row r="80" spans="1:16" ht="14.25" x14ac:dyDescent="0.2">
      <c r="A80" s="9"/>
      <c r="B80" s="36" t="s">
        <v>30</v>
      </c>
      <c r="C80" s="96" t="s">
        <v>8</v>
      </c>
      <c r="D80" s="96" t="s">
        <v>20</v>
      </c>
      <c r="E80" s="96" t="s">
        <v>3</v>
      </c>
      <c r="F80" s="345" t="s">
        <v>13</v>
      </c>
      <c r="G80" s="345"/>
      <c r="H80" s="345" t="s">
        <v>29</v>
      </c>
      <c r="I80" s="345"/>
      <c r="J80" s="21">
        <f>H13</f>
        <v>0.25</v>
      </c>
      <c r="K80" s="19" t="s">
        <v>23</v>
      </c>
      <c r="L80" s="18" t="s">
        <v>4</v>
      </c>
      <c r="M80" s="90">
        <f>$H$7</f>
        <v>0.25</v>
      </c>
      <c r="N80" s="22" t="s">
        <v>24</v>
      </c>
      <c r="O80" s="18" t="s">
        <v>5</v>
      </c>
      <c r="P80" s="84" t="s">
        <v>21</v>
      </c>
    </row>
    <row r="81" spans="1:16" x14ac:dyDescent="0.2">
      <c r="A81" s="9"/>
      <c r="B81" s="167" t="s">
        <v>89</v>
      </c>
      <c r="C81" s="85">
        <v>1</v>
      </c>
      <c r="D81" s="52">
        <v>1</v>
      </c>
      <c r="E81" s="134">
        <v>25</v>
      </c>
      <c r="F81" s="346">
        <f>C81*D81*E81</f>
        <v>25</v>
      </c>
      <c r="G81" s="347"/>
      <c r="H81" s="334">
        <v>3</v>
      </c>
      <c r="I81" s="335"/>
      <c r="J81" s="25" t="s">
        <v>25</v>
      </c>
      <c r="K81" s="15">
        <f>F81*$J$80</f>
        <v>6.25</v>
      </c>
      <c r="L81" s="3">
        <f>SUM(F81:K81)</f>
        <v>34.25</v>
      </c>
      <c r="M81" s="26" t="s">
        <v>25</v>
      </c>
      <c r="N81" s="15">
        <f>L81*$M$80</f>
        <v>8.5625</v>
      </c>
      <c r="O81" s="3">
        <f>SUM(N81+L81)</f>
        <v>42.8125</v>
      </c>
      <c r="P81" s="80">
        <f t="shared" ref="P81:P87" si="28">SUM(O81)</f>
        <v>42.8125</v>
      </c>
    </row>
    <row r="82" spans="1:16" x14ac:dyDescent="0.2">
      <c r="A82" s="9"/>
      <c r="B82" s="94" t="s">
        <v>90</v>
      </c>
      <c r="C82" s="85">
        <v>1</v>
      </c>
      <c r="D82" s="52">
        <v>2</v>
      </c>
      <c r="E82" s="45">
        <v>25</v>
      </c>
      <c r="F82" s="348">
        <f>C82*D82*E82</f>
        <v>50</v>
      </c>
      <c r="G82" s="349"/>
      <c r="H82" s="336">
        <v>0</v>
      </c>
      <c r="I82" s="337"/>
      <c r="J82" s="27" t="s">
        <v>25</v>
      </c>
      <c r="K82" s="15">
        <f>F82*$J$80</f>
        <v>12.5</v>
      </c>
      <c r="L82" s="3">
        <f>SUM(F82:K82)</f>
        <v>62.5</v>
      </c>
      <c r="M82" s="26" t="s">
        <v>25</v>
      </c>
      <c r="N82" s="15">
        <f>L82*$M$80</f>
        <v>15.625</v>
      </c>
      <c r="O82" s="3">
        <f>SUM(N82+L82)</f>
        <v>78.125</v>
      </c>
      <c r="P82" s="80">
        <f t="shared" si="28"/>
        <v>78.125</v>
      </c>
    </row>
    <row r="83" spans="1:16" x14ac:dyDescent="0.2">
      <c r="A83" s="9"/>
      <c r="B83" s="94" t="s">
        <v>91</v>
      </c>
      <c r="C83" s="85">
        <v>1</v>
      </c>
      <c r="D83" s="52">
        <v>1</v>
      </c>
      <c r="E83" s="45">
        <v>20</v>
      </c>
      <c r="F83" s="348">
        <f>C83*D83*E83</f>
        <v>20</v>
      </c>
      <c r="G83" s="349"/>
      <c r="H83" s="336">
        <v>0</v>
      </c>
      <c r="I83" s="337"/>
      <c r="J83" s="27" t="s">
        <v>25</v>
      </c>
      <c r="K83" s="15">
        <f>F83*$J$80</f>
        <v>5</v>
      </c>
      <c r="L83" s="3">
        <f>SUM(F83:K83)</f>
        <v>25</v>
      </c>
      <c r="M83" s="26" t="s">
        <v>25</v>
      </c>
      <c r="N83" s="15">
        <f>L83*$M$80</f>
        <v>6.25</v>
      </c>
      <c r="O83" s="3">
        <f>SUM(N83+L83)</f>
        <v>31.25</v>
      </c>
      <c r="P83" s="80">
        <f t="shared" si="28"/>
        <v>31.25</v>
      </c>
    </row>
    <row r="84" spans="1:16" x14ac:dyDescent="0.2">
      <c r="A84" s="165" t="s">
        <v>68</v>
      </c>
      <c r="B84" s="94" t="s">
        <v>92</v>
      </c>
      <c r="C84" s="85">
        <v>1</v>
      </c>
      <c r="D84" s="52">
        <v>1</v>
      </c>
      <c r="E84" s="45">
        <v>300</v>
      </c>
      <c r="F84" s="348">
        <f>C84*D84*E84</f>
        <v>300</v>
      </c>
      <c r="G84" s="349"/>
      <c r="H84" s="336">
        <v>12</v>
      </c>
      <c r="I84" s="337"/>
      <c r="J84" s="27" t="s">
        <v>25</v>
      </c>
      <c r="K84" s="15">
        <f>F84*$J$80</f>
        <v>75</v>
      </c>
      <c r="L84" s="3">
        <f>SUM(F84:K84)</f>
        <v>387</v>
      </c>
      <c r="M84" s="26" t="s">
        <v>25</v>
      </c>
      <c r="N84" s="15">
        <f>L84*$M$80</f>
        <v>96.75</v>
      </c>
      <c r="O84" s="3">
        <f>SUM(N84+L84)</f>
        <v>483.75</v>
      </c>
      <c r="P84" s="80">
        <f t="shared" si="28"/>
        <v>483.75</v>
      </c>
    </row>
    <row r="85" spans="1:16" x14ac:dyDescent="0.2">
      <c r="A85" s="9"/>
      <c r="B85" s="94" t="s">
        <v>93</v>
      </c>
      <c r="C85" s="85">
        <v>1</v>
      </c>
      <c r="D85" s="52">
        <v>2</v>
      </c>
      <c r="E85" s="45">
        <v>80</v>
      </c>
      <c r="F85" s="348">
        <f>C85*D85*E85</f>
        <v>160</v>
      </c>
      <c r="G85" s="349"/>
      <c r="H85" s="336">
        <v>0</v>
      </c>
      <c r="I85" s="337"/>
      <c r="J85" s="27" t="s">
        <v>25</v>
      </c>
      <c r="K85" s="15">
        <f>F85*$J$80</f>
        <v>40</v>
      </c>
      <c r="L85" s="3">
        <f>SUM(F85:K85)</f>
        <v>200</v>
      </c>
      <c r="M85" s="26" t="s">
        <v>25</v>
      </c>
      <c r="N85" s="15">
        <f>L85*$M$80</f>
        <v>50</v>
      </c>
      <c r="O85" s="3">
        <f>SUM(N85+L85)</f>
        <v>250</v>
      </c>
      <c r="P85" s="80">
        <f t="shared" si="28"/>
        <v>250</v>
      </c>
    </row>
    <row r="86" spans="1:16" ht="13.5" thickBot="1" x14ac:dyDescent="0.25">
      <c r="A86" s="9"/>
      <c r="B86" s="44"/>
      <c r="C86" s="87"/>
      <c r="D86" s="52"/>
      <c r="E86" s="44"/>
      <c r="F86" s="348"/>
      <c r="G86" s="349"/>
      <c r="H86" s="336"/>
      <c r="I86" s="337"/>
      <c r="J86" s="27"/>
      <c r="K86" s="15"/>
      <c r="L86" s="3"/>
      <c r="M86" s="26"/>
      <c r="N86" s="15"/>
      <c r="O86" s="3"/>
      <c r="P86" s="80">
        <f t="shared" si="28"/>
        <v>0</v>
      </c>
    </row>
    <row r="87" spans="1:16" ht="16.5" thickBot="1" x14ac:dyDescent="0.3">
      <c r="A87" s="9"/>
      <c r="B87" s="13"/>
      <c r="C87" s="326" t="s">
        <v>4</v>
      </c>
      <c r="D87" s="339"/>
      <c r="E87" s="34"/>
      <c r="F87" s="328">
        <f>SUM(F81:G86)</f>
        <v>555</v>
      </c>
      <c r="G87" s="329"/>
      <c r="H87" s="328">
        <f>SUM(H81:I86)</f>
        <v>15</v>
      </c>
      <c r="I87" s="329"/>
      <c r="J87" s="328">
        <f>SUM(J81:K86)</f>
        <v>138.75</v>
      </c>
      <c r="K87" s="329"/>
      <c r="L87" s="31">
        <f>SUM(L81:L86)</f>
        <v>708.75</v>
      </c>
      <c r="M87" s="328">
        <f>SUM(M81:N86)</f>
        <v>177.1875</v>
      </c>
      <c r="N87" s="329"/>
      <c r="O87" s="31">
        <f>SUM(O81:O86)</f>
        <v>885.9375</v>
      </c>
      <c r="P87" s="80">
        <f t="shared" si="28"/>
        <v>885.9375</v>
      </c>
    </row>
    <row r="88" spans="1:16" x14ac:dyDescent="0.2">
      <c r="A88" s="9"/>
      <c r="B88" s="1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4"/>
    </row>
    <row r="89" spans="1:16" ht="13.5" thickBot="1" x14ac:dyDescent="0.25">
      <c r="A89" s="9"/>
      <c r="B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"/>
      <c r="O89" s="10"/>
      <c r="P89" s="80">
        <f>SUM(O89)</f>
        <v>0</v>
      </c>
    </row>
    <row r="90" spans="1:16" ht="21" thickBot="1" x14ac:dyDescent="0.35">
      <c r="A90" s="9"/>
      <c r="B90" s="13"/>
      <c r="C90" s="350" t="s">
        <v>15</v>
      </c>
      <c r="D90" s="351"/>
      <c r="E90" s="37"/>
      <c r="F90" s="37"/>
      <c r="G90" s="37"/>
      <c r="H90" s="37"/>
      <c r="I90" s="37"/>
      <c r="J90" s="37"/>
      <c r="K90" s="37"/>
      <c r="L90" s="202">
        <f>SUM(L45,L65,L77,L87)</f>
        <v>17385.253902599998</v>
      </c>
      <c r="M90" s="37"/>
      <c r="N90" s="38"/>
      <c r="O90" s="202">
        <f>SUM(O29,O43,O65,O77,O87)</f>
        <v>23525.407742202777</v>
      </c>
      <c r="P90" s="80">
        <f>SUM(O90)</f>
        <v>23525.407742202777</v>
      </c>
    </row>
    <row r="91" spans="1:16" ht="17.25" thickBot="1" x14ac:dyDescent="0.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5"/>
      <c r="O91" s="13"/>
      <c r="P91" s="89" t="e">
        <f>O91/$C$3</f>
        <v>#VALUE!</v>
      </c>
    </row>
    <row r="92" spans="1:16" ht="17.25" thickBot="1" x14ac:dyDescent="0.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5"/>
      <c r="O92" s="135" t="e">
        <f>SUM(#REF!)</f>
        <v>#REF!</v>
      </c>
      <c r="P92" s="89" t="e">
        <f>O92/$C$3</f>
        <v>#REF!</v>
      </c>
    </row>
    <row r="93" spans="1:16" ht="17.25" thickBot="1" x14ac:dyDescent="0.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5"/>
      <c r="O93" s="13"/>
      <c r="P93" s="89" t="e">
        <f>O93/$C$3</f>
        <v>#VALUE!</v>
      </c>
    </row>
    <row r="94" spans="1:16" ht="17.25" thickBot="1" x14ac:dyDescent="0.3">
      <c r="A94" s="9"/>
      <c r="B94" s="13" t="s">
        <v>105</v>
      </c>
      <c r="C94" s="171">
        <v>14500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/>
    </row>
    <row r="95" spans="1:16" ht="17.25" thickBot="1" x14ac:dyDescent="0.3">
      <c r="A95" s="9"/>
      <c r="B95" s="93" t="s">
        <v>101</v>
      </c>
      <c r="C95" s="171">
        <v>5000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/>
      <c r="P95" s="168"/>
    </row>
    <row r="96" spans="1:16" ht="17.25" thickBot="1" x14ac:dyDescent="0.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5"/>
      <c r="M96" s="13"/>
      <c r="N96" s="35"/>
      <c r="O96" s="13"/>
      <c r="P96" s="89"/>
    </row>
    <row r="97" spans="1:16" ht="17.25" thickBot="1" x14ac:dyDescent="0.3">
      <c r="A97" s="9"/>
      <c r="B97" s="13"/>
      <c r="C97" s="13"/>
      <c r="D97" s="13"/>
      <c r="E97" s="13">
        <f>(O24+O38)/2</f>
        <v>217.38749999999999</v>
      </c>
      <c r="F97" s="13"/>
      <c r="G97" s="13"/>
      <c r="H97" s="13"/>
      <c r="I97" s="13"/>
      <c r="J97" s="13"/>
      <c r="K97" s="13"/>
      <c r="L97" s="13"/>
      <c r="M97" s="13"/>
      <c r="N97" s="35"/>
      <c r="O97" s="135"/>
      <c r="P97" s="89"/>
    </row>
    <row r="98" spans="1:16" ht="16.5" x14ac:dyDescent="0.25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5"/>
      <c r="O98" s="13"/>
      <c r="P98" s="169"/>
    </row>
    <row r="99" spans="1:16" ht="16.5" x14ac:dyDescent="0.25">
      <c r="A99" s="9"/>
      <c r="B99" s="93" t="s">
        <v>126</v>
      </c>
      <c r="C99" s="171">
        <v>5700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35"/>
      <c r="O99" s="135"/>
      <c r="P99" s="170"/>
    </row>
    <row r="100" spans="1:16" ht="16.5" x14ac:dyDescent="0.25">
      <c r="A100" s="9"/>
      <c r="B100" s="93" t="s">
        <v>99</v>
      </c>
      <c r="C100" s="171">
        <v>25000</v>
      </c>
      <c r="D100" s="13"/>
      <c r="E100" s="13"/>
      <c r="F100" s="13"/>
      <c r="G100" s="13"/>
      <c r="H100" s="13"/>
      <c r="I100" s="13"/>
      <c r="J100" s="13"/>
      <c r="K100" s="13"/>
      <c r="L100" s="153"/>
      <c r="M100" s="13"/>
      <c r="N100" s="35"/>
      <c r="O100" s="135"/>
      <c r="P100" s="170"/>
    </row>
    <row r="101" spans="1:16" ht="16.5" x14ac:dyDescent="0.25">
      <c r="A101" s="9"/>
      <c r="B101" s="93" t="s">
        <v>100</v>
      </c>
      <c r="C101" s="43">
        <v>5000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2"/>
      <c r="O101" s="11"/>
      <c r="P101" s="170"/>
    </row>
    <row r="102" spans="1:16" ht="16.5" x14ac:dyDescent="0.25">
      <c r="A102" s="9"/>
      <c r="B102" s="93"/>
      <c r="C102" s="42">
        <f>SUM(C94:C101)</f>
        <v>55200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2"/>
      <c r="O102" s="11"/>
      <c r="P102" s="170"/>
    </row>
  </sheetData>
  <mergeCells count="116">
    <mergeCell ref="F86:G86"/>
    <mergeCell ref="H86:I86"/>
    <mergeCell ref="C90:D90"/>
    <mergeCell ref="C87:D87"/>
    <mergeCell ref="F87:G87"/>
    <mergeCell ref="H87:I87"/>
    <mergeCell ref="J87:K87"/>
    <mergeCell ref="M87:N87"/>
    <mergeCell ref="C88:P88"/>
    <mergeCell ref="F81:G81"/>
    <mergeCell ref="H81:I81"/>
    <mergeCell ref="F82:G82"/>
    <mergeCell ref="H82:I82"/>
    <mergeCell ref="F83:G83"/>
    <mergeCell ref="H83:I83"/>
    <mergeCell ref="F84:G84"/>
    <mergeCell ref="H84:I84"/>
    <mergeCell ref="F85:G85"/>
    <mergeCell ref="H85:I85"/>
    <mergeCell ref="F76:G76"/>
    <mergeCell ref="H76:I76"/>
    <mergeCell ref="C77:D77"/>
    <mergeCell ref="F77:G77"/>
    <mergeCell ref="H77:I77"/>
    <mergeCell ref="J77:K77"/>
    <mergeCell ref="M77:N77"/>
    <mergeCell ref="F80:G80"/>
    <mergeCell ref="H80:I80"/>
    <mergeCell ref="F71:G71"/>
    <mergeCell ref="H71:I71"/>
    <mergeCell ref="F72:G72"/>
    <mergeCell ref="H72:I72"/>
    <mergeCell ref="F73:G73"/>
    <mergeCell ref="H73:I73"/>
    <mergeCell ref="F74:G74"/>
    <mergeCell ref="H74:I74"/>
    <mergeCell ref="F75:G75"/>
    <mergeCell ref="H75:I75"/>
    <mergeCell ref="M65:N65"/>
    <mergeCell ref="C66:P66"/>
    <mergeCell ref="F68:G68"/>
    <mergeCell ref="F69:G69"/>
    <mergeCell ref="H69:I69"/>
    <mergeCell ref="F70:G70"/>
    <mergeCell ref="H70:I70"/>
    <mergeCell ref="C65:D65"/>
    <mergeCell ref="F65:G65"/>
    <mergeCell ref="H65:I65"/>
    <mergeCell ref="F60:G60"/>
    <mergeCell ref="H60:I60"/>
    <mergeCell ref="F61:G61"/>
    <mergeCell ref="H61:I61"/>
    <mergeCell ref="F58:G58"/>
    <mergeCell ref="H58:I58"/>
    <mergeCell ref="F59:G59"/>
    <mergeCell ref="H59:I59"/>
    <mergeCell ref="J65:K65"/>
    <mergeCell ref="F62:G62"/>
    <mergeCell ref="H62:I62"/>
    <mergeCell ref="F63:G63"/>
    <mergeCell ref="H63:I63"/>
    <mergeCell ref="F64:G64"/>
    <mergeCell ref="H64:I64"/>
    <mergeCell ref="F53:G53"/>
    <mergeCell ref="H53:I53"/>
    <mergeCell ref="F54:G54"/>
    <mergeCell ref="H54:I54"/>
    <mergeCell ref="F55:G55"/>
    <mergeCell ref="H55:I55"/>
    <mergeCell ref="F56:G56"/>
    <mergeCell ref="H56:I56"/>
    <mergeCell ref="F57:G57"/>
    <mergeCell ref="H57:I57"/>
    <mergeCell ref="C46:P46"/>
    <mergeCell ref="C47:P47"/>
    <mergeCell ref="F49:G49"/>
    <mergeCell ref="F50:G50"/>
    <mergeCell ref="H50:I50"/>
    <mergeCell ref="F51:G51"/>
    <mergeCell ref="H51:I51"/>
    <mergeCell ref="F52:G52"/>
    <mergeCell ref="H52:I52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G6:I6"/>
    <mergeCell ref="C7:E7"/>
    <mergeCell ref="H7:I7"/>
    <mergeCell ref="K7:L7"/>
    <mergeCell ref="C8:E8"/>
    <mergeCell ref="H8:I8"/>
    <mergeCell ref="K8:L8"/>
    <mergeCell ref="C9:E9"/>
    <mergeCell ref="H9:I9"/>
    <mergeCell ref="C10:E10"/>
    <mergeCell ref="G10:I10"/>
    <mergeCell ref="K10:L10"/>
    <mergeCell ref="C11:E11"/>
    <mergeCell ref="H11:I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"/>
  <sheetViews>
    <sheetView topLeftCell="A28" workbookViewId="0">
      <selection activeCell="C35" sqref="C35"/>
    </sheetView>
  </sheetViews>
  <sheetFormatPr defaultRowHeight="12.75" x14ac:dyDescent="0.2"/>
  <cols>
    <col min="1" max="1" width="2.5703125" customWidth="1"/>
    <col min="2" max="2" width="33.28515625" bestFit="1" customWidth="1"/>
    <col min="3" max="3" width="11.42578125" bestFit="1" customWidth="1"/>
    <col min="5" max="5" width="12.85546875" bestFit="1" customWidth="1"/>
    <col min="7" max="7" width="17.28515625" bestFit="1" customWidth="1"/>
    <col min="11" max="11" width="11.5703125" bestFit="1" customWidth="1"/>
    <col min="12" max="12" width="14.7109375" bestFit="1" customWidth="1"/>
    <col min="14" max="14" width="13.85546875" bestFit="1" customWidth="1"/>
    <col min="15" max="15" width="14.7109375" bestFit="1" customWidth="1"/>
    <col min="16" max="16" width="11.425781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SUM(O86)</f>
        <v>15460.509104031251</v>
      </c>
      <c r="H1" s="56" t="s">
        <v>0</v>
      </c>
      <c r="I1" s="56"/>
      <c r="J1" s="56"/>
      <c r="K1" s="56"/>
      <c r="L1" s="56"/>
      <c r="M1" s="56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56"/>
      <c r="I2" s="56"/>
      <c r="J2" s="201" t="s">
        <v>289</v>
      </c>
      <c r="K2" s="201" t="s">
        <v>290</v>
      </c>
      <c r="L2" s="201" t="s">
        <v>153</v>
      </c>
      <c r="M2" s="56"/>
      <c r="N2" s="56"/>
      <c r="O2" s="56"/>
      <c r="P2" s="56"/>
    </row>
    <row r="3" spans="1:16" ht="18.75" thickBot="1" x14ac:dyDescent="0.3">
      <c r="A3" s="296"/>
      <c r="B3" s="92" t="s">
        <v>84</v>
      </c>
      <c r="C3" s="172" t="s">
        <v>288</v>
      </c>
      <c r="D3" s="100" t="s">
        <v>102</v>
      </c>
      <c r="E3" s="302"/>
      <c r="F3" s="302"/>
      <c r="G3" s="302"/>
      <c r="H3" s="101"/>
      <c r="I3" s="101"/>
      <c r="J3" s="101">
        <f>8*10</f>
        <v>80</v>
      </c>
      <c r="K3" s="203">
        <f>SUM(L86/J3)</f>
        <v>128.8375758669271</v>
      </c>
      <c r="L3" s="203">
        <f>SUM(G1/J3)</f>
        <v>193.25636380039063</v>
      </c>
      <c r="M3" s="101"/>
      <c r="N3" s="101"/>
      <c r="O3" s="101"/>
      <c r="P3" s="101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12">
        <v>0.5</v>
      </c>
      <c r="I7" s="312"/>
      <c r="J7" s="308"/>
      <c r="K7" s="313" t="s">
        <v>123</v>
      </c>
      <c r="L7" s="313"/>
      <c r="M7" s="276"/>
      <c r="N7" s="282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SUM(N29,N43,M63,M73,M83)</f>
        <v>5153.5030346770836</v>
      </c>
      <c r="I8" s="316"/>
      <c r="J8" s="308"/>
      <c r="K8" s="317">
        <f>N8*H8</f>
        <v>257675.15173385417</v>
      </c>
      <c r="L8" s="317"/>
      <c r="M8" s="276" t="s">
        <v>103</v>
      </c>
      <c r="N8" s="287">
        <v>50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H8/3</f>
        <v>1717.8343448923613</v>
      </c>
      <c r="I9" s="320"/>
      <c r="J9" s="308"/>
      <c r="K9" s="276"/>
      <c r="L9" s="127">
        <f>N8*H9</f>
        <v>85891.717244618063</v>
      </c>
      <c r="M9" s="276" t="s">
        <v>104</v>
      </c>
      <c r="N9" s="283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12">
        <v>0.25</v>
      </c>
      <c r="I13" s="312"/>
      <c r="J13" s="308"/>
      <c r="K13" s="79"/>
      <c r="L13" s="284"/>
      <c r="M13" s="285"/>
      <c r="N13" s="286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SUM(H45,J63,J73,J83)</f>
        <v>1852.8790631944444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926.43953159722219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9</v>
      </c>
      <c r="D20" s="69">
        <f>SUM(E15)</f>
        <v>15</v>
      </c>
      <c r="E20" s="41">
        <f t="shared" ref="E20:E28" si="0">IF(A20="X",D20*C20,0)</f>
        <v>135</v>
      </c>
      <c r="F20" s="97" t="s">
        <v>25</v>
      </c>
      <c r="G20" s="107">
        <f t="shared" ref="G20:G28" si="1">E20*$F$19</f>
        <v>40.5</v>
      </c>
      <c r="H20" s="25" t="s">
        <v>25</v>
      </c>
      <c r="I20" s="15">
        <f t="shared" ref="I20:I28" si="2">E20*$H$19</f>
        <v>33.75</v>
      </c>
      <c r="J20" s="108"/>
      <c r="K20" s="109"/>
      <c r="L20" s="3">
        <f t="shared" ref="L20:L28" si="3">SUM(E20:K20)</f>
        <v>209.25</v>
      </c>
      <c r="M20" s="26" t="s">
        <v>25</v>
      </c>
      <c r="N20" s="15">
        <f t="shared" ref="N20:N28" si="4">L20*$M$19</f>
        <v>104.625</v>
      </c>
      <c r="O20" s="3">
        <f t="shared" ref="O20:O28" si="5">SUM(N20+L20)</f>
        <v>313.875</v>
      </c>
      <c r="P20" s="80">
        <f>SUM(O20)</f>
        <v>313.875</v>
      </c>
    </row>
    <row r="21" spans="1:16" x14ac:dyDescent="0.2">
      <c r="A21" s="46" t="s">
        <v>26</v>
      </c>
      <c r="B21" s="93" t="s">
        <v>75</v>
      </c>
      <c r="C21" s="82">
        <v>6</v>
      </c>
      <c r="D21" s="69">
        <f>SUM(E15)</f>
        <v>15</v>
      </c>
      <c r="E21" s="41">
        <f t="shared" si="0"/>
        <v>90</v>
      </c>
      <c r="F21" s="98" t="s">
        <v>25</v>
      </c>
      <c r="G21" s="107">
        <f t="shared" si="1"/>
        <v>27</v>
      </c>
      <c r="H21" s="27" t="s">
        <v>25</v>
      </c>
      <c r="I21" s="15">
        <f t="shared" si="2"/>
        <v>22.5</v>
      </c>
      <c r="J21" s="110"/>
      <c r="K21" s="111"/>
      <c r="L21" s="3">
        <f t="shared" si="3"/>
        <v>139.5</v>
      </c>
      <c r="M21" s="26" t="s">
        <v>25</v>
      </c>
      <c r="N21" s="15">
        <f t="shared" si="4"/>
        <v>69.75</v>
      </c>
      <c r="O21" s="3">
        <f t="shared" si="5"/>
        <v>209.25</v>
      </c>
      <c r="P21" s="80">
        <f t="shared" ref="P21:P28" si="6">SUM(O21)</f>
        <v>209.25</v>
      </c>
    </row>
    <row r="22" spans="1:16" x14ac:dyDescent="0.2">
      <c r="A22" s="95" t="s">
        <v>68</v>
      </c>
      <c r="B22" s="151" t="s">
        <v>106</v>
      </c>
      <c r="C22" s="82">
        <v>6</v>
      </c>
      <c r="D22" s="69">
        <f>SUM(E15)</f>
        <v>15</v>
      </c>
      <c r="E22" s="41">
        <f>IF(A22="X",D22*C22,0)</f>
        <v>90</v>
      </c>
      <c r="F22" s="98" t="s">
        <v>25</v>
      </c>
      <c r="G22" s="107">
        <f t="shared" si="1"/>
        <v>27</v>
      </c>
      <c r="H22" s="27" t="s">
        <v>25</v>
      </c>
      <c r="I22" s="15">
        <f t="shared" si="2"/>
        <v>22.5</v>
      </c>
      <c r="J22" s="110"/>
      <c r="K22" s="111"/>
      <c r="L22" s="3">
        <f t="shared" si="3"/>
        <v>139.5</v>
      </c>
      <c r="M22" s="26" t="s">
        <v>25</v>
      </c>
      <c r="N22" s="15">
        <f t="shared" si="4"/>
        <v>69.75</v>
      </c>
      <c r="O22" s="3">
        <f>SUM(N22+L22)</f>
        <v>209.25</v>
      </c>
      <c r="P22" s="80">
        <f t="shared" si="6"/>
        <v>209.25</v>
      </c>
    </row>
    <row r="23" spans="1:16" x14ac:dyDescent="0.2">
      <c r="A23" s="95" t="s">
        <v>68</v>
      </c>
      <c r="B23" s="151" t="s">
        <v>79</v>
      </c>
      <c r="C23" s="82">
        <v>4</v>
      </c>
      <c r="D23" s="69">
        <v>15</v>
      </c>
      <c r="E23" s="41">
        <f>IF(A23="X",D23*C23,0)</f>
        <v>60</v>
      </c>
      <c r="F23" s="98" t="s">
        <v>25</v>
      </c>
      <c r="G23" s="107">
        <f t="shared" si="1"/>
        <v>18</v>
      </c>
      <c r="H23" s="27" t="s">
        <v>25</v>
      </c>
      <c r="I23" s="15">
        <f t="shared" si="2"/>
        <v>15</v>
      </c>
      <c r="J23" s="110"/>
      <c r="K23" s="111"/>
      <c r="L23" s="3">
        <f t="shared" si="3"/>
        <v>93</v>
      </c>
      <c r="M23" s="26" t="s">
        <v>25</v>
      </c>
      <c r="N23" s="15">
        <f t="shared" si="4"/>
        <v>46.5</v>
      </c>
      <c r="O23" s="3">
        <f>SUM(N23+L23)</f>
        <v>139.5</v>
      </c>
      <c r="P23" s="80">
        <f t="shared" si="6"/>
        <v>139.5</v>
      </c>
    </row>
    <row r="24" spans="1:16" x14ac:dyDescent="0.2">
      <c r="A24" s="95" t="s">
        <v>68</v>
      </c>
      <c r="B24" s="151" t="s">
        <v>72</v>
      </c>
      <c r="C24" s="82">
        <v>4</v>
      </c>
      <c r="D24" s="159">
        <f>SUM(E16)</f>
        <v>16.100000000000001</v>
      </c>
      <c r="E24" s="41">
        <f>IF(A24="X",D24*C24,0)</f>
        <v>64.400000000000006</v>
      </c>
      <c r="F24" s="98" t="s">
        <v>25</v>
      </c>
      <c r="G24" s="107">
        <f t="shared" si="1"/>
        <v>19.32</v>
      </c>
      <c r="H24" s="27" t="s">
        <v>25</v>
      </c>
      <c r="I24" s="15">
        <f t="shared" si="2"/>
        <v>16.100000000000001</v>
      </c>
      <c r="J24" s="110"/>
      <c r="K24" s="111"/>
      <c r="L24" s="3">
        <f t="shared" si="3"/>
        <v>99.82</v>
      </c>
      <c r="M24" s="26" t="s">
        <v>25</v>
      </c>
      <c r="N24" s="15">
        <f t="shared" si="4"/>
        <v>49.91</v>
      </c>
      <c r="O24" s="3">
        <f>SUM(N24+L24)</f>
        <v>149.72999999999999</v>
      </c>
      <c r="P24" s="80">
        <f t="shared" si="6"/>
        <v>149.72999999999999</v>
      </c>
    </row>
    <row r="25" spans="1:16" x14ac:dyDescent="0.2">
      <c r="A25" s="33" t="s">
        <v>26</v>
      </c>
      <c r="B25" s="68" t="s">
        <v>32</v>
      </c>
      <c r="C25" s="82">
        <v>3</v>
      </c>
      <c r="D25" s="69">
        <f>SUM(E15)</f>
        <v>15</v>
      </c>
      <c r="E25" s="41">
        <f t="shared" si="0"/>
        <v>45</v>
      </c>
      <c r="F25" s="98" t="s">
        <v>25</v>
      </c>
      <c r="G25" s="107">
        <f t="shared" si="1"/>
        <v>13.5</v>
      </c>
      <c r="H25" s="27" t="s">
        <v>25</v>
      </c>
      <c r="I25" s="15">
        <f t="shared" si="2"/>
        <v>11.25</v>
      </c>
      <c r="J25" s="110"/>
      <c r="K25" s="111"/>
      <c r="L25" s="3">
        <f t="shared" si="3"/>
        <v>69.75</v>
      </c>
      <c r="M25" s="26" t="s">
        <v>25</v>
      </c>
      <c r="N25" s="15">
        <f t="shared" si="4"/>
        <v>34.875</v>
      </c>
      <c r="O25" s="3">
        <f t="shared" si="5"/>
        <v>104.625</v>
      </c>
      <c r="P25" s="80">
        <f t="shared" si="6"/>
        <v>104.625</v>
      </c>
    </row>
    <row r="26" spans="1:16" x14ac:dyDescent="0.2">
      <c r="A26" s="149" t="s">
        <v>68</v>
      </c>
      <c r="B26" s="151" t="s">
        <v>148</v>
      </c>
      <c r="C26" s="82">
        <v>9</v>
      </c>
      <c r="D26" s="159">
        <f>SUM(E16)</f>
        <v>16.100000000000001</v>
      </c>
      <c r="E26" s="41">
        <f t="shared" si="0"/>
        <v>144.9</v>
      </c>
      <c r="F26" s="98" t="s">
        <v>25</v>
      </c>
      <c r="G26" s="107">
        <f t="shared" si="1"/>
        <v>43.47</v>
      </c>
      <c r="H26" s="27" t="s">
        <v>25</v>
      </c>
      <c r="I26" s="15">
        <f t="shared" si="2"/>
        <v>36.225000000000001</v>
      </c>
      <c r="J26" s="110"/>
      <c r="K26" s="111"/>
      <c r="L26" s="3">
        <f t="shared" si="3"/>
        <v>224.595</v>
      </c>
      <c r="M26" s="26" t="s">
        <v>25</v>
      </c>
      <c r="N26" s="15">
        <f t="shared" si="4"/>
        <v>112.2975</v>
      </c>
      <c r="O26" s="3">
        <f t="shared" si="5"/>
        <v>336.89249999999998</v>
      </c>
      <c r="P26" s="80">
        <f t="shared" si="6"/>
        <v>336.89249999999998</v>
      </c>
    </row>
    <row r="27" spans="1:16" x14ac:dyDescent="0.2">
      <c r="A27" s="149" t="s">
        <v>68</v>
      </c>
      <c r="B27" s="93" t="s">
        <v>81</v>
      </c>
      <c r="C27" s="82">
        <v>1</v>
      </c>
      <c r="D27" s="159">
        <f>SUM(E16)</f>
        <v>16.100000000000001</v>
      </c>
      <c r="E27" s="41">
        <f t="shared" si="0"/>
        <v>16.100000000000001</v>
      </c>
      <c r="F27" s="98" t="s">
        <v>25</v>
      </c>
      <c r="G27" s="107">
        <f t="shared" si="1"/>
        <v>4.83</v>
      </c>
      <c r="H27" s="27" t="s">
        <v>25</v>
      </c>
      <c r="I27" s="15">
        <f t="shared" si="2"/>
        <v>4.0250000000000004</v>
      </c>
      <c r="J27" s="110"/>
      <c r="K27" s="111"/>
      <c r="L27" s="3">
        <f t="shared" si="3"/>
        <v>24.954999999999998</v>
      </c>
      <c r="M27" s="26" t="s">
        <v>25</v>
      </c>
      <c r="N27" s="15">
        <f t="shared" si="4"/>
        <v>12.477499999999999</v>
      </c>
      <c r="O27" s="3">
        <f t="shared" si="5"/>
        <v>37.432499999999997</v>
      </c>
      <c r="P27" s="80">
        <f t="shared" si="6"/>
        <v>37.432499999999997</v>
      </c>
    </row>
    <row r="28" spans="1:16" x14ac:dyDescent="0.2">
      <c r="A28" s="149" t="s">
        <v>68</v>
      </c>
      <c r="B28" s="93" t="s">
        <v>149</v>
      </c>
      <c r="C28" s="64">
        <v>9</v>
      </c>
      <c r="D28" s="69">
        <f>SUM(E15)</f>
        <v>15</v>
      </c>
      <c r="E28" s="41">
        <f t="shared" si="0"/>
        <v>135</v>
      </c>
      <c r="F28" s="112" t="s">
        <v>25</v>
      </c>
      <c r="G28" s="113">
        <f t="shared" si="1"/>
        <v>40.5</v>
      </c>
      <c r="H28" s="114" t="s">
        <v>25</v>
      </c>
      <c r="I28" s="119">
        <f t="shared" si="2"/>
        <v>33.75</v>
      </c>
      <c r="J28" s="115"/>
      <c r="K28" s="116"/>
      <c r="L28" s="117">
        <f t="shared" si="3"/>
        <v>209.25</v>
      </c>
      <c r="M28" s="118" t="s">
        <v>25</v>
      </c>
      <c r="N28" s="119">
        <f t="shared" si="4"/>
        <v>104.625</v>
      </c>
      <c r="O28" s="117">
        <f t="shared" si="5"/>
        <v>313.875</v>
      </c>
      <c r="P28" s="80">
        <f t="shared" si="6"/>
        <v>313.875</v>
      </c>
    </row>
    <row r="29" spans="1:16" x14ac:dyDescent="0.2">
      <c r="A29" s="9"/>
      <c r="B29" s="24"/>
      <c r="C29" s="65">
        <f>SUM(C20:C28)</f>
        <v>51</v>
      </c>
      <c r="D29" s="60"/>
      <c r="E29" s="48">
        <f>SUM(E20:E28)</f>
        <v>780.4</v>
      </c>
      <c r="F29" s="120" t="s">
        <v>25</v>
      </c>
      <c r="G29" s="59">
        <f>SUM(G20:G28)</f>
        <v>234.12</v>
      </c>
      <c r="H29" s="121" t="s">
        <v>25</v>
      </c>
      <c r="I29" s="57">
        <f>SUM(I20:I28)</f>
        <v>195.1</v>
      </c>
      <c r="J29" s="121"/>
      <c r="K29" s="59"/>
      <c r="L29" s="63">
        <f>SUM(L20:L28)</f>
        <v>1209.6199999999999</v>
      </c>
      <c r="M29" s="121" t="s">
        <v>25</v>
      </c>
      <c r="N29" s="57">
        <f>SUM(N20:N28)</f>
        <v>604.80999999999995</v>
      </c>
      <c r="O29" s="58">
        <f>SUM(O20:O28)</f>
        <v>1814.4299999999998</v>
      </c>
      <c r="P29" s="122">
        <f>SUM(O29/1)</f>
        <v>1814.4299999999998</v>
      </c>
    </row>
    <row r="30" spans="1:16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12</v>
      </c>
      <c r="D32" s="45">
        <v>40</v>
      </c>
      <c r="E32" s="41">
        <f>IF(A32="X",D32*C32,0)</f>
        <v>480</v>
      </c>
      <c r="F32" s="112" t="s">
        <v>25</v>
      </c>
      <c r="G32" s="113">
        <f>E32*$F$19</f>
        <v>144</v>
      </c>
      <c r="H32" s="27" t="s">
        <v>25</v>
      </c>
      <c r="I32" s="15">
        <f t="shared" ref="I32:I42" si="7">E32*$H$19</f>
        <v>120</v>
      </c>
      <c r="J32" s="110"/>
      <c r="K32" s="111"/>
      <c r="L32" s="3">
        <f t="shared" ref="L32:L42" si="8">SUM(E32:K32)</f>
        <v>744</v>
      </c>
      <c r="M32" s="26" t="s">
        <v>25</v>
      </c>
      <c r="N32" s="15">
        <f t="shared" ref="N32:N42" si="9">L32*$M$19</f>
        <v>372</v>
      </c>
      <c r="O32" s="3">
        <f>SUM(N32+L32)</f>
        <v>1116</v>
      </c>
      <c r="P32" s="80">
        <f t="shared" ref="P32:P45" si="10">SUM(O32)</f>
        <v>1116</v>
      </c>
    </row>
    <row r="33" spans="1:16" x14ac:dyDescent="0.2">
      <c r="A33" s="150" t="str">
        <f>IF(A20="X",A20,"")</f>
        <v>x</v>
      </c>
      <c r="B33" s="68" t="s">
        <v>31</v>
      </c>
      <c r="C33" s="83">
        <v>0</v>
      </c>
      <c r="D33" s="45">
        <v>40</v>
      </c>
      <c r="E33" s="41">
        <f t="shared" ref="E33:E42" si="11">IF(A33="X",D33*C33,0)</f>
        <v>0</v>
      </c>
      <c r="F33" s="98" t="s">
        <v>25</v>
      </c>
      <c r="G33" s="107">
        <f t="shared" ref="G33:G42" si="12">E33*$F$19</f>
        <v>0</v>
      </c>
      <c r="H33" s="27" t="s">
        <v>25</v>
      </c>
      <c r="I33" s="15">
        <f t="shared" si="7"/>
        <v>0</v>
      </c>
      <c r="J33" s="110"/>
      <c r="K33" s="111"/>
      <c r="L33" s="3">
        <f t="shared" si="8"/>
        <v>0</v>
      </c>
      <c r="M33" s="26" t="s">
        <v>25</v>
      </c>
      <c r="N33" s="15">
        <f t="shared" si="9"/>
        <v>0</v>
      </c>
      <c r="O33" s="3">
        <f t="shared" ref="O33:O42" si="13">SUM(N33+L33)</f>
        <v>0</v>
      </c>
      <c r="P33" s="80">
        <f t="shared" si="10"/>
        <v>0</v>
      </c>
    </row>
    <row r="34" spans="1:16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186</v>
      </c>
      <c r="O34" s="3">
        <f t="shared" si="13"/>
        <v>558</v>
      </c>
      <c r="P34" s="80">
        <f t="shared" si="10"/>
        <v>558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41">
        <f>IF(A36="X",D36*C36,0)</f>
        <v>120</v>
      </c>
      <c r="F36" s="98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93</v>
      </c>
      <c r="O36" s="3">
        <f>SUM(N36+L36)</f>
        <v>279</v>
      </c>
      <c r="P36" s="80">
        <f t="shared" si="10"/>
        <v>279</v>
      </c>
    </row>
    <row r="37" spans="1:16" x14ac:dyDescent="0.2">
      <c r="A37" s="150" t="str">
        <f>IF(A23="X",A23,"")</f>
        <v>x</v>
      </c>
      <c r="B37" s="151" t="s">
        <v>124</v>
      </c>
      <c r="C37" s="83">
        <v>1</v>
      </c>
      <c r="D37" s="45">
        <v>40</v>
      </c>
      <c r="E37" s="41">
        <f>IF(A37="X",D37*C37,0)</f>
        <v>40</v>
      </c>
      <c r="F37" s="98" t="s">
        <v>25</v>
      </c>
      <c r="G37" s="107">
        <f t="shared" si="12"/>
        <v>12</v>
      </c>
      <c r="H37" s="27" t="s">
        <v>25</v>
      </c>
      <c r="I37" s="15">
        <f t="shared" si="7"/>
        <v>10</v>
      </c>
      <c r="J37" s="110"/>
      <c r="K37" s="111"/>
      <c r="L37" s="3">
        <f t="shared" si="8"/>
        <v>62</v>
      </c>
      <c r="M37" s="26" t="s">
        <v>25</v>
      </c>
      <c r="N37" s="15">
        <f t="shared" si="9"/>
        <v>31</v>
      </c>
      <c r="O37" s="3">
        <f>SUM(N37+L37)</f>
        <v>93</v>
      </c>
      <c r="P37" s="80">
        <f t="shared" si="10"/>
        <v>93</v>
      </c>
    </row>
    <row r="38" spans="1:16" x14ac:dyDescent="0.2">
      <c r="A38" s="150" t="str">
        <f>IF(A24="X",A24,"")</f>
        <v>x</v>
      </c>
      <c r="B38" s="151" t="s">
        <v>72</v>
      </c>
      <c r="C38" s="83">
        <v>2</v>
      </c>
      <c r="D38" s="45">
        <v>40</v>
      </c>
      <c r="E38" s="41">
        <f>IF(A38="X",D38*C38,0)</f>
        <v>80</v>
      </c>
      <c r="F38" s="98" t="s">
        <v>25</v>
      </c>
      <c r="G38" s="107">
        <f t="shared" si="12"/>
        <v>24</v>
      </c>
      <c r="H38" s="27" t="s">
        <v>25</v>
      </c>
      <c r="I38" s="15">
        <f t="shared" si="7"/>
        <v>20</v>
      </c>
      <c r="J38" s="110"/>
      <c r="K38" s="111"/>
      <c r="L38" s="3">
        <f t="shared" si="8"/>
        <v>124</v>
      </c>
      <c r="M38" s="26" t="s">
        <v>25</v>
      </c>
      <c r="N38" s="15">
        <f t="shared" si="9"/>
        <v>62</v>
      </c>
      <c r="O38" s="3">
        <f>SUM(N38+L38)</f>
        <v>186</v>
      </c>
      <c r="P38" s="80">
        <f t="shared" si="10"/>
        <v>186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4</v>
      </c>
      <c r="D40" s="45">
        <v>40</v>
      </c>
      <c r="E40" s="41">
        <f t="shared" si="11"/>
        <v>160</v>
      </c>
      <c r="F40" s="112" t="s">
        <v>25</v>
      </c>
      <c r="G40" s="113">
        <f t="shared" si="12"/>
        <v>48</v>
      </c>
      <c r="H40" s="27" t="s">
        <v>25</v>
      </c>
      <c r="I40" s="15">
        <f t="shared" si="7"/>
        <v>40</v>
      </c>
      <c r="J40" s="110"/>
      <c r="K40" s="111"/>
      <c r="L40" s="3">
        <f t="shared" si="8"/>
        <v>248</v>
      </c>
      <c r="M40" s="26" t="s">
        <v>25</v>
      </c>
      <c r="N40" s="15">
        <f t="shared" si="9"/>
        <v>124</v>
      </c>
      <c r="O40" s="3">
        <f t="shared" si="13"/>
        <v>372</v>
      </c>
      <c r="P40" s="80">
        <f t="shared" si="10"/>
        <v>372</v>
      </c>
    </row>
    <row r="41" spans="1:16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31</v>
      </c>
      <c r="O41" s="3">
        <f t="shared" si="13"/>
        <v>93</v>
      </c>
      <c r="P41" s="80">
        <f t="shared" si="10"/>
        <v>93</v>
      </c>
    </row>
    <row r="42" spans="1:16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29</v>
      </c>
      <c r="D43" s="60"/>
      <c r="E43" s="60">
        <f>SUM(E32:E42)</f>
        <v>1160</v>
      </c>
      <c r="F43" s="123" t="s">
        <v>25</v>
      </c>
      <c r="G43" s="61">
        <f>SUM(G32:G42)</f>
        <v>348</v>
      </c>
      <c r="H43" s="124" t="s">
        <v>25</v>
      </c>
      <c r="I43" s="62">
        <f>SUM(I32:I42)</f>
        <v>290</v>
      </c>
      <c r="J43" s="124"/>
      <c r="K43" s="61"/>
      <c r="L43" s="63">
        <f>SUM(L32:L42)</f>
        <v>1798</v>
      </c>
      <c r="M43" s="124" t="s">
        <v>25</v>
      </c>
      <c r="N43" s="62">
        <f>SUM(N32:N42)</f>
        <v>899</v>
      </c>
      <c r="O43" s="63">
        <f>SUM(O32:O42)</f>
        <v>2697</v>
      </c>
      <c r="P43" s="80">
        <f t="shared" si="10"/>
        <v>2697</v>
      </c>
    </row>
    <row r="44" spans="1:16" ht="13.5" thickBot="1" x14ac:dyDescent="0.25">
      <c r="A44" s="9"/>
      <c r="B44" s="49" t="s">
        <v>73</v>
      </c>
      <c r="C44" s="161">
        <f>SUM(C29+C43)</f>
        <v>80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1940.4</v>
      </c>
      <c r="F45" s="328">
        <f>G43+G29</f>
        <v>582.12</v>
      </c>
      <c r="G45" s="329"/>
      <c r="H45" s="328">
        <f>I43+I29</f>
        <v>485.1</v>
      </c>
      <c r="I45" s="329"/>
      <c r="J45" s="328"/>
      <c r="K45" s="329"/>
      <c r="L45" s="31">
        <f>L43+L29</f>
        <v>3007.62</v>
      </c>
      <c r="M45" s="330">
        <f>N43+N29</f>
        <v>1503.81</v>
      </c>
      <c r="N45" s="331"/>
      <c r="O45" s="31">
        <f>O43+O29</f>
        <v>4511.43</v>
      </c>
      <c r="P45" s="80">
        <f t="shared" si="10"/>
        <v>4511.43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f>H7</f>
        <v>0.5</v>
      </c>
      <c r="N48" s="56"/>
      <c r="O48" s="56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f>H7</f>
        <v>0.5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 t="s">
        <v>68</v>
      </c>
      <c r="B50" s="93" t="s">
        <v>150</v>
      </c>
      <c r="C50" s="85">
        <f>'concrete 8X10'!F9</f>
        <v>15.386475925925925</v>
      </c>
      <c r="D50" s="94" t="s">
        <v>18</v>
      </c>
      <c r="E50" s="51">
        <v>105</v>
      </c>
      <c r="F50" s="334">
        <f t="shared" ref="F50:F59" si="14">IF(A50="x",SUM(C50*E50),0)</f>
        <v>1615.5799722222221</v>
      </c>
      <c r="G50" s="335"/>
      <c r="H50" s="334">
        <f t="shared" ref="H50:H59" si="15">F50*$H$49</f>
        <v>149.44114743055553</v>
      </c>
      <c r="I50" s="335"/>
      <c r="J50" s="25" t="s">
        <v>25</v>
      </c>
      <c r="K50" s="15">
        <f>F50*$J$49</f>
        <v>403.89499305555552</v>
      </c>
      <c r="L50" s="3">
        <f t="shared" ref="L50:L62" si="16">SUM(F50:K50)</f>
        <v>2168.916112708333</v>
      </c>
      <c r="M50" s="26" t="s">
        <v>25</v>
      </c>
      <c r="N50" s="15">
        <f>L50*$M$48</f>
        <v>1084.4580563541665</v>
      </c>
      <c r="O50" s="3">
        <f t="shared" ref="O50:O59" si="17">SUM(N50+L50)</f>
        <v>3253.3741690624993</v>
      </c>
      <c r="P50" s="80">
        <f t="shared" ref="P50:P63" si="18">SUM(O50)</f>
        <v>3253.3741690624993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2" si="19">F51*$J$49</f>
        <v>250</v>
      </c>
      <c r="L51" s="3">
        <f t="shared" si="16"/>
        <v>1342.5</v>
      </c>
      <c r="M51" s="26" t="s">
        <v>25</v>
      </c>
      <c r="N51" s="15">
        <f t="shared" ref="N51:N62" si="20">L51*$M$49</f>
        <v>671.25</v>
      </c>
      <c r="O51" s="3">
        <f>SUM(N51+L51)</f>
        <v>2013.75</v>
      </c>
      <c r="P51" s="80">
        <f t="shared" si="18"/>
        <v>2013.75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</row>
    <row r="53" spans="1:16" x14ac:dyDescent="0.2">
      <c r="A53" s="95" t="s">
        <v>68</v>
      </c>
      <c r="B53" s="93" t="s">
        <v>240</v>
      </c>
      <c r="C53" s="85">
        <v>3</v>
      </c>
      <c r="D53" s="94" t="s">
        <v>18</v>
      </c>
      <c r="E53" s="28">
        <v>100</v>
      </c>
      <c r="F53" s="336">
        <f t="shared" si="14"/>
        <v>300</v>
      </c>
      <c r="G53" s="337"/>
      <c r="H53" s="336">
        <f t="shared" si="15"/>
        <v>27.75</v>
      </c>
      <c r="I53" s="337"/>
      <c r="J53" s="27" t="s">
        <v>25</v>
      </c>
      <c r="K53" s="15">
        <f t="shared" si="19"/>
        <v>75</v>
      </c>
      <c r="L53" s="3">
        <f t="shared" si="16"/>
        <v>402.75</v>
      </c>
      <c r="M53" s="26" t="s">
        <v>25</v>
      </c>
      <c r="N53" s="15">
        <f t="shared" si="20"/>
        <v>201.375</v>
      </c>
      <c r="O53" s="3">
        <f t="shared" si="17"/>
        <v>604.125</v>
      </c>
      <c r="P53" s="80">
        <f t="shared" si="18"/>
        <v>604.125</v>
      </c>
    </row>
    <row r="54" spans="1:16" x14ac:dyDescent="0.2">
      <c r="A54" s="95" t="s">
        <v>68</v>
      </c>
      <c r="B54" s="93" t="s">
        <v>98</v>
      </c>
      <c r="C54" s="85">
        <f>SUM(C50,C53)*10</f>
        <v>183.86475925925924</v>
      </c>
      <c r="D54" s="94" t="s">
        <v>115</v>
      </c>
      <c r="E54" s="28">
        <v>1.95</v>
      </c>
      <c r="F54" s="336">
        <f>IF(A54="x",SUM(C54*E54),0)</f>
        <v>358.53628055555549</v>
      </c>
      <c r="G54" s="337"/>
      <c r="H54" s="336">
        <f>F54*$H$49</f>
        <v>33.164605951388886</v>
      </c>
      <c r="I54" s="337"/>
      <c r="J54" s="27" t="s">
        <v>25</v>
      </c>
      <c r="K54" s="15">
        <f t="shared" si="19"/>
        <v>89.634070138888873</v>
      </c>
      <c r="L54" s="3">
        <f t="shared" si="16"/>
        <v>481.33495664583324</v>
      </c>
      <c r="M54" s="26" t="s">
        <v>25</v>
      </c>
      <c r="N54" s="15">
        <f t="shared" si="20"/>
        <v>240.66747832291662</v>
      </c>
      <c r="O54" s="3">
        <f>SUM(N54+L54)</f>
        <v>722.00243496874987</v>
      </c>
      <c r="P54" s="80">
        <f t="shared" si="18"/>
        <v>722.00243496874987</v>
      </c>
    </row>
    <row r="55" spans="1:16" x14ac:dyDescent="0.2">
      <c r="A55" s="95" t="s">
        <v>68</v>
      </c>
      <c r="B55" s="93" t="s">
        <v>128</v>
      </c>
      <c r="C55" s="85">
        <v>408</v>
      </c>
      <c r="D55" s="94" t="s">
        <v>115</v>
      </c>
      <c r="E55" s="28">
        <v>0.75</v>
      </c>
      <c r="F55" s="336">
        <f t="shared" si="14"/>
        <v>306</v>
      </c>
      <c r="G55" s="337"/>
      <c r="H55" s="336">
        <f t="shared" si="15"/>
        <v>28.305</v>
      </c>
      <c r="I55" s="337"/>
      <c r="J55" s="27" t="s">
        <v>25</v>
      </c>
      <c r="K55" s="15">
        <f t="shared" si="19"/>
        <v>76.5</v>
      </c>
      <c r="L55" s="3">
        <f t="shared" si="16"/>
        <v>410.80500000000001</v>
      </c>
      <c r="M55" s="26" t="s">
        <v>25</v>
      </c>
      <c r="N55" s="15">
        <f t="shared" si="20"/>
        <v>205.4025</v>
      </c>
      <c r="O55" s="3">
        <f t="shared" si="17"/>
        <v>616.20749999999998</v>
      </c>
      <c r="P55" s="80">
        <f t="shared" si="18"/>
        <v>616.20749999999998</v>
      </c>
    </row>
    <row r="56" spans="1:16" x14ac:dyDescent="0.2">
      <c r="A56" s="95" t="s">
        <v>68</v>
      </c>
      <c r="B56" s="93" t="s">
        <v>27</v>
      </c>
      <c r="C56" s="85">
        <v>1</v>
      </c>
      <c r="D56" s="94" t="s">
        <v>16</v>
      </c>
      <c r="E56" s="28">
        <v>20</v>
      </c>
      <c r="F56" s="336">
        <f>IF(A56="x",SUM(C56*E56),0)</f>
        <v>20</v>
      </c>
      <c r="G56" s="337"/>
      <c r="H56" s="336">
        <f>F56*$H$49</f>
        <v>1.85</v>
      </c>
      <c r="I56" s="337"/>
      <c r="J56" s="27" t="s">
        <v>25</v>
      </c>
      <c r="K56" s="15">
        <f>F56*$J$49</f>
        <v>5</v>
      </c>
      <c r="L56" s="3">
        <f t="shared" si="16"/>
        <v>26.85</v>
      </c>
      <c r="M56" s="26" t="s">
        <v>25</v>
      </c>
      <c r="N56" s="15">
        <f>L56*$M$49</f>
        <v>13.425000000000001</v>
      </c>
      <c r="O56" s="3">
        <f>SUM(N56+L56)</f>
        <v>40.275000000000006</v>
      </c>
      <c r="P56" s="80">
        <f t="shared" si="18"/>
        <v>40.275000000000006</v>
      </c>
    </row>
    <row r="57" spans="1:16" x14ac:dyDescent="0.2">
      <c r="A57" s="95" t="s">
        <v>68</v>
      </c>
      <c r="B57" s="93" t="s">
        <v>83</v>
      </c>
      <c r="C57" s="85">
        <v>1</v>
      </c>
      <c r="D57" s="94" t="s">
        <v>16</v>
      </c>
      <c r="E57" s="50">
        <v>30</v>
      </c>
      <c r="F57" s="336">
        <f t="shared" si="14"/>
        <v>30</v>
      </c>
      <c r="G57" s="337"/>
      <c r="H57" s="338">
        <f t="shared" si="15"/>
        <v>2.7749999999999999</v>
      </c>
      <c r="I57" s="337"/>
      <c r="J57" s="27" t="s">
        <v>25</v>
      </c>
      <c r="K57" s="15">
        <f t="shared" si="19"/>
        <v>7.5</v>
      </c>
      <c r="L57" s="3">
        <f t="shared" si="16"/>
        <v>40.274999999999999</v>
      </c>
      <c r="M57" s="26" t="s">
        <v>25</v>
      </c>
      <c r="N57" s="15">
        <f>L57*$M$48</f>
        <v>20.137499999999999</v>
      </c>
      <c r="O57" s="3">
        <f t="shared" si="17"/>
        <v>60.412499999999994</v>
      </c>
      <c r="P57" s="80">
        <f t="shared" si="18"/>
        <v>60.412499999999994</v>
      </c>
    </row>
    <row r="58" spans="1:16" x14ac:dyDescent="0.2">
      <c r="A58" s="95" t="s">
        <v>68</v>
      </c>
      <c r="B58" s="93" t="s">
        <v>151</v>
      </c>
      <c r="C58" s="85">
        <v>100</v>
      </c>
      <c r="D58" s="44" t="s">
        <v>17</v>
      </c>
      <c r="E58" s="50">
        <v>0.3</v>
      </c>
      <c r="F58" s="336">
        <f>IF(A58="x",SUM(C58*E58),0)</f>
        <v>30</v>
      </c>
      <c r="G58" s="337"/>
      <c r="H58" s="338">
        <f>F58*$H$49</f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 t="shared" si="20"/>
        <v>20.137499999999999</v>
      </c>
      <c r="O58" s="3">
        <f>SUM(N58+L58)</f>
        <v>60.412499999999994</v>
      </c>
      <c r="P58" s="80">
        <f t="shared" si="18"/>
        <v>60.412499999999994</v>
      </c>
    </row>
    <row r="59" spans="1:16" x14ac:dyDescent="0.2">
      <c r="A59" s="33"/>
      <c r="B59" s="24"/>
      <c r="C59" s="40"/>
      <c r="D59" s="10" t="s">
        <v>17</v>
      </c>
      <c r="E59" s="23"/>
      <c r="F59" s="336">
        <f t="shared" si="14"/>
        <v>0</v>
      </c>
      <c r="G59" s="337"/>
      <c r="H59" s="338">
        <f t="shared" si="15"/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 t="shared" si="17"/>
        <v>0</v>
      </c>
      <c r="P59" s="80">
        <f t="shared" si="18"/>
        <v>0</v>
      </c>
    </row>
    <row r="60" spans="1:16" x14ac:dyDescent="0.2">
      <c r="A60" s="95"/>
      <c r="B60" s="24"/>
      <c r="C60" s="40">
        <v>0</v>
      </c>
      <c r="D60" s="44" t="s">
        <v>17</v>
      </c>
      <c r="E60" s="23"/>
      <c r="F60" s="336">
        <f>IF(A60="x",SUM(C60*E60),0)</f>
        <v>0</v>
      </c>
      <c r="G60" s="337"/>
      <c r="H60" s="338">
        <f>F60*$H$49</f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>SUM(N60+L60)</f>
        <v>0</v>
      </c>
      <c r="P60" s="80">
        <f t="shared" si="18"/>
        <v>0</v>
      </c>
    </row>
    <row r="61" spans="1:16" x14ac:dyDescent="0.2">
      <c r="A61" s="33"/>
      <c r="B61" s="93"/>
      <c r="C61" s="85"/>
      <c r="D61" s="10"/>
      <c r="E61" s="28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ht="13.5" thickBot="1" x14ac:dyDescent="0.25">
      <c r="A62" s="33"/>
      <c r="B62" s="13"/>
      <c r="C62" s="85"/>
      <c r="D62" s="10"/>
      <c r="E62" s="28"/>
      <c r="F62" s="336">
        <f>IF(A62="x",SUM(C62*E62),0)</f>
        <v>0</v>
      </c>
      <c r="G62" s="337"/>
      <c r="H62" s="338">
        <f>F62*$H$49</f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>SUM(N62+L62)</f>
        <v>0</v>
      </c>
      <c r="P62" s="80">
        <f t="shared" si="18"/>
        <v>0</v>
      </c>
    </row>
    <row r="63" spans="1:16" ht="16.5" thickBot="1" x14ac:dyDescent="0.3">
      <c r="A63" s="9"/>
      <c r="B63" s="13"/>
      <c r="C63" s="326" t="s">
        <v>4</v>
      </c>
      <c r="D63" s="339"/>
      <c r="E63" s="34"/>
      <c r="F63" s="340">
        <f>SUM(F50:G62)</f>
        <v>3910.1162527777774</v>
      </c>
      <c r="G63" s="329"/>
      <c r="H63" s="328">
        <f>SUM(H50:I62)</f>
        <v>361.68575338194438</v>
      </c>
      <c r="I63" s="329"/>
      <c r="J63" s="328">
        <f>SUM(K50:K62)</f>
        <v>977.52906319444435</v>
      </c>
      <c r="K63" s="329"/>
      <c r="L63" s="31">
        <f>SUM(L50:L62)</f>
        <v>5249.3310693541662</v>
      </c>
      <c r="M63" s="341">
        <f>SUM(N50:N62)</f>
        <v>2624.6655346770831</v>
      </c>
      <c r="N63" s="342"/>
      <c r="O63" s="31">
        <f>SUM(O50:O62)</f>
        <v>7873.9966040312502</v>
      </c>
      <c r="P63" s="80">
        <f t="shared" si="18"/>
        <v>7873.9966040312502</v>
      </c>
    </row>
    <row r="64" spans="1:16" x14ac:dyDescent="0.2">
      <c r="A64" s="9"/>
      <c r="B64" s="1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4"/>
    </row>
    <row r="65" spans="1:16" ht="18" x14ac:dyDescent="0.25">
      <c r="A65" s="9"/>
      <c r="B65" s="16" t="s">
        <v>36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86"/>
    </row>
    <row r="66" spans="1:16" ht="18" x14ac:dyDescent="0.25">
      <c r="A66" s="9"/>
      <c r="B66" s="16"/>
      <c r="C66" s="17" t="s">
        <v>8</v>
      </c>
      <c r="D66" s="17" t="s">
        <v>9</v>
      </c>
      <c r="E66" s="17" t="s">
        <v>10</v>
      </c>
      <c r="F66" s="333" t="s">
        <v>36</v>
      </c>
      <c r="G66" s="333"/>
      <c r="H66" s="162">
        <f>H49</f>
        <v>9.2499999999999999E-2</v>
      </c>
      <c r="I66" s="19" t="s">
        <v>19</v>
      </c>
      <c r="J66" s="21">
        <f>H13</f>
        <v>0.25</v>
      </c>
      <c r="K66" s="19" t="s">
        <v>23</v>
      </c>
      <c r="L66" s="18" t="s">
        <v>4</v>
      </c>
      <c r="M66" s="90">
        <f>$H$7</f>
        <v>0.5</v>
      </c>
      <c r="N66" s="22" t="s">
        <v>24</v>
      </c>
      <c r="O66" s="18" t="s">
        <v>5</v>
      </c>
      <c r="P66" s="84" t="s">
        <v>21</v>
      </c>
    </row>
    <row r="67" spans="1:16" x14ac:dyDescent="0.2">
      <c r="A67" s="152" t="s">
        <v>68</v>
      </c>
      <c r="B67" s="93" t="s">
        <v>82</v>
      </c>
      <c r="C67" s="85">
        <v>200</v>
      </c>
      <c r="D67" s="94" t="s">
        <v>12</v>
      </c>
      <c r="E67" s="51">
        <v>4</v>
      </c>
      <c r="F67" s="334">
        <f t="shared" ref="F67:F72" si="21">IF(A67="x",SUM(C67*E67),0)</f>
        <v>800</v>
      </c>
      <c r="G67" s="335"/>
      <c r="H67" s="334">
        <f t="shared" ref="H67:H72" si="22">F67*$H$49</f>
        <v>74</v>
      </c>
      <c r="I67" s="335"/>
      <c r="J67" s="25" t="s">
        <v>25</v>
      </c>
      <c r="K67" s="15">
        <f t="shared" ref="K67:K72" si="23">F67*$J$66</f>
        <v>200</v>
      </c>
      <c r="L67" s="3">
        <f t="shared" ref="L67:L72" si="24">SUM(F67:K67)</f>
        <v>1074</v>
      </c>
      <c r="M67" s="26" t="s">
        <v>25</v>
      </c>
      <c r="N67" s="15">
        <f t="shared" ref="N67:N72" si="25">L67*$M$66</f>
        <v>537</v>
      </c>
      <c r="O67" s="3">
        <f t="shared" ref="O67:O72" si="26">SUM(N67+L67)</f>
        <v>1611</v>
      </c>
      <c r="P67" s="80">
        <f t="shared" ref="P67:P73" si="27">SUM(O67)</f>
        <v>1611</v>
      </c>
    </row>
    <row r="68" spans="1:16" x14ac:dyDescent="0.2">
      <c r="A68" s="46" t="s">
        <v>26</v>
      </c>
      <c r="B68" s="24" t="s">
        <v>37</v>
      </c>
      <c r="C68" s="85">
        <f>$C$43+$C$29</f>
        <v>80</v>
      </c>
      <c r="D68" s="94" t="s">
        <v>53</v>
      </c>
      <c r="E68" s="28">
        <v>0.15</v>
      </c>
      <c r="F68" s="336">
        <f t="shared" si="21"/>
        <v>12</v>
      </c>
      <c r="G68" s="337"/>
      <c r="H68" s="336">
        <f t="shared" si="22"/>
        <v>1.1099999999999999</v>
      </c>
      <c r="I68" s="337"/>
      <c r="J68" s="27" t="s">
        <v>25</v>
      </c>
      <c r="K68" s="15">
        <f t="shared" si="23"/>
        <v>3</v>
      </c>
      <c r="L68" s="3">
        <f t="shared" si="24"/>
        <v>16.11</v>
      </c>
      <c r="M68" s="26" t="s">
        <v>25</v>
      </c>
      <c r="N68" s="15">
        <f t="shared" si="25"/>
        <v>8.0549999999999997</v>
      </c>
      <c r="O68" s="3">
        <f t="shared" si="26"/>
        <v>24.164999999999999</v>
      </c>
      <c r="P68" s="80">
        <f t="shared" si="27"/>
        <v>24.164999999999999</v>
      </c>
    </row>
    <row r="69" spans="1:16" x14ac:dyDescent="0.2">
      <c r="A69" s="95" t="s">
        <v>26</v>
      </c>
      <c r="B69" s="93" t="s">
        <v>125</v>
      </c>
      <c r="C69" s="85">
        <f>$C$43+$C$29</f>
        <v>80</v>
      </c>
      <c r="D69" s="94" t="s">
        <v>53</v>
      </c>
      <c r="E69" s="28">
        <v>0.25</v>
      </c>
      <c r="F69" s="336">
        <f>IF(A69="x",SUM(C69*E69),0)</f>
        <v>20</v>
      </c>
      <c r="G69" s="337"/>
      <c r="H69" s="336">
        <f t="shared" si="22"/>
        <v>1.85</v>
      </c>
      <c r="I69" s="337"/>
      <c r="J69" s="27" t="s">
        <v>25</v>
      </c>
      <c r="K69" s="15">
        <f t="shared" si="23"/>
        <v>5</v>
      </c>
      <c r="L69" s="3">
        <f t="shared" si="24"/>
        <v>26.85</v>
      </c>
      <c r="M69" s="26" t="s">
        <v>25</v>
      </c>
      <c r="N69" s="15">
        <f t="shared" si="25"/>
        <v>13.425000000000001</v>
      </c>
      <c r="O69" s="3">
        <f t="shared" si="26"/>
        <v>40.275000000000006</v>
      </c>
      <c r="P69" s="80">
        <f t="shared" si="27"/>
        <v>40.275000000000006</v>
      </c>
    </row>
    <row r="70" spans="1:16" x14ac:dyDescent="0.2">
      <c r="A70" s="95" t="s">
        <v>26</v>
      </c>
      <c r="B70" s="93" t="s">
        <v>22</v>
      </c>
      <c r="C70" s="85">
        <f>$C$43+$C$29</f>
        <v>80</v>
      </c>
      <c r="D70" s="94" t="s">
        <v>53</v>
      </c>
      <c r="E70" s="28">
        <v>0.3</v>
      </c>
      <c r="F70" s="336">
        <f t="shared" si="21"/>
        <v>24</v>
      </c>
      <c r="G70" s="337"/>
      <c r="H70" s="336">
        <f t="shared" si="22"/>
        <v>2.2199999999999998</v>
      </c>
      <c r="I70" s="337"/>
      <c r="J70" s="27" t="s">
        <v>25</v>
      </c>
      <c r="K70" s="15">
        <f t="shared" si="23"/>
        <v>6</v>
      </c>
      <c r="L70" s="3">
        <f t="shared" si="24"/>
        <v>32.22</v>
      </c>
      <c r="M70" s="26" t="s">
        <v>25</v>
      </c>
      <c r="N70" s="15">
        <f t="shared" si="25"/>
        <v>16.11</v>
      </c>
      <c r="O70" s="3">
        <f t="shared" si="26"/>
        <v>48.33</v>
      </c>
      <c r="P70" s="80">
        <f t="shared" si="27"/>
        <v>48.33</v>
      </c>
    </row>
    <row r="71" spans="1:16" x14ac:dyDescent="0.2">
      <c r="A71" s="95" t="s">
        <v>68</v>
      </c>
      <c r="B71" s="93" t="s">
        <v>94</v>
      </c>
      <c r="C71" s="85">
        <v>50</v>
      </c>
      <c r="D71" s="94" t="s">
        <v>11</v>
      </c>
      <c r="E71" s="28">
        <v>1</v>
      </c>
      <c r="F71" s="336">
        <f t="shared" si="21"/>
        <v>50</v>
      </c>
      <c r="G71" s="337"/>
      <c r="H71" s="336">
        <f t="shared" si="22"/>
        <v>4.625</v>
      </c>
      <c r="I71" s="337"/>
      <c r="J71" s="27" t="s">
        <v>25</v>
      </c>
      <c r="K71" s="15">
        <f t="shared" si="23"/>
        <v>12.5</v>
      </c>
      <c r="L71" s="3">
        <f t="shared" si="24"/>
        <v>67.125</v>
      </c>
      <c r="M71" s="26" t="s">
        <v>25</v>
      </c>
      <c r="N71" s="15">
        <f t="shared" si="25"/>
        <v>33.5625</v>
      </c>
      <c r="O71" s="3">
        <f t="shared" si="26"/>
        <v>100.6875</v>
      </c>
      <c r="P71" s="80">
        <f t="shared" si="27"/>
        <v>100.6875</v>
      </c>
    </row>
    <row r="72" spans="1:16" ht="13.5" thickBot="1" x14ac:dyDescent="0.25">
      <c r="A72" s="46"/>
      <c r="B72" s="24"/>
      <c r="C72" s="85"/>
      <c r="D72" s="44"/>
      <c r="E72" s="28"/>
      <c r="F72" s="336">
        <f t="shared" si="21"/>
        <v>0</v>
      </c>
      <c r="G72" s="337"/>
      <c r="H72" s="336">
        <f t="shared" si="22"/>
        <v>0</v>
      </c>
      <c r="I72" s="337"/>
      <c r="J72" s="27" t="s">
        <v>25</v>
      </c>
      <c r="K72" s="15">
        <f t="shared" si="23"/>
        <v>0</v>
      </c>
      <c r="L72" s="3">
        <f t="shared" si="24"/>
        <v>0</v>
      </c>
      <c r="M72" s="26" t="s">
        <v>25</v>
      </c>
      <c r="N72" s="15">
        <f t="shared" si="25"/>
        <v>0</v>
      </c>
      <c r="O72" s="3">
        <f t="shared" si="26"/>
        <v>0</v>
      </c>
      <c r="P72" s="80">
        <f t="shared" si="27"/>
        <v>0</v>
      </c>
    </row>
    <row r="73" spans="1:16" ht="16.5" thickBot="1" x14ac:dyDescent="0.3">
      <c r="A73" s="9"/>
      <c r="B73" s="13"/>
      <c r="C73" s="326" t="s">
        <v>4</v>
      </c>
      <c r="D73" s="339"/>
      <c r="E73" s="34"/>
      <c r="F73" s="340">
        <f>SUM(F67:G72)</f>
        <v>906</v>
      </c>
      <c r="G73" s="329"/>
      <c r="H73" s="328">
        <f>SUM(H67:I72)</f>
        <v>83.804999999999993</v>
      </c>
      <c r="I73" s="329"/>
      <c r="J73" s="328">
        <f>SUM(K67:K72)</f>
        <v>226.5</v>
      </c>
      <c r="K73" s="329"/>
      <c r="L73" s="31">
        <f>SUM(L67:L72)</f>
        <v>1216.3049999999998</v>
      </c>
      <c r="M73" s="341">
        <f>SUM(N67:N72)</f>
        <v>608.15249999999992</v>
      </c>
      <c r="N73" s="342"/>
      <c r="O73" s="31">
        <f>SUM(O67:O72)</f>
        <v>1824.4575</v>
      </c>
      <c r="P73" s="80">
        <f t="shared" si="27"/>
        <v>1824.4575</v>
      </c>
    </row>
    <row r="74" spans="1:16" ht="15.75" x14ac:dyDescent="0.25">
      <c r="A74" s="9"/>
      <c r="B74" s="13"/>
      <c r="C74" s="10"/>
      <c r="D74" s="10"/>
      <c r="E74" s="10"/>
      <c r="F74" s="126"/>
      <c r="G74" s="126"/>
      <c r="H74" s="126"/>
      <c r="I74" s="126"/>
      <c r="J74" s="126"/>
      <c r="K74" s="126"/>
      <c r="L74" s="127"/>
      <c r="M74" s="128"/>
      <c r="N74" s="128"/>
      <c r="O74" s="127"/>
      <c r="P74" s="129"/>
    </row>
    <row r="75" spans="1:16" ht="18" x14ac:dyDescent="0.25">
      <c r="A75" s="9"/>
      <c r="B75" s="16" t="s">
        <v>13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88"/>
    </row>
    <row r="76" spans="1:16" ht="14.25" x14ac:dyDescent="0.2">
      <c r="A76" s="9"/>
      <c r="B76" s="36" t="s">
        <v>30</v>
      </c>
      <c r="C76" s="96" t="s">
        <v>8</v>
      </c>
      <c r="D76" s="96" t="s">
        <v>20</v>
      </c>
      <c r="E76" s="96" t="s">
        <v>3</v>
      </c>
      <c r="F76" s="345" t="s">
        <v>13</v>
      </c>
      <c r="G76" s="345"/>
      <c r="H76" s="345" t="s">
        <v>29</v>
      </c>
      <c r="I76" s="345"/>
      <c r="J76" s="21">
        <f>H13</f>
        <v>0.25</v>
      </c>
      <c r="K76" s="19" t="s">
        <v>23</v>
      </c>
      <c r="L76" s="18" t="s">
        <v>4</v>
      </c>
      <c r="M76" s="90">
        <f>$H$7</f>
        <v>0.5</v>
      </c>
      <c r="N76" s="22" t="s">
        <v>24</v>
      </c>
      <c r="O76" s="18" t="s">
        <v>5</v>
      </c>
      <c r="P76" s="84" t="s">
        <v>21</v>
      </c>
    </row>
    <row r="77" spans="1:16" x14ac:dyDescent="0.2">
      <c r="A77" s="9"/>
      <c r="B77" s="167" t="s">
        <v>89</v>
      </c>
      <c r="C77" s="85">
        <v>1</v>
      </c>
      <c r="D77" s="52">
        <v>1</v>
      </c>
      <c r="E77" s="134">
        <v>25</v>
      </c>
      <c r="F77" s="346">
        <f>C77*D77*E77</f>
        <v>25</v>
      </c>
      <c r="G77" s="347"/>
      <c r="H77" s="334">
        <v>3</v>
      </c>
      <c r="I77" s="335"/>
      <c r="J77" s="25" t="s">
        <v>25</v>
      </c>
      <c r="K77" s="15">
        <f>F77*$J$76</f>
        <v>6.25</v>
      </c>
      <c r="L77" s="3">
        <f>SUM(F77:K77)</f>
        <v>34.25</v>
      </c>
      <c r="M77" s="26" t="s">
        <v>25</v>
      </c>
      <c r="N77" s="15">
        <f>L77*$M$76</f>
        <v>17.125</v>
      </c>
      <c r="O77" s="3">
        <f>SUM(N77+L77)</f>
        <v>51.375</v>
      </c>
      <c r="P77" s="80">
        <f t="shared" ref="P77:P83" si="28">SUM(O77)</f>
        <v>51.375</v>
      </c>
    </row>
    <row r="78" spans="1:16" x14ac:dyDescent="0.2">
      <c r="A78" s="9"/>
      <c r="B78" s="94" t="s">
        <v>90</v>
      </c>
      <c r="C78" s="85">
        <v>1</v>
      </c>
      <c r="D78" s="52">
        <v>2</v>
      </c>
      <c r="E78" s="45">
        <v>25</v>
      </c>
      <c r="F78" s="348">
        <f>C78*D78*E78</f>
        <v>50</v>
      </c>
      <c r="G78" s="349"/>
      <c r="H78" s="336">
        <v>0</v>
      </c>
      <c r="I78" s="337"/>
      <c r="J78" s="27" t="s">
        <v>25</v>
      </c>
      <c r="K78" s="15">
        <f>F78*$J$76</f>
        <v>12.5</v>
      </c>
      <c r="L78" s="3">
        <f>SUM(F78:K78)</f>
        <v>62.5</v>
      </c>
      <c r="M78" s="26" t="s">
        <v>25</v>
      </c>
      <c r="N78" s="15">
        <f>L78*$M$76</f>
        <v>31.25</v>
      </c>
      <c r="O78" s="3">
        <f>SUM(N78+L78)</f>
        <v>93.75</v>
      </c>
      <c r="P78" s="80">
        <f t="shared" si="28"/>
        <v>93.75</v>
      </c>
    </row>
    <row r="79" spans="1:16" x14ac:dyDescent="0.2">
      <c r="A79" s="9"/>
      <c r="B79" s="94" t="s">
        <v>91</v>
      </c>
      <c r="C79" s="85">
        <v>1</v>
      </c>
      <c r="D79" s="52">
        <v>1</v>
      </c>
      <c r="E79" s="45">
        <v>20</v>
      </c>
      <c r="F79" s="348">
        <f>C79*D79*E79</f>
        <v>20</v>
      </c>
      <c r="G79" s="349"/>
      <c r="H79" s="336">
        <v>0</v>
      </c>
      <c r="I79" s="337"/>
      <c r="J79" s="27" t="s">
        <v>25</v>
      </c>
      <c r="K79" s="15">
        <f>F79*$J$76</f>
        <v>5</v>
      </c>
      <c r="L79" s="3">
        <f>SUM(F79:K79)</f>
        <v>25</v>
      </c>
      <c r="M79" s="26" t="s">
        <v>25</v>
      </c>
      <c r="N79" s="15">
        <f>L79*$M$76</f>
        <v>12.5</v>
      </c>
      <c r="O79" s="3">
        <f>SUM(N79+L79)</f>
        <v>37.5</v>
      </c>
      <c r="P79" s="80">
        <f t="shared" si="28"/>
        <v>37.5</v>
      </c>
    </row>
    <row r="80" spans="1:16" x14ac:dyDescent="0.2">
      <c r="A80" s="165"/>
      <c r="B80" s="94" t="s">
        <v>92</v>
      </c>
      <c r="C80" s="85">
        <v>1</v>
      </c>
      <c r="D80" s="52">
        <v>1</v>
      </c>
      <c r="E80" s="45">
        <v>400</v>
      </c>
      <c r="F80" s="348">
        <f>C80*D80*E80</f>
        <v>400</v>
      </c>
      <c r="G80" s="349"/>
      <c r="H80" s="336">
        <v>12</v>
      </c>
      <c r="I80" s="337"/>
      <c r="J80" s="27" t="s">
        <v>25</v>
      </c>
      <c r="K80" s="15">
        <f>F80*$J$76</f>
        <v>100</v>
      </c>
      <c r="L80" s="3">
        <f>SUM(F80:K80)</f>
        <v>512</v>
      </c>
      <c r="M80" s="26" t="s">
        <v>25</v>
      </c>
      <c r="N80" s="15">
        <f>L80*$M$76</f>
        <v>256</v>
      </c>
      <c r="O80" s="3">
        <f>SUM(N80+L80)</f>
        <v>768</v>
      </c>
      <c r="P80" s="80">
        <f t="shared" si="28"/>
        <v>768</v>
      </c>
    </row>
    <row r="81" spans="1:16" x14ac:dyDescent="0.2">
      <c r="A81" s="9"/>
      <c r="B81" s="94" t="s">
        <v>93</v>
      </c>
      <c r="C81" s="85">
        <v>1</v>
      </c>
      <c r="D81" s="52">
        <v>2</v>
      </c>
      <c r="E81" s="45">
        <v>80</v>
      </c>
      <c r="F81" s="348">
        <f>C81*D81*E81</f>
        <v>160</v>
      </c>
      <c r="G81" s="349"/>
      <c r="H81" s="336">
        <v>0</v>
      </c>
      <c r="I81" s="337"/>
      <c r="J81" s="27" t="s">
        <v>25</v>
      </c>
      <c r="K81" s="15">
        <f>F81*$J$76</f>
        <v>40</v>
      </c>
      <c r="L81" s="3">
        <f>SUM(F81:K81)</f>
        <v>200</v>
      </c>
      <c r="M81" s="26" t="s">
        <v>25</v>
      </c>
      <c r="N81" s="15">
        <f>L81*$M$76</f>
        <v>100</v>
      </c>
      <c r="O81" s="3">
        <f>SUM(N81+L81)</f>
        <v>300</v>
      </c>
      <c r="P81" s="80">
        <f t="shared" si="28"/>
        <v>300</v>
      </c>
    </row>
    <row r="82" spans="1:16" ht="13.5" thickBot="1" x14ac:dyDescent="0.25">
      <c r="A82" s="9"/>
      <c r="B82" s="44"/>
      <c r="C82" s="87"/>
      <c r="D82" s="52"/>
      <c r="E82" s="44"/>
      <c r="F82" s="348"/>
      <c r="G82" s="349"/>
      <c r="H82" s="336"/>
      <c r="I82" s="337"/>
      <c r="J82" s="27"/>
      <c r="K82" s="15"/>
      <c r="L82" s="3"/>
      <c r="M82" s="26"/>
      <c r="N82" s="15"/>
      <c r="O82" s="3"/>
      <c r="P82" s="80">
        <f t="shared" si="28"/>
        <v>0</v>
      </c>
    </row>
    <row r="83" spans="1:16" ht="16.5" thickBot="1" x14ac:dyDescent="0.3">
      <c r="A83" s="9"/>
      <c r="B83" s="13"/>
      <c r="C83" s="326" t="s">
        <v>4</v>
      </c>
      <c r="D83" s="339"/>
      <c r="E83" s="34"/>
      <c r="F83" s="328">
        <f>SUM(F77:G82)</f>
        <v>655</v>
      </c>
      <c r="G83" s="329"/>
      <c r="H83" s="328">
        <f>SUM(H77:I82)</f>
        <v>15</v>
      </c>
      <c r="I83" s="329"/>
      <c r="J83" s="328">
        <f>SUM(J77:K82)</f>
        <v>163.75</v>
      </c>
      <c r="K83" s="329"/>
      <c r="L83" s="31">
        <f>SUM(L77:L82)</f>
        <v>833.75</v>
      </c>
      <c r="M83" s="328">
        <f>SUM(M77:N82)</f>
        <v>416.875</v>
      </c>
      <c r="N83" s="329"/>
      <c r="O83" s="31">
        <f>SUM(O77:O82)</f>
        <v>1250.625</v>
      </c>
      <c r="P83" s="80">
        <f t="shared" si="28"/>
        <v>1250.625</v>
      </c>
    </row>
    <row r="84" spans="1:16" x14ac:dyDescent="0.2">
      <c r="A84" s="9"/>
      <c r="B84" s="1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4"/>
    </row>
    <row r="85" spans="1:16" ht="13.5" thickBot="1" x14ac:dyDescent="0.25">
      <c r="A85" s="9"/>
      <c r="B85" s="1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2"/>
      <c r="O85" s="10"/>
      <c r="P85" s="80">
        <f>SUM(O85)</f>
        <v>0</v>
      </c>
    </row>
    <row r="86" spans="1:16" ht="17.25" thickBot="1" x14ac:dyDescent="0.3">
      <c r="A86" s="9"/>
      <c r="B86" s="13"/>
      <c r="C86" s="350" t="s">
        <v>15</v>
      </c>
      <c r="D86" s="351"/>
      <c r="E86" s="37"/>
      <c r="F86" s="37"/>
      <c r="G86" s="37"/>
      <c r="H86" s="37"/>
      <c r="I86" s="37"/>
      <c r="J86" s="37"/>
      <c r="K86" s="37"/>
      <c r="L86" s="39">
        <f>SUM(L45,L63,L73,L83)</f>
        <v>10307.006069354167</v>
      </c>
      <c r="M86" s="37"/>
      <c r="N86" s="38"/>
      <c r="O86" s="39">
        <f>SUM(O29,O43,O63,O73,O83)</f>
        <v>15460.509104031251</v>
      </c>
      <c r="P86" s="80">
        <f>SUM(O86)</f>
        <v>15460.509104031251</v>
      </c>
    </row>
    <row r="87" spans="1:16" ht="17.25" thickBot="1" x14ac:dyDescent="0.3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35"/>
      <c r="O87" s="13"/>
      <c r="P87" s="89"/>
    </row>
    <row r="88" spans="1:16" ht="17.25" thickBot="1" x14ac:dyDescent="0.3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35"/>
      <c r="O88" s="135"/>
      <c r="P88" s="89"/>
    </row>
    <row r="89" spans="1:16" ht="17.25" thickBot="1" x14ac:dyDescent="0.3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35"/>
      <c r="O89" s="13"/>
      <c r="P89" s="89"/>
    </row>
    <row r="90" spans="1:16" ht="17.25" thickBot="1" x14ac:dyDescent="0.3">
      <c r="A90" s="9"/>
      <c r="B90" s="13" t="s">
        <v>105</v>
      </c>
      <c r="C90" s="171">
        <v>14500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5"/>
      <c r="O90" s="13"/>
      <c r="P90" s="89"/>
    </row>
    <row r="91" spans="1:16" ht="17.25" thickBot="1" x14ac:dyDescent="0.3">
      <c r="A91" s="9"/>
      <c r="B91" s="93" t="s">
        <v>101</v>
      </c>
      <c r="C91" s="171">
        <v>5000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5"/>
      <c r="O91" s="135"/>
      <c r="P91" s="168"/>
    </row>
    <row r="92" spans="1:16" ht="17.25" thickBot="1" x14ac:dyDescent="0.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5"/>
      <c r="M92" s="13"/>
      <c r="N92" s="35"/>
      <c r="O92" s="13"/>
      <c r="P92" s="89"/>
    </row>
    <row r="93" spans="1:16" ht="17.25" thickBot="1" x14ac:dyDescent="0.3">
      <c r="A93" s="9"/>
      <c r="B93" s="13"/>
      <c r="C93" s="13"/>
      <c r="D93" s="13"/>
      <c r="E93" s="13">
        <f>(O24+O38)/2</f>
        <v>167.86500000000001</v>
      </c>
      <c r="F93" s="13"/>
      <c r="G93" s="13"/>
      <c r="H93" s="13"/>
      <c r="I93" s="13"/>
      <c r="J93" s="13"/>
      <c r="K93" s="13"/>
      <c r="L93" s="13"/>
      <c r="M93" s="13"/>
      <c r="N93" s="35"/>
      <c r="O93" s="135"/>
      <c r="P93" s="89"/>
    </row>
    <row r="94" spans="1:16" ht="16.5" x14ac:dyDescent="0.25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169"/>
    </row>
    <row r="95" spans="1:16" ht="16.5" x14ac:dyDescent="0.25">
      <c r="A95" s="9"/>
      <c r="B95" s="93" t="s">
        <v>126</v>
      </c>
      <c r="C95" s="171">
        <v>5700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/>
      <c r="P95" s="170"/>
    </row>
    <row r="96" spans="1:16" ht="16.5" x14ac:dyDescent="0.25">
      <c r="A96" s="9"/>
      <c r="B96" s="93" t="s">
        <v>99</v>
      </c>
      <c r="C96" s="171">
        <v>25000</v>
      </c>
      <c r="D96" s="13"/>
      <c r="E96" s="13"/>
      <c r="F96" s="13"/>
      <c r="G96" s="13"/>
      <c r="H96" s="13"/>
      <c r="I96" s="13"/>
      <c r="J96" s="13"/>
      <c r="K96" s="13"/>
      <c r="L96" s="153"/>
      <c r="M96" s="13"/>
      <c r="N96" s="35"/>
      <c r="O96" s="135"/>
      <c r="P96" s="170"/>
    </row>
    <row r="97" spans="1:16" ht="16.5" x14ac:dyDescent="0.25">
      <c r="A97" s="9"/>
      <c r="B97" s="93" t="s">
        <v>100</v>
      </c>
      <c r="C97" s="43">
        <v>5000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2"/>
      <c r="O97" s="11"/>
      <c r="P97" s="170"/>
    </row>
    <row r="98" spans="1:16" ht="16.5" x14ac:dyDescent="0.25">
      <c r="A98" s="9"/>
      <c r="B98" s="93"/>
      <c r="C98" s="42">
        <f>SUM(C90:C97)</f>
        <v>55200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2"/>
      <c r="O98" s="11"/>
      <c r="P98" s="170"/>
    </row>
    <row r="99" spans="1:16" ht="16.5" x14ac:dyDescent="0.25">
      <c r="A99" s="9"/>
      <c r="B99" s="13"/>
      <c r="C99" s="13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64"/>
      <c r="O99" s="163"/>
      <c r="P99" s="170"/>
    </row>
  </sheetData>
  <mergeCells count="108">
    <mergeCell ref="J83:K83"/>
    <mergeCell ref="M83:N83"/>
    <mergeCell ref="C84:P84"/>
    <mergeCell ref="F81:G81"/>
    <mergeCell ref="H81:I81"/>
    <mergeCell ref="F82:G82"/>
    <mergeCell ref="H82:I82"/>
    <mergeCell ref="C86:D86"/>
    <mergeCell ref="C83:D83"/>
    <mergeCell ref="F83:G83"/>
    <mergeCell ref="H83:I83"/>
    <mergeCell ref="F78:G78"/>
    <mergeCell ref="H78:I78"/>
    <mergeCell ref="F79:G79"/>
    <mergeCell ref="H79:I79"/>
    <mergeCell ref="F80:G80"/>
    <mergeCell ref="H80:I80"/>
    <mergeCell ref="C73:D73"/>
    <mergeCell ref="F73:G73"/>
    <mergeCell ref="H73:I73"/>
    <mergeCell ref="J73:K73"/>
    <mergeCell ref="M73:N73"/>
    <mergeCell ref="F76:G76"/>
    <mergeCell ref="H76:I76"/>
    <mergeCell ref="F77:G77"/>
    <mergeCell ref="H77:I77"/>
    <mergeCell ref="F68:G68"/>
    <mergeCell ref="H68:I68"/>
    <mergeCell ref="F69:G69"/>
    <mergeCell ref="H69:I69"/>
    <mergeCell ref="F70:G70"/>
    <mergeCell ref="H70:I70"/>
    <mergeCell ref="F71:G71"/>
    <mergeCell ref="H71:I71"/>
    <mergeCell ref="F72:G72"/>
    <mergeCell ref="H72:I72"/>
    <mergeCell ref="C63:D63"/>
    <mergeCell ref="F63:G63"/>
    <mergeCell ref="H63:I63"/>
    <mergeCell ref="J63:K63"/>
    <mergeCell ref="M63:N63"/>
    <mergeCell ref="C64:P64"/>
    <mergeCell ref="F66:G66"/>
    <mergeCell ref="F67:G67"/>
    <mergeCell ref="H67:I67"/>
    <mergeCell ref="F58:G58"/>
    <mergeCell ref="H58:I58"/>
    <mergeCell ref="F59:G59"/>
    <mergeCell ref="H59:I59"/>
    <mergeCell ref="F60:G60"/>
    <mergeCell ref="H60:I60"/>
    <mergeCell ref="F61:G61"/>
    <mergeCell ref="H61:I61"/>
    <mergeCell ref="F62:G62"/>
    <mergeCell ref="H62:I62"/>
    <mergeCell ref="F53:G53"/>
    <mergeCell ref="H53:I53"/>
    <mergeCell ref="F54:G54"/>
    <mergeCell ref="H54:I54"/>
    <mergeCell ref="F55:G55"/>
    <mergeCell ref="H55:I55"/>
    <mergeCell ref="F56:G56"/>
    <mergeCell ref="H56:I56"/>
    <mergeCell ref="F57:G57"/>
    <mergeCell ref="H57:I57"/>
    <mergeCell ref="C46:P46"/>
    <mergeCell ref="C47:P47"/>
    <mergeCell ref="F49:G49"/>
    <mergeCell ref="F50:G50"/>
    <mergeCell ref="H50:I50"/>
    <mergeCell ref="F51:G51"/>
    <mergeCell ref="H51:I51"/>
    <mergeCell ref="F52:G52"/>
    <mergeCell ref="H52:I52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G6:I6"/>
    <mergeCell ref="C7:E7"/>
    <mergeCell ref="H7:I7"/>
    <mergeCell ref="K7:L7"/>
    <mergeCell ref="C8:E8"/>
    <mergeCell ref="H8:I8"/>
    <mergeCell ref="K8:L8"/>
    <mergeCell ref="C9:E9"/>
    <mergeCell ref="H9:I9"/>
    <mergeCell ref="C10:E10"/>
    <mergeCell ref="G10:I10"/>
    <mergeCell ref="K10:L10"/>
    <mergeCell ref="C11:E11"/>
    <mergeCell ref="H11:I11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C5" sqref="C5"/>
    </sheetView>
  </sheetViews>
  <sheetFormatPr defaultRowHeight="12.75" x14ac:dyDescent="0.2"/>
  <cols>
    <col min="1" max="1" width="20.28515625" bestFit="1" customWidth="1"/>
    <col min="2" max="2" width="10.140625" bestFit="1" customWidth="1"/>
    <col min="3" max="3" width="10.7109375" bestFit="1" customWidth="1"/>
    <col min="4" max="4" width="10.28515625" bestFit="1" customWidth="1"/>
    <col min="5" max="5" width="19.42578125" bestFit="1" customWidth="1"/>
    <col min="6" max="6" width="12" bestFit="1" customWidth="1"/>
    <col min="7" max="7" width="12.42578125" bestFit="1" customWidth="1"/>
    <col min="8" max="8" width="14.28515625" bestFit="1" customWidth="1"/>
    <col min="9" max="9" width="9.85546875" bestFit="1" customWidth="1"/>
    <col min="13" max="13" width="20.85546875" customWidth="1"/>
    <col min="14" max="14" width="1.5703125" customWidth="1"/>
    <col min="15" max="15" width="12.85546875" bestFit="1" customWidth="1"/>
    <col min="16" max="16" width="6" customWidth="1"/>
  </cols>
  <sheetData>
    <row r="1" spans="1:10" x14ac:dyDescent="0.2">
      <c r="A1" s="178" t="s">
        <v>224</v>
      </c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20</v>
      </c>
      <c r="E4" s="193">
        <v>0.66659999999999997</v>
      </c>
      <c r="F4">
        <f>SUM(C4*C3*E4)/27*2</f>
        <v>9.8755555555555556</v>
      </c>
    </row>
    <row r="5" spans="1:10" x14ac:dyDescent="0.2">
      <c r="A5" s="178" t="s">
        <v>112</v>
      </c>
      <c r="B5" s="178" t="s">
        <v>111</v>
      </c>
      <c r="C5" s="174">
        <v>16</v>
      </c>
      <c r="E5" s="177">
        <v>0.66659999999999997</v>
      </c>
      <c r="F5">
        <f>SUM(C5*C3*E5)/27*2</f>
        <v>7.9004444444444442</v>
      </c>
    </row>
    <row r="6" spans="1:10" x14ac:dyDescent="0.2">
      <c r="A6" s="178" t="s">
        <v>117</v>
      </c>
      <c r="B6" s="178" t="s">
        <v>120</v>
      </c>
      <c r="C6" s="188">
        <f>C5-1.32</f>
        <v>14.68</v>
      </c>
      <c r="D6">
        <f>C4-1.32</f>
        <v>18.68</v>
      </c>
      <c r="E6" s="177">
        <v>1</v>
      </c>
      <c r="F6" s="175">
        <f>SUM(C6*D6*E6)/27*2</f>
        <v>20.312770370370369</v>
      </c>
    </row>
    <row r="7" spans="1:10" x14ac:dyDescent="0.2">
      <c r="A7" s="178" t="s">
        <v>119</v>
      </c>
      <c r="B7" s="178" t="s">
        <v>120</v>
      </c>
      <c r="C7" s="188">
        <f>C5</f>
        <v>16</v>
      </c>
      <c r="D7">
        <f>C4</f>
        <v>20</v>
      </c>
      <c r="E7" s="177">
        <v>1</v>
      </c>
      <c r="F7" s="181">
        <f>SUM(C7*D7*E7)/27</f>
        <v>11.851851851851851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49.940622222222217</v>
      </c>
      <c r="G9" s="190">
        <f>SUM(27*110)</f>
        <v>2970</v>
      </c>
      <c r="H9" s="191">
        <f>SUM(F9*G9)</f>
        <v>148323.64799999999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163</v>
      </c>
      <c r="B29" s="206"/>
      <c r="C29" s="206"/>
      <c r="D29" s="206"/>
      <c r="E29" s="206"/>
      <c r="F29" s="206"/>
    </row>
    <row r="32" spans="1:10" x14ac:dyDescent="0.2">
      <c r="A32" s="206"/>
      <c r="B32" s="206"/>
      <c r="C32" s="206"/>
      <c r="D32" s="206"/>
      <c r="E32" s="206"/>
      <c r="F32" s="206"/>
    </row>
    <row r="33" spans="1:10" x14ac:dyDescent="0.2">
      <c r="A33" s="209" t="s">
        <v>186</v>
      </c>
      <c r="B33" s="191"/>
      <c r="C33" s="191"/>
      <c r="D33" s="191"/>
      <c r="E33" s="191"/>
      <c r="F33" s="191"/>
      <c r="G33" s="191"/>
      <c r="H33" s="191"/>
      <c r="I33" s="191"/>
      <c r="J33" s="210"/>
    </row>
    <row r="34" spans="1:10" x14ac:dyDescent="0.2">
      <c r="A34" s="211"/>
      <c r="B34" s="186"/>
      <c r="C34" s="180" t="s">
        <v>107</v>
      </c>
      <c r="D34" s="374" t="s">
        <v>172</v>
      </c>
      <c r="E34" s="374"/>
      <c r="F34" s="173" t="s">
        <v>18</v>
      </c>
      <c r="G34" s="173" t="s">
        <v>108</v>
      </c>
      <c r="H34" s="186"/>
      <c r="I34" s="375" t="s">
        <v>173</v>
      </c>
      <c r="J34" s="376"/>
    </row>
    <row r="35" spans="1:10" x14ac:dyDescent="0.2">
      <c r="A35" s="211" t="s">
        <v>109</v>
      </c>
      <c r="B35" s="186" t="s">
        <v>110</v>
      </c>
      <c r="C35" s="207">
        <v>21</v>
      </c>
      <c r="D35" s="186">
        <v>10</v>
      </c>
      <c r="E35" s="186">
        <v>0.33</v>
      </c>
      <c r="F35" s="186">
        <f>SUM(C35*D35*E35)/27*2</f>
        <v>5.1333333333333329</v>
      </c>
      <c r="G35" s="186"/>
      <c r="H35" s="186"/>
      <c r="I35" s="186"/>
      <c r="J35" s="213">
        <f>SUM(C35*D35*2)+(C37*D37)+(C38*D38*2)</f>
        <v>1174.6956</v>
      </c>
    </row>
    <row r="36" spans="1:10" x14ac:dyDescent="0.2">
      <c r="A36" s="211"/>
      <c r="B36" s="186" t="s">
        <v>174</v>
      </c>
      <c r="C36" s="186">
        <v>10</v>
      </c>
      <c r="D36" s="186"/>
      <c r="E36" s="186"/>
      <c r="F36" s="186"/>
      <c r="G36" s="186"/>
      <c r="H36" s="186"/>
      <c r="I36" s="186"/>
      <c r="J36" s="213"/>
    </row>
    <row r="37" spans="1:10" x14ac:dyDescent="0.2">
      <c r="A37" s="211" t="s">
        <v>117</v>
      </c>
      <c r="B37" s="186" t="s">
        <v>111</v>
      </c>
      <c r="C37" s="207">
        <f>SUM(20-1.66)</f>
        <v>18.34</v>
      </c>
      <c r="D37" s="186">
        <f>SUM(21-1.66)</f>
        <v>19.34</v>
      </c>
      <c r="E37" s="186">
        <v>0.75</v>
      </c>
      <c r="F37" s="181">
        <f>SUM(C37*D37*E37)/27*1</f>
        <v>9.8526555555555557</v>
      </c>
      <c r="G37" s="186"/>
      <c r="H37" s="186"/>
      <c r="I37" s="186"/>
      <c r="J37" s="213"/>
    </row>
    <row r="38" spans="1:10" x14ac:dyDescent="0.2">
      <c r="A38" s="211" t="s">
        <v>112</v>
      </c>
      <c r="B38" s="186" t="s">
        <v>112</v>
      </c>
      <c r="C38" s="207">
        <v>20</v>
      </c>
      <c r="D38" s="186">
        <v>10</v>
      </c>
      <c r="E38" s="186">
        <v>0.33</v>
      </c>
      <c r="F38" s="214">
        <f>SUM(C38*D38*E38)/27*2</f>
        <v>4.8888888888888893</v>
      </c>
      <c r="G38" s="212" t="s">
        <v>113</v>
      </c>
      <c r="H38" s="176" t="s">
        <v>114</v>
      </c>
      <c r="I38" s="186"/>
      <c r="J38" s="213"/>
    </row>
    <row r="39" spans="1:10" x14ac:dyDescent="0.2">
      <c r="A39" s="215"/>
      <c r="B39" s="173"/>
      <c r="C39" s="173"/>
      <c r="D39" s="173"/>
      <c r="E39" s="173"/>
      <c r="F39" s="214">
        <f>SUM(F35:F38)</f>
        <v>19.874877777777776</v>
      </c>
      <c r="G39" s="180">
        <f>SUM(27*105)</f>
        <v>2835</v>
      </c>
      <c r="H39" s="173">
        <f>SUM(F39*G39)</f>
        <v>56345.278499999993</v>
      </c>
      <c r="I39" s="176" t="s">
        <v>115</v>
      </c>
      <c r="J39" s="216"/>
    </row>
    <row r="40" spans="1:10" x14ac:dyDescent="0.2">
      <c r="A40" s="211"/>
      <c r="B40" s="186"/>
      <c r="C40" s="186"/>
      <c r="D40" s="186"/>
      <c r="E40" s="186"/>
      <c r="F40" s="181"/>
      <c r="G40" s="184"/>
      <c r="H40" s="186"/>
      <c r="I40" s="183"/>
      <c r="J40" s="213"/>
    </row>
    <row r="41" spans="1:10" x14ac:dyDescent="0.2">
      <c r="A41" s="211"/>
      <c r="B41" s="186"/>
      <c r="C41" s="186"/>
      <c r="D41" s="186"/>
      <c r="E41" s="186"/>
      <c r="F41" s="181"/>
      <c r="G41" s="184"/>
      <c r="H41" s="186"/>
      <c r="I41" s="183"/>
      <c r="J41" s="213"/>
    </row>
    <row r="42" spans="1:10" x14ac:dyDescent="0.2">
      <c r="A42" s="209" t="s">
        <v>171</v>
      </c>
      <c r="B42" s="191"/>
      <c r="C42" s="191"/>
      <c r="D42" s="191"/>
      <c r="E42" s="191"/>
      <c r="F42" s="191"/>
      <c r="G42" s="191"/>
      <c r="H42" s="191"/>
      <c r="I42" s="191"/>
      <c r="J42" s="210"/>
    </row>
    <row r="43" spans="1:10" x14ac:dyDescent="0.2">
      <c r="A43" s="211"/>
      <c r="B43" s="186"/>
      <c r="C43" s="180" t="s">
        <v>107</v>
      </c>
      <c r="D43" s="374" t="s">
        <v>172</v>
      </c>
      <c r="E43" s="374"/>
      <c r="F43" s="173" t="s">
        <v>18</v>
      </c>
      <c r="G43" s="173" t="s">
        <v>108</v>
      </c>
      <c r="H43" s="186"/>
      <c r="I43" s="375" t="s">
        <v>173</v>
      </c>
      <c r="J43" s="376"/>
    </row>
    <row r="44" spans="1:10" x14ac:dyDescent="0.2">
      <c r="A44" s="211" t="s">
        <v>109</v>
      </c>
      <c r="B44" s="186" t="s">
        <v>110</v>
      </c>
      <c r="C44" s="207">
        <v>20</v>
      </c>
      <c r="D44" s="186">
        <v>10</v>
      </c>
      <c r="E44" s="186">
        <v>0.33</v>
      </c>
      <c r="F44" s="186">
        <f>SUM(C44*D44*E44)/27*2</f>
        <v>4.8888888888888893</v>
      </c>
      <c r="G44" s="186"/>
      <c r="H44" s="186"/>
      <c r="I44" s="186"/>
      <c r="J44" s="213">
        <f>SUM(C44*D44*2)+(C46*D46)+(C47*D47*2)</f>
        <v>1120</v>
      </c>
    </row>
    <row r="45" spans="1:10" x14ac:dyDescent="0.2">
      <c r="A45" s="211"/>
      <c r="B45" s="186" t="s">
        <v>174</v>
      </c>
      <c r="C45" s="186">
        <v>10</v>
      </c>
      <c r="D45" s="186"/>
      <c r="E45" s="186"/>
      <c r="F45" s="186"/>
      <c r="G45" s="186"/>
      <c r="H45" s="186"/>
      <c r="I45" s="186"/>
      <c r="J45" s="213"/>
    </row>
    <row r="46" spans="1:10" x14ac:dyDescent="0.2">
      <c r="A46" s="211" t="s">
        <v>117</v>
      </c>
      <c r="B46" s="186" t="s">
        <v>111</v>
      </c>
      <c r="C46" s="207">
        <v>20</v>
      </c>
      <c r="D46" s="186">
        <v>18</v>
      </c>
      <c r="E46" s="186">
        <v>0.5</v>
      </c>
      <c r="F46" s="181">
        <f>SUM(C46*D46*E46)/27*1</f>
        <v>6.666666666666667</v>
      </c>
      <c r="G46" s="186"/>
      <c r="H46" s="186"/>
      <c r="I46" s="186"/>
      <c r="J46" s="213"/>
    </row>
    <row r="47" spans="1:10" x14ac:dyDescent="0.2">
      <c r="A47" s="211" t="s">
        <v>112</v>
      </c>
      <c r="B47" s="186" t="s">
        <v>112</v>
      </c>
      <c r="C47" s="207">
        <v>18</v>
      </c>
      <c r="D47" s="186">
        <v>10</v>
      </c>
      <c r="E47" s="186">
        <v>0.33</v>
      </c>
      <c r="F47" s="214">
        <f>SUM(C47*D47*E47)/27*2</f>
        <v>4.4000000000000004</v>
      </c>
      <c r="G47" s="212" t="s">
        <v>113</v>
      </c>
      <c r="H47" s="176" t="s">
        <v>114</v>
      </c>
      <c r="I47" s="186"/>
      <c r="J47" s="213"/>
    </row>
    <row r="48" spans="1:10" x14ac:dyDescent="0.2">
      <c r="A48" s="215"/>
      <c r="B48" s="173"/>
      <c r="C48" s="173"/>
      <c r="D48" s="173"/>
      <c r="E48" s="173"/>
      <c r="F48" s="214">
        <f>SUM(F44:F47)</f>
        <v>15.955555555555557</v>
      </c>
      <c r="G48" s="180">
        <f>SUM(27*105)</f>
        <v>2835</v>
      </c>
      <c r="H48" s="173">
        <f>SUM(F48*G48)</f>
        <v>45234.000000000007</v>
      </c>
      <c r="I48" s="176" t="s">
        <v>115</v>
      </c>
      <c r="J48" s="216"/>
    </row>
    <row r="49" spans="1:10" x14ac:dyDescent="0.2">
      <c r="A49" s="186"/>
      <c r="B49" s="186"/>
      <c r="C49" s="186"/>
      <c r="D49" s="186"/>
      <c r="E49" s="186"/>
      <c r="F49" s="181"/>
      <c r="G49" s="184"/>
      <c r="H49" s="186"/>
      <c r="I49" s="183"/>
      <c r="J49" s="186"/>
    </row>
    <row r="50" spans="1:10" x14ac:dyDescent="0.2">
      <c r="A50" s="186"/>
      <c r="B50" s="186"/>
      <c r="C50" s="186"/>
      <c r="D50" s="186"/>
      <c r="E50" s="186"/>
      <c r="F50" s="181"/>
      <c r="G50" s="184"/>
      <c r="H50" s="186"/>
      <c r="I50" s="183"/>
      <c r="J50" s="186"/>
    </row>
    <row r="51" spans="1:10" x14ac:dyDescent="0.2">
      <c r="A51" s="209" t="s">
        <v>175</v>
      </c>
      <c r="B51" s="191"/>
      <c r="C51" s="191"/>
      <c r="D51" s="191"/>
      <c r="E51" s="191"/>
      <c r="F51" s="191"/>
      <c r="G51" s="191"/>
      <c r="H51" s="191"/>
      <c r="I51" s="191"/>
      <c r="J51" s="210"/>
    </row>
    <row r="52" spans="1:10" x14ac:dyDescent="0.2">
      <c r="A52" s="211"/>
      <c r="B52" s="186"/>
      <c r="C52" s="180" t="s">
        <v>107</v>
      </c>
      <c r="D52" s="374" t="s">
        <v>172</v>
      </c>
      <c r="E52" s="374"/>
      <c r="F52" s="173" t="s">
        <v>18</v>
      </c>
      <c r="G52" s="173" t="s">
        <v>108</v>
      </c>
      <c r="H52" s="186"/>
      <c r="I52" s="375" t="s">
        <v>173</v>
      </c>
      <c r="J52" s="376"/>
    </row>
    <row r="53" spans="1:10" x14ac:dyDescent="0.2">
      <c r="A53" s="211" t="s">
        <v>109</v>
      </c>
      <c r="B53" s="186" t="s">
        <v>110</v>
      </c>
      <c r="C53" s="207">
        <v>28</v>
      </c>
      <c r="D53" s="186">
        <v>10</v>
      </c>
      <c r="E53" s="186">
        <v>0.33</v>
      </c>
      <c r="F53" s="186">
        <f>SUM(C53*D53*E53)/27*2</f>
        <v>6.844444444444445</v>
      </c>
      <c r="G53" s="186"/>
      <c r="H53" s="186"/>
      <c r="I53" s="186"/>
      <c r="J53" s="213">
        <f>SUM(C53*D53*2)+(C55*D55)+(C56*D56*2)</f>
        <v>1232</v>
      </c>
    </row>
    <row r="54" spans="1:10" x14ac:dyDescent="0.2">
      <c r="A54" s="211"/>
      <c r="B54" s="186" t="s">
        <v>174</v>
      </c>
      <c r="C54" s="186">
        <v>10</v>
      </c>
      <c r="D54" s="186"/>
      <c r="E54" s="186"/>
      <c r="F54" s="186"/>
      <c r="G54" s="186"/>
      <c r="H54" s="186"/>
      <c r="I54" s="186"/>
      <c r="J54" s="213"/>
    </row>
    <row r="55" spans="1:10" x14ac:dyDescent="0.2">
      <c r="A55" s="211" t="s">
        <v>117</v>
      </c>
      <c r="B55" s="186" t="s">
        <v>111</v>
      </c>
      <c r="C55" s="207">
        <v>28</v>
      </c>
      <c r="D55" s="186">
        <v>14</v>
      </c>
      <c r="E55" s="186">
        <v>0.5</v>
      </c>
      <c r="F55" s="181">
        <f>SUM(C55*D55*E55)/27*1</f>
        <v>7.2592592592592595</v>
      </c>
      <c r="G55" s="186"/>
      <c r="H55" s="186"/>
      <c r="I55" s="186"/>
      <c r="J55" s="213"/>
    </row>
    <row r="56" spans="1:10" x14ac:dyDescent="0.2">
      <c r="A56" s="211" t="s">
        <v>112</v>
      </c>
      <c r="B56" s="186" t="s">
        <v>112</v>
      </c>
      <c r="C56" s="207">
        <v>14</v>
      </c>
      <c r="D56" s="186">
        <v>10</v>
      </c>
      <c r="E56" s="186">
        <v>0.33</v>
      </c>
      <c r="F56" s="214">
        <f>SUM(C56*D56*E56)/27*2</f>
        <v>3.4222222222222225</v>
      </c>
      <c r="G56" s="212" t="s">
        <v>113</v>
      </c>
      <c r="H56" s="176" t="s">
        <v>114</v>
      </c>
      <c r="I56" s="186"/>
      <c r="J56" s="213"/>
    </row>
    <row r="57" spans="1:10" x14ac:dyDescent="0.2">
      <c r="A57" s="215"/>
      <c r="B57" s="173"/>
      <c r="C57" s="173"/>
      <c r="D57" s="173"/>
      <c r="E57" s="173"/>
      <c r="F57" s="214">
        <f>SUM(F53:F56)</f>
        <v>17.525925925925925</v>
      </c>
      <c r="G57" s="180">
        <f>SUM(27*105)</f>
        <v>2835</v>
      </c>
      <c r="H57" s="173">
        <f>SUM(F57*G57)</f>
        <v>49686</v>
      </c>
      <c r="I57" s="176" t="s">
        <v>115</v>
      </c>
      <c r="J57" s="216"/>
    </row>
    <row r="60" spans="1:10" x14ac:dyDescent="0.2">
      <c r="A60" s="209" t="s">
        <v>176</v>
      </c>
      <c r="B60" s="191"/>
      <c r="C60" s="217" t="s">
        <v>107</v>
      </c>
      <c r="D60" s="371" t="s">
        <v>172</v>
      </c>
      <c r="E60" s="371"/>
      <c r="F60" s="218" t="s">
        <v>18</v>
      </c>
      <c r="G60" s="218" t="s">
        <v>108</v>
      </c>
      <c r="H60" s="191"/>
      <c r="I60" s="372" t="s">
        <v>173</v>
      </c>
      <c r="J60" s="373"/>
    </row>
    <row r="61" spans="1:10" x14ac:dyDescent="0.2">
      <c r="A61" s="211" t="s">
        <v>109</v>
      </c>
      <c r="B61" s="186" t="s">
        <v>110</v>
      </c>
      <c r="C61" s="207">
        <v>21</v>
      </c>
      <c r="D61" s="186">
        <v>10</v>
      </c>
      <c r="E61" s="186">
        <v>0.33</v>
      </c>
      <c r="F61" s="186">
        <f>SUM(C61*D61*E61)/27*2</f>
        <v>5.1333333333333329</v>
      </c>
      <c r="G61" s="186"/>
      <c r="H61" s="186"/>
      <c r="I61" s="186"/>
      <c r="J61" s="213">
        <f>SUM(C61*D61*2)+(C63*D63)+(C64*D64*2)</f>
        <v>1140</v>
      </c>
    </row>
    <row r="62" spans="1:10" x14ac:dyDescent="0.2">
      <c r="A62" s="211"/>
      <c r="B62" s="186" t="s">
        <v>174</v>
      </c>
      <c r="C62" s="186">
        <v>10</v>
      </c>
      <c r="D62" s="186"/>
      <c r="E62" s="186"/>
      <c r="F62" s="186"/>
      <c r="G62" s="186"/>
      <c r="H62" s="186"/>
      <c r="I62" s="186"/>
      <c r="J62" s="213"/>
    </row>
    <row r="63" spans="1:10" x14ac:dyDescent="0.2">
      <c r="A63" s="211" t="s">
        <v>117</v>
      </c>
      <c r="B63" s="186" t="s">
        <v>111</v>
      </c>
      <c r="C63" s="207">
        <v>20</v>
      </c>
      <c r="D63" s="186">
        <v>20</v>
      </c>
      <c r="E63" s="186">
        <v>0.5</v>
      </c>
      <c r="F63" s="181">
        <f>SUM(C63*D63*E63)/27*1</f>
        <v>7.4074074074074074</v>
      </c>
      <c r="G63" s="186"/>
      <c r="H63" s="186"/>
      <c r="I63" s="186"/>
      <c r="J63" s="213"/>
    </row>
    <row r="64" spans="1:10" x14ac:dyDescent="0.2">
      <c r="A64" s="211" t="s">
        <v>112</v>
      </c>
      <c r="B64" s="186" t="s">
        <v>112</v>
      </c>
      <c r="C64" s="207">
        <v>16</v>
      </c>
      <c r="D64" s="186">
        <v>10</v>
      </c>
      <c r="E64" s="186">
        <v>0.33</v>
      </c>
      <c r="F64" s="214">
        <f>SUM(C64*D64*E64)/27*2</f>
        <v>3.9111111111111114</v>
      </c>
      <c r="G64" s="212" t="s">
        <v>113</v>
      </c>
      <c r="H64" s="176" t="s">
        <v>114</v>
      </c>
      <c r="I64" s="186"/>
      <c r="J64" s="213"/>
    </row>
    <row r="65" spans="1:10" x14ac:dyDescent="0.2">
      <c r="A65" s="215"/>
      <c r="B65" s="173"/>
      <c r="C65" s="173"/>
      <c r="D65" s="173"/>
      <c r="E65" s="173"/>
      <c r="F65" s="214">
        <f>SUM(F61:F64)</f>
        <v>16.451851851851853</v>
      </c>
      <c r="G65" s="180">
        <f>SUM(27*105)</f>
        <v>2835</v>
      </c>
      <c r="H65" s="173">
        <f>SUM(F65*G65)</f>
        <v>46641</v>
      </c>
      <c r="I65" s="176" t="s">
        <v>115</v>
      </c>
      <c r="J65" s="216"/>
    </row>
    <row r="68" spans="1:10" x14ac:dyDescent="0.2">
      <c r="A68" s="209" t="s">
        <v>177</v>
      </c>
      <c r="B68" s="191"/>
      <c r="C68" s="217" t="s">
        <v>107</v>
      </c>
      <c r="D68" s="371" t="s">
        <v>172</v>
      </c>
      <c r="E68" s="371"/>
      <c r="F68" s="218" t="s">
        <v>18</v>
      </c>
      <c r="G68" s="218" t="s">
        <v>108</v>
      </c>
      <c r="H68" s="191"/>
      <c r="I68" s="372" t="s">
        <v>173</v>
      </c>
      <c r="J68" s="373"/>
    </row>
    <row r="69" spans="1:10" x14ac:dyDescent="0.2">
      <c r="A69" s="211" t="s">
        <v>109</v>
      </c>
      <c r="B69" s="186" t="s">
        <v>110</v>
      </c>
      <c r="C69" s="207">
        <v>16</v>
      </c>
      <c r="D69" s="186">
        <v>10</v>
      </c>
      <c r="E69" s="186">
        <v>0.33</v>
      </c>
      <c r="F69" s="186">
        <f>SUM(C69*D69*E69)/27*2</f>
        <v>3.9111111111111114</v>
      </c>
      <c r="G69" s="186"/>
      <c r="H69" s="186"/>
      <c r="I69" s="186"/>
      <c r="J69" s="213">
        <f>SUM(C69*D69*2)+(C71*D71)+(C72*D72*2)</f>
        <v>608</v>
      </c>
    </row>
    <row r="70" spans="1:10" x14ac:dyDescent="0.2">
      <c r="A70" s="211"/>
      <c r="B70" s="186" t="s">
        <v>174</v>
      </c>
      <c r="C70" s="186">
        <v>10</v>
      </c>
      <c r="D70" s="186"/>
      <c r="E70" s="186"/>
      <c r="F70" s="186"/>
      <c r="G70" s="186"/>
      <c r="H70" s="186"/>
      <c r="I70" s="186"/>
      <c r="J70" s="213"/>
    </row>
    <row r="71" spans="1:10" x14ac:dyDescent="0.2">
      <c r="A71" s="211" t="s">
        <v>117</v>
      </c>
      <c r="B71" s="186" t="s">
        <v>111</v>
      </c>
      <c r="C71" s="207">
        <v>8</v>
      </c>
      <c r="D71" s="186">
        <v>16</v>
      </c>
      <c r="E71" s="186">
        <v>0.5</v>
      </c>
      <c r="F71" s="181">
        <f>SUM(C71*D71*E71)/27*1</f>
        <v>2.3703703703703702</v>
      </c>
      <c r="G71" s="186"/>
      <c r="H71" s="186"/>
      <c r="I71" s="186"/>
      <c r="J71" s="213"/>
    </row>
    <row r="72" spans="1:10" x14ac:dyDescent="0.2">
      <c r="A72" s="211" t="s">
        <v>112</v>
      </c>
      <c r="B72" s="186" t="s">
        <v>112</v>
      </c>
      <c r="C72" s="207">
        <v>8</v>
      </c>
      <c r="D72" s="186">
        <v>10</v>
      </c>
      <c r="E72" s="186">
        <v>0.33</v>
      </c>
      <c r="F72" s="214">
        <f>SUM(C72*D72*E72)/27*2</f>
        <v>1.9555555555555557</v>
      </c>
      <c r="G72" s="212" t="s">
        <v>113</v>
      </c>
      <c r="H72" s="176" t="s">
        <v>114</v>
      </c>
      <c r="I72" s="186"/>
      <c r="J72" s="213"/>
    </row>
    <row r="73" spans="1:10" x14ac:dyDescent="0.2">
      <c r="A73" s="215"/>
      <c r="B73" s="173"/>
      <c r="C73" s="173"/>
      <c r="D73" s="173"/>
      <c r="E73" s="173"/>
      <c r="F73" s="214">
        <f>SUM(F69:F72)</f>
        <v>8.2370370370370374</v>
      </c>
      <c r="G73" s="180">
        <f>SUM(27*105)</f>
        <v>2835</v>
      </c>
      <c r="H73" s="173">
        <f>SUM(F73*G73)</f>
        <v>23352</v>
      </c>
      <c r="I73" s="176" t="s">
        <v>115</v>
      </c>
      <c r="J73" s="216"/>
    </row>
    <row r="76" spans="1:10" x14ac:dyDescent="0.2">
      <c r="A76" s="209" t="s">
        <v>178</v>
      </c>
      <c r="B76" s="191"/>
      <c r="C76" s="217" t="s">
        <v>107</v>
      </c>
      <c r="D76" s="371" t="s">
        <v>172</v>
      </c>
      <c r="E76" s="371"/>
      <c r="F76" s="218" t="s">
        <v>18</v>
      </c>
      <c r="G76" s="218" t="s">
        <v>108</v>
      </c>
      <c r="H76" s="191"/>
      <c r="I76" s="372" t="s">
        <v>173</v>
      </c>
      <c r="J76" s="373"/>
    </row>
    <row r="77" spans="1:10" x14ac:dyDescent="0.2">
      <c r="A77" s="211" t="s">
        <v>109</v>
      </c>
      <c r="B77" s="186" t="s">
        <v>110</v>
      </c>
      <c r="C77" s="207">
        <v>20</v>
      </c>
      <c r="D77" s="186">
        <v>10</v>
      </c>
      <c r="E77" s="186">
        <v>0.33</v>
      </c>
      <c r="F77" s="186">
        <f>SUM(C77*D77*E77)/27*2</f>
        <v>4.8888888888888893</v>
      </c>
      <c r="G77" s="186"/>
      <c r="H77" s="186"/>
      <c r="I77" s="186"/>
      <c r="J77" s="213">
        <f>SUM(C77*D77*2)+(C79*D79)+(C80*D80*2)</f>
        <v>960</v>
      </c>
    </row>
    <row r="78" spans="1:10" x14ac:dyDescent="0.2">
      <c r="A78" s="211"/>
      <c r="B78" s="186" t="s">
        <v>174</v>
      </c>
      <c r="C78" s="186">
        <v>10</v>
      </c>
      <c r="D78" s="186"/>
      <c r="E78" s="186"/>
      <c r="F78" s="186"/>
      <c r="G78" s="186"/>
      <c r="H78" s="186"/>
      <c r="I78" s="186"/>
      <c r="J78" s="213"/>
    </row>
    <row r="79" spans="1:10" x14ac:dyDescent="0.2">
      <c r="A79" s="211" t="s">
        <v>117</v>
      </c>
      <c r="B79" s="186" t="s">
        <v>111</v>
      </c>
      <c r="C79" s="207">
        <v>20</v>
      </c>
      <c r="D79" s="186">
        <v>14</v>
      </c>
      <c r="E79" s="186">
        <v>0.5</v>
      </c>
      <c r="F79" s="181">
        <f>SUM(C79*D79*E79)/27*1</f>
        <v>5.1851851851851851</v>
      </c>
      <c r="G79" s="186"/>
      <c r="H79" s="186"/>
      <c r="I79" s="186"/>
      <c r="J79" s="213"/>
    </row>
    <row r="80" spans="1:10" x14ac:dyDescent="0.2">
      <c r="A80" s="211" t="s">
        <v>112</v>
      </c>
      <c r="B80" s="186" t="s">
        <v>112</v>
      </c>
      <c r="C80" s="207">
        <v>14</v>
      </c>
      <c r="D80" s="186">
        <v>10</v>
      </c>
      <c r="E80" s="186">
        <v>0.33</v>
      </c>
      <c r="F80" s="214">
        <f>SUM(C80*D80*E80)/27*2</f>
        <v>3.4222222222222225</v>
      </c>
      <c r="G80" s="212" t="s">
        <v>113</v>
      </c>
      <c r="H80" s="176" t="s">
        <v>114</v>
      </c>
      <c r="I80" s="186"/>
      <c r="J80" s="213"/>
    </row>
    <row r="81" spans="1:10" x14ac:dyDescent="0.2">
      <c r="A81" s="215"/>
      <c r="B81" s="173"/>
      <c r="C81" s="173"/>
      <c r="D81" s="173"/>
      <c r="E81" s="173"/>
      <c r="F81" s="214">
        <f>SUM(F77:F80)</f>
        <v>13.496296296296297</v>
      </c>
      <c r="G81" s="180">
        <f>SUM(27*105)</f>
        <v>2835</v>
      </c>
      <c r="H81" s="173">
        <f>SUM(F81*G81)</f>
        <v>38262</v>
      </c>
      <c r="I81" s="176" t="s">
        <v>115</v>
      </c>
      <c r="J81" s="216"/>
    </row>
    <row r="85" spans="1:10" x14ac:dyDescent="0.2">
      <c r="A85" s="209" t="s">
        <v>179</v>
      </c>
      <c r="B85" s="191"/>
      <c r="C85" s="217" t="s">
        <v>107</v>
      </c>
      <c r="D85" s="371" t="s">
        <v>172</v>
      </c>
      <c r="E85" s="371"/>
      <c r="F85" s="218" t="s">
        <v>18</v>
      </c>
      <c r="G85" s="218" t="s">
        <v>108</v>
      </c>
      <c r="H85" s="191"/>
      <c r="I85" s="372" t="s">
        <v>173</v>
      </c>
      <c r="J85" s="373"/>
    </row>
    <row r="86" spans="1:10" x14ac:dyDescent="0.2">
      <c r="A86" s="211" t="s">
        <v>109</v>
      </c>
      <c r="B86" s="186" t="s">
        <v>110</v>
      </c>
      <c r="C86" s="207">
        <v>16</v>
      </c>
      <c r="D86" s="186">
        <v>10</v>
      </c>
      <c r="E86" s="186">
        <v>0.33</v>
      </c>
      <c r="F86" s="186">
        <f>SUM(C86*D86*E86)/27*2</f>
        <v>3.9111111111111114</v>
      </c>
      <c r="G86" s="186"/>
      <c r="H86" s="186"/>
      <c r="I86" s="186"/>
      <c r="J86" s="213">
        <f>SUM(C86*D86*2)+(C88*D88)+(C89*D89*2)</f>
        <v>896</v>
      </c>
    </row>
    <row r="87" spans="1:10" x14ac:dyDescent="0.2">
      <c r="A87" s="211"/>
      <c r="B87" s="186" t="s">
        <v>174</v>
      </c>
      <c r="C87" s="186">
        <v>10</v>
      </c>
      <c r="D87" s="186"/>
      <c r="E87" s="186"/>
      <c r="F87" s="186"/>
      <c r="G87" s="186"/>
      <c r="H87" s="186"/>
      <c r="I87" s="186"/>
      <c r="J87" s="213"/>
    </row>
    <row r="88" spans="1:10" x14ac:dyDescent="0.2">
      <c r="A88" s="211" t="s">
        <v>117</v>
      </c>
      <c r="B88" s="186" t="s">
        <v>111</v>
      </c>
      <c r="C88" s="207">
        <v>16</v>
      </c>
      <c r="D88" s="186">
        <v>16</v>
      </c>
      <c r="E88" s="186">
        <v>0.5</v>
      </c>
      <c r="F88" s="181">
        <f>SUM(C88*D88*E88)/27*1</f>
        <v>4.7407407407407405</v>
      </c>
      <c r="G88" s="186"/>
      <c r="H88" s="186"/>
      <c r="I88" s="186"/>
      <c r="J88" s="213"/>
    </row>
    <row r="89" spans="1:10" x14ac:dyDescent="0.2">
      <c r="A89" s="211" t="s">
        <v>112</v>
      </c>
      <c r="B89" s="186" t="s">
        <v>112</v>
      </c>
      <c r="C89" s="207">
        <v>16</v>
      </c>
      <c r="D89" s="186">
        <v>10</v>
      </c>
      <c r="E89" s="186">
        <v>0.33</v>
      </c>
      <c r="F89" s="214">
        <f>SUM(C89*D89*E89)/27*2</f>
        <v>3.9111111111111114</v>
      </c>
      <c r="G89" s="212" t="s">
        <v>113</v>
      </c>
      <c r="H89" s="176" t="s">
        <v>114</v>
      </c>
      <c r="I89" s="186"/>
      <c r="J89" s="213"/>
    </row>
    <row r="90" spans="1:10" x14ac:dyDescent="0.2">
      <c r="A90" s="215"/>
      <c r="B90" s="173"/>
      <c r="C90" s="173"/>
      <c r="D90" s="173"/>
      <c r="E90" s="173"/>
      <c r="F90" s="214">
        <f>SUM(F86:F89)</f>
        <v>12.562962962962963</v>
      </c>
      <c r="G90" s="180">
        <f>SUM(27*105)</f>
        <v>2835</v>
      </c>
      <c r="H90" s="173">
        <f>SUM(F90*G90)</f>
        <v>35616</v>
      </c>
      <c r="I90" s="176" t="s">
        <v>115</v>
      </c>
      <c r="J90" s="216"/>
    </row>
    <row r="92" spans="1:10" x14ac:dyDescent="0.2">
      <c r="A92" s="209" t="s">
        <v>180</v>
      </c>
      <c r="B92" s="219" t="s">
        <v>181</v>
      </c>
      <c r="C92" s="217" t="s">
        <v>107</v>
      </c>
      <c r="D92" s="371" t="s">
        <v>172</v>
      </c>
      <c r="E92" s="371"/>
      <c r="F92" s="218" t="s">
        <v>18</v>
      </c>
      <c r="G92" s="218" t="s">
        <v>108</v>
      </c>
      <c r="H92" s="191"/>
      <c r="I92" s="372" t="s">
        <v>173</v>
      </c>
      <c r="J92" s="373"/>
    </row>
    <row r="93" spans="1:10" x14ac:dyDescent="0.2">
      <c r="A93" s="220" t="s">
        <v>182</v>
      </c>
      <c r="B93" s="184">
        <v>2</v>
      </c>
      <c r="C93" s="186">
        <v>19</v>
      </c>
      <c r="D93" s="186">
        <v>10</v>
      </c>
      <c r="E93" s="186">
        <v>0.33</v>
      </c>
      <c r="F93" s="186">
        <f>SUM(C93*D93*E93*1)/27*2</f>
        <v>4.6444444444444448</v>
      </c>
      <c r="G93" s="186"/>
      <c r="H93" s="186"/>
      <c r="I93" s="186"/>
      <c r="J93" s="213">
        <f>SUM(C93*D93*2)+(C94*D94*2)+(C95*D95)+(C96*D96)</f>
        <v>1484</v>
      </c>
    </row>
    <row r="94" spans="1:10" x14ac:dyDescent="0.2">
      <c r="A94" s="220" t="s">
        <v>182</v>
      </c>
      <c r="B94" s="186">
        <v>2</v>
      </c>
      <c r="C94" s="186">
        <v>20</v>
      </c>
      <c r="D94" s="186">
        <v>10</v>
      </c>
      <c r="E94" s="186">
        <v>0.33</v>
      </c>
      <c r="F94" s="186">
        <f>SUM(C94*D94*E94*1)/27*2</f>
        <v>4.8888888888888893</v>
      </c>
      <c r="G94" s="186"/>
      <c r="H94" s="186"/>
      <c r="I94" s="186"/>
      <c r="J94" s="213"/>
    </row>
    <row r="95" spans="1:10" x14ac:dyDescent="0.2">
      <c r="A95" s="220" t="s">
        <v>183</v>
      </c>
      <c r="B95" s="186"/>
      <c r="C95" s="186">
        <v>19</v>
      </c>
      <c r="D95" s="186">
        <v>16</v>
      </c>
      <c r="E95" s="186">
        <v>0.33</v>
      </c>
      <c r="F95" s="186">
        <f>SUM(C95*D95*E95*1)/27*1</f>
        <v>3.7155555555555559</v>
      </c>
      <c r="G95" s="186"/>
      <c r="H95" s="186"/>
      <c r="I95" s="186"/>
      <c r="J95" s="213"/>
    </row>
    <row r="96" spans="1:10" x14ac:dyDescent="0.2">
      <c r="A96" s="221" t="s">
        <v>183</v>
      </c>
      <c r="B96" s="173"/>
      <c r="C96" s="173">
        <v>20</v>
      </c>
      <c r="D96" s="173">
        <v>20</v>
      </c>
      <c r="E96" s="173">
        <v>0.33</v>
      </c>
      <c r="F96" s="173">
        <f>SUM(C96*D96*E96*1)/27*1</f>
        <v>4.8888888888888893</v>
      </c>
      <c r="G96" s="173"/>
      <c r="H96" s="173"/>
      <c r="I96" s="173"/>
      <c r="J96" s="216"/>
    </row>
    <row r="98" spans="1:18" x14ac:dyDescent="0.2">
      <c r="E98" s="363" t="s">
        <v>184</v>
      </c>
      <c r="F98" s="364"/>
      <c r="G98" s="364"/>
      <c r="I98" s="365" t="s">
        <v>185</v>
      </c>
      <c r="J98" s="365"/>
    </row>
    <row r="99" spans="1:18" x14ac:dyDescent="0.2">
      <c r="F99" s="175">
        <f>SUM(F48,F57,F65,F73,F81,F90,F93,F94,F95,F96,F90,F90)</f>
        <v>127.49333333333334</v>
      </c>
      <c r="G99" s="178" t="s">
        <v>18</v>
      </c>
      <c r="J99">
        <f>SUM(J44,J53,J61,J69,J77,J86,J93)</f>
        <v>7440</v>
      </c>
    </row>
    <row r="100" spans="1:18" x14ac:dyDescent="0.2">
      <c r="J100" s="173">
        <v>1800</v>
      </c>
    </row>
    <row r="101" spans="1:18" x14ac:dyDescent="0.2">
      <c r="J101" s="222">
        <f>SUM(J99:J100)</f>
        <v>9240</v>
      </c>
    </row>
    <row r="104" spans="1:18" x14ac:dyDescent="0.2">
      <c r="A104" s="223" t="s">
        <v>189</v>
      </c>
      <c r="B104" s="173" t="s">
        <v>190</v>
      </c>
      <c r="C104" s="223" t="s">
        <v>191</v>
      </c>
      <c r="D104" s="224" t="s">
        <v>192</v>
      </c>
      <c r="E104" s="366" t="s">
        <v>193</v>
      </c>
      <c r="F104" s="366"/>
      <c r="G104" s="367" t="s">
        <v>194</v>
      </c>
      <c r="H104" s="368"/>
      <c r="I104" s="225" t="s">
        <v>195</v>
      </c>
      <c r="M104" s="173" t="s">
        <v>196</v>
      </c>
      <c r="O104" s="173" t="s">
        <v>230</v>
      </c>
    </row>
    <row r="105" spans="1:18" x14ac:dyDescent="0.2">
      <c r="A105" s="226" t="s">
        <v>197</v>
      </c>
      <c r="B105" t="s">
        <v>198</v>
      </c>
      <c r="C105" s="226">
        <v>268</v>
      </c>
      <c r="D105" s="178" t="s">
        <v>199</v>
      </c>
      <c r="E105" s="369" t="s">
        <v>200</v>
      </c>
      <c r="F105" s="369"/>
      <c r="G105" s="370" t="s">
        <v>201</v>
      </c>
      <c r="H105" s="370"/>
      <c r="I105" s="226">
        <f>C105*9.17</f>
        <v>2457.56</v>
      </c>
      <c r="M105" t="s">
        <v>202</v>
      </c>
    </row>
    <row r="106" spans="1:18" x14ac:dyDescent="0.2">
      <c r="A106" s="226" t="s">
        <v>197</v>
      </c>
      <c r="B106" t="s">
        <v>203</v>
      </c>
      <c r="C106" s="226">
        <v>400</v>
      </c>
      <c r="D106" s="178" t="s">
        <v>199</v>
      </c>
      <c r="E106" s="362" t="s">
        <v>200</v>
      </c>
      <c r="F106" s="362"/>
      <c r="G106" s="364" t="s">
        <v>204</v>
      </c>
      <c r="H106" s="364"/>
      <c r="I106" s="226">
        <f>C106*9.17</f>
        <v>3668</v>
      </c>
      <c r="M106" t="s">
        <v>205</v>
      </c>
      <c r="O106">
        <v>28</v>
      </c>
      <c r="P106" t="s">
        <v>231</v>
      </c>
      <c r="Q106">
        <v>112</v>
      </c>
      <c r="R106" t="s">
        <v>17</v>
      </c>
    </row>
    <row r="107" spans="1:18" x14ac:dyDescent="0.2">
      <c r="A107" s="188"/>
      <c r="B107" s="188"/>
      <c r="C107" s="188"/>
      <c r="D107" s="188"/>
      <c r="E107" s="227"/>
      <c r="F107" s="227"/>
      <c r="G107" s="177"/>
      <c r="I107" s="226"/>
    </row>
    <row r="108" spans="1:18" x14ac:dyDescent="0.2">
      <c r="A108" s="226" t="s">
        <v>206</v>
      </c>
      <c r="B108" t="s">
        <v>207</v>
      </c>
      <c r="C108" s="226">
        <v>48</v>
      </c>
      <c r="E108" s="362" t="s">
        <v>208</v>
      </c>
      <c r="F108" s="362"/>
      <c r="G108" s="363" t="s">
        <v>209</v>
      </c>
      <c r="H108" s="363"/>
      <c r="I108" s="226">
        <f>C108*18.67</f>
        <v>896.16000000000008</v>
      </c>
      <c r="J108" t="s">
        <v>210</v>
      </c>
      <c r="M108" t="s">
        <v>211</v>
      </c>
      <c r="O108">
        <v>12</v>
      </c>
      <c r="P108" t="s">
        <v>231</v>
      </c>
      <c r="Q108">
        <v>48</v>
      </c>
      <c r="R108" t="s">
        <v>17</v>
      </c>
    </row>
    <row r="109" spans="1:18" x14ac:dyDescent="0.2">
      <c r="A109" s="226" t="s">
        <v>206</v>
      </c>
      <c r="B109" t="s">
        <v>207</v>
      </c>
      <c r="C109" s="226">
        <v>28</v>
      </c>
      <c r="E109" s="362" t="s">
        <v>212</v>
      </c>
      <c r="F109" s="362"/>
      <c r="G109" s="363" t="s">
        <v>209</v>
      </c>
      <c r="H109" s="363"/>
      <c r="I109" s="226">
        <f>C109*12.67</f>
        <v>354.76</v>
      </c>
      <c r="J109" t="s">
        <v>213</v>
      </c>
      <c r="O109">
        <v>7</v>
      </c>
      <c r="P109" t="s">
        <v>231</v>
      </c>
      <c r="Q109">
        <v>28</v>
      </c>
      <c r="R109" t="s">
        <v>17</v>
      </c>
    </row>
    <row r="110" spans="1:18" x14ac:dyDescent="0.2">
      <c r="A110" s="226" t="s">
        <v>206</v>
      </c>
      <c r="B110" t="s">
        <v>207</v>
      </c>
      <c r="C110" s="226">
        <v>36</v>
      </c>
      <c r="E110" s="362" t="s">
        <v>214</v>
      </c>
      <c r="F110" s="362"/>
      <c r="G110" s="363" t="s">
        <v>215</v>
      </c>
      <c r="H110" s="363"/>
      <c r="I110" s="226">
        <f>C110*14.67</f>
        <v>528.12</v>
      </c>
      <c r="J110" t="s">
        <v>216</v>
      </c>
      <c r="O110">
        <v>2</v>
      </c>
      <c r="P110" t="s">
        <v>231</v>
      </c>
      <c r="Q110">
        <v>8</v>
      </c>
      <c r="R110" t="s">
        <v>17</v>
      </c>
    </row>
    <row r="111" spans="1:18" x14ac:dyDescent="0.2">
      <c r="A111" s="226" t="s">
        <v>217</v>
      </c>
      <c r="B111" t="s">
        <v>218</v>
      </c>
      <c r="C111" s="226">
        <v>60</v>
      </c>
      <c r="D111" t="s">
        <v>200</v>
      </c>
      <c r="E111" s="362" t="s">
        <v>214</v>
      </c>
      <c r="F111" s="362"/>
      <c r="G111" s="363" t="s">
        <v>215</v>
      </c>
      <c r="H111" s="363"/>
      <c r="I111" s="226">
        <f>C111*14.67</f>
        <v>880.2</v>
      </c>
      <c r="J111" t="s">
        <v>219</v>
      </c>
      <c r="M111" t="s">
        <v>220</v>
      </c>
      <c r="O111">
        <v>7</v>
      </c>
      <c r="P111" t="s">
        <v>231</v>
      </c>
      <c r="Q111">
        <v>28</v>
      </c>
      <c r="R111" t="s">
        <v>17</v>
      </c>
    </row>
    <row r="112" spans="1:18" x14ac:dyDescent="0.2">
      <c r="A112" s="188"/>
      <c r="B112" s="188"/>
      <c r="C112" s="188"/>
      <c r="D112" s="188"/>
      <c r="E112" s="361"/>
      <c r="F112" s="361"/>
      <c r="G112" s="177"/>
    </row>
    <row r="113" spans="1:7" x14ac:dyDescent="0.2">
      <c r="A113" s="228" t="s">
        <v>221</v>
      </c>
      <c r="B113" s="188"/>
      <c r="C113" s="226">
        <v>1400</v>
      </c>
      <c r="D113" s="188"/>
      <c r="E113" s="361"/>
      <c r="F113" s="361"/>
      <c r="G113" s="177"/>
    </row>
    <row r="114" spans="1:7" x14ac:dyDescent="0.2">
      <c r="A114" s="228" t="s">
        <v>222</v>
      </c>
      <c r="B114" s="188"/>
      <c r="C114" s="226">
        <v>469</v>
      </c>
      <c r="D114" s="188"/>
      <c r="E114" s="361"/>
      <c r="F114" s="361"/>
      <c r="G114" s="177"/>
    </row>
    <row r="115" spans="1:7" x14ac:dyDescent="0.2">
      <c r="A115" s="228" t="s">
        <v>223</v>
      </c>
      <c r="B115" s="188"/>
      <c r="C115" s="226">
        <v>212</v>
      </c>
      <c r="D115" s="188"/>
      <c r="E115" s="188"/>
      <c r="F115" s="188"/>
      <c r="G115" s="177"/>
    </row>
  </sheetData>
  <mergeCells count="37">
    <mergeCell ref="C1:D1"/>
    <mergeCell ref="C2:D2"/>
    <mergeCell ref="D34:E34"/>
    <mergeCell ref="I34:J34"/>
    <mergeCell ref="D43:E43"/>
    <mergeCell ref="I43:J43"/>
    <mergeCell ref="D52:E52"/>
    <mergeCell ref="I52:J52"/>
    <mergeCell ref="D60:E60"/>
    <mergeCell ref="I60:J60"/>
    <mergeCell ref="D68:E68"/>
    <mergeCell ref="I68:J68"/>
    <mergeCell ref="D76:E76"/>
    <mergeCell ref="I76:J76"/>
    <mergeCell ref="D85:E85"/>
    <mergeCell ref="I85:J85"/>
    <mergeCell ref="D92:E92"/>
    <mergeCell ref="I92:J92"/>
    <mergeCell ref="E98:G98"/>
    <mergeCell ref="I98:J98"/>
    <mergeCell ref="E104:F104"/>
    <mergeCell ref="G104:H104"/>
    <mergeCell ref="E105:F105"/>
    <mergeCell ref="G105:H105"/>
    <mergeCell ref="E106:F106"/>
    <mergeCell ref="G106:H106"/>
    <mergeCell ref="E108:F108"/>
    <mergeCell ref="G108:H108"/>
    <mergeCell ref="E109:F109"/>
    <mergeCell ref="G109:H109"/>
    <mergeCell ref="E114:F114"/>
    <mergeCell ref="E110:F110"/>
    <mergeCell ref="G110:H110"/>
    <mergeCell ref="E111:F111"/>
    <mergeCell ref="G111:H111"/>
    <mergeCell ref="E112:F112"/>
    <mergeCell ref="E113:F1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workbookViewId="0">
      <selection sqref="A1:P90"/>
    </sheetView>
  </sheetViews>
  <sheetFormatPr defaultRowHeight="12.75" x14ac:dyDescent="0.2"/>
  <cols>
    <col min="1" max="1" width="2" bestFit="1" customWidth="1"/>
    <col min="2" max="2" width="30" bestFit="1" customWidth="1"/>
    <col min="3" max="3" width="11.28515625" bestFit="1" customWidth="1"/>
    <col min="4" max="4" width="9" bestFit="1" customWidth="1"/>
    <col min="5" max="5" width="12.85546875" bestFit="1" customWidth="1"/>
    <col min="6" max="6" width="5.140625" bestFit="1" customWidth="1"/>
    <col min="7" max="7" width="18.140625" bestFit="1" customWidth="1"/>
    <col min="8" max="8" width="6.85546875" bestFit="1" customWidth="1"/>
    <col min="9" max="9" width="11.5703125" bestFit="1" customWidth="1"/>
    <col min="10" max="10" width="6.85546875" bestFit="1" customWidth="1"/>
    <col min="11" max="11" width="11.5703125" bestFit="1" customWidth="1"/>
    <col min="12" max="12" width="19" bestFit="1" customWidth="1"/>
    <col min="13" max="13" width="5.140625" bestFit="1" customWidth="1"/>
    <col min="14" max="14" width="13.85546875" bestFit="1" customWidth="1"/>
    <col min="15" max="15" width="19" bestFit="1" customWidth="1"/>
    <col min="16" max="16" width="11.285156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SUM(O90)</f>
        <v>36135.454032263893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</row>
    <row r="3" spans="1:16" ht="18.75" thickBot="1" x14ac:dyDescent="0.3">
      <c r="A3" s="296"/>
      <c r="B3" s="92" t="s">
        <v>84</v>
      </c>
      <c r="C3" s="172" t="s">
        <v>232</v>
      </c>
      <c r="D3" s="100" t="s">
        <v>102</v>
      </c>
      <c r="E3" s="302"/>
      <c r="F3" s="302"/>
      <c r="G3" s="302"/>
      <c r="H3" s="101"/>
      <c r="I3" s="56">
        <f>16*32</f>
        <v>512</v>
      </c>
      <c r="J3" s="201" t="s">
        <v>12</v>
      </c>
      <c r="K3" s="101"/>
      <c r="L3" s="203">
        <f>SUM(L90/I3)</f>
        <v>52.584695265256073</v>
      </c>
      <c r="M3" s="101"/>
      <c r="N3" s="203">
        <f>SUM(G1/I3)</f>
        <v>70.577058656765416</v>
      </c>
      <c r="O3" s="101"/>
      <c r="P3" s="101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SUM(N29,N43,M64,M76,M86)</f>
        <v>9212.0900564527765</v>
      </c>
      <c r="I8" s="316"/>
      <c r="J8" s="308"/>
      <c r="K8" s="357">
        <f>N8*H8</f>
        <v>1842418.0112905554</v>
      </c>
      <c r="L8" s="357"/>
      <c r="M8" s="55" t="s">
        <v>103</v>
      </c>
      <c r="N8" s="195">
        <v>200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4606.0450282263882</v>
      </c>
      <c r="I9" s="320"/>
      <c r="J9" s="308"/>
      <c r="K9" s="10"/>
      <c r="L9" s="11">
        <f>200*H9</f>
        <v>921209.00564527768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42193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SUM(H45,J64,J76,J86)</f>
        <v>4837.381606296296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2418.690803148148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16</v>
      </c>
      <c r="D20" s="69">
        <f>SUM(E15)</f>
        <v>15</v>
      </c>
      <c r="E20" s="41">
        <f t="shared" ref="E20:E28" si="0">IF(A20="X",D20*C20,0)</f>
        <v>240</v>
      </c>
      <c r="F20" s="97" t="s">
        <v>25</v>
      </c>
      <c r="G20" s="107">
        <f t="shared" ref="G20:G28" si="1">E20*$F$19</f>
        <v>72</v>
      </c>
      <c r="H20" s="25" t="s">
        <v>25</v>
      </c>
      <c r="I20" s="15">
        <f t="shared" ref="I20:I28" si="2">E20*$H$19</f>
        <v>60</v>
      </c>
      <c r="J20" s="108"/>
      <c r="K20" s="109"/>
      <c r="L20" s="3">
        <f t="shared" ref="L20:L28" si="3">SUM(E20:K20)</f>
        <v>372</v>
      </c>
      <c r="M20" s="26" t="s">
        <v>25</v>
      </c>
      <c r="N20" s="15">
        <f t="shared" ref="N20:N28" si="4">L20*$M$19</f>
        <v>186</v>
      </c>
      <c r="O20" s="3">
        <f t="shared" ref="O20:O28" si="5">SUM(N20+L20)</f>
        <v>558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41">
        <f t="shared" si="0"/>
        <v>120</v>
      </c>
      <c r="F21" s="98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</row>
    <row r="22" spans="1:16" x14ac:dyDescent="0.2">
      <c r="A22" s="95" t="s">
        <v>68</v>
      </c>
      <c r="B22" s="151" t="s">
        <v>242</v>
      </c>
      <c r="C22" s="82">
        <v>18</v>
      </c>
      <c r="D22" s="69">
        <v>20</v>
      </c>
      <c r="E22" s="41">
        <f>IF(A22="X",D22*C22,0)</f>
        <v>360</v>
      </c>
      <c r="F22" s="98" t="s">
        <v>25</v>
      </c>
      <c r="G22" s="107">
        <f t="shared" si="1"/>
        <v>108</v>
      </c>
      <c r="H22" s="27" t="s">
        <v>25</v>
      </c>
      <c r="I22" s="15">
        <f t="shared" si="2"/>
        <v>90</v>
      </c>
      <c r="J22" s="110"/>
      <c r="K22" s="111"/>
      <c r="L22" s="3">
        <f t="shared" si="3"/>
        <v>558</v>
      </c>
      <c r="M22" s="26" t="s">
        <v>25</v>
      </c>
      <c r="N22" s="15">
        <f t="shared" si="4"/>
        <v>279</v>
      </c>
      <c r="O22" s="3">
        <f>SUM(N22+L22)</f>
        <v>837</v>
      </c>
      <c r="P22" s="80">
        <f t="shared" si="6"/>
        <v>837</v>
      </c>
    </row>
    <row r="23" spans="1:16" x14ac:dyDescent="0.2">
      <c r="A23" s="95" t="s">
        <v>68</v>
      </c>
      <c r="B23" s="151" t="s">
        <v>79</v>
      </c>
      <c r="C23" s="82">
        <v>8</v>
      </c>
      <c r="D23" s="69">
        <v>15</v>
      </c>
      <c r="E23" s="41">
        <f>IF(A23="X",D23*C23,0)</f>
        <v>120</v>
      </c>
      <c r="F23" s="98" t="s">
        <v>25</v>
      </c>
      <c r="G23" s="107">
        <f t="shared" si="1"/>
        <v>36</v>
      </c>
      <c r="H23" s="27" t="s">
        <v>25</v>
      </c>
      <c r="I23" s="15">
        <f t="shared" si="2"/>
        <v>30</v>
      </c>
      <c r="J23" s="110"/>
      <c r="K23" s="111"/>
      <c r="L23" s="3">
        <f t="shared" si="3"/>
        <v>186</v>
      </c>
      <c r="M23" s="26" t="s">
        <v>25</v>
      </c>
      <c r="N23" s="15">
        <f t="shared" si="4"/>
        <v>93</v>
      </c>
      <c r="O23" s="3">
        <f>SUM(N23+L23)</f>
        <v>279</v>
      </c>
      <c r="P23" s="80">
        <f t="shared" si="6"/>
        <v>279</v>
      </c>
    </row>
    <row r="24" spans="1:16" x14ac:dyDescent="0.2">
      <c r="A24" s="95" t="s">
        <v>68</v>
      </c>
      <c r="B24" s="151" t="s">
        <v>72</v>
      </c>
      <c r="C24" s="82">
        <v>6</v>
      </c>
      <c r="D24" s="159">
        <f>SUM(E16)</f>
        <v>16.100000000000001</v>
      </c>
      <c r="E24" s="41">
        <f>IF(A24="X",D24*C24,0)</f>
        <v>96.600000000000009</v>
      </c>
      <c r="F24" s="98" t="s">
        <v>25</v>
      </c>
      <c r="G24" s="107">
        <f t="shared" si="1"/>
        <v>28.98</v>
      </c>
      <c r="H24" s="27" t="s">
        <v>25</v>
      </c>
      <c r="I24" s="15">
        <f t="shared" si="2"/>
        <v>24.150000000000002</v>
      </c>
      <c r="J24" s="110"/>
      <c r="K24" s="111"/>
      <c r="L24" s="3">
        <f t="shared" si="3"/>
        <v>149.73000000000002</v>
      </c>
      <c r="M24" s="26" t="s">
        <v>25</v>
      </c>
      <c r="N24" s="15">
        <f t="shared" si="4"/>
        <v>74.865000000000009</v>
      </c>
      <c r="O24" s="3">
        <f>SUM(N24+L24)</f>
        <v>224.59500000000003</v>
      </c>
      <c r="P24" s="80">
        <f t="shared" si="6"/>
        <v>224.59500000000003</v>
      </c>
    </row>
    <row r="25" spans="1:16" x14ac:dyDescent="0.2">
      <c r="A25" s="33" t="s">
        <v>26</v>
      </c>
      <c r="B25" s="151" t="s">
        <v>154</v>
      </c>
      <c r="C25" s="82">
        <v>10</v>
      </c>
      <c r="D25" s="69">
        <f>SUM(E15)</f>
        <v>15</v>
      </c>
      <c r="E25" s="41">
        <f t="shared" si="0"/>
        <v>150</v>
      </c>
      <c r="F25" s="98" t="s">
        <v>25</v>
      </c>
      <c r="G25" s="107">
        <f t="shared" si="1"/>
        <v>45</v>
      </c>
      <c r="H25" s="27" t="s">
        <v>25</v>
      </c>
      <c r="I25" s="15">
        <f t="shared" si="2"/>
        <v>37.5</v>
      </c>
      <c r="J25" s="110"/>
      <c r="K25" s="111"/>
      <c r="L25" s="3">
        <f t="shared" si="3"/>
        <v>232.5</v>
      </c>
      <c r="M25" s="26" t="s">
        <v>25</v>
      </c>
      <c r="N25" s="15">
        <f t="shared" si="4"/>
        <v>116.25</v>
      </c>
      <c r="O25" s="3">
        <f t="shared" si="5"/>
        <v>348.75</v>
      </c>
      <c r="P25" s="80">
        <f t="shared" si="6"/>
        <v>348.75</v>
      </c>
    </row>
    <row r="26" spans="1:16" x14ac:dyDescent="0.2">
      <c r="A26" s="149" t="s">
        <v>68</v>
      </c>
      <c r="B26" s="151" t="s">
        <v>148</v>
      </c>
      <c r="C26" s="82">
        <v>16</v>
      </c>
      <c r="D26" s="159">
        <f>SUM(E16)</f>
        <v>16.100000000000001</v>
      </c>
      <c r="E26" s="41">
        <f t="shared" si="0"/>
        <v>257.60000000000002</v>
      </c>
      <c r="F26" s="98" t="s">
        <v>25</v>
      </c>
      <c r="G26" s="107">
        <f t="shared" si="1"/>
        <v>77.28</v>
      </c>
      <c r="H26" s="27" t="s">
        <v>25</v>
      </c>
      <c r="I26" s="15">
        <f t="shared" si="2"/>
        <v>64.400000000000006</v>
      </c>
      <c r="J26" s="110"/>
      <c r="K26" s="111"/>
      <c r="L26" s="3">
        <f t="shared" si="3"/>
        <v>399.28</v>
      </c>
      <c r="M26" s="26" t="s">
        <v>25</v>
      </c>
      <c r="N26" s="15">
        <f t="shared" si="4"/>
        <v>199.64</v>
      </c>
      <c r="O26" s="3">
        <f t="shared" si="5"/>
        <v>598.91999999999996</v>
      </c>
      <c r="P26" s="80">
        <f t="shared" si="6"/>
        <v>598.91999999999996</v>
      </c>
    </row>
    <row r="27" spans="1:16" x14ac:dyDescent="0.2">
      <c r="A27" s="149" t="s">
        <v>68</v>
      </c>
      <c r="B27" s="93" t="s">
        <v>81</v>
      </c>
      <c r="C27" s="82">
        <v>1</v>
      </c>
      <c r="D27" s="159">
        <f>SUM(E16)</f>
        <v>16.100000000000001</v>
      </c>
      <c r="E27" s="41">
        <f t="shared" si="0"/>
        <v>16.100000000000001</v>
      </c>
      <c r="F27" s="98" t="s">
        <v>25</v>
      </c>
      <c r="G27" s="107">
        <f t="shared" si="1"/>
        <v>4.83</v>
      </c>
      <c r="H27" s="27" t="s">
        <v>25</v>
      </c>
      <c r="I27" s="15">
        <f t="shared" si="2"/>
        <v>4.0250000000000004</v>
      </c>
      <c r="J27" s="110"/>
      <c r="K27" s="111"/>
      <c r="L27" s="3">
        <f t="shared" si="3"/>
        <v>24.954999999999998</v>
      </c>
      <c r="M27" s="26" t="s">
        <v>25</v>
      </c>
      <c r="N27" s="15">
        <f t="shared" si="4"/>
        <v>12.477499999999999</v>
      </c>
      <c r="O27" s="3">
        <f t="shared" si="5"/>
        <v>37.432499999999997</v>
      </c>
      <c r="P27" s="80">
        <f t="shared" si="6"/>
        <v>37.432499999999997</v>
      </c>
    </row>
    <row r="28" spans="1:16" x14ac:dyDescent="0.2">
      <c r="A28" s="149" t="s">
        <v>68</v>
      </c>
      <c r="B28" s="93" t="s">
        <v>149</v>
      </c>
      <c r="C28" s="64">
        <v>50</v>
      </c>
      <c r="D28" s="69">
        <v>16</v>
      </c>
      <c r="E28" s="41">
        <f t="shared" si="0"/>
        <v>800</v>
      </c>
      <c r="F28" s="112" t="s">
        <v>25</v>
      </c>
      <c r="G28" s="113">
        <f t="shared" si="1"/>
        <v>240</v>
      </c>
      <c r="H28" s="114" t="s">
        <v>25</v>
      </c>
      <c r="I28" s="119">
        <f t="shared" si="2"/>
        <v>200</v>
      </c>
      <c r="J28" s="115"/>
      <c r="K28" s="116"/>
      <c r="L28" s="117">
        <f t="shared" si="3"/>
        <v>1240</v>
      </c>
      <c r="M28" s="118" t="s">
        <v>25</v>
      </c>
      <c r="N28" s="119">
        <f t="shared" si="4"/>
        <v>620</v>
      </c>
      <c r="O28" s="117">
        <f t="shared" si="5"/>
        <v>1860</v>
      </c>
      <c r="P28" s="80">
        <f t="shared" si="6"/>
        <v>1860</v>
      </c>
    </row>
    <row r="29" spans="1:16" x14ac:dyDescent="0.2">
      <c r="A29" s="9"/>
      <c r="B29" s="24"/>
      <c r="C29" s="65">
        <f>SUM(C20:C28)</f>
        <v>133</v>
      </c>
      <c r="D29" s="60"/>
      <c r="E29" s="48">
        <f>SUM(E20:E28)</f>
        <v>2160.2999999999997</v>
      </c>
      <c r="F29" s="120" t="s">
        <v>25</v>
      </c>
      <c r="G29" s="59">
        <f>SUM(G20:G28)</f>
        <v>648.08999999999992</v>
      </c>
      <c r="H29" s="121" t="s">
        <v>25</v>
      </c>
      <c r="I29" s="57">
        <f>SUM(I20:I28)</f>
        <v>540.07499999999993</v>
      </c>
      <c r="J29" s="121"/>
      <c r="K29" s="59"/>
      <c r="L29" s="63">
        <f>SUM(L20:L28)</f>
        <v>3348.4650000000001</v>
      </c>
      <c r="M29" s="121" t="s">
        <v>25</v>
      </c>
      <c r="N29" s="57">
        <f>SUM(N20:N28)</f>
        <v>1674.2325000000001</v>
      </c>
      <c r="O29" s="58">
        <f>SUM(O20:O28)</f>
        <v>5022.6975000000002</v>
      </c>
      <c r="P29" s="122">
        <f>SUM(O29/1)</f>
        <v>5022.6975000000002</v>
      </c>
    </row>
    <row r="30" spans="1:16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26</v>
      </c>
      <c r="D32" s="45">
        <v>40</v>
      </c>
      <c r="E32" s="41">
        <f>IF(A32="X",D32*C32,0)</f>
        <v>1040</v>
      </c>
      <c r="F32" s="112" t="s">
        <v>25</v>
      </c>
      <c r="G32" s="113">
        <f>E32*$F$19</f>
        <v>312</v>
      </c>
      <c r="H32" s="27" t="s">
        <v>25</v>
      </c>
      <c r="I32" s="15">
        <f t="shared" ref="I32:I42" si="7">E32*$H$19</f>
        <v>260</v>
      </c>
      <c r="J32" s="110"/>
      <c r="K32" s="111"/>
      <c r="L32" s="3">
        <f t="shared" ref="L32:L42" si="8">SUM(E32:K32)</f>
        <v>1612</v>
      </c>
      <c r="M32" s="26" t="s">
        <v>25</v>
      </c>
      <c r="N32" s="15">
        <f t="shared" ref="N32:N42" si="9">L32*$M$19</f>
        <v>806</v>
      </c>
      <c r="O32" s="3">
        <f>SUM(N32+L32)</f>
        <v>2418</v>
      </c>
      <c r="P32" s="80">
        <f t="shared" ref="P32:P45" si="10">SUM(O32)</f>
        <v>2418</v>
      </c>
    </row>
    <row r="33" spans="1:16" x14ac:dyDescent="0.2">
      <c r="A33" s="150" t="str">
        <f>IF(A20="X",A20,"")</f>
        <v>x</v>
      </c>
      <c r="B33" s="151" t="s">
        <v>227</v>
      </c>
      <c r="C33" s="83">
        <v>16</v>
      </c>
      <c r="D33" s="45">
        <v>40</v>
      </c>
      <c r="E33" s="41">
        <f t="shared" ref="E33:E42" si="11">IF(A33="X",D33*C33,0)</f>
        <v>640</v>
      </c>
      <c r="F33" s="98" t="s">
        <v>25</v>
      </c>
      <c r="G33" s="107">
        <f t="shared" ref="G33:G42" si="12">E33*$F$19</f>
        <v>192</v>
      </c>
      <c r="H33" s="27" t="s">
        <v>25</v>
      </c>
      <c r="I33" s="15">
        <f t="shared" si="7"/>
        <v>160</v>
      </c>
      <c r="J33" s="110"/>
      <c r="K33" s="111"/>
      <c r="L33" s="3">
        <f t="shared" si="8"/>
        <v>992</v>
      </c>
      <c r="M33" s="26" t="s">
        <v>25</v>
      </c>
      <c r="N33" s="15">
        <f t="shared" si="9"/>
        <v>496</v>
      </c>
      <c r="O33" s="3">
        <f t="shared" ref="O33:O42" si="13">SUM(N33+L33)</f>
        <v>1488</v>
      </c>
      <c r="P33" s="80">
        <f t="shared" si="10"/>
        <v>1488</v>
      </c>
    </row>
    <row r="34" spans="1:16" x14ac:dyDescent="0.2">
      <c r="A34" s="150" t="str">
        <f>IF(A21="X",A21,"")</f>
        <v>X</v>
      </c>
      <c r="B34" s="93" t="s">
        <v>75</v>
      </c>
      <c r="C34" s="83">
        <v>2</v>
      </c>
      <c r="D34" s="45">
        <v>40</v>
      </c>
      <c r="E34" s="41">
        <f t="shared" si="11"/>
        <v>80</v>
      </c>
      <c r="F34" s="112" t="s">
        <v>25</v>
      </c>
      <c r="G34" s="113">
        <f t="shared" si="12"/>
        <v>24</v>
      </c>
      <c r="H34" s="27" t="s">
        <v>25</v>
      </c>
      <c r="I34" s="15">
        <f t="shared" si="7"/>
        <v>20</v>
      </c>
      <c r="J34" s="110"/>
      <c r="K34" s="111"/>
      <c r="L34" s="3">
        <f t="shared" si="8"/>
        <v>124</v>
      </c>
      <c r="M34" s="26" t="s">
        <v>25</v>
      </c>
      <c r="N34" s="15">
        <f t="shared" si="9"/>
        <v>62</v>
      </c>
      <c r="O34" s="3">
        <f t="shared" si="13"/>
        <v>186</v>
      </c>
      <c r="P34" s="80">
        <f t="shared" si="10"/>
        <v>186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41">
        <f>IF(A36="X",D36*C36,0)</f>
        <v>120</v>
      </c>
      <c r="F36" s="98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93</v>
      </c>
      <c r="O36" s="3">
        <f>SUM(N36+L36)</f>
        <v>279</v>
      </c>
      <c r="P36" s="80">
        <f t="shared" si="10"/>
        <v>279</v>
      </c>
    </row>
    <row r="37" spans="1:16" x14ac:dyDescent="0.2">
      <c r="A37" s="150" t="str">
        <f>IF(A23="X",A23,"")</f>
        <v>x</v>
      </c>
      <c r="B37" s="151" t="s">
        <v>124</v>
      </c>
      <c r="C37" s="83">
        <v>1</v>
      </c>
      <c r="D37" s="45">
        <v>40</v>
      </c>
      <c r="E37" s="41">
        <f>IF(A37="X",D37*C37,0)</f>
        <v>40</v>
      </c>
      <c r="F37" s="98" t="s">
        <v>25</v>
      </c>
      <c r="G37" s="107">
        <f t="shared" si="12"/>
        <v>12</v>
      </c>
      <c r="H37" s="27" t="s">
        <v>25</v>
      </c>
      <c r="I37" s="15">
        <f t="shared" si="7"/>
        <v>10</v>
      </c>
      <c r="J37" s="110"/>
      <c r="K37" s="111"/>
      <c r="L37" s="3">
        <f t="shared" si="8"/>
        <v>62</v>
      </c>
      <c r="M37" s="26" t="s">
        <v>25</v>
      </c>
      <c r="N37" s="15">
        <f t="shared" si="9"/>
        <v>31</v>
      </c>
      <c r="O37" s="3">
        <f>SUM(N37+L37)</f>
        <v>93</v>
      </c>
      <c r="P37" s="80">
        <f t="shared" si="10"/>
        <v>93</v>
      </c>
    </row>
    <row r="38" spans="1:16" x14ac:dyDescent="0.2">
      <c r="A38" s="150" t="str">
        <f>IF(A24="X",A24,"")</f>
        <v>x</v>
      </c>
      <c r="B38" s="151" t="s">
        <v>72</v>
      </c>
      <c r="C38" s="83">
        <v>8</v>
      </c>
      <c r="D38" s="45">
        <v>40</v>
      </c>
      <c r="E38" s="41">
        <f>IF(A38="X",D38*C38,0)</f>
        <v>320</v>
      </c>
      <c r="F38" s="98" t="s">
        <v>25</v>
      </c>
      <c r="G38" s="107">
        <f t="shared" si="12"/>
        <v>96</v>
      </c>
      <c r="H38" s="27" t="s">
        <v>25</v>
      </c>
      <c r="I38" s="15">
        <f t="shared" si="7"/>
        <v>80</v>
      </c>
      <c r="J38" s="110"/>
      <c r="K38" s="111"/>
      <c r="L38" s="3">
        <f t="shared" si="8"/>
        <v>496</v>
      </c>
      <c r="M38" s="26" t="s">
        <v>25</v>
      </c>
      <c r="N38" s="15">
        <f t="shared" si="9"/>
        <v>248</v>
      </c>
      <c r="O38" s="3">
        <f>SUM(N38+L38)</f>
        <v>744</v>
      </c>
      <c r="P38" s="80">
        <f t="shared" si="10"/>
        <v>744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12</v>
      </c>
      <c r="D40" s="45">
        <v>40</v>
      </c>
      <c r="E40" s="41">
        <f t="shared" si="11"/>
        <v>480</v>
      </c>
      <c r="F40" s="112" t="s">
        <v>25</v>
      </c>
      <c r="G40" s="113">
        <f t="shared" si="12"/>
        <v>144</v>
      </c>
      <c r="H40" s="27" t="s">
        <v>25</v>
      </c>
      <c r="I40" s="15">
        <f t="shared" si="7"/>
        <v>120</v>
      </c>
      <c r="J40" s="110"/>
      <c r="K40" s="111"/>
      <c r="L40" s="3">
        <f t="shared" si="8"/>
        <v>744</v>
      </c>
      <c r="M40" s="26" t="s">
        <v>25</v>
      </c>
      <c r="N40" s="15">
        <f t="shared" si="9"/>
        <v>372</v>
      </c>
      <c r="O40" s="3">
        <f t="shared" si="13"/>
        <v>1116</v>
      </c>
      <c r="P40" s="80">
        <f t="shared" si="10"/>
        <v>1116</v>
      </c>
    </row>
    <row r="41" spans="1:16" x14ac:dyDescent="0.2">
      <c r="A41" s="166" t="s">
        <v>68</v>
      </c>
      <c r="B41" s="93" t="s">
        <v>81</v>
      </c>
      <c r="C41" s="83">
        <v>4</v>
      </c>
      <c r="D41" s="45">
        <v>40</v>
      </c>
      <c r="E41" s="41">
        <f t="shared" si="11"/>
        <v>160</v>
      </c>
      <c r="F41" s="112" t="s">
        <v>25</v>
      </c>
      <c r="G41" s="113">
        <f t="shared" si="12"/>
        <v>48</v>
      </c>
      <c r="H41" s="27" t="s">
        <v>25</v>
      </c>
      <c r="I41" s="15">
        <f t="shared" si="7"/>
        <v>40</v>
      </c>
      <c r="J41" s="110"/>
      <c r="K41" s="111"/>
      <c r="L41" s="3">
        <f t="shared" si="8"/>
        <v>248</v>
      </c>
      <c r="M41" s="26" t="s">
        <v>25</v>
      </c>
      <c r="N41" s="15">
        <f t="shared" si="9"/>
        <v>124</v>
      </c>
      <c r="O41" s="3">
        <f t="shared" si="13"/>
        <v>372</v>
      </c>
      <c r="P41" s="80">
        <f t="shared" si="10"/>
        <v>372</v>
      </c>
    </row>
    <row r="42" spans="1:16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72</v>
      </c>
      <c r="D43" s="60"/>
      <c r="E43" s="60">
        <f>SUM(E32:E42)</f>
        <v>2880</v>
      </c>
      <c r="F43" s="123" t="s">
        <v>25</v>
      </c>
      <c r="G43" s="61">
        <f>SUM(G32:G42)</f>
        <v>864</v>
      </c>
      <c r="H43" s="124" t="s">
        <v>25</v>
      </c>
      <c r="I43" s="62">
        <f>SUM(I32:I42)</f>
        <v>720</v>
      </c>
      <c r="J43" s="124"/>
      <c r="K43" s="61"/>
      <c r="L43" s="63">
        <f>SUM(L32:L42)</f>
        <v>4464</v>
      </c>
      <c r="M43" s="124" t="s">
        <v>25</v>
      </c>
      <c r="N43" s="62">
        <f>SUM(N32:N42)</f>
        <v>2232</v>
      </c>
      <c r="O43" s="63">
        <f>SUM(O32:O42)</f>
        <v>6696</v>
      </c>
      <c r="P43" s="80">
        <f t="shared" si="10"/>
        <v>6696</v>
      </c>
    </row>
    <row r="44" spans="1:16" ht="13.5" thickBot="1" x14ac:dyDescent="0.25">
      <c r="A44" s="9"/>
      <c r="B44" s="49" t="s">
        <v>73</v>
      </c>
      <c r="C44" s="161">
        <f>SUM(C29+C43)</f>
        <v>205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5040.2999999999993</v>
      </c>
      <c r="F45" s="328">
        <f>G43+G29</f>
        <v>1512.09</v>
      </c>
      <c r="G45" s="329"/>
      <c r="H45" s="328">
        <f>I43+I29</f>
        <v>1260.0749999999998</v>
      </c>
      <c r="I45" s="329"/>
      <c r="J45" s="328"/>
      <c r="K45" s="329"/>
      <c r="L45" s="31">
        <f>L43+L29</f>
        <v>7812.4650000000001</v>
      </c>
      <c r="M45" s="330">
        <f>N43+N29</f>
        <v>3906.2325000000001</v>
      </c>
      <c r="N45" s="331"/>
      <c r="O45" s="31">
        <f>O43+O29</f>
        <v>11718.6975</v>
      </c>
      <c r="P45" s="80">
        <f t="shared" si="10"/>
        <v>11718.6975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v>0.6</v>
      </c>
      <c r="N48" s="56"/>
      <c r="O48" s="56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0.25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/>
      <c r="B50" s="93" t="s">
        <v>187</v>
      </c>
      <c r="C50" s="85">
        <v>0</v>
      </c>
      <c r="D50" s="94" t="s">
        <v>18</v>
      </c>
      <c r="E50" s="51">
        <v>105</v>
      </c>
      <c r="F50" s="334">
        <f t="shared" ref="F50:F60" si="14">IF(A50="x",SUM(C50*E50),0)</f>
        <v>0</v>
      </c>
      <c r="G50" s="335"/>
      <c r="H50" s="334">
        <f t="shared" ref="H50:H60" si="15">F50*$H$49</f>
        <v>0</v>
      </c>
      <c r="I50" s="335"/>
      <c r="J50" s="25" t="s">
        <v>25</v>
      </c>
      <c r="K50" s="15">
        <f>F50*$J$49</f>
        <v>0</v>
      </c>
      <c r="L50" s="3">
        <f t="shared" ref="L50:L63" si="16">SUM(F50:K50)</f>
        <v>0</v>
      </c>
      <c r="M50" s="26" t="s">
        <v>25</v>
      </c>
      <c r="N50" s="15">
        <f>L50*$M$48</f>
        <v>0</v>
      </c>
      <c r="O50" s="3">
        <f t="shared" ref="O50:O60" si="17">SUM(N50+L50)</f>
        <v>0</v>
      </c>
      <c r="P50" s="80">
        <f t="shared" ref="P50:P64" si="18">SUM(O50)</f>
        <v>0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500</v>
      </c>
      <c r="F51" s="336">
        <f>IF(A51="x",SUM(C51*E51),0)</f>
        <v>500</v>
      </c>
      <c r="G51" s="337"/>
      <c r="H51" s="336">
        <f>F51*$H$49</f>
        <v>46.25</v>
      </c>
      <c r="I51" s="337"/>
      <c r="J51" s="27" t="s">
        <v>25</v>
      </c>
      <c r="K51" s="15">
        <f t="shared" ref="K51:K63" si="19">F51*$J$49</f>
        <v>125</v>
      </c>
      <c r="L51" s="3">
        <f t="shared" si="16"/>
        <v>671.25</v>
      </c>
      <c r="M51" s="26" t="s">
        <v>25</v>
      </c>
      <c r="N51" s="15">
        <f t="shared" ref="N51:N63" si="20">L51*$M$49</f>
        <v>167.8125</v>
      </c>
      <c r="O51" s="3">
        <f>SUM(N51+L51)</f>
        <v>839.0625</v>
      </c>
      <c r="P51" s="80">
        <f t="shared" si="18"/>
        <v>839.0625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83.90625</v>
      </c>
      <c r="O52" s="3">
        <f>SUM(N52+L52)</f>
        <v>419.53125</v>
      </c>
      <c r="P52" s="80">
        <f t="shared" si="18"/>
        <v>419.53125</v>
      </c>
    </row>
    <row r="53" spans="1:16" x14ac:dyDescent="0.2">
      <c r="A53" s="95" t="s">
        <v>68</v>
      </c>
      <c r="B53" s="93" t="s">
        <v>151</v>
      </c>
      <c r="C53" s="85">
        <v>1400</v>
      </c>
      <c r="D53" s="94" t="s">
        <v>17</v>
      </c>
      <c r="E53" s="28">
        <v>0.3</v>
      </c>
      <c r="F53" s="336">
        <f t="shared" si="14"/>
        <v>420</v>
      </c>
      <c r="G53" s="337"/>
      <c r="H53" s="336">
        <f t="shared" si="15"/>
        <v>38.85</v>
      </c>
      <c r="I53" s="337"/>
      <c r="J53" s="27" t="s">
        <v>25</v>
      </c>
      <c r="K53" s="15">
        <f t="shared" si="19"/>
        <v>105</v>
      </c>
      <c r="L53" s="3">
        <f t="shared" si="16"/>
        <v>563.85</v>
      </c>
      <c r="M53" s="26" t="s">
        <v>25</v>
      </c>
      <c r="N53" s="15">
        <f t="shared" si="20"/>
        <v>140.96250000000001</v>
      </c>
      <c r="O53" s="3">
        <f t="shared" si="17"/>
        <v>704.8125</v>
      </c>
      <c r="P53" s="80">
        <f t="shared" si="18"/>
        <v>704.8125</v>
      </c>
    </row>
    <row r="54" spans="1:16" x14ac:dyDescent="0.2">
      <c r="A54" s="95" t="s">
        <v>68</v>
      </c>
      <c r="B54" s="93" t="s">
        <v>97</v>
      </c>
      <c r="C54" s="85">
        <v>12</v>
      </c>
      <c r="D54" s="94" t="s">
        <v>18</v>
      </c>
      <c r="E54" s="28">
        <v>105</v>
      </c>
      <c r="F54" s="336">
        <f t="shared" si="14"/>
        <v>1260</v>
      </c>
      <c r="G54" s="337"/>
      <c r="H54" s="336">
        <f t="shared" si="15"/>
        <v>116.55</v>
      </c>
      <c r="I54" s="337"/>
      <c r="J54" s="27" t="s">
        <v>25</v>
      </c>
      <c r="K54" s="15">
        <f t="shared" si="19"/>
        <v>315</v>
      </c>
      <c r="L54" s="3">
        <f t="shared" si="16"/>
        <v>1691.55</v>
      </c>
      <c r="M54" s="26" t="s">
        <v>25</v>
      </c>
      <c r="N54" s="15">
        <f t="shared" si="20"/>
        <v>422.88749999999999</v>
      </c>
      <c r="O54" s="3">
        <f t="shared" si="17"/>
        <v>2114.4375</v>
      </c>
      <c r="P54" s="80">
        <f t="shared" si="18"/>
        <v>2114.4375</v>
      </c>
    </row>
    <row r="55" spans="1:16" x14ac:dyDescent="0.2">
      <c r="A55" s="95" t="s">
        <v>68</v>
      </c>
      <c r="B55" s="93" t="s">
        <v>98</v>
      </c>
      <c r="C55" s="85">
        <f>SUM(C50,C54,C62)*10</f>
        <v>459.97811401481476</v>
      </c>
      <c r="D55" s="94" t="s">
        <v>115</v>
      </c>
      <c r="E55" s="28">
        <v>2</v>
      </c>
      <c r="F55" s="336">
        <f>IF(A55="x",SUM(C55*E55),0)</f>
        <v>919.95622802962953</v>
      </c>
      <c r="G55" s="337"/>
      <c r="H55" s="336">
        <f>F55*$H$49</f>
        <v>85.095951092740734</v>
      </c>
      <c r="I55" s="337"/>
      <c r="J55" s="27" t="s">
        <v>25</v>
      </c>
      <c r="K55" s="15">
        <f t="shared" si="19"/>
        <v>229.98905700740738</v>
      </c>
      <c r="L55" s="3">
        <f t="shared" si="16"/>
        <v>1235.0412361297776</v>
      </c>
      <c r="M55" s="26" t="s">
        <v>25</v>
      </c>
      <c r="N55" s="15">
        <f t="shared" si="20"/>
        <v>308.76030903244441</v>
      </c>
      <c r="O55" s="3">
        <f>SUM(N55+L55)</f>
        <v>1543.8015451622221</v>
      </c>
      <c r="P55" s="80">
        <f t="shared" si="18"/>
        <v>1543.8015451622221</v>
      </c>
    </row>
    <row r="56" spans="1:16" x14ac:dyDescent="0.2">
      <c r="A56" s="95"/>
      <c r="B56" s="93" t="s">
        <v>168</v>
      </c>
      <c r="C56" s="85">
        <v>1904</v>
      </c>
      <c r="D56" s="94" t="s">
        <v>115</v>
      </c>
      <c r="E56" s="28">
        <v>0.75</v>
      </c>
      <c r="F56" s="336">
        <f t="shared" si="14"/>
        <v>0</v>
      </c>
      <c r="G56" s="337"/>
      <c r="H56" s="336">
        <f t="shared" si="15"/>
        <v>0</v>
      </c>
      <c r="I56" s="337"/>
      <c r="J56" s="27" t="s">
        <v>25</v>
      </c>
      <c r="K56" s="15">
        <f t="shared" si="19"/>
        <v>0</v>
      </c>
      <c r="L56" s="3">
        <f t="shared" si="16"/>
        <v>0</v>
      </c>
      <c r="M56" s="26" t="s">
        <v>25</v>
      </c>
      <c r="N56" s="15">
        <f t="shared" si="20"/>
        <v>0</v>
      </c>
      <c r="O56" s="3">
        <f t="shared" si="17"/>
        <v>0</v>
      </c>
      <c r="P56" s="80">
        <f t="shared" si="18"/>
        <v>0</v>
      </c>
    </row>
    <row r="57" spans="1:16" x14ac:dyDescent="0.2">
      <c r="A57" s="95" t="s">
        <v>68</v>
      </c>
      <c r="B57" s="93" t="s">
        <v>27</v>
      </c>
      <c r="C57" s="85">
        <v>3</v>
      </c>
      <c r="D57" s="94" t="s">
        <v>16</v>
      </c>
      <c r="E57" s="28">
        <v>30</v>
      </c>
      <c r="F57" s="336">
        <f>IF(A57="x",SUM(C57*E57),0)</f>
        <v>90</v>
      </c>
      <c r="G57" s="337"/>
      <c r="H57" s="336">
        <f>F57*$H$49</f>
        <v>8.3249999999999993</v>
      </c>
      <c r="I57" s="337"/>
      <c r="J57" s="27" t="s">
        <v>25</v>
      </c>
      <c r="K57" s="15">
        <f>F57*$J$49</f>
        <v>22.5</v>
      </c>
      <c r="L57" s="3">
        <f t="shared" si="16"/>
        <v>120.825</v>
      </c>
      <c r="M57" s="26" t="s">
        <v>25</v>
      </c>
      <c r="N57" s="15">
        <f>L57*$M$49</f>
        <v>30.206250000000001</v>
      </c>
      <c r="O57" s="3">
        <f>SUM(N57+L57)</f>
        <v>151.03125</v>
      </c>
      <c r="P57" s="80">
        <f t="shared" si="18"/>
        <v>151.03125</v>
      </c>
    </row>
    <row r="58" spans="1:16" x14ac:dyDescent="0.2">
      <c r="A58" s="95" t="s">
        <v>68</v>
      </c>
      <c r="B58" s="93" t="s">
        <v>83</v>
      </c>
      <c r="C58" s="85">
        <v>2</v>
      </c>
      <c r="D58" s="94" t="s">
        <v>16</v>
      </c>
      <c r="E58" s="50">
        <v>30</v>
      </c>
      <c r="F58" s="336">
        <f t="shared" si="14"/>
        <v>60</v>
      </c>
      <c r="G58" s="337"/>
      <c r="H58" s="338">
        <f t="shared" si="15"/>
        <v>5.55</v>
      </c>
      <c r="I58" s="337"/>
      <c r="J58" s="27" t="s">
        <v>25</v>
      </c>
      <c r="K58" s="15">
        <f t="shared" si="19"/>
        <v>15</v>
      </c>
      <c r="L58" s="3">
        <f t="shared" si="16"/>
        <v>80.55</v>
      </c>
      <c r="M58" s="26" t="s">
        <v>25</v>
      </c>
      <c r="N58" s="15">
        <f>L58*$M$48</f>
        <v>48.33</v>
      </c>
      <c r="O58" s="3">
        <f t="shared" si="17"/>
        <v>128.88</v>
      </c>
      <c r="P58" s="80">
        <f t="shared" si="18"/>
        <v>128.88</v>
      </c>
    </row>
    <row r="59" spans="1:16" x14ac:dyDescent="0.2">
      <c r="A59" s="95" t="s">
        <v>68</v>
      </c>
      <c r="B59" s="93" t="s">
        <v>94</v>
      </c>
      <c r="C59" s="40">
        <v>300</v>
      </c>
      <c r="D59" s="94" t="s">
        <v>16</v>
      </c>
      <c r="E59" s="23">
        <v>1</v>
      </c>
      <c r="F59" s="336">
        <f t="shared" si="14"/>
        <v>300</v>
      </c>
      <c r="G59" s="337"/>
      <c r="H59" s="338">
        <f t="shared" si="15"/>
        <v>27.75</v>
      </c>
      <c r="I59" s="337"/>
      <c r="J59" s="27" t="s">
        <v>25</v>
      </c>
      <c r="K59" s="15">
        <f t="shared" si="19"/>
        <v>75</v>
      </c>
      <c r="L59" s="3">
        <f t="shared" si="16"/>
        <v>402.75</v>
      </c>
      <c r="M59" s="26" t="s">
        <v>25</v>
      </c>
      <c r="N59" s="15">
        <f t="shared" si="20"/>
        <v>100.6875</v>
      </c>
      <c r="O59" s="3">
        <f t="shared" si="17"/>
        <v>503.4375</v>
      </c>
      <c r="P59" s="80">
        <f t="shared" si="18"/>
        <v>503.4375</v>
      </c>
    </row>
    <row r="60" spans="1:16" x14ac:dyDescent="0.2">
      <c r="A60" s="33" t="s">
        <v>68</v>
      </c>
      <c r="B60" s="93" t="s">
        <v>169</v>
      </c>
      <c r="C60" s="85">
        <f>SUM('Concrete 16x32'!J84*2)</f>
        <v>1792</v>
      </c>
      <c r="D60" s="94" t="s">
        <v>12</v>
      </c>
      <c r="E60" s="28">
        <v>3</v>
      </c>
      <c r="F60" s="336">
        <f t="shared" si="14"/>
        <v>5376</v>
      </c>
      <c r="G60" s="337"/>
      <c r="H60" s="338">
        <f t="shared" si="15"/>
        <v>497.28</v>
      </c>
      <c r="I60" s="337"/>
      <c r="J60" s="27" t="s">
        <v>25</v>
      </c>
      <c r="K60" s="15">
        <f t="shared" si="19"/>
        <v>1344</v>
      </c>
      <c r="L60" s="3">
        <f t="shared" si="16"/>
        <v>7217.28</v>
      </c>
      <c r="M60" s="26" t="s">
        <v>25</v>
      </c>
      <c r="N60" s="15">
        <f t="shared" si="20"/>
        <v>1804.32</v>
      </c>
      <c r="O60" s="3">
        <f t="shared" si="17"/>
        <v>9021.6</v>
      </c>
      <c r="P60" s="80">
        <f t="shared" si="18"/>
        <v>9021.6</v>
      </c>
    </row>
    <row r="61" spans="1:16" x14ac:dyDescent="0.2">
      <c r="A61" s="33"/>
      <c r="B61" s="13" t="s">
        <v>170</v>
      </c>
      <c r="C61" s="85">
        <v>560</v>
      </c>
      <c r="D61" s="10" t="s">
        <v>12</v>
      </c>
      <c r="E61" s="28">
        <v>2</v>
      </c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x14ac:dyDescent="0.2">
      <c r="A62" s="33" t="s">
        <v>68</v>
      </c>
      <c r="B62" s="93" t="s">
        <v>188</v>
      </c>
      <c r="C62" s="85">
        <f>SUM('Concrete 16x32'!F4:F6)</f>
        <v>33.997811401481478</v>
      </c>
      <c r="D62" s="10" t="s">
        <v>18</v>
      </c>
      <c r="E62" s="28">
        <v>105</v>
      </c>
      <c r="F62" s="336">
        <f>IF(A62="x",SUM(C62*E62),0)</f>
        <v>3569.7701971555553</v>
      </c>
      <c r="G62" s="337"/>
      <c r="H62" s="338">
        <f>F62*$H$49</f>
        <v>330.20374323688884</v>
      </c>
      <c r="I62" s="337"/>
      <c r="J62" s="27" t="s">
        <v>25</v>
      </c>
      <c r="K62" s="15">
        <f t="shared" si="19"/>
        <v>892.44254928888881</v>
      </c>
      <c r="L62" s="3">
        <f t="shared" si="16"/>
        <v>4792.4164896813327</v>
      </c>
      <c r="M62" s="26" t="s">
        <v>25</v>
      </c>
      <c r="N62" s="15">
        <f t="shared" si="20"/>
        <v>1198.1041224203332</v>
      </c>
      <c r="O62" s="3">
        <f>SUM(N62+L62)</f>
        <v>5990.5206121016654</v>
      </c>
      <c r="P62" s="80">
        <f t="shared" si="18"/>
        <v>5990.5206121016654</v>
      </c>
    </row>
    <row r="63" spans="1:16" ht="13.5" thickBot="1" x14ac:dyDescent="0.25">
      <c r="A63" s="33"/>
      <c r="B63" s="13"/>
      <c r="C63" s="85"/>
      <c r="D63" s="10"/>
      <c r="E63" s="28"/>
      <c r="F63" s="336">
        <f>IF(A63="x",SUM(C63*E63),0)</f>
        <v>0</v>
      </c>
      <c r="G63" s="337"/>
      <c r="H63" s="338">
        <f>F63*$H$49</f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>SUM(N63+L63)</f>
        <v>0</v>
      </c>
      <c r="P63" s="80">
        <f t="shared" si="18"/>
        <v>0</v>
      </c>
    </row>
    <row r="64" spans="1:16" ht="16.5" thickBot="1" x14ac:dyDescent="0.3">
      <c r="A64" s="9"/>
      <c r="B64" s="13"/>
      <c r="C64" s="326" t="s">
        <v>4</v>
      </c>
      <c r="D64" s="339"/>
      <c r="E64" s="34"/>
      <c r="F64" s="340">
        <f>SUM(F50:G63)</f>
        <v>12745.726425185185</v>
      </c>
      <c r="G64" s="329"/>
      <c r="H64" s="328">
        <f>SUM(H50:I63)</f>
        <v>1178.9796943296296</v>
      </c>
      <c r="I64" s="329"/>
      <c r="J64" s="328">
        <f>SUM(K50:K63)</f>
        <v>3186.4316062962962</v>
      </c>
      <c r="K64" s="329"/>
      <c r="L64" s="31">
        <f>SUM(L50:L63)</f>
        <v>17111.13772581111</v>
      </c>
      <c r="M64" s="341">
        <f>SUM(N50:N63)</f>
        <v>4305.9769314527766</v>
      </c>
      <c r="N64" s="342"/>
      <c r="O64" s="31">
        <f>SUM(O50:O63)</f>
        <v>21417.11465726389</v>
      </c>
      <c r="P64" s="80">
        <f t="shared" si="18"/>
        <v>21417.11465726389</v>
      </c>
    </row>
    <row r="65" spans="1:16" x14ac:dyDescent="0.2">
      <c r="A65" s="9"/>
      <c r="B65" s="1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4"/>
    </row>
    <row r="66" spans="1:16" ht="18" x14ac:dyDescent="0.25">
      <c r="A66" s="9"/>
      <c r="B66" s="16" t="s">
        <v>36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86"/>
    </row>
    <row r="67" spans="1:16" ht="18" x14ac:dyDescent="0.25">
      <c r="A67" s="9"/>
      <c r="B67" s="16"/>
      <c r="C67" s="17" t="s">
        <v>8</v>
      </c>
      <c r="D67" s="17" t="s">
        <v>9</v>
      </c>
      <c r="E67" s="17" t="s">
        <v>10</v>
      </c>
      <c r="F67" s="333" t="s">
        <v>36</v>
      </c>
      <c r="G67" s="333"/>
      <c r="H67" s="162">
        <f>H49</f>
        <v>9.2499999999999999E-2</v>
      </c>
      <c r="I67" s="19" t="s">
        <v>19</v>
      </c>
      <c r="J67" s="21">
        <f>H13</f>
        <v>0.25</v>
      </c>
      <c r="K67" s="19" t="s">
        <v>23</v>
      </c>
      <c r="L67" s="18" t="s">
        <v>4</v>
      </c>
      <c r="M67" s="90">
        <f>$H$7</f>
        <v>0.5</v>
      </c>
      <c r="N67" s="22" t="s">
        <v>24</v>
      </c>
      <c r="O67" s="18" t="s">
        <v>5</v>
      </c>
      <c r="P67" s="84" t="s">
        <v>21</v>
      </c>
    </row>
    <row r="68" spans="1:16" x14ac:dyDescent="0.2">
      <c r="A68" s="152" t="s">
        <v>68</v>
      </c>
      <c r="B68" s="93" t="s">
        <v>82</v>
      </c>
      <c r="C68" s="85">
        <v>144</v>
      </c>
      <c r="D68" s="94" t="s">
        <v>12</v>
      </c>
      <c r="E68" s="51">
        <v>1</v>
      </c>
      <c r="F68" s="334">
        <f t="shared" ref="F68:F74" si="21">IF(A68="x",SUM(C68*E68),0)</f>
        <v>144</v>
      </c>
      <c r="G68" s="335"/>
      <c r="H68" s="334">
        <f t="shared" ref="H68:H74" si="22">F68*$H$49</f>
        <v>13.32</v>
      </c>
      <c r="I68" s="335"/>
      <c r="J68" s="25" t="s">
        <v>25</v>
      </c>
      <c r="K68" s="15">
        <f>F68*$J$67</f>
        <v>36</v>
      </c>
      <c r="L68" s="3">
        <f t="shared" ref="L68:L74" si="23">SUM(F68:K68)</f>
        <v>193.32</v>
      </c>
      <c r="M68" s="26" t="s">
        <v>25</v>
      </c>
      <c r="N68" s="15">
        <f t="shared" ref="N68:N74" si="24">L68*$M$67</f>
        <v>96.66</v>
      </c>
      <c r="O68" s="3">
        <f t="shared" ref="O68:O74" si="25">SUM(N68+L68)</f>
        <v>289.98</v>
      </c>
      <c r="P68" s="80">
        <f t="shared" ref="P68:P76" si="26">SUM(O68)</f>
        <v>289.98</v>
      </c>
    </row>
    <row r="69" spans="1:16" x14ac:dyDescent="0.2">
      <c r="A69" s="152"/>
      <c r="B69" s="24"/>
      <c r="C69" s="85">
        <v>0</v>
      </c>
      <c r="D69" s="44" t="s">
        <v>17</v>
      </c>
      <c r="E69" s="28">
        <v>0.25</v>
      </c>
      <c r="F69" s="336">
        <f t="shared" si="21"/>
        <v>0</v>
      </c>
      <c r="G69" s="337"/>
      <c r="H69" s="336">
        <f t="shared" si="22"/>
        <v>0</v>
      </c>
      <c r="I69" s="337"/>
      <c r="J69" s="27" t="s">
        <v>25</v>
      </c>
      <c r="K69" s="15">
        <f t="shared" ref="K69:K74" si="27">F69*$J$67</f>
        <v>0</v>
      </c>
      <c r="L69" s="3">
        <f t="shared" si="23"/>
        <v>0</v>
      </c>
      <c r="M69" s="26" t="s">
        <v>25</v>
      </c>
      <c r="N69" s="15">
        <f t="shared" si="24"/>
        <v>0</v>
      </c>
      <c r="O69" s="3">
        <f t="shared" si="25"/>
        <v>0</v>
      </c>
      <c r="P69" s="80">
        <f t="shared" si="26"/>
        <v>0</v>
      </c>
    </row>
    <row r="70" spans="1:16" x14ac:dyDescent="0.2">
      <c r="A70" s="46" t="s">
        <v>26</v>
      </c>
      <c r="B70" s="24" t="s">
        <v>37</v>
      </c>
      <c r="C70" s="85">
        <f>$C$43+$C$29</f>
        <v>205</v>
      </c>
      <c r="D70" s="94" t="s">
        <v>53</v>
      </c>
      <c r="E70" s="28">
        <v>0.15</v>
      </c>
      <c r="F70" s="336">
        <f t="shared" si="21"/>
        <v>30.75</v>
      </c>
      <c r="G70" s="337"/>
      <c r="H70" s="336">
        <f t="shared" si="22"/>
        <v>2.8443749999999999</v>
      </c>
      <c r="I70" s="337"/>
      <c r="J70" s="27" t="s">
        <v>25</v>
      </c>
      <c r="K70" s="15">
        <f t="shared" si="27"/>
        <v>7.6875</v>
      </c>
      <c r="L70" s="3">
        <f t="shared" si="23"/>
        <v>41.281874999999999</v>
      </c>
      <c r="M70" s="26" t="s">
        <v>25</v>
      </c>
      <c r="N70" s="15">
        <f t="shared" si="24"/>
        <v>20.6409375</v>
      </c>
      <c r="O70" s="3">
        <f t="shared" si="25"/>
        <v>61.922812499999999</v>
      </c>
      <c r="P70" s="80">
        <f t="shared" si="26"/>
        <v>61.922812499999999</v>
      </c>
    </row>
    <row r="71" spans="1:16" x14ac:dyDescent="0.2">
      <c r="A71" s="95" t="s">
        <v>26</v>
      </c>
      <c r="B71" s="93" t="s">
        <v>125</v>
      </c>
      <c r="C71" s="85">
        <f>$C$43+$C$29</f>
        <v>205</v>
      </c>
      <c r="D71" s="94" t="s">
        <v>53</v>
      </c>
      <c r="E71" s="28">
        <v>0.25</v>
      </c>
      <c r="F71" s="336">
        <f>IF(A71="x",SUM(C71*E71),0)</f>
        <v>51.25</v>
      </c>
      <c r="G71" s="337"/>
      <c r="H71" s="336">
        <f t="shared" si="22"/>
        <v>4.7406249999999996</v>
      </c>
      <c r="I71" s="337"/>
      <c r="J71" s="27" t="s">
        <v>25</v>
      </c>
      <c r="K71" s="15">
        <f t="shared" si="27"/>
        <v>12.8125</v>
      </c>
      <c r="L71" s="3">
        <f t="shared" si="23"/>
        <v>68.803124999999994</v>
      </c>
      <c r="M71" s="26" t="s">
        <v>25</v>
      </c>
      <c r="N71" s="15">
        <f t="shared" si="24"/>
        <v>34.401562499999997</v>
      </c>
      <c r="O71" s="3">
        <f t="shared" si="25"/>
        <v>103.20468749999999</v>
      </c>
      <c r="P71" s="80">
        <f t="shared" si="26"/>
        <v>103.20468749999999</v>
      </c>
    </row>
    <row r="72" spans="1:16" x14ac:dyDescent="0.2">
      <c r="A72" s="95" t="s">
        <v>26</v>
      </c>
      <c r="B72" s="93" t="s">
        <v>22</v>
      </c>
      <c r="C72" s="85">
        <f>$C$43+$C$29</f>
        <v>205</v>
      </c>
      <c r="D72" s="94" t="s">
        <v>53</v>
      </c>
      <c r="E72" s="28">
        <v>0.5</v>
      </c>
      <c r="F72" s="336">
        <f t="shared" si="21"/>
        <v>102.5</v>
      </c>
      <c r="G72" s="337"/>
      <c r="H72" s="336">
        <f t="shared" si="22"/>
        <v>9.4812499999999993</v>
      </c>
      <c r="I72" s="337"/>
      <c r="J72" s="27" t="s">
        <v>25</v>
      </c>
      <c r="K72" s="15">
        <f t="shared" si="27"/>
        <v>25.625</v>
      </c>
      <c r="L72" s="3">
        <f t="shared" si="23"/>
        <v>137.60624999999999</v>
      </c>
      <c r="M72" s="26" t="s">
        <v>25</v>
      </c>
      <c r="N72" s="15">
        <f t="shared" si="24"/>
        <v>68.803124999999994</v>
      </c>
      <c r="O72" s="3">
        <f t="shared" si="25"/>
        <v>206.40937499999998</v>
      </c>
      <c r="P72" s="80">
        <f t="shared" si="26"/>
        <v>206.40937499999998</v>
      </c>
    </row>
    <row r="73" spans="1:16" x14ac:dyDescent="0.2">
      <c r="A73" s="95"/>
      <c r="B73" s="93"/>
      <c r="C73" s="85"/>
      <c r="D73" s="94" t="s">
        <v>11</v>
      </c>
      <c r="E73" s="28"/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si="27"/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6" x14ac:dyDescent="0.2">
      <c r="A74" s="46"/>
      <c r="B74" s="24"/>
      <c r="C74" s="85"/>
      <c r="D74" s="44"/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ht="16.5" thickBot="1" x14ac:dyDescent="0.3">
      <c r="A75" s="9"/>
      <c r="B75" s="29"/>
      <c r="C75" s="87"/>
      <c r="D75" s="11"/>
      <c r="E75" s="30"/>
      <c r="F75" s="353"/>
      <c r="G75" s="354"/>
      <c r="H75" s="358"/>
      <c r="I75" s="359"/>
      <c r="J75" s="6"/>
      <c r="K75" s="4"/>
      <c r="L75" s="5"/>
      <c r="M75" s="2"/>
      <c r="N75" s="8"/>
      <c r="O75" s="1"/>
      <c r="P75" s="80">
        <f t="shared" si="26"/>
        <v>0</v>
      </c>
    </row>
    <row r="76" spans="1:16" ht="16.5" thickBot="1" x14ac:dyDescent="0.3">
      <c r="A76" s="9"/>
      <c r="B76" s="13"/>
      <c r="C76" s="326" t="s">
        <v>4</v>
      </c>
      <c r="D76" s="339"/>
      <c r="E76" s="34"/>
      <c r="F76" s="340">
        <f>SUM(F68:G74)</f>
        <v>328.5</v>
      </c>
      <c r="G76" s="329"/>
      <c r="H76" s="328">
        <f>SUM(H68:I75)</f>
        <v>30.38625</v>
      </c>
      <c r="I76" s="329"/>
      <c r="J76" s="328">
        <f>SUM(K68:K75)</f>
        <v>82.125</v>
      </c>
      <c r="K76" s="329"/>
      <c r="L76" s="31">
        <f>SUM(L68:L75)</f>
        <v>441.01124999999996</v>
      </c>
      <c r="M76" s="341">
        <f>SUM(N68:N75)</f>
        <v>220.50562499999998</v>
      </c>
      <c r="N76" s="342"/>
      <c r="O76" s="31">
        <f>SUM(O68:O75)</f>
        <v>661.51687500000003</v>
      </c>
      <c r="P76" s="80">
        <f t="shared" si="26"/>
        <v>661.51687500000003</v>
      </c>
    </row>
    <row r="77" spans="1:16" ht="15.75" x14ac:dyDescent="0.25">
      <c r="A77" s="9"/>
      <c r="B77" s="13"/>
      <c r="C77" s="10"/>
      <c r="D77" s="10"/>
      <c r="E77" s="10"/>
      <c r="F77" s="126"/>
      <c r="G77" s="126"/>
      <c r="H77" s="126"/>
      <c r="I77" s="126"/>
      <c r="J77" s="126"/>
      <c r="K77" s="126"/>
      <c r="L77" s="127"/>
      <c r="M77" s="128"/>
      <c r="N77" s="128"/>
      <c r="O77" s="127"/>
      <c r="P77" s="129"/>
    </row>
    <row r="78" spans="1:16" ht="18" x14ac:dyDescent="0.25">
      <c r="A78" s="9"/>
      <c r="B78" s="16" t="s">
        <v>13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88"/>
    </row>
    <row r="79" spans="1:16" ht="14.25" x14ac:dyDescent="0.2">
      <c r="A79" s="9"/>
      <c r="B79" s="36" t="s">
        <v>30</v>
      </c>
      <c r="C79" s="96" t="s">
        <v>8</v>
      </c>
      <c r="D79" s="96" t="s">
        <v>20</v>
      </c>
      <c r="E79" s="96" t="s">
        <v>3</v>
      </c>
      <c r="F79" s="345" t="s">
        <v>13</v>
      </c>
      <c r="G79" s="345"/>
      <c r="H79" s="345" t="s">
        <v>29</v>
      </c>
      <c r="I79" s="345"/>
      <c r="J79" s="21">
        <f>H13</f>
        <v>0.25</v>
      </c>
      <c r="K79" s="19" t="s">
        <v>23</v>
      </c>
      <c r="L79" s="18" t="s">
        <v>4</v>
      </c>
      <c r="M79" s="90">
        <f>$H$7</f>
        <v>0.5</v>
      </c>
      <c r="N79" s="22" t="s">
        <v>24</v>
      </c>
      <c r="O79" s="18" t="s">
        <v>5</v>
      </c>
      <c r="P79" s="84" t="s">
        <v>21</v>
      </c>
    </row>
    <row r="80" spans="1:16" x14ac:dyDescent="0.2">
      <c r="A80" s="9"/>
      <c r="B80" s="167" t="s">
        <v>89</v>
      </c>
      <c r="C80" s="85">
        <v>1</v>
      </c>
      <c r="D80" s="52">
        <v>1</v>
      </c>
      <c r="E80" s="134">
        <v>25</v>
      </c>
      <c r="F80" s="346">
        <f>C80*D80*E80</f>
        <v>25</v>
      </c>
      <c r="G80" s="347"/>
      <c r="H80" s="334">
        <v>3</v>
      </c>
      <c r="I80" s="335"/>
      <c r="J80" s="25" t="s">
        <v>25</v>
      </c>
      <c r="K80" s="15">
        <f>F80*$J$79</f>
        <v>6.25</v>
      </c>
      <c r="L80" s="3">
        <f>SUM(F80:K80)</f>
        <v>34.25</v>
      </c>
      <c r="M80" s="26" t="s">
        <v>25</v>
      </c>
      <c r="N80" s="15">
        <f>L80*$M$79</f>
        <v>17.125</v>
      </c>
      <c r="O80" s="3">
        <f>SUM(N80+L80)</f>
        <v>51.375</v>
      </c>
      <c r="P80" s="80">
        <f t="shared" ref="P80:P86" si="28">SUM(O80)</f>
        <v>51.375</v>
      </c>
    </row>
    <row r="81" spans="1:16" x14ac:dyDescent="0.2">
      <c r="A81" s="9"/>
      <c r="B81" s="94" t="s">
        <v>90</v>
      </c>
      <c r="C81" s="85">
        <v>1</v>
      </c>
      <c r="D81" s="52">
        <v>2</v>
      </c>
      <c r="E81" s="45">
        <v>25</v>
      </c>
      <c r="F81" s="348">
        <f>C81*D81*E81</f>
        <v>50</v>
      </c>
      <c r="G81" s="349"/>
      <c r="H81" s="336">
        <v>0</v>
      </c>
      <c r="I81" s="337"/>
      <c r="J81" s="27" t="s">
        <v>25</v>
      </c>
      <c r="K81" s="15">
        <f>F81*$J$79</f>
        <v>12.5</v>
      </c>
      <c r="L81" s="3">
        <f>SUM(F81:K81)</f>
        <v>62.5</v>
      </c>
      <c r="M81" s="26" t="s">
        <v>25</v>
      </c>
      <c r="N81" s="15">
        <f>L81*$M$79</f>
        <v>31.25</v>
      </c>
      <c r="O81" s="3">
        <f>SUM(N81+L81)</f>
        <v>93.75</v>
      </c>
      <c r="P81" s="80">
        <f t="shared" si="28"/>
        <v>93.75</v>
      </c>
    </row>
    <row r="82" spans="1:16" x14ac:dyDescent="0.2">
      <c r="A82" s="9"/>
      <c r="B82" s="94" t="s">
        <v>91</v>
      </c>
      <c r="C82" s="85">
        <v>1</v>
      </c>
      <c r="D82" s="52">
        <v>1</v>
      </c>
      <c r="E82" s="45">
        <v>20</v>
      </c>
      <c r="F82" s="348">
        <f>C82*D82*E82</f>
        <v>20</v>
      </c>
      <c r="G82" s="349"/>
      <c r="H82" s="336">
        <v>0</v>
      </c>
      <c r="I82" s="337"/>
      <c r="J82" s="27" t="s">
        <v>25</v>
      </c>
      <c r="K82" s="15">
        <f>F82*$J$79</f>
        <v>5</v>
      </c>
      <c r="L82" s="3">
        <f>SUM(F82:K82)</f>
        <v>25</v>
      </c>
      <c r="M82" s="26" t="s">
        <v>25</v>
      </c>
      <c r="N82" s="15">
        <f>L82*$M$79</f>
        <v>12.5</v>
      </c>
      <c r="O82" s="3">
        <f>SUM(N82+L82)</f>
        <v>37.5</v>
      </c>
      <c r="P82" s="80">
        <f t="shared" si="28"/>
        <v>37.5</v>
      </c>
    </row>
    <row r="83" spans="1:16" x14ac:dyDescent="0.2">
      <c r="A83" s="165" t="s">
        <v>68</v>
      </c>
      <c r="B83" s="94" t="s">
        <v>92</v>
      </c>
      <c r="C83" s="85">
        <v>1</v>
      </c>
      <c r="D83" s="52">
        <v>3</v>
      </c>
      <c r="E83" s="45">
        <v>300</v>
      </c>
      <c r="F83" s="348">
        <f>C83*D83*E83</f>
        <v>900</v>
      </c>
      <c r="G83" s="349"/>
      <c r="H83" s="336">
        <v>12</v>
      </c>
      <c r="I83" s="337"/>
      <c r="J83" s="27" t="s">
        <v>25</v>
      </c>
      <c r="K83" s="15">
        <f>F83*$J$79</f>
        <v>225</v>
      </c>
      <c r="L83" s="3">
        <f>SUM(F83:K83)</f>
        <v>1137</v>
      </c>
      <c r="M83" s="26" t="s">
        <v>25</v>
      </c>
      <c r="N83" s="15">
        <f>L83*$M$79</f>
        <v>568.5</v>
      </c>
      <c r="O83" s="3">
        <f>SUM(N83+L83)</f>
        <v>1705.5</v>
      </c>
      <c r="P83" s="80">
        <f t="shared" si="28"/>
        <v>1705.5</v>
      </c>
    </row>
    <row r="84" spans="1:16" x14ac:dyDescent="0.2">
      <c r="A84" s="9" t="s">
        <v>68</v>
      </c>
      <c r="B84" s="94" t="s">
        <v>93</v>
      </c>
      <c r="C84" s="85">
        <v>1</v>
      </c>
      <c r="D84" s="52">
        <v>3</v>
      </c>
      <c r="E84" s="45">
        <v>80</v>
      </c>
      <c r="F84" s="348">
        <f>C84*D84*E84</f>
        <v>240</v>
      </c>
      <c r="G84" s="349"/>
      <c r="H84" s="336">
        <v>0</v>
      </c>
      <c r="I84" s="337"/>
      <c r="J84" s="27" t="s">
        <v>25</v>
      </c>
      <c r="K84" s="15">
        <f>F84*$J$79</f>
        <v>60</v>
      </c>
      <c r="L84" s="3">
        <f>SUM(F84:K84)</f>
        <v>300</v>
      </c>
      <c r="M84" s="26" t="s">
        <v>25</v>
      </c>
      <c r="N84" s="15">
        <f>L84*$M$79</f>
        <v>150</v>
      </c>
      <c r="O84" s="3">
        <f>SUM(N84+L84)</f>
        <v>450</v>
      </c>
      <c r="P84" s="80">
        <f t="shared" si="28"/>
        <v>450</v>
      </c>
    </row>
    <row r="85" spans="1:16" ht="13.5" thickBot="1" x14ac:dyDescent="0.25">
      <c r="A85" s="9"/>
      <c r="B85" s="44"/>
      <c r="C85" s="87"/>
      <c r="D85" s="52"/>
      <c r="E85" s="44"/>
      <c r="F85" s="348"/>
      <c r="G85" s="349"/>
      <c r="H85" s="336"/>
      <c r="I85" s="337"/>
      <c r="J85" s="27"/>
      <c r="K85" s="15"/>
      <c r="L85" s="3"/>
      <c r="M85" s="26"/>
      <c r="N85" s="15"/>
      <c r="O85" s="3"/>
      <c r="P85" s="80">
        <f t="shared" si="28"/>
        <v>0</v>
      </c>
    </row>
    <row r="86" spans="1:16" ht="16.5" thickBot="1" x14ac:dyDescent="0.3">
      <c r="A86" s="9"/>
      <c r="B86" s="13"/>
      <c r="C86" s="326" t="s">
        <v>4</v>
      </c>
      <c r="D86" s="339"/>
      <c r="E86" s="34"/>
      <c r="F86" s="328">
        <f>SUM(F80:G85)</f>
        <v>1235</v>
      </c>
      <c r="G86" s="329"/>
      <c r="H86" s="328">
        <f>SUM(H80:I85)</f>
        <v>15</v>
      </c>
      <c r="I86" s="329"/>
      <c r="J86" s="328">
        <f>SUM(J80:K85)</f>
        <v>308.75</v>
      </c>
      <c r="K86" s="329"/>
      <c r="L86" s="31">
        <f>SUM(L80:L85)</f>
        <v>1558.75</v>
      </c>
      <c r="M86" s="328">
        <f>SUM(M80:N85)</f>
        <v>779.375</v>
      </c>
      <c r="N86" s="329"/>
      <c r="O86" s="31">
        <f>SUM(O80:O85)</f>
        <v>2338.125</v>
      </c>
      <c r="P86" s="80">
        <f t="shared" si="28"/>
        <v>2338.125</v>
      </c>
    </row>
    <row r="87" spans="1:16" ht="16.5" thickBot="1" x14ac:dyDescent="0.3">
      <c r="A87" s="9"/>
      <c r="B87" s="13"/>
      <c r="C87" s="360" t="s">
        <v>229</v>
      </c>
      <c r="D87" s="339"/>
      <c r="E87" s="34"/>
      <c r="F87" s="229"/>
      <c r="G87" s="230"/>
      <c r="H87" s="229"/>
      <c r="I87" s="230"/>
      <c r="J87" s="328">
        <f>SUM(H45,J64,J76,J86)</f>
        <v>4837.381606296296</v>
      </c>
      <c r="K87" s="329"/>
      <c r="L87" s="31"/>
      <c r="M87" s="328">
        <f>SUM(M45,M64,M76,M86)</f>
        <v>9212.0900564527765</v>
      </c>
      <c r="N87" s="329"/>
      <c r="O87" s="31"/>
      <c r="P87" s="80"/>
    </row>
    <row r="88" spans="1:16" x14ac:dyDescent="0.2">
      <c r="A88" s="9"/>
      <c r="B88" s="1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4"/>
    </row>
    <row r="89" spans="1:16" ht="13.5" thickBot="1" x14ac:dyDescent="0.25">
      <c r="A89" s="9"/>
      <c r="B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"/>
      <c r="O89" s="10"/>
      <c r="P89" s="80">
        <f>SUM(O89)</f>
        <v>0</v>
      </c>
    </row>
    <row r="90" spans="1:16" ht="21" thickBot="1" x14ac:dyDescent="0.35">
      <c r="A90" s="9"/>
      <c r="B90" s="13"/>
      <c r="C90" s="350" t="s">
        <v>15</v>
      </c>
      <c r="D90" s="351"/>
      <c r="E90" s="37"/>
      <c r="F90" s="37"/>
      <c r="G90" s="37"/>
      <c r="H90" s="37"/>
      <c r="I90" s="37"/>
      <c r="J90" s="37"/>
      <c r="K90" s="37"/>
      <c r="L90" s="202">
        <f>SUM(L45,L64,L76,L86)</f>
        <v>26923.363975811109</v>
      </c>
      <c r="M90" s="37"/>
      <c r="N90" s="38"/>
      <c r="O90" s="202">
        <f>SUM(O29,O43,O64,O76,O86)</f>
        <v>36135.454032263893</v>
      </c>
      <c r="P90" s="80">
        <f>SUM(O90)</f>
        <v>36135.454032263893</v>
      </c>
    </row>
    <row r="91" spans="1:16" ht="17.25" thickBot="1" x14ac:dyDescent="0.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5"/>
      <c r="O91" s="13"/>
      <c r="P91" s="89" t="e">
        <f>O91/$C$3</f>
        <v>#VALUE!</v>
      </c>
    </row>
    <row r="92" spans="1:16" ht="17.25" thickBot="1" x14ac:dyDescent="0.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5"/>
      <c r="O92" s="135" t="e">
        <f>SUM(#REF!)</f>
        <v>#REF!</v>
      </c>
      <c r="P92" s="89" t="e">
        <f>O92/$C$3</f>
        <v>#REF!</v>
      </c>
    </row>
    <row r="93" spans="1:16" ht="17.25" thickBot="1" x14ac:dyDescent="0.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5"/>
      <c r="O93" s="13"/>
      <c r="P93" s="89" t="e">
        <f>O93/$C$3</f>
        <v>#VALUE!</v>
      </c>
    </row>
    <row r="94" spans="1:16" ht="17.25" thickBot="1" x14ac:dyDescent="0.3">
      <c r="A94" s="9"/>
      <c r="B94" s="13" t="s">
        <v>105</v>
      </c>
      <c r="C94" s="171">
        <v>14500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5"/>
      <c r="O94" s="13"/>
      <c r="P94" s="89"/>
    </row>
    <row r="95" spans="1:16" ht="17.25" thickBot="1" x14ac:dyDescent="0.3">
      <c r="A95" s="9"/>
      <c r="B95" s="93" t="s">
        <v>101</v>
      </c>
      <c r="C95" s="171">
        <v>5000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5"/>
      <c r="O95" s="135"/>
      <c r="P95" s="168"/>
    </row>
    <row r="96" spans="1:16" ht="17.25" thickBot="1" x14ac:dyDescent="0.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5"/>
      <c r="M96" s="13"/>
      <c r="N96" s="35"/>
      <c r="O96" s="13"/>
      <c r="P96" s="89"/>
    </row>
  </sheetData>
  <mergeCells count="117">
    <mergeCell ref="C90:D90"/>
    <mergeCell ref="J86:K86"/>
    <mergeCell ref="M86:N86"/>
    <mergeCell ref="C87:D87"/>
    <mergeCell ref="J87:K87"/>
    <mergeCell ref="M87:N87"/>
    <mergeCell ref="C88:P88"/>
    <mergeCell ref="F83:G83"/>
    <mergeCell ref="H83:I83"/>
    <mergeCell ref="F84:G84"/>
    <mergeCell ref="H84:I84"/>
    <mergeCell ref="F85:G85"/>
    <mergeCell ref="H85:I85"/>
    <mergeCell ref="C86:D86"/>
    <mergeCell ref="F86:G86"/>
    <mergeCell ref="H86:I86"/>
    <mergeCell ref="J76:K76"/>
    <mergeCell ref="M76:N76"/>
    <mergeCell ref="F79:G79"/>
    <mergeCell ref="H79:I79"/>
    <mergeCell ref="F80:G80"/>
    <mergeCell ref="H80:I80"/>
    <mergeCell ref="F81:G81"/>
    <mergeCell ref="H81:I81"/>
    <mergeCell ref="F82:G82"/>
    <mergeCell ref="H82:I82"/>
    <mergeCell ref="F73:G73"/>
    <mergeCell ref="H73:I73"/>
    <mergeCell ref="F74:G74"/>
    <mergeCell ref="H74:I74"/>
    <mergeCell ref="F75:G75"/>
    <mergeCell ref="H75:I75"/>
    <mergeCell ref="C76:D76"/>
    <mergeCell ref="F76:G76"/>
    <mergeCell ref="H76:I76"/>
    <mergeCell ref="F68:G68"/>
    <mergeCell ref="H68:I68"/>
    <mergeCell ref="F69:G69"/>
    <mergeCell ref="H69:I69"/>
    <mergeCell ref="F70:G70"/>
    <mergeCell ref="H70:I70"/>
    <mergeCell ref="F71:G71"/>
    <mergeCell ref="H71:I71"/>
    <mergeCell ref="F72:G72"/>
    <mergeCell ref="H72:I72"/>
    <mergeCell ref="F63:G63"/>
    <mergeCell ref="H63:I63"/>
    <mergeCell ref="C64:D64"/>
    <mergeCell ref="F64:G64"/>
    <mergeCell ref="H64:I64"/>
    <mergeCell ref="J64:K64"/>
    <mergeCell ref="M64:N64"/>
    <mergeCell ref="C65:P65"/>
    <mergeCell ref="F67:G67"/>
    <mergeCell ref="F58:G58"/>
    <mergeCell ref="H58:I58"/>
    <mergeCell ref="F59:G59"/>
    <mergeCell ref="H59:I59"/>
    <mergeCell ref="F60:G60"/>
    <mergeCell ref="H60:I60"/>
    <mergeCell ref="F61:G61"/>
    <mergeCell ref="H61:I61"/>
    <mergeCell ref="F62:G62"/>
    <mergeCell ref="H62:I62"/>
    <mergeCell ref="F53:G53"/>
    <mergeCell ref="H53:I53"/>
    <mergeCell ref="F54:G54"/>
    <mergeCell ref="H54:I54"/>
    <mergeCell ref="F55:G55"/>
    <mergeCell ref="H55:I55"/>
    <mergeCell ref="F56:G56"/>
    <mergeCell ref="H56:I56"/>
    <mergeCell ref="F57:G57"/>
    <mergeCell ref="H57:I57"/>
    <mergeCell ref="C46:P46"/>
    <mergeCell ref="C47:P47"/>
    <mergeCell ref="F49:G49"/>
    <mergeCell ref="F50:G50"/>
    <mergeCell ref="H50:I50"/>
    <mergeCell ref="F51:G51"/>
    <mergeCell ref="H51:I51"/>
    <mergeCell ref="F52:G52"/>
    <mergeCell ref="H52:I52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G6:I6"/>
    <mergeCell ref="C7:E7"/>
    <mergeCell ref="H7:I7"/>
    <mergeCell ref="K7:L7"/>
    <mergeCell ref="C8:E8"/>
    <mergeCell ref="H8:I8"/>
    <mergeCell ref="K8:L8"/>
    <mergeCell ref="C9:E9"/>
    <mergeCell ref="H9:I9"/>
    <mergeCell ref="C10:E10"/>
    <mergeCell ref="G10:I10"/>
    <mergeCell ref="K10:L10"/>
    <mergeCell ref="C11:E11"/>
    <mergeCell ref="H11:I11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sqref="A1:N147"/>
    </sheetView>
  </sheetViews>
  <sheetFormatPr defaultRowHeight="12.75" x14ac:dyDescent="0.2"/>
  <cols>
    <col min="1" max="1" width="42.85546875" bestFit="1" customWidth="1"/>
    <col min="2" max="2" width="10.85546875" bestFit="1" customWidth="1"/>
    <col min="3" max="3" width="10.7109375" bestFit="1" customWidth="1"/>
    <col min="4" max="4" width="10.28515625" bestFit="1" customWidth="1"/>
    <col min="5" max="5" width="19.42578125" bestFit="1" customWidth="1"/>
    <col min="6" max="6" width="12" bestFit="1" customWidth="1"/>
    <col min="7" max="7" width="12.5703125" bestFit="1" customWidth="1"/>
    <col min="8" max="8" width="14.140625" bestFit="1" customWidth="1"/>
    <col min="9" max="9" width="9.85546875" bestFit="1" customWidth="1"/>
    <col min="10" max="10" width="29.71093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32</v>
      </c>
      <c r="E4" s="193">
        <v>0.66659999999999997</v>
      </c>
      <c r="F4">
        <f>SUM(C4*C3*E4)/27*2</f>
        <v>15.800888888888888</v>
      </c>
    </row>
    <row r="5" spans="1:10" x14ac:dyDescent="0.2">
      <c r="A5" s="178" t="s">
        <v>112</v>
      </c>
      <c r="B5" s="178" t="s">
        <v>111</v>
      </c>
      <c r="C5" s="174">
        <v>16</v>
      </c>
      <c r="E5" s="177">
        <v>0.66659999999999997</v>
      </c>
      <c r="F5">
        <f>SUM((C5-(C9*2))*C3*E5)/27*2</f>
        <v>7.0774814814814819</v>
      </c>
    </row>
    <row r="6" spans="1:10" x14ac:dyDescent="0.2">
      <c r="A6" s="178" t="s">
        <v>117</v>
      </c>
      <c r="B6" s="178" t="s">
        <v>120</v>
      </c>
      <c r="C6" s="188">
        <f>C5-1.32</f>
        <v>14.68</v>
      </c>
      <c r="D6">
        <f>C4-1.32</f>
        <v>30.68</v>
      </c>
      <c r="E6" s="177">
        <v>0.66659999999999997</v>
      </c>
      <c r="F6" s="175">
        <f>SUM(C6*D6*E6)/27*1</f>
        <v>11.11944103111111</v>
      </c>
    </row>
    <row r="7" spans="1:10" x14ac:dyDescent="0.2">
      <c r="A7" s="178" t="s">
        <v>119</v>
      </c>
      <c r="B7" s="178" t="s">
        <v>120</v>
      </c>
      <c r="C7" s="188">
        <f>C5</f>
        <v>16</v>
      </c>
      <c r="D7">
        <f>C4</f>
        <v>32</v>
      </c>
      <c r="E7" s="177">
        <v>0.5</v>
      </c>
      <c r="F7" s="181">
        <f>SUM(C7*D7*E7)/27</f>
        <v>9.481481481481481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A9" s="178" t="s">
        <v>233</v>
      </c>
      <c r="B9">
        <v>10</v>
      </c>
      <c r="C9">
        <f>B9/12</f>
        <v>0.83333333333333337</v>
      </c>
      <c r="F9" s="189">
        <f>SUM(F4:F7)</f>
        <v>43.479292882962959</v>
      </c>
      <c r="G9" s="190">
        <f>SUM(27*110)</f>
        <v>2970</v>
      </c>
      <c r="H9" s="191">
        <f>SUM(F9*G9)</f>
        <v>129133.49986239999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167</v>
      </c>
      <c r="B29" s="206"/>
      <c r="C29" s="206"/>
      <c r="D29" s="206"/>
      <c r="E29" s="206"/>
      <c r="F29" s="206"/>
    </row>
    <row r="30" spans="1:10" x14ac:dyDescent="0.2">
      <c r="A30" s="206"/>
      <c r="B30" s="206"/>
      <c r="C30" s="206"/>
      <c r="D30" s="206"/>
      <c r="E30" s="206"/>
      <c r="F30" s="206"/>
    </row>
    <row r="31" spans="1:10" x14ac:dyDescent="0.2">
      <c r="A31" s="209" t="s">
        <v>186</v>
      </c>
      <c r="B31" s="191"/>
      <c r="C31" s="191"/>
      <c r="D31" s="191"/>
      <c r="E31" s="191"/>
      <c r="F31" s="191"/>
      <c r="G31" s="191"/>
      <c r="H31" s="191"/>
      <c r="I31" s="191"/>
      <c r="J31" s="210"/>
    </row>
    <row r="32" spans="1:10" x14ac:dyDescent="0.2">
      <c r="A32" s="211"/>
      <c r="B32" s="186"/>
      <c r="C32" s="180" t="s">
        <v>107</v>
      </c>
      <c r="D32" s="374" t="s">
        <v>172</v>
      </c>
      <c r="E32" s="374"/>
      <c r="F32" s="173" t="s">
        <v>18</v>
      </c>
      <c r="G32" s="173" t="s">
        <v>108</v>
      </c>
      <c r="H32" s="186"/>
      <c r="I32" s="375" t="s">
        <v>173</v>
      </c>
      <c r="J32" s="376"/>
    </row>
    <row r="33" spans="1:10" x14ac:dyDescent="0.2">
      <c r="A33" s="211" t="s">
        <v>109</v>
      </c>
      <c r="B33" s="186" t="s">
        <v>110</v>
      </c>
      <c r="C33" s="207">
        <v>21</v>
      </c>
      <c r="D33" s="186">
        <v>10</v>
      </c>
      <c r="E33" s="186">
        <v>0.33</v>
      </c>
      <c r="F33" s="186">
        <f>SUM(C33*D33*E33)/27*2</f>
        <v>5.1333333333333329</v>
      </c>
      <c r="G33" s="186"/>
      <c r="H33" s="186"/>
      <c r="I33" s="186"/>
      <c r="J33" s="213">
        <f>SUM(C33*D33*2)+(C35*D35)+(C36*D36*2)</f>
        <v>1174.6956</v>
      </c>
    </row>
    <row r="34" spans="1:10" x14ac:dyDescent="0.2">
      <c r="A34" s="211"/>
      <c r="B34" s="186" t="s">
        <v>174</v>
      </c>
      <c r="C34" s="186">
        <v>10</v>
      </c>
      <c r="D34" s="186"/>
      <c r="E34" s="186"/>
      <c r="F34" s="186"/>
      <c r="G34" s="186"/>
      <c r="H34" s="186"/>
      <c r="I34" s="186"/>
      <c r="J34" s="213"/>
    </row>
    <row r="35" spans="1:10" x14ac:dyDescent="0.2">
      <c r="A35" s="211" t="s">
        <v>117</v>
      </c>
      <c r="B35" s="186" t="s">
        <v>111</v>
      </c>
      <c r="C35" s="207">
        <f>SUM(20-1.66)</f>
        <v>18.34</v>
      </c>
      <c r="D35" s="186">
        <f>SUM(21-1.66)</f>
        <v>19.34</v>
      </c>
      <c r="E35" s="186">
        <v>0.75</v>
      </c>
      <c r="F35" s="181">
        <f>SUM(C35*D35*E35)/27*1</f>
        <v>9.8526555555555557</v>
      </c>
      <c r="G35" s="186"/>
      <c r="H35" s="186"/>
      <c r="I35" s="186"/>
      <c r="J35" s="213"/>
    </row>
    <row r="36" spans="1:10" x14ac:dyDescent="0.2">
      <c r="A36" s="211" t="s">
        <v>112</v>
      </c>
      <c r="B36" s="186" t="s">
        <v>112</v>
      </c>
      <c r="C36" s="207">
        <v>20</v>
      </c>
      <c r="D36" s="186">
        <v>10</v>
      </c>
      <c r="E36" s="186">
        <v>0.33</v>
      </c>
      <c r="F36" s="214">
        <f>SUM(C36*D36*E36)/27*2</f>
        <v>4.8888888888888893</v>
      </c>
      <c r="G36" s="212" t="s">
        <v>113</v>
      </c>
      <c r="H36" s="176" t="s">
        <v>114</v>
      </c>
      <c r="I36" s="186"/>
      <c r="J36" s="213"/>
    </row>
    <row r="37" spans="1:10" x14ac:dyDescent="0.2">
      <c r="A37" s="215"/>
      <c r="B37" s="173"/>
      <c r="C37" s="173"/>
      <c r="D37" s="173"/>
      <c r="E37" s="173"/>
      <c r="F37" s="214">
        <f>SUM(F33:F36)</f>
        <v>19.874877777777776</v>
      </c>
      <c r="G37" s="180">
        <f>SUM(27*105)</f>
        <v>2835</v>
      </c>
      <c r="H37" s="173">
        <f>SUM(F37*G37)</f>
        <v>56345.278499999993</v>
      </c>
      <c r="I37" s="176" t="s">
        <v>115</v>
      </c>
      <c r="J37" s="216"/>
    </row>
    <row r="38" spans="1:10" x14ac:dyDescent="0.2">
      <c r="A38" s="211"/>
      <c r="B38" s="186"/>
      <c r="C38" s="186"/>
      <c r="D38" s="186"/>
      <c r="E38" s="186"/>
      <c r="F38" s="181"/>
      <c r="G38" s="184"/>
      <c r="H38" s="186"/>
      <c r="I38" s="183"/>
      <c r="J38" s="213"/>
    </row>
    <row r="39" spans="1:10" x14ac:dyDescent="0.2">
      <c r="A39" s="211"/>
      <c r="B39" s="186"/>
      <c r="C39" s="186"/>
      <c r="D39" s="186"/>
      <c r="E39" s="186"/>
      <c r="F39" s="181"/>
      <c r="G39" s="184"/>
      <c r="H39" s="186"/>
      <c r="I39" s="183"/>
      <c r="J39" s="213"/>
    </row>
    <row r="40" spans="1:10" x14ac:dyDescent="0.2">
      <c r="A40" s="209" t="s">
        <v>171</v>
      </c>
      <c r="B40" s="191"/>
      <c r="C40" s="191"/>
      <c r="D40" s="191"/>
      <c r="E40" s="191"/>
      <c r="F40" s="191"/>
      <c r="G40" s="191"/>
      <c r="H40" s="191"/>
      <c r="I40" s="191"/>
      <c r="J40" s="210"/>
    </row>
    <row r="41" spans="1:10" x14ac:dyDescent="0.2">
      <c r="A41" s="211"/>
      <c r="B41" s="186"/>
      <c r="C41" s="180" t="s">
        <v>107</v>
      </c>
      <c r="D41" s="374" t="s">
        <v>172</v>
      </c>
      <c r="E41" s="374"/>
      <c r="F41" s="173" t="s">
        <v>18</v>
      </c>
      <c r="G41" s="173" t="s">
        <v>108</v>
      </c>
      <c r="H41" s="186"/>
      <c r="I41" s="375" t="s">
        <v>173</v>
      </c>
      <c r="J41" s="376"/>
    </row>
    <row r="42" spans="1:10" x14ac:dyDescent="0.2">
      <c r="A42" s="211" t="s">
        <v>109</v>
      </c>
      <c r="B42" s="186" t="s">
        <v>110</v>
      </c>
      <c r="C42" s="207">
        <v>20</v>
      </c>
      <c r="D42" s="186">
        <v>10</v>
      </c>
      <c r="E42" s="186">
        <v>0.33</v>
      </c>
      <c r="F42" s="186">
        <f>SUM(C42*D42*E42)/27*2</f>
        <v>4.8888888888888893</v>
      </c>
      <c r="G42" s="186"/>
      <c r="H42" s="186"/>
      <c r="I42" s="186"/>
      <c r="J42" s="213">
        <f>SUM(C42*D42*2)+(C44*D44)+(C45*D45*2)</f>
        <v>1120</v>
      </c>
    </row>
    <row r="43" spans="1:10" x14ac:dyDescent="0.2">
      <c r="A43" s="211"/>
      <c r="B43" s="186" t="s">
        <v>174</v>
      </c>
      <c r="C43" s="186">
        <v>10</v>
      </c>
      <c r="D43" s="186"/>
      <c r="E43" s="186"/>
      <c r="F43" s="186"/>
      <c r="G43" s="186"/>
      <c r="H43" s="186"/>
      <c r="I43" s="186"/>
      <c r="J43" s="213"/>
    </row>
    <row r="44" spans="1:10" x14ac:dyDescent="0.2">
      <c r="A44" s="211" t="s">
        <v>117</v>
      </c>
      <c r="B44" s="186" t="s">
        <v>111</v>
      </c>
      <c r="C44" s="207">
        <v>20</v>
      </c>
      <c r="D44" s="186">
        <v>18</v>
      </c>
      <c r="E44" s="186">
        <v>0.5</v>
      </c>
      <c r="F44" s="181">
        <f>SUM(C44*D44*E44)/27*1</f>
        <v>6.666666666666667</v>
      </c>
      <c r="G44" s="186"/>
      <c r="H44" s="186"/>
      <c r="I44" s="186"/>
      <c r="J44" s="213"/>
    </row>
    <row r="45" spans="1:10" x14ac:dyDescent="0.2">
      <c r="A45" s="211" t="s">
        <v>112</v>
      </c>
      <c r="B45" s="186" t="s">
        <v>112</v>
      </c>
      <c r="C45" s="207">
        <v>18</v>
      </c>
      <c r="D45" s="186">
        <v>10</v>
      </c>
      <c r="E45" s="186">
        <v>0.33</v>
      </c>
      <c r="F45" s="214">
        <f>SUM(C45*D45*E45)/27*2</f>
        <v>4.4000000000000004</v>
      </c>
      <c r="G45" s="212" t="s">
        <v>113</v>
      </c>
      <c r="H45" s="176" t="s">
        <v>114</v>
      </c>
      <c r="I45" s="186"/>
      <c r="J45" s="213"/>
    </row>
    <row r="46" spans="1:10" x14ac:dyDescent="0.2">
      <c r="A46" s="215"/>
      <c r="B46" s="173"/>
      <c r="C46" s="173"/>
      <c r="D46" s="173"/>
      <c r="E46" s="173"/>
      <c r="F46" s="214">
        <f>SUM(F42:F45)</f>
        <v>15.955555555555557</v>
      </c>
      <c r="G46" s="180">
        <f>SUM(27*105)</f>
        <v>2835</v>
      </c>
      <c r="H46" s="173">
        <f>SUM(F46*G46)</f>
        <v>45234.000000000007</v>
      </c>
      <c r="I46" s="176" t="s">
        <v>115</v>
      </c>
      <c r="J46" s="216"/>
    </row>
    <row r="47" spans="1:10" x14ac:dyDescent="0.2">
      <c r="A47" s="186"/>
      <c r="B47" s="186"/>
      <c r="C47" s="186"/>
      <c r="D47" s="186"/>
      <c r="E47" s="186"/>
      <c r="F47" s="181"/>
      <c r="G47" s="184"/>
      <c r="H47" s="186"/>
      <c r="I47" s="183"/>
      <c r="J47" s="186"/>
    </row>
    <row r="48" spans="1:10" x14ac:dyDescent="0.2">
      <c r="A48" s="186"/>
      <c r="B48" s="186"/>
      <c r="C48" s="186"/>
      <c r="D48" s="186"/>
      <c r="E48" s="186"/>
      <c r="F48" s="181"/>
      <c r="G48" s="184"/>
      <c r="H48" s="186"/>
      <c r="I48" s="183"/>
      <c r="J48" s="186"/>
    </row>
    <row r="49" spans="1:10" x14ac:dyDescent="0.2">
      <c r="A49" s="209" t="s">
        <v>175</v>
      </c>
      <c r="B49" s="191"/>
      <c r="C49" s="191"/>
      <c r="D49" s="191"/>
      <c r="E49" s="191"/>
      <c r="F49" s="191"/>
      <c r="G49" s="191"/>
      <c r="H49" s="191"/>
      <c r="I49" s="191"/>
      <c r="J49" s="210"/>
    </row>
    <row r="50" spans="1:10" x14ac:dyDescent="0.2">
      <c r="A50" s="211"/>
      <c r="B50" s="186"/>
      <c r="C50" s="180" t="s">
        <v>107</v>
      </c>
      <c r="D50" s="374" t="s">
        <v>172</v>
      </c>
      <c r="E50" s="374"/>
      <c r="F50" s="173" t="s">
        <v>18</v>
      </c>
      <c r="G50" s="173" t="s">
        <v>108</v>
      </c>
      <c r="H50" s="186"/>
      <c r="I50" s="375" t="s">
        <v>173</v>
      </c>
      <c r="J50" s="376"/>
    </row>
    <row r="51" spans="1:10" x14ac:dyDescent="0.2">
      <c r="A51" s="211" t="s">
        <v>109</v>
      </c>
      <c r="B51" s="186" t="s">
        <v>110</v>
      </c>
      <c r="C51" s="207">
        <v>28</v>
      </c>
      <c r="D51" s="186">
        <v>10</v>
      </c>
      <c r="E51" s="186">
        <v>0.33</v>
      </c>
      <c r="F51" s="186">
        <f>SUM(C51*D51*E51)/27*2</f>
        <v>6.844444444444445</v>
      </c>
      <c r="G51" s="186"/>
      <c r="H51" s="186"/>
      <c r="I51" s="186"/>
      <c r="J51" s="213">
        <f>SUM(C51*D51*2)+(C53*D53)+(C54*D54*2)</f>
        <v>1232</v>
      </c>
    </row>
    <row r="52" spans="1:10" x14ac:dyDescent="0.2">
      <c r="A52" s="211"/>
      <c r="B52" s="186" t="s">
        <v>174</v>
      </c>
      <c r="C52" s="186">
        <v>10</v>
      </c>
      <c r="D52" s="186"/>
      <c r="E52" s="186"/>
      <c r="F52" s="186"/>
      <c r="G52" s="186"/>
      <c r="H52" s="186"/>
      <c r="I52" s="186"/>
      <c r="J52" s="213"/>
    </row>
    <row r="53" spans="1:10" x14ac:dyDescent="0.2">
      <c r="A53" s="211" t="s">
        <v>117</v>
      </c>
      <c r="B53" s="186" t="s">
        <v>111</v>
      </c>
      <c r="C53" s="207">
        <v>28</v>
      </c>
      <c r="D53" s="186">
        <v>14</v>
      </c>
      <c r="E53" s="186">
        <v>0.5</v>
      </c>
      <c r="F53" s="181">
        <f>SUM(C53*D53*E53)/27*1</f>
        <v>7.2592592592592595</v>
      </c>
      <c r="G53" s="186"/>
      <c r="H53" s="186"/>
      <c r="I53" s="186"/>
      <c r="J53" s="213"/>
    </row>
    <row r="54" spans="1:10" x14ac:dyDescent="0.2">
      <c r="A54" s="211" t="s">
        <v>112</v>
      </c>
      <c r="B54" s="186" t="s">
        <v>112</v>
      </c>
      <c r="C54" s="207">
        <v>14</v>
      </c>
      <c r="D54" s="186">
        <v>10</v>
      </c>
      <c r="E54" s="186">
        <v>0.33</v>
      </c>
      <c r="F54" s="214">
        <f>SUM(C54*D54*E54)/27*2</f>
        <v>3.4222222222222225</v>
      </c>
      <c r="G54" s="212" t="s">
        <v>113</v>
      </c>
      <c r="H54" s="176" t="s">
        <v>114</v>
      </c>
      <c r="I54" s="186"/>
      <c r="J54" s="213"/>
    </row>
    <row r="55" spans="1:10" x14ac:dyDescent="0.2">
      <c r="A55" s="215"/>
      <c r="B55" s="173"/>
      <c r="C55" s="173"/>
      <c r="D55" s="173"/>
      <c r="E55" s="173"/>
      <c r="F55" s="214">
        <f>SUM(F51:F54)</f>
        <v>17.525925925925925</v>
      </c>
      <c r="G55" s="180">
        <f>SUM(27*105)</f>
        <v>2835</v>
      </c>
      <c r="H55" s="173">
        <f>SUM(F55*G55)</f>
        <v>49686</v>
      </c>
      <c r="I55" s="176" t="s">
        <v>115</v>
      </c>
      <c r="J55" s="216"/>
    </row>
    <row r="58" spans="1:10" x14ac:dyDescent="0.2">
      <c r="A58" s="209" t="s">
        <v>176</v>
      </c>
      <c r="B58" s="191"/>
      <c r="C58" s="217" t="s">
        <v>107</v>
      </c>
      <c r="D58" s="371" t="s">
        <v>172</v>
      </c>
      <c r="E58" s="371"/>
      <c r="F58" s="218" t="s">
        <v>18</v>
      </c>
      <c r="G58" s="218" t="s">
        <v>108</v>
      </c>
      <c r="H58" s="191"/>
      <c r="I58" s="372" t="s">
        <v>173</v>
      </c>
      <c r="J58" s="373"/>
    </row>
    <row r="59" spans="1:10" x14ac:dyDescent="0.2">
      <c r="A59" s="211" t="s">
        <v>109</v>
      </c>
      <c r="B59" s="186" t="s">
        <v>110</v>
      </c>
      <c r="C59" s="207">
        <v>21</v>
      </c>
      <c r="D59" s="186">
        <v>10</v>
      </c>
      <c r="E59" s="186">
        <v>0.33</v>
      </c>
      <c r="F59" s="186">
        <f>SUM(C59*D59*E59)/27*2</f>
        <v>5.1333333333333329</v>
      </c>
      <c r="G59" s="186"/>
      <c r="H59" s="186"/>
      <c r="I59" s="186"/>
      <c r="J59" s="213">
        <f>SUM(C59*D59*2)+(C61*D61)+(C62*D62*2)</f>
        <v>1140</v>
      </c>
    </row>
    <row r="60" spans="1:10" x14ac:dyDescent="0.2">
      <c r="A60" s="211"/>
      <c r="B60" s="186" t="s">
        <v>174</v>
      </c>
      <c r="C60" s="186">
        <v>10</v>
      </c>
      <c r="D60" s="186"/>
      <c r="E60" s="186"/>
      <c r="F60" s="186"/>
      <c r="G60" s="186"/>
      <c r="H60" s="186"/>
      <c r="I60" s="186"/>
      <c r="J60" s="213"/>
    </row>
    <row r="61" spans="1:10" x14ac:dyDescent="0.2">
      <c r="A61" s="211" t="s">
        <v>117</v>
      </c>
      <c r="B61" s="186" t="s">
        <v>111</v>
      </c>
      <c r="C61" s="207">
        <v>20</v>
      </c>
      <c r="D61" s="186">
        <v>20</v>
      </c>
      <c r="E61" s="186">
        <v>0.5</v>
      </c>
      <c r="F61" s="181">
        <f>SUM(C61*D61*E61)/27*1</f>
        <v>7.4074074074074074</v>
      </c>
      <c r="G61" s="186"/>
      <c r="H61" s="186"/>
      <c r="I61" s="186"/>
      <c r="J61" s="213"/>
    </row>
    <row r="62" spans="1:10" x14ac:dyDescent="0.2">
      <c r="A62" s="211" t="s">
        <v>112</v>
      </c>
      <c r="B62" s="186" t="s">
        <v>112</v>
      </c>
      <c r="C62" s="207">
        <v>16</v>
      </c>
      <c r="D62" s="186">
        <v>10</v>
      </c>
      <c r="E62" s="186">
        <v>0.33</v>
      </c>
      <c r="F62" s="214">
        <f>SUM(C62*D62*E62)/27*2</f>
        <v>3.9111111111111114</v>
      </c>
      <c r="G62" s="212" t="s">
        <v>113</v>
      </c>
      <c r="H62" s="176" t="s">
        <v>114</v>
      </c>
      <c r="I62" s="186"/>
      <c r="J62" s="213"/>
    </row>
    <row r="63" spans="1:10" x14ac:dyDescent="0.2">
      <c r="A63" s="215"/>
      <c r="B63" s="173"/>
      <c r="C63" s="173"/>
      <c r="D63" s="173"/>
      <c r="E63" s="173"/>
      <c r="F63" s="214">
        <f>SUM(F59:F62)</f>
        <v>16.451851851851853</v>
      </c>
      <c r="G63" s="180">
        <f>SUM(27*105)</f>
        <v>2835</v>
      </c>
      <c r="H63" s="173">
        <f>SUM(F63*G63)</f>
        <v>46641</v>
      </c>
      <c r="I63" s="176" t="s">
        <v>115</v>
      </c>
      <c r="J63" s="216"/>
    </row>
    <row r="66" spans="1:10" x14ac:dyDescent="0.2">
      <c r="A66" s="209" t="s">
        <v>177</v>
      </c>
      <c r="B66" s="191"/>
      <c r="C66" s="217" t="s">
        <v>107</v>
      </c>
      <c r="D66" s="371" t="s">
        <v>172</v>
      </c>
      <c r="E66" s="371"/>
      <c r="F66" s="218" t="s">
        <v>18</v>
      </c>
      <c r="G66" s="218" t="s">
        <v>108</v>
      </c>
      <c r="H66" s="191"/>
      <c r="I66" s="372" t="s">
        <v>173</v>
      </c>
      <c r="J66" s="373"/>
    </row>
    <row r="67" spans="1:10" x14ac:dyDescent="0.2">
      <c r="A67" s="211" t="s">
        <v>109</v>
      </c>
      <c r="B67" s="186" t="s">
        <v>110</v>
      </c>
      <c r="C67" s="207">
        <v>16</v>
      </c>
      <c r="D67" s="186">
        <v>10</v>
      </c>
      <c r="E67" s="186">
        <v>0.33</v>
      </c>
      <c r="F67" s="186">
        <f>SUM(C67*D67*E67)/27*2</f>
        <v>3.9111111111111114</v>
      </c>
      <c r="G67" s="186"/>
      <c r="H67" s="186"/>
      <c r="I67" s="186"/>
      <c r="J67" s="213">
        <f>SUM(C67*D67*2)+(C69*D69)+(C70*D70*2)</f>
        <v>608</v>
      </c>
    </row>
    <row r="68" spans="1:10" x14ac:dyDescent="0.2">
      <c r="A68" s="211"/>
      <c r="B68" s="186" t="s">
        <v>174</v>
      </c>
      <c r="C68" s="186">
        <v>10</v>
      </c>
      <c r="D68" s="186"/>
      <c r="E68" s="186"/>
      <c r="F68" s="186"/>
      <c r="G68" s="186"/>
      <c r="H68" s="186"/>
      <c r="I68" s="186"/>
      <c r="J68" s="213"/>
    </row>
    <row r="69" spans="1:10" x14ac:dyDescent="0.2">
      <c r="A69" s="211" t="s">
        <v>117</v>
      </c>
      <c r="B69" s="186" t="s">
        <v>111</v>
      </c>
      <c r="C69" s="207">
        <v>8</v>
      </c>
      <c r="D69" s="186">
        <v>16</v>
      </c>
      <c r="E69" s="186">
        <v>0.5</v>
      </c>
      <c r="F69" s="181">
        <f>SUM(C69*D69*E69)/27*1</f>
        <v>2.3703703703703702</v>
      </c>
      <c r="G69" s="186"/>
      <c r="H69" s="186"/>
      <c r="I69" s="186"/>
      <c r="J69" s="213"/>
    </row>
    <row r="70" spans="1:10" x14ac:dyDescent="0.2">
      <c r="A70" s="211" t="s">
        <v>112</v>
      </c>
      <c r="B70" s="186" t="s">
        <v>112</v>
      </c>
      <c r="C70" s="207">
        <v>8</v>
      </c>
      <c r="D70" s="186">
        <v>10</v>
      </c>
      <c r="E70" s="186">
        <v>0.33</v>
      </c>
      <c r="F70" s="214">
        <f>SUM(C70*D70*E70)/27*2</f>
        <v>1.9555555555555557</v>
      </c>
      <c r="G70" s="212" t="s">
        <v>113</v>
      </c>
      <c r="H70" s="176" t="s">
        <v>114</v>
      </c>
      <c r="I70" s="186"/>
      <c r="J70" s="213"/>
    </row>
    <row r="71" spans="1:10" x14ac:dyDescent="0.2">
      <c r="A71" s="215"/>
      <c r="B71" s="173"/>
      <c r="C71" s="173"/>
      <c r="D71" s="173"/>
      <c r="E71" s="173"/>
      <c r="F71" s="214">
        <f>SUM(F67:F70)</f>
        <v>8.2370370370370374</v>
      </c>
      <c r="G71" s="180">
        <f>SUM(27*105)</f>
        <v>2835</v>
      </c>
      <c r="H71" s="173">
        <f>SUM(F71*G71)</f>
        <v>23352</v>
      </c>
      <c r="I71" s="176" t="s">
        <v>115</v>
      </c>
      <c r="J71" s="216"/>
    </row>
    <row r="74" spans="1:10" x14ac:dyDescent="0.2">
      <c r="A74" s="209" t="s">
        <v>178</v>
      </c>
      <c r="B74" s="191"/>
      <c r="C74" s="217" t="s">
        <v>107</v>
      </c>
      <c r="D74" s="371" t="s">
        <v>172</v>
      </c>
      <c r="E74" s="371"/>
      <c r="F74" s="218" t="s">
        <v>18</v>
      </c>
      <c r="G74" s="218" t="s">
        <v>108</v>
      </c>
      <c r="H74" s="191"/>
      <c r="I74" s="372" t="s">
        <v>173</v>
      </c>
      <c r="J74" s="373"/>
    </row>
    <row r="75" spans="1:10" x14ac:dyDescent="0.2">
      <c r="A75" s="211" t="s">
        <v>109</v>
      </c>
      <c r="B75" s="186" t="s">
        <v>110</v>
      </c>
      <c r="C75" s="207">
        <v>20</v>
      </c>
      <c r="D75" s="186">
        <v>10</v>
      </c>
      <c r="E75" s="186">
        <v>0.33</v>
      </c>
      <c r="F75" s="186">
        <f>SUM(C75*D75*E75)/27*2</f>
        <v>4.8888888888888893</v>
      </c>
      <c r="G75" s="186"/>
      <c r="H75" s="186"/>
      <c r="I75" s="186"/>
      <c r="J75" s="213">
        <f>SUM(C75*D75*2)+(C77*D77)+(C78*D78*2)</f>
        <v>960</v>
      </c>
    </row>
    <row r="76" spans="1:10" x14ac:dyDescent="0.2">
      <c r="A76" s="211"/>
      <c r="B76" s="186" t="s">
        <v>174</v>
      </c>
      <c r="C76" s="186">
        <v>10</v>
      </c>
      <c r="D76" s="186"/>
      <c r="E76" s="186"/>
      <c r="F76" s="186"/>
      <c r="G76" s="186"/>
      <c r="H76" s="186"/>
      <c r="I76" s="186"/>
      <c r="J76" s="213"/>
    </row>
    <row r="77" spans="1:10" x14ac:dyDescent="0.2">
      <c r="A77" s="211" t="s">
        <v>117</v>
      </c>
      <c r="B77" s="186" t="s">
        <v>111</v>
      </c>
      <c r="C77" s="207">
        <v>20</v>
      </c>
      <c r="D77" s="186">
        <v>14</v>
      </c>
      <c r="E77" s="186">
        <v>0.5</v>
      </c>
      <c r="F77" s="181">
        <f>SUM(C77*D77*E77)/27*1</f>
        <v>5.1851851851851851</v>
      </c>
      <c r="G77" s="186"/>
      <c r="H77" s="186"/>
      <c r="I77" s="186"/>
      <c r="J77" s="213"/>
    </row>
    <row r="78" spans="1:10" x14ac:dyDescent="0.2">
      <c r="A78" s="211" t="s">
        <v>112</v>
      </c>
      <c r="B78" s="186" t="s">
        <v>112</v>
      </c>
      <c r="C78" s="207">
        <v>14</v>
      </c>
      <c r="D78" s="186">
        <v>10</v>
      </c>
      <c r="E78" s="186">
        <v>0.33</v>
      </c>
      <c r="F78" s="214">
        <f>SUM(C78*D78*E78)/27*2</f>
        <v>3.4222222222222225</v>
      </c>
      <c r="G78" s="212" t="s">
        <v>113</v>
      </c>
      <c r="H78" s="176" t="s">
        <v>114</v>
      </c>
      <c r="I78" s="186"/>
      <c r="J78" s="213"/>
    </row>
    <row r="79" spans="1:10" x14ac:dyDescent="0.2">
      <c r="A79" s="215"/>
      <c r="B79" s="173"/>
      <c r="C79" s="173"/>
      <c r="D79" s="173"/>
      <c r="E79" s="173"/>
      <c r="F79" s="214">
        <f>SUM(F75:F78)</f>
        <v>13.496296296296297</v>
      </c>
      <c r="G79" s="180">
        <f>SUM(27*105)</f>
        <v>2835</v>
      </c>
      <c r="H79" s="173">
        <f>SUM(F79*G79)</f>
        <v>38262</v>
      </c>
      <c r="I79" s="176" t="s">
        <v>115</v>
      </c>
      <c r="J79" s="216"/>
    </row>
    <row r="83" spans="1:10" x14ac:dyDescent="0.2">
      <c r="A83" s="209" t="s">
        <v>179</v>
      </c>
      <c r="B83" s="191"/>
      <c r="C83" s="217" t="s">
        <v>107</v>
      </c>
      <c r="D83" s="371" t="s">
        <v>172</v>
      </c>
      <c r="E83" s="371"/>
      <c r="F83" s="218" t="s">
        <v>18</v>
      </c>
      <c r="G83" s="218" t="s">
        <v>108</v>
      </c>
      <c r="H83" s="191"/>
      <c r="I83" s="372" t="s">
        <v>173</v>
      </c>
      <c r="J83" s="373"/>
    </row>
    <row r="84" spans="1:10" x14ac:dyDescent="0.2">
      <c r="A84" s="211" t="s">
        <v>109</v>
      </c>
      <c r="B84" s="186" t="s">
        <v>110</v>
      </c>
      <c r="C84" s="207">
        <v>16</v>
      </c>
      <c r="D84" s="186">
        <v>10</v>
      </c>
      <c r="E84" s="186">
        <v>0.33</v>
      </c>
      <c r="F84" s="186">
        <f>SUM(C84*D84*E84)/27*2</f>
        <v>3.9111111111111114</v>
      </c>
      <c r="G84" s="186"/>
      <c r="H84" s="186"/>
      <c r="I84" s="186"/>
      <c r="J84" s="213">
        <f>SUM(C84*D84*2)+(C86*D86)+(C87*D87*2)</f>
        <v>896</v>
      </c>
    </row>
    <row r="85" spans="1:10" x14ac:dyDescent="0.2">
      <c r="A85" s="211"/>
      <c r="B85" s="186" t="s">
        <v>174</v>
      </c>
      <c r="C85" s="186">
        <v>10</v>
      </c>
      <c r="D85" s="186"/>
      <c r="E85" s="186"/>
      <c r="F85" s="186"/>
      <c r="G85" s="186"/>
      <c r="H85" s="186"/>
      <c r="I85" s="186"/>
      <c r="J85" s="213"/>
    </row>
    <row r="86" spans="1:10" x14ac:dyDescent="0.2">
      <c r="A86" s="211" t="s">
        <v>117</v>
      </c>
      <c r="B86" s="186" t="s">
        <v>111</v>
      </c>
      <c r="C86" s="207">
        <v>16</v>
      </c>
      <c r="D86" s="186">
        <v>16</v>
      </c>
      <c r="E86" s="186">
        <v>0.5</v>
      </c>
      <c r="F86" s="181">
        <f>SUM(C86*D86*E86)/27*1</f>
        <v>4.7407407407407405</v>
      </c>
      <c r="G86" s="186"/>
      <c r="H86" s="186"/>
      <c r="I86" s="186"/>
      <c r="J86" s="213"/>
    </row>
    <row r="87" spans="1:10" x14ac:dyDescent="0.2">
      <c r="A87" s="211" t="s">
        <v>112</v>
      </c>
      <c r="B87" s="186" t="s">
        <v>112</v>
      </c>
      <c r="C87" s="207">
        <v>16</v>
      </c>
      <c r="D87" s="186">
        <v>10</v>
      </c>
      <c r="E87" s="186">
        <v>0.33</v>
      </c>
      <c r="F87" s="214">
        <f>SUM(C87*D87*E87)/27*2</f>
        <v>3.9111111111111114</v>
      </c>
      <c r="G87" s="212" t="s">
        <v>113</v>
      </c>
      <c r="H87" s="176" t="s">
        <v>114</v>
      </c>
      <c r="I87" s="186"/>
      <c r="J87" s="213"/>
    </row>
    <row r="88" spans="1:10" x14ac:dyDescent="0.2">
      <c r="A88" s="215"/>
      <c r="B88" s="173"/>
      <c r="C88" s="173"/>
      <c r="D88" s="173"/>
      <c r="E88" s="173"/>
      <c r="F88" s="214">
        <f>SUM(F84:F87)</f>
        <v>12.562962962962963</v>
      </c>
      <c r="G88" s="180">
        <f>SUM(27*105)</f>
        <v>2835</v>
      </c>
      <c r="H88" s="173">
        <f>SUM(F88*G88)</f>
        <v>35616</v>
      </c>
      <c r="I88" s="176" t="s">
        <v>115</v>
      </c>
      <c r="J88" s="216"/>
    </row>
    <row r="90" spans="1:10" x14ac:dyDescent="0.2">
      <c r="A90" s="209" t="s">
        <v>180</v>
      </c>
      <c r="B90" s="219" t="s">
        <v>181</v>
      </c>
      <c r="C90" s="217" t="s">
        <v>107</v>
      </c>
      <c r="D90" s="371" t="s">
        <v>172</v>
      </c>
      <c r="E90" s="371"/>
      <c r="F90" s="218" t="s">
        <v>18</v>
      </c>
      <c r="G90" s="218" t="s">
        <v>108</v>
      </c>
      <c r="H90" s="191"/>
      <c r="I90" s="372" t="s">
        <v>173</v>
      </c>
      <c r="J90" s="373"/>
    </row>
    <row r="91" spans="1:10" x14ac:dyDescent="0.2">
      <c r="A91" s="220" t="s">
        <v>182</v>
      </c>
      <c r="B91" s="184">
        <v>2</v>
      </c>
      <c r="C91" s="186">
        <v>19</v>
      </c>
      <c r="D91" s="186">
        <v>10</v>
      </c>
      <c r="E91" s="186">
        <v>0.33</v>
      </c>
      <c r="F91" s="186">
        <f>SUM(C91*D91*E91*1)/27*2</f>
        <v>4.6444444444444448</v>
      </c>
      <c r="G91" s="186"/>
      <c r="H91" s="186"/>
      <c r="I91" s="186"/>
      <c r="J91" s="213">
        <f>SUM(C91*D91*2)+(C92*D92*2)+(C93*D93)+(C94*D94)</f>
        <v>1484</v>
      </c>
    </row>
    <row r="92" spans="1:10" x14ac:dyDescent="0.2">
      <c r="A92" s="220" t="s">
        <v>182</v>
      </c>
      <c r="B92" s="186">
        <v>2</v>
      </c>
      <c r="C92" s="186">
        <v>20</v>
      </c>
      <c r="D92" s="186">
        <v>10</v>
      </c>
      <c r="E92" s="186">
        <v>0.33</v>
      </c>
      <c r="F92" s="186">
        <f>SUM(C92*D92*E92*1)/27*2</f>
        <v>4.8888888888888893</v>
      </c>
      <c r="G92" s="186"/>
      <c r="H92" s="186"/>
      <c r="I92" s="186"/>
      <c r="J92" s="213"/>
    </row>
    <row r="93" spans="1:10" x14ac:dyDescent="0.2">
      <c r="A93" s="220" t="s">
        <v>183</v>
      </c>
      <c r="B93" s="186"/>
      <c r="C93" s="186">
        <v>19</v>
      </c>
      <c r="D93" s="186">
        <v>16</v>
      </c>
      <c r="E93" s="186">
        <v>0.33</v>
      </c>
      <c r="F93" s="186">
        <f>SUM(C93*D93*E93*1)/27*1</f>
        <v>3.7155555555555559</v>
      </c>
      <c r="G93" s="186"/>
      <c r="H93" s="186"/>
      <c r="I93" s="186"/>
      <c r="J93" s="213"/>
    </row>
    <row r="94" spans="1:10" x14ac:dyDescent="0.2">
      <c r="A94" s="221" t="s">
        <v>183</v>
      </c>
      <c r="B94" s="173"/>
      <c r="C94" s="173">
        <v>20</v>
      </c>
      <c r="D94" s="173">
        <v>20</v>
      </c>
      <c r="E94" s="173">
        <v>0.33</v>
      </c>
      <c r="F94" s="173">
        <f>SUM(C94*D94*E94*1)/27*1</f>
        <v>4.8888888888888893</v>
      </c>
      <c r="G94" s="173"/>
      <c r="H94" s="173"/>
      <c r="I94" s="173"/>
      <c r="J94" s="216"/>
    </row>
    <row r="96" spans="1:10" x14ac:dyDescent="0.2">
      <c r="E96" s="363" t="s">
        <v>184</v>
      </c>
      <c r="F96" s="364"/>
      <c r="G96" s="364"/>
      <c r="I96" s="365" t="s">
        <v>185</v>
      </c>
      <c r="J96" s="365"/>
    </row>
    <row r="97" spans="1:13" x14ac:dyDescent="0.2">
      <c r="F97" s="175">
        <f>SUM(F46,F55,F63,F71,F79,F88,F91,F92,F93,F94,F88,F88)</f>
        <v>127.49333333333334</v>
      </c>
      <c r="G97" s="178" t="s">
        <v>18</v>
      </c>
      <c r="J97">
        <f>SUM(J42,J51,J59,J67,J75,J84,J91)</f>
        <v>7440</v>
      </c>
    </row>
    <row r="98" spans="1:13" x14ac:dyDescent="0.2">
      <c r="J98" s="173">
        <v>1800</v>
      </c>
    </row>
    <row r="99" spans="1:13" x14ac:dyDescent="0.2">
      <c r="J99" s="222">
        <f>SUM(J97:J98)</f>
        <v>9240</v>
      </c>
    </row>
    <row r="102" spans="1:13" x14ac:dyDescent="0.2">
      <c r="A102" s="223" t="s">
        <v>189</v>
      </c>
      <c r="B102" s="173" t="s">
        <v>190</v>
      </c>
      <c r="C102" s="223" t="s">
        <v>191</v>
      </c>
      <c r="D102" s="224" t="s">
        <v>192</v>
      </c>
      <c r="E102" s="366" t="s">
        <v>193</v>
      </c>
      <c r="F102" s="366"/>
      <c r="G102" s="367" t="s">
        <v>194</v>
      </c>
      <c r="H102" s="368"/>
      <c r="I102" s="225" t="s">
        <v>195</v>
      </c>
      <c r="M102" s="173" t="s">
        <v>196</v>
      </c>
    </row>
    <row r="103" spans="1:13" x14ac:dyDescent="0.2">
      <c r="A103" s="226" t="s">
        <v>197</v>
      </c>
      <c r="B103" t="s">
        <v>198</v>
      </c>
      <c r="C103" s="226">
        <v>268</v>
      </c>
      <c r="D103" s="178" t="s">
        <v>199</v>
      </c>
      <c r="E103" s="369" t="s">
        <v>200</v>
      </c>
      <c r="F103" s="369"/>
      <c r="G103" s="370" t="s">
        <v>201</v>
      </c>
      <c r="H103" s="370"/>
      <c r="I103" s="226">
        <f>C103*9.17</f>
        <v>2457.56</v>
      </c>
      <c r="M103" t="s">
        <v>202</v>
      </c>
    </row>
    <row r="104" spans="1:13" x14ac:dyDescent="0.2">
      <c r="A104" s="226" t="s">
        <v>197</v>
      </c>
      <c r="B104" t="s">
        <v>203</v>
      </c>
      <c r="C104" s="226">
        <v>400</v>
      </c>
      <c r="D104" s="178" t="s">
        <v>199</v>
      </c>
      <c r="E104" s="362" t="s">
        <v>200</v>
      </c>
      <c r="F104" s="362"/>
      <c r="G104" s="364" t="s">
        <v>204</v>
      </c>
      <c r="H104" s="364"/>
      <c r="I104" s="226">
        <f>C104*9.17</f>
        <v>3668</v>
      </c>
      <c r="M104" t="s">
        <v>205</v>
      </c>
    </row>
    <row r="105" spans="1:13" x14ac:dyDescent="0.2">
      <c r="A105" s="188"/>
      <c r="B105" s="188"/>
      <c r="C105" s="188"/>
      <c r="D105" s="188"/>
      <c r="E105" s="227"/>
      <c r="F105" s="227"/>
      <c r="G105" s="177"/>
      <c r="I105" s="226"/>
    </row>
    <row r="106" spans="1:13" x14ac:dyDescent="0.2">
      <c r="A106" s="226" t="s">
        <v>206</v>
      </c>
      <c r="B106" t="s">
        <v>207</v>
      </c>
      <c r="C106" s="226">
        <v>48</v>
      </c>
      <c r="E106" s="362" t="s">
        <v>208</v>
      </c>
      <c r="F106" s="362"/>
      <c r="G106" s="363" t="s">
        <v>209</v>
      </c>
      <c r="H106" s="363"/>
      <c r="I106" s="226">
        <f>C106*18.67</f>
        <v>896.16000000000008</v>
      </c>
      <c r="J106" t="s">
        <v>210</v>
      </c>
      <c r="M106" t="s">
        <v>211</v>
      </c>
    </row>
    <row r="107" spans="1:13" x14ac:dyDescent="0.2">
      <c r="A107" s="226" t="s">
        <v>206</v>
      </c>
      <c r="B107" t="s">
        <v>207</v>
      </c>
      <c r="C107" s="226">
        <v>28</v>
      </c>
      <c r="E107" s="362" t="s">
        <v>212</v>
      </c>
      <c r="F107" s="362"/>
      <c r="G107" s="363" t="s">
        <v>209</v>
      </c>
      <c r="H107" s="363"/>
      <c r="I107" s="226">
        <f>C107*12.67</f>
        <v>354.76</v>
      </c>
      <c r="J107" t="s">
        <v>213</v>
      </c>
    </row>
    <row r="108" spans="1:13" x14ac:dyDescent="0.2">
      <c r="A108" s="226" t="s">
        <v>206</v>
      </c>
      <c r="B108" t="s">
        <v>207</v>
      </c>
      <c r="C108" s="226">
        <v>36</v>
      </c>
      <c r="E108" s="362" t="s">
        <v>214</v>
      </c>
      <c r="F108" s="362"/>
      <c r="G108" s="363" t="s">
        <v>215</v>
      </c>
      <c r="H108" s="363"/>
      <c r="I108" s="226">
        <f>C108*14.67</f>
        <v>528.12</v>
      </c>
      <c r="J108" t="s">
        <v>216</v>
      </c>
    </row>
    <row r="109" spans="1:13" x14ac:dyDescent="0.2">
      <c r="A109" s="226" t="s">
        <v>217</v>
      </c>
      <c r="B109" t="s">
        <v>218</v>
      </c>
      <c r="C109" s="226">
        <v>60</v>
      </c>
      <c r="D109" t="s">
        <v>200</v>
      </c>
      <c r="E109" s="362" t="s">
        <v>214</v>
      </c>
      <c r="F109" s="362"/>
      <c r="G109" s="363" t="s">
        <v>215</v>
      </c>
      <c r="H109" s="363"/>
      <c r="I109" s="226">
        <f>C109*14.67</f>
        <v>880.2</v>
      </c>
      <c r="J109" t="s">
        <v>219</v>
      </c>
      <c r="M109" t="s">
        <v>220</v>
      </c>
    </row>
    <row r="110" spans="1:13" x14ac:dyDescent="0.2">
      <c r="A110" s="188"/>
      <c r="B110" s="188"/>
      <c r="C110" s="188"/>
      <c r="D110" s="188"/>
      <c r="E110" s="361"/>
      <c r="F110" s="361"/>
      <c r="G110" s="177"/>
    </row>
    <row r="111" spans="1:13" x14ac:dyDescent="0.2">
      <c r="A111" s="228" t="s">
        <v>221</v>
      </c>
      <c r="B111" s="188"/>
      <c r="C111" s="226">
        <v>1400</v>
      </c>
      <c r="D111" s="188"/>
      <c r="E111" s="361"/>
      <c r="F111" s="361"/>
      <c r="G111" s="177"/>
    </row>
    <row r="112" spans="1:13" x14ac:dyDescent="0.2">
      <c r="A112" s="228" t="s">
        <v>222</v>
      </c>
      <c r="B112" s="188"/>
      <c r="C112" s="226">
        <v>469</v>
      </c>
      <c r="D112" s="188"/>
      <c r="E112" s="361"/>
      <c r="F112" s="361"/>
      <c r="G112" s="177"/>
    </row>
    <row r="113" spans="1:7" x14ac:dyDescent="0.2">
      <c r="A113" s="228" t="s">
        <v>223</v>
      </c>
      <c r="B113" s="188"/>
      <c r="C113" s="226">
        <v>212</v>
      </c>
      <c r="D113" s="188"/>
      <c r="E113" s="188"/>
      <c r="F113" s="188"/>
      <c r="G113" s="177"/>
    </row>
  </sheetData>
  <mergeCells count="37">
    <mergeCell ref="E112:F112"/>
    <mergeCell ref="E108:F108"/>
    <mergeCell ref="G108:H108"/>
    <mergeCell ref="E109:F109"/>
    <mergeCell ref="G109:H109"/>
    <mergeCell ref="E110:F110"/>
    <mergeCell ref="E111:F111"/>
    <mergeCell ref="E104:F104"/>
    <mergeCell ref="G104:H104"/>
    <mergeCell ref="E106:F106"/>
    <mergeCell ref="G106:H106"/>
    <mergeCell ref="E107:F107"/>
    <mergeCell ref="G107:H107"/>
    <mergeCell ref="E96:G96"/>
    <mergeCell ref="I96:J96"/>
    <mergeCell ref="E102:F102"/>
    <mergeCell ref="G102:H102"/>
    <mergeCell ref="E103:F103"/>
    <mergeCell ref="G103:H103"/>
    <mergeCell ref="D74:E74"/>
    <mergeCell ref="I74:J74"/>
    <mergeCell ref="D83:E83"/>
    <mergeCell ref="I83:J83"/>
    <mergeCell ref="D90:E90"/>
    <mergeCell ref="I90:J90"/>
    <mergeCell ref="D50:E50"/>
    <mergeCell ref="I50:J50"/>
    <mergeCell ref="D58:E58"/>
    <mergeCell ref="I58:J58"/>
    <mergeCell ref="D66:E66"/>
    <mergeCell ref="I66:J66"/>
    <mergeCell ref="C1:D1"/>
    <mergeCell ref="C2:D2"/>
    <mergeCell ref="D32:E32"/>
    <mergeCell ref="I32:J32"/>
    <mergeCell ref="D41:E41"/>
    <mergeCell ref="I41:J4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workbookViewId="0">
      <selection activeCell="K14" sqref="K14:P17"/>
    </sheetView>
  </sheetViews>
  <sheetFormatPr defaultRowHeight="12.75" x14ac:dyDescent="0.2"/>
  <cols>
    <col min="1" max="1" width="2" bestFit="1" customWidth="1"/>
    <col min="2" max="2" width="30" bestFit="1" customWidth="1"/>
    <col min="3" max="3" width="10.140625" bestFit="1" customWidth="1"/>
    <col min="4" max="4" width="9" bestFit="1" customWidth="1"/>
    <col min="5" max="5" width="12.85546875" bestFit="1" customWidth="1"/>
    <col min="6" max="6" width="5.140625" bestFit="1" customWidth="1"/>
    <col min="7" max="7" width="18.140625" bestFit="1" customWidth="1"/>
    <col min="8" max="8" width="6.85546875" bestFit="1" customWidth="1"/>
    <col min="9" max="9" width="11.5703125" bestFit="1" customWidth="1"/>
    <col min="10" max="10" width="9.42578125" customWidth="1"/>
    <col min="11" max="11" width="11.5703125" bestFit="1" customWidth="1"/>
    <col min="12" max="12" width="19" bestFit="1" customWidth="1"/>
    <col min="13" max="13" width="5.140625" bestFit="1" customWidth="1"/>
    <col min="14" max="14" width="13.85546875" bestFit="1" customWidth="1"/>
    <col min="15" max="15" width="19" bestFit="1" customWidth="1"/>
    <col min="16" max="16" width="11.285156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SUM(O90)</f>
        <v>54015.012660279172</v>
      </c>
      <c r="H1" s="237" t="s">
        <v>0</v>
      </c>
      <c r="I1" s="237"/>
      <c r="J1" s="201"/>
      <c r="K1" s="237"/>
      <c r="L1" s="237"/>
      <c r="M1" s="237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237"/>
      <c r="I2" s="237"/>
      <c r="J2" s="237"/>
      <c r="K2" s="237"/>
      <c r="L2" s="204" t="s">
        <v>152</v>
      </c>
      <c r="M2" s="205"/>
      <c r="N2" s="204" t="s">
        <v>153</v>
      </c>
      <c r="O2" s="237"/>
      <c r="P2" s="237"/>
    </row>
    <row r="3" spans="1:16" ht="18.75" thickBot="1" x14ac:dyDescent="0.3">
      <c r="A3" s="296"/>
      <c r="B3" s="92" t="s">
        <v>84</v>
      </c>
      <c r="C3" s="172" t="s">
        <v>278</v>
      </c>
      <c r="D3" s="100" t="s">
        <v>102</v>
      </c>
      <c r="E3" s="302"/>
      <c r="F3" s="302"/>
      <c r="G3" s="302"/>
      <c r="H3" s="236"/>
      <c r="I3" s="237">
        <f>20*40</f>
        <v>800</v>
      </c>
      <c r="J3" s="201" t="s">
        <v>12</v>
      </c>
      <c r="K3" s="236"/>
      <c r="L3" s="203">
        <f>SUM(L90/I3)</f>
        <v>45.012510550232633</v>
      </c>
      <c r="M3" s="236"/>
      <c r="N3" s="203">
        <f>SUM(G1/I3)</f>
        <v>67.518765825348964</v>
      </c>
      <c r="O3" s="236"/>
      <c r="P3" s="236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239" t="s">
        <v>46</v>
      </c>
      <c r="H7" s="355">
        <v>0.5</v>
      </c>
      <c r="I7" s="355"/>
      <c r="J7" s="308"/>
      <c r="K7" s="356" t="s">
        <v>123</v>
      </c>
      <c r="L7" s="356"/>
      <c r="M7" s="239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239" t="s">
        <v>47</v>
      </c>
      <c r="H8" s="316">
        <f>SUM(N29,N43,M64,M76,M86)</f>
        <v>18005.004220093055</v>
      </c>
      <c r="I8" s="316"/>
      <c r="J8" s="308"/>
      <c r="K8" s="357">
        <f>N8*H8</f>
        <v>3601000.8440186111</v>
      </c>
      <c r="L8" s="357"/>
      <c r="M8" s="239" t="s">
        <v>103</v>
      </c>
      <c r="N8" s="195">
        <v>200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239" t="s">
        <v>48</v>
      </c>
      <c r="H9" s="320">
        <f>H8/2</f>
        <v>9002.5021100465274</v>
      </c>
      <c r="I9" s="320"/>
      <c r="J9" s="308"/>
      <c r="K9" s="10"/>
      <c r="L9" s="11">
        <f>200*H9</f>
        <v>1800500.4220093056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42193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239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239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239" t="s">
        <v>50</v>
      </c>
      <c r="H14" s="316">
        <f>SUM(H45,J64,J76,J86)</f>
        <v>6558.0882104629627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239" t="s">
        <v>52</v>
      </c>
      <c r="H15" s="320">
        <f>H14/2</f>
        <v>3279.0441052314814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16</v>
      </c>
      <c r="D20" s="69">
        <f>SUM(E15)</f>
        <v>15</v>
      </c>
      <c r="E20" s="241">
        <f t="shared" ref="E20:E28" si="0">IF(A20="X",D20*C20,0)</f>
        <v>240</v>
      </c>
      <c r="F20" s="242" t="s">
        <v>25</v>
      </c>
      <c r="G20" s="107">
        <f t="shared" ref="G20:G28" si="1">E20*$F$19</f>
        <v>72</v>
      </c>
      <c r="H20" s="25" t="s">
        <v>25</v>
      </c>
      <c r="I20" s="15">
        <f t="shared" ref="I20:I28" si="2">E20*$H$19</f>
        <v>60</v>
      </c>
      <c r="J20" s="108"/>
      <c r="K20" s="109"/>
      <c r="L20" s="3">
        <f t="shared" ref="L20:L28" si="3">SUM(E20:K20)</f>
        <v>372</v>
      </c>
      <c r="M20" s="26" t="s">
        <v>25</v>
      </c>
      <c r="N20" s="15">
        <f t="shared" ref="N20:N28" si="4">L20*$M$19</f>
        <v>186</v>
      </c>
      <c r="O20" s="3">
        <f t="shared" ref="O20:O28" si="5">SUM(N20+L20)</f>
        <v>558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241">
        <f t="shared" si="0"/>
        <v>120</v>
      </c>
      <c r="F21" s="240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</row>
    <row r="22" spans="1:16" x14ac:dyDescent="0.2">
      <c r="A22" s="95" t="s">
        <v>68</v>
      </c>
      <c r="B22" s="151" t="s">
        <v>242</v>
      </c>
      <c r="C22" s="82">
        <v>18</v>
      </c>
      <c r="D22" s="69">
        <v>20</v>
      </c>
      <c r="E22" s="241">
        <f>IF(A22="X",D22*C22,0)</f>
        <v>360</v>
      </c>
      <c r="F22" s="240" t="s">
        <v>25</v>
      </c>
      <c r="G22" s="107">
        <f t="shared" si="1"/>
        <v>108</v>
      </c>
      <c r="H22" s="27" t="s">
        <v>25</v>
      </c>
      <c r="I22" s="15">
        <f t="shared" si="2"/>
        <v>90</v>
      </c>
      <c r="J22" s="110"/>
      <c r="K22" s="111"/>
      <c r="L22" s="3">
        <f t="shared" si="3"/>
        <v>558</v>
      </c>
      <c r="M22" s="26" t="s">
        <v>25</v>
      </c>
      <c r="N22" s="15">
        <f t="shared" si="4"/>
        <v>279</v>
      </c>
      <c r="O22" s="3">
        <f>SUM(N22+L22)</f>
        <v>837</v>
      </c>
      <c r="P22" s="80">
        <f t="shared" si="6"/>
        <v>837</v>
      </c>
    </row>
    <row r="23" spans="1:16" x14ac:dyDescent="0.2">
      <c r="A23" s="95" t="s">
        <v>68</v>
      </c>
      <c r="B23" s="151" t="s">
        <v>79</v>
      </c>
      <c r="C23" s="82">
        <v>8</v>
      </c>
      <c r="D23" s="69">
        <v>15</v>
      </c>
      <c r="E23" s="241">
        <f>IF(A23="X",D23*C23,0)</f>
        <v>120</v>
      </c>
      <c r="F23" s="240" t="s">
        <v>25</v>
      </c>
      <c r="G23" s="107">
        <f t="shared" si="1"/>
        <v>36</v>
      </c>
      <c r="H23" s="27" t="s">
        <v>25</v>
      </c>
      <c r="I23" s="15">
        <f t="shared" si="2"/>
        <v>30</v>
      </c>
      <c r="J23" s="110"/>
      <c r="K23" s="111"/>
      <c r="L23" s="3">
        <f t="shared" si="3"/>
        <v>186</v>
      </c>
      <c r="M23" s="26" t="s">
        <v>25</v>
      </c>
      <c r="N23" s="15">
        <f t="shared" si="4"/>
        <v>93</v>
      </c>
      <c r="O23" s="3">
        <f>SUM(N23+L23)</f>
        <v>279</v>
      </c>
      <c r="P23" s="80">
        <f t="shared" si="6"/>
        <v>279</v>
      </c>
    </row>
    <row r="24" spans="1:16" x14ac:dyDescent="0.2">
      <c r="A24" s="95" t="s">
        <v>68</v>
      </c>
      <c r="B24" s="151" t="s">
        <v>72</v>
      </c>
      <c r="C24" s="82">
        <v>6</v>
      </c>
      <c r="D24" s="159">
        <f>SUM(E16)</f>
        <v>16.100000000000001</v>
      </c>
      <c r="E24" s="241">
        <f>IF(A24="X",D24*C24,0)</f>
        <v>96.600000000000009</v>
      </c>
      <c r="F24" s="240" t="s">
        <v>25</v>
      </c>
      <c r="G24" s="107">
        <f t="shared" si="1"/>
        <v>28.98</v>
      </c>
      <c r="H24" s="27" t="s">
        <v>25</v>
      </c>
      <c r="I24" s="15">
        <f t="shared" si="2"/>
        <v>24.150000000000002</v>
      </c>
      <c r="J24" s="110"/>
      <c r="K24" s="111"/>
      <c r="L24" s="3">
        <f t="shared" si="3"/>
        <v>149.73000000000002</v>
      </c>
      <c r="M24" s="26" t="s">
        <v>25</v>
      </c>
      <c r="N24" s="15">
        <f t="shared" si="4"/>
        <v>74.865000000000009</v>
      </c>
      <c r="O24" s="3">
        <f>SUM(N24+L24)</f>
        <v>224.59500000000003</v>
      </c>
      <c r="P24" s="80">
        <f t="shared" si="6"/>
        <v>224.59500000000003</v>
      </c>
    </row>
    <row r="25" spans="1:16" x14ac:dyDescent="0.2">
      <c r="A25" s="33" t="s">
        <v>26</v>
      </c>
      <c r="B25" s="151" t="s">
        <v>154</v>
      </c>
      <c r="C25" s="82">
        <v>10</v>
      </c>
      <c r="D25" s="69">
        <f>SUM(E15)</f>
        <v>15</v>
      </c>
      <c r="E25" s="241">
        <f t="shared" si="0"/>
        <v>150</v>
      </c>
      <c r="F25" s="240" t="s">
        <v>25</v>
      </c>
      <c r="G25" s="107">
        <f t="shared" si="1"/>
        <v>45</v>
      </c>
      <c r="H25" s="27" t="s">
        <v>25</v>
      </c>
      <c r="I25" s="15">
        <f t="shared" si="2"/>
        <v>37.5</v>
      </c>
      <c r="J25" s="110"/>
      <c r="K25" s="111"/>
      <c r="L25" s="3">
        <f t="shared" si="3"/>
        <v>232.5</v>
      </c>
      <c r="M25" s="26" t="s">
        <v>25</v>
      </c>
      <c r="N25" s="15">
        <f t="shared" si="4"/>
        <v>116.25</v>
      </c>
      <c r="O25" s="3">
        <f t="shared" si="5"/>
        <v>348.75</v>
      </c>
      <c r="P25" s="80">
        <f t="shared" si="6"/>
        <v>348.75</v>
      </c>
    </row>
    <row r="26" spans="1:16" x14ac:dyDescent="0.2">
      <c r="A26" s="149" t="s">
        <v>68</v>
      </c>
      <c r="B26" s="151" t="s">
        <v>148</v>
      </c>
      <c r="C26" s="82">
        <v>16</v>
      </c>
      <c r="D26" s="159">
        <f>SUM(E16)</f>
        <v>16.100000000000001</v>
      </c>
      <c r="E26" s="241">
        <f t="shared" si="0"/>
        <v>257.60000000000002</v>
      </c>
      <c r="F26" s="240" t="s">
        <v>25</v>
      </c>
      <c r="G26" s="107">
        <f t="shared" si="1"/>
        <v>77.28</v>
      </c>
      <c r="H26" s="27" t="s">
        <v>25</v>
      </c>
      <c r="I26" s="15">
        <f t="shared" si="2"/>
        <v>64.400000000000006</v>
      </c>
      <c r="J26" s="110"/>
      <c r="K26" s="111"/>
      <c r="L26" s="3">
        <f t="shared" si="3"/>
        <v>399.28</v>
      </c>
      <c r="M26" s="26" t="s">
        <v>25</v>
      </c>
      <c r="N26" s="15">
        <f t="shared" si="4"/>
        <v>199.64</v>
      </c>
      <c r="O26" s="3">
        <f t="shared" si="5"/>
        <v>598.91999999999996</v>
      </c>
      <c r="P26" s="80">
        <f t="shared" si="6"/>
        <v>598.91999999999996</v>
      </c>
    </row>
    <row r="27" spans="1:16" x14ac:dyDescent="0.2">
      <c r="A27" s="149" t="s">
        <v>68</v>
      </c>
      <c r="B27" s="93" t="s">
        <v>81</v>
      </c>
      <c r="C27" s="82">
        <v>1</v>
      </c>
      <c r="D27" s="159">
        <f>SUM(E16)</f>
        <v>16.100000000000001</v>
      </c>
      <c r="E27" s="241">
        <f t="shared" si="0"/>
        <v>16.100000000000001</v>
      </c>
      <c r="F27" s="240" t="s">
        <v>25</v>
      </c>
      <c r="G27" s="107">
        <f t="shared" si="1"/>
        <v>4.83</v>
      </c>
      <c r="H27" s="27" t="s">
        <v>25</v>
      </c>
      <c r="I27" s="15">
        <f t="shared" si="2"/>
        <v>4.0250000000000004</v>
      </c>
      <c r="J27" s="110"/>
      <c r="K27" s="111"/>
      <c r="L27" s="3">
        <f t="shared" si="3"/>
        <v>24.954999999999998</v>
      </c>
      <c r="M27" s="26" t="s">
        <v>25</v>
      </c>
      <c r="N27" s="15">
        <f t="shared" si="4"/>
        <v>12.477499999999999</v>
      </c>
      <c r="O27" s="3">
        <f t="shared" si="5"/>
        <v>37.432499999999997</v>
      </c>
      <c r="P27" s="80">
        <f t="shared" si="6"/>
        <v>37.432499999999997</v>
      </c>
    </row>
    <row r="28" spans="1:16" x14ac:dyDescent="0.2">
      <c r="A28" s="149" t="s">
        <v>68</v>
      </c>
      <c r="B28" s="93" t="s">
        <v>149</v>
      </c>
      <c r="C28" s="64">
        <v>50</v>
      </c>
      <c r="D28" s="69">
        <v>16</v>
      </c>
      <c r="E28" s="241">
        <f t="shared" si="0"/>
        <v>800</v>
      </c>
      <c r="F28" s="112" t="s">
        <v>25</v>
      </c>
      <c r="G28" s="113">
        <f t="shared" si="1"/>
        <v>240</v>
      </c>
      <c r="H28" s="114" t="s">
        <v>25</v>
      </c>
      <c r="I28" s="119">
        <f t="shared" si="2"/>
        <v>200</v>
      </c>
      <c r="J28" s="115"/>
      <c r="K28" s="116"/>
      <c r="L28" s="117">
        <f t="shared" si="3"/>
        <v>1240</v>
      </c>
      <c r="M28" s="118" t="s">
        <v>25</v>
      </c>
      <c r="N28" s="119">
        <f t="shared" si="4"/>
        <v>620</v>
      </c>
      <c r="O28" s="117">
        <f t="shared" si="5"/>
        <v>1860</v>
      </c>
      <c r="P28" s="80">
        <f t="shared" si="6"/>
        <v>1860</v>
      </c>
    </row>
    <row r="29" spans="1:16" x14ac:dyDescent="0.2">
      <c r="A29" s="9"/>
      <c r="B29" s="24"/>
      <c r="C29" s="65">
        <f>SUM(C20:C28)</f>
        <v>133</v>
      </c>
      <c r="D29" s="60"/>
      <c r="E29" s="48">
        <f>SUM(E20:E28)</f>
        <v>2160.2999999999997</v>
      </c>
      <c r="F29" s="120" t="s">
        <v>25</v>
      </c>
      <c r="G29" s="59">
        <f>SUM(G20:G28)</f>
        <v>648.08999999999992</v>
      </c>
      <c r="H29" s="121" t="s">
        <v>25</v>
      </c>
      <c r="I29" s="57">
        <f>SUM(I20:I28)</f>
        <v>540.07499999999993</v>
      </c>
      <c r="J29" s="121"/>
      <c r="K29" s="59"/>
      <c r="L29" s="63">
        <f>SUM(L20:L28)</f>
        <v>3348.4650000000001</v>
      </c>
      <c r="M29" s="121" t="s">
        <v>25</v>
      </c>
      <c r="N29" s="57">
        <f>SUM(N20:N28)</f>
        <v>1674.2325000000001</v>
      </c>
      <c r="O29" s="58">
        <f>SUM(O20:O28)</f>
        <v>5022.6975000000002</v>
      </c>
      <c r="P29" s="122">
        <f>SUM(O29/1)</f>
        <v>5022.6975000000002</v>
      </c>
    </row>
    <row r="30" spans="1:16" x14ac:dyDescent="0.2">
      <c r="A30" s="9"/>
      <c r="B30" s="24"/>
      <c r="C30" s="82"/>
      <c r="D30" s="45"/>
      <c r="E30" s="241"/>
      <c r="F30" s="240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241"/>
      <c r="F31" s="240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26</v>
      </c>
      <c r="D32" s="45">
        <v>40</v>
      </c>
      <c r="E32" s="241">
        <f>IF(A32="X",D32*C32,0)</f>
        <v>1040</v>
      </c>
      <c r="F32" s="112" t="s">
        <v>25</v>
      </c>
      <c r="G32" s="113">
        <f>E32*$F$19</f>
        <v>312</v>
      </c>
      <c r="H32" s="27" t="s">
        <v>25</v>
      </c>
      <c r="I32" s="15">
        <f t="shared" ref="I32:I42" si="7">E32*$H$19</f>
        <v>260</v>
      </c>
      <c r="J32" s="110"/>
      <c r="K32" s="111"/>
      <c r="L32" s="3">
        <f t="shared" ref="L32:L42" si="8">SUM(E32:K32)</f>
        <v>1612</v>
      </c>
      <c r="M32" s="26" t="s">
        <v>25</v>
      </c>
      <c r="N32" s="15">
        <f t="shared" ref="N32:N42" si="9">L32*$M$19</f>
        <v>806</v>
      </c>
      <c r="O32" s="3">
        <f>SUM(N32+L32)</f>
        <v>2418</v>
      </c>
      <c r="P32" s="80">
        <f t="shared" ref="P32:P45" si="10">SUM(O32)</f>
        <v>2418</v>
      </c>
    </row>
    <row r="33" spans="1:16" x14ac:dyDescent="0.2">
      <c r="A33" s="150" t="str">
        <f>IF(A20="X",A20,"")</f>
        <v>x</v>
      </c>
      <c r="B33" s="151" t="s">
        <v>227</v>
      </c>
      <c r="C33" s="83">
        <v>16</v>
      </c>
      <c r="D33" s="45">
        <v>40</v>
      </c>
      <c r="E33" s="241">
        <f t="shared" ref="E33:E42" si="11">IF(A33="X",D33*C33,0)</f>
        <v>640</v>
      </c>
      <c r="F33" s="240" t="s">
        <v>25</v>
      </c>
      <c r="G33" s="107">
        <f t="shared" ref="G33:G42" si="12">E33*$F$19</f>
        <v>192</v>
      </c>
      <c r="H33" s="27" t="s">
        <v>25</v>
      </c>
      <c r="I33" s="15">
        <f t="shared" si="7"/>
        <v>160</v>
      </c>
      <c r="J33" s="110"/>
      <c r="K33" s="111"/>
      <c r="L33" s="3">
        <f t="shared" si="8"/>
        <v>992</v>
      </c>
      <c r="M33" s="26" t="s">
        <v>25</v>
      </c>
      <c r="N33" s="15">
        <f t="shared" si="9"/>
        <v>496</v>
      </c>
      <c r="O33" s="3">
        <f t="shared" ref="O33:O42" si="13">SUM(N33+L33)</f>
        <v>1488</v>
      </c>
      <c r="P33" s="80">
        <f t="shared" si="10"/>
        <v>1488</v>
      </c>
    </row>
    <row r="34" spans="1:16" x14ac:dyDescent="0.2">
      <c r="A34" s="150" t="str">
        <f>IF(A21="X",A21,"")</f>
        <v>X</v>
      </c>
      <c r="B34" s="93" t="s">
        <v>75</v>
      </c>
      <c r="C34" s="83">
        <v>2</v>
      </c>
      <c r="D34" s="45">
        <v>40</v>
      </c>
      <c r="E34" s="241">
        <f t="shared" si="11"/>
        <v>80</v>
      </c>
      <c r="F34" s="112" t="s">
        <v>25</v>
      </c>
      <c r="G34" s="113">
        <f t="shared" si="12"/>
        <v>24</v>
      </c>
      <c r="H34" s="27" t="s">
        <v>25</v>
      </c>
      <c r="I34" s="15">
        <f t="shared" si="7"/>
        <v>20</v>
      </c>
      <c r="J34" s="110"/>
      <c r="K34" s="111"/>
      <c r="L34" s="3">
        <f t="shared" si="8"/>
        <v>124</v>
      </c>
      <c r="M34" s="26" t="s">
        <v>25</v>
      </c>
      <c r="N34" s="15">
        <f t="shared" si="9"/>
        <v>62</v>
      </c>
      <c r="O34" s="3">
        <f t="shared" si="13"/>
        <v>186</v>
      </c>
      <c r="P34" s="80">
        <f t="shared" si="10"/>
        <v>186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2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3</v>
      </c>
      <c r="D36" s="45">
        <v>40</v>
      </c>
      <c r="E36" s="241">
        <f>IF(A36="X",D36*C36,0)</f>
        <v>120</v>
      </c>
      <c r="F36" s="240" t="s">
        <v>25</v>
      </c>
      <c r="G36" s="107">
        <f t="shared" si="12"/>
        <v>36</v>
      </c>
      <c r="H36" s="27" t="s">
        <v>25</v>
      </c>
      <c r="I36" s="15">
        <f t="shared" si="7"/>
        <v>30</v>
      </c>
      <c r="J36" s="110"/>
      <c r="K36" s="111"/>
      <c r="L36" s="3">
        <f t="shared" si="8"/>
        <v>186</v>
      </c>
      <c r="M36" s="26" t="s">
        <v>25</v>
      </c>
      <c r="N36" s="15">
        <f t="shared" si="9"/>
        <v>93</v>
      </c>
      <c r="O36" s="3">
        <f>SUM(N36+L36)</f>
        <v>279</v>
      </c>
      <c r="P36" s="80">
        <f t="shared" si="10"/>
        <v>279</v>
      </c>
    </row>
    <row r="37" spans="1:16" x14ac:dyDescent="0.2">
      <c r="A37" s="150" t="str">
        <f>IF(A23="X",A23,"")</f>
        <v>x</v>
      </c>
      <c r="B37" s="151" t="s">
        <v>124</v>
      </c>
      <c r="C37" s="83">
        <v>1</v>
      </c>
      <c r="D37" s="45">
        <v>40</v>
      </c>
      <c r="E37" s="241">
        <f>IF(A37="X",D37*C37,0)</f>
        <v>40</v>
      </c>
      <c r="F37" s="240" t="s">
        <v>25</v>
      </c>
      <c r="G37" s="107">
        <f t="shared" si="12"/>
        <v>12</v>
      </c>
      <c r="H37" s="27" t="s">
        <v>25</v>
      </c>
      <c r="I37" s="15">
        <f t="shared" si="7"/>
        <v>10</v>
      </c>
      <c r="J37" s="110"/>
      <c r="K37" s="111"/>
      <c r="L37" s="3">
        <f t="shared" si="8"/>
        <v>62</v>
      </c>
      <c r="M37" s="26" t="s">
        <v>25</v>
      </c>
      <c r="N37" s="15">
        <f t="shared" si="9"/>
        <v>31</v>
      </c>
      <c r="O37" s="3">
        <f>SUM(N37+L37)</f>
        <v>93</v>
      </c>
      <c r="P37" s="80">
        <f t="shared" si="10"/>
        <v>93</v>
      </c>
    </row>
    <row r="38" spans="1:16" x14ac:dyDescent="0.2">
      <c r="A38" s="150" t="str">
        <f>IF(A24="X",A24,"")</f>
        <v>x</v>
      </c>
      <c r="B38" s="151" t="s">
        <v>72</v>
      </c>
      <c r="C38" s="83">
        <v>8</v>
      </c>
      <c r="D38" s="45">
        <v>40</v>
      </c>
      <c r="E38" s="241">
        <f>IF(A38="X",D38*C38,0)</f>
        <v>320</v>
      </c>
      <c r="F38" s="240" t="s">
        <v>25</v>
      </c>
      <c r="G38" s="107">
        <f t="shared" si="12"/>
        <v>96</v>
      </c>
      <c r="H38" s="27" t="s">
        <v>25</v>
      </c>
      <c r="I38" s="15">
        <f t="shared" si="7"/>
        <v>80</v>
      </c>
      <c r="J38" s="110"/>
      <c r="K38" s="111"/>
      <c r="L38" s="3">
        <f t="shared" si="8"/>
        <v>496</v>
      </c>
      <c r="M38" s="26" t="s">
        <v>25</v>
      </c>
      <c r="N38" s="15">
        <f t="shared" si="9"/>
        <v>248</v>
      </c>
      <c r="O38" s="3">
        <f>SUM(N38+L38)</f>
        <v>744</v>
      </c>
      <c r="P38" s="80">
        <f t="shared" si="10"/>
        <v>744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2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12</v>
      </c>
      <c r="D40" s="45">
        <v>40</v>
      </c>
      <c r="E40" s="241">
        <f t="shared" si="11"/>
        <v>480</v>
      </c>
      <c r="F40" s="112" t="s">
        <v>25</v>
      </c>
      <c r="G40" s="113">
        <f t="shared" si="12"/>
        <v>144</v>
      </c>
      <c r="H40" s="27" t="s">
        <v>25</v>
      </c>
      <c r="I40" s="15">
        <f t="shared" si="7"/>
        <v>120</v>
      </c>
      <c r="J40" s="110"/>
      <c r="K40" s="111"/>
      <c r="L40" s="3">
        <f t="shared" si="8"/>
        <v>744</v>
      </c>
      <c r="M40" s="26" t="s">
        <v>25</v>
      </c>
      <c r="N40" s="15">
        <f t="shared" si="9"/>
        <v>372</v>
      </c>
      <c r="O40" s="3">
        <f t="shared" si="13"/>
        <v>1116</v>
      </c>
      <c r="P40" s="80">
        <f t="shared" si="10"/>
        <v>1116</v>
      </c>
    </row>
    <row r="41" spans="1:16" x14ac:dyDescent="0.2">
      <c r="A41" s="166" t="s">
        <v>68</v>
      </c>
      <c r="B41" s="93" t="s">
        <v>81</v>
      </c>
      <c r="C41" s="83">
        <v>4</v>
      </c>
      <c r="D41" s="45">
        <v>40</v>
      </c>
      <c r="E41" s="241">
        <f t="shared" si="11"/>
        <v>160</v>
      </c>
      <c r="F41" s="112" t="s">
        <v>25</v>
      </c>
      <c r="G41" s="113">
        <f t="shared" si="12"/>
        <v>48</v>
      </c>
      <c r="H41" s="27" t="s">
        <v>25</v>
      </c>
      <c r="I41" s="15">
        <f t="shared" si="7"/>
        <v>40</v>
      </c>
      <c r="J41" s="110"/>
      <c r="K41" s="111"/>
      <c r="L41" s="3">
        <f t="shared" si="8"/>
        <v>248</v>
      </c>
      <c r="M41" s="26" t="s">
        <v>25</v>
      </c>
      <c r="N41" s="15">
        <f t="shared" si="9"/>
        <v>124</v>
      </c>
      <c r="O41" s="3">
        <f t="shared" si="13"/>
        <v>372</v>
      </c>
      <c r="P41" s="80">
        <f t="shared" si="10"/>
        <v>372</v>
      </c>
    </row>
    <row r="42" spans="1:16" x14ac:dyDescent="0.2">
      <c r="A42" s="150"/>
      <c r="B42" s="93"/>
      <c r="C42" s="83">
        <v>0</v>
      </c>
      <c r="D42" s="45">
        <v>40</v>
      </c>
      <c r="E42" s="2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72</v>
      </c>
      <c r="D43" s="60"/>
      <c r="E43" s="60">
        <f>SUM(E32:E42)</f>
        <v>2880</v>
      </c>
      <c r="F43" s="123" t="s">
        <v>25</v>
      </c>
      <c r="G43" s="61">
        <f>SUM(G32:G42)</f>
        <v>864</v>
      </c>
      <c r="H43" s="124" t="s">
        <v>25</v>
      </c>
      <c r="I43" s="62">
        <f>SUM(I32:I42)</f>
        <v>720</v>
      </c>
      <c r="J43" s="124"/>
      <c r="K43" s="61"/>
      <c r="L43" s="63">
        <f>SUM(L32:L42)</f>
        <v>4464</v>
      </c>
      <c r="M43" s="124" t="s">
        <v>25</v>
      </c>
      <c r="N43" s="62">
        <f>SUM(N32:N42)</f>
        <v>2232</v>
      </c>
      <c r="O43" s="63">
        <f>SUM(O32:O42)</f>
        <v>6696</v>
      </c>
      <c r="P43" s="80">
        <f t="shared" si="10"/>
        <v>6696</v>
      </c>
    </row>
    <row r="44" spans="1:16" ht="13.5" thickBot="1" x14ac:dyDescent="0.25">
      <c r="A44" s="9"/>
      <c r="B44" s="49" t="s">
        <v>73</v>
      </c>
      <c r="C44" s="161">
        <f>SUM(C29+C43)</f>
        <v>205</v>
      </c>
      <c r="D44" s="45"/>
      <c r="E44" s="241"/>
      <c r="F44" s="240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5040.2999999999993</v>
      </c>
      <c r="F45" s="328">
        <f>G43+G29</f>
        <v>1512.09</v>
      </c>
      <c r="G45" s="329"/>
      <c r="H45" s="328">
        <f>I43+I29</f>
        <v>1260.0749999999998</v>
      </c>
      <c r="I45" s="329"/>
      <c r="J45" s="328"/>
      <c r="K45" s="329"/>
      <c r="L45" s="31">
        <f>L43+L29</f>
        <v>7812.4650000000001</v>
      </c>
      <c r="M45" s="330">
        <f>N43+N29</f>
        <v>3906.2325000000001</v>
      </c>
      <c r="N45" s="331"/>
      <c r="O45" s="31">
        <f>O43+O29</f>
        <v>11718.6975</v>
      </c>
      <c r="P45" s="80">
        <f t="shared" si="10"/>
        <v>11718.6975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237">
        <v>39295</v>
      </c>
      <c r="D48" s="237"/>
      <c r="E48" s="237"/>
      <c r="F48" s="237"/>
      <c r="G48" s="237"/>
      <c r="H48" s="237"/>
      <c r="I48" s="237"/>
      <c r="J48" s="237"/>
      <c r="K48" s="237"/>
      <c r="L48" s="237"/>
      <c r="M48" s="160">
        <f>H7</f>
        <v>0.5</v>
      </c>
      <c r="N48" s="237"/>
      <c r="O48" s="237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f>H7</f>
        <v>0.5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/>
      <c r="B50" s="93" t="s">
        <v>187</v>
      </c>
      <c r="C50" s="85">
        <v>0</v>
      </c>
      <c r="D50" s="94" t="s">
        <v>18</v>
      </c>
      <c r="E50" s="51">
        <v>105</v>
      </c>
      <c r="F50" s="334">
        <f t="shared" ref="F50:F60" si="14">IF(A50="x",SUM(C50*E50),0)</f>
        <v>0</v>
      </c>
      <c r="G50" s="335"/>
      <c r="H50" s="334">
        <f t="shared" ref="H50:H60" si="15">F50*$H$49</f>
        <v>0</v>
      </c>
      <c r="I50" s="335"/>
      <c r="J50" s="25" t="s">
        <v>25</v>
      </c>
      <c r="K50" s="15">
        <f>F50*$J$49</f>
        <v>0</v>
      </c>
      <c r="L50" s="3">
        <f t="shared" ref="L50:L63" si="16">SUM(F50:K50)</f>
        <v>0</v>
      </c>
      <c r="M50" s="26" t="s">
        <v>25</v>
      </c>
      <c r="N50" s="15">
        <f>L50*$M$48</f>
        <v>0</v>
      </c>
      <c r="O50" s="3">
        <f t="shared" ref="O50:O60" si="17">SUM(N50+L50)</f>
        <v>0</v>
      </c>
      <c r="P50" s="80">
        <f t="shared" ref="P50:P64" si="18">SUM(O50)</f>
        <v>0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500</v>
      </c>
      <c r="F51" s="336">
        <f>IF(A51="x",SUM(C51*E51),0)</f>
        <v>500</v>
      </c>
      <c r="G51" s="337"/>
      <c r="H51" s="336">
        <f>F51*$H$49</f>
        <v>46.25</v>
      </c>
      <c r="I51" s="337"/>
      <c r="J51" s="27" t="s">
        <v>25</v>
      </c>
      <c r="K51" s="15">
        <f t="shared" ref="K51:K63" si="19">F51*$J$49</f>
        <v>125</v>
      </c>
      <c r="L51" s="3">
        <f t="shared" si="16"/>
        <v>671.25</v>
      </c>
      <c r="M51" s="26" t="s">
        <v>25</v>
      </c>
      <c r="N51" s="15">
        <f t="shared" ref="N51:N63" si="20">L51*$M$49</f>
        <v>335.625</v>
      </c>
      <c r="O51" s="3">
        <f>SUM(N51+L51)</f>
        <v>1006.875</v>
      </c>
      <c r="P51" s="80">
        <f t="shared" si="18"/>
        <v>1006.875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</row>
    <row r="53" spans="1:16" x14ac:dyDescent="0.2">
      <c r="A53" s="95" t="s">
        <v>68</v>
      </c>
      <c r="B53" s="93" t="s">
        <v>151</v>
      </c>
      <c r="C53" s="85">
        <v>2000</v>
      </c>
      <c r="D53" s="94" t="s">
        <v>17</v>
      </c>
      <c r="E53" s="28">
        <v>0.3</v>
      </c>
      <c r="F53" s="336">
        <f t="shared" si="14"/>
        <v>600</v>
      </c>
      <c r="G53" s="337"/>
      <c r="H53" s="336">
        <f t="shared" si="15"/>
        <v>55.5</v>
      </c>
      <c r="I53" s="337"/>
      <c r="J53" s="27" t="s">
        <v>25</v>
      </c>
      <c r="K53" s="15">
        <f t="shared" si="19"/>
        <v>150</v>
      </c>
      <c r="L53" s="3">
        <f t="shared" si="16"/>
        <v>805.5</v>
      </c>
      <c r="M53" s="26" t="s">
        <v>25</v>
      </c>
      <c r="N53" s="15">
        <f t="shared" si="20"/>
        <v>402.75</v>
      </c>
      <c r="O53" s="3">
        <f t="shared" si="17"/>
        <v>1208.25</v>
      </c>
      <c r="P53" s="80">
        <f t="shared" si="18"/>
        <v>1208.25</v>
      </c>
    </row>
    <row r="54" spans="1:16" x14ac:dyDescent="0.2">
      <c r="A54" s="95" t="s">
        <v>68</v>
      </c>
      <c r="B54" s="93" t="s">
        <v>97</v>
      </c>
      <c r="C54" s="85">
        <v>12</v>
      </c>
      <c r="D54" s="94" t="s">
        <v>18</v>
      </c>
      <c r="E54" s="28">
        <v>105</v>
      </c>
      <c r="F54" s="336">
        <f t="shared" si="14"/>
        <v>1260</v>
      </c>
      <c r="G54" s="337"/>
      <c r="H54" s="336">
        <f t="shared" si="15"/>
        <v>116.55</v>
      </c>
      <c r="I54" s="337"/>
      <c r="J54" s="27" t="s">
        <v>25</v>
      </c>
      <c r="K54" s="15">
        <f t="shared" si="19"/>
        <v>315</v>
      </c>
      <c r="L54" s="3">
        <f t="shared" si="16"/>
        <v>1691.55</v>
      </c>
      <c r="M54" s="26" t="s">
        <v>25</v>
      </c>
      <c r="N54" s="15">
        <f t="shared" si="20"/>
        <v>845.77499999999998</v>
      </c>
      <c r="O54" s="3">
        <f t="shared" si="17"/>
        <v>2537.3249999999998</v>
      </c>
      <c r="P54" s="80">
        <f t="shared" si="18"/>
        <v>2537.3249999999998</v>
      </c>
    </row>
    <row r="55" spans="1:16" x14ac:dyDescent="0.2">
      <c r="A55" s="95" t="s">
        <v>68</v>
      </c>
      <c r="B55" s="93" t="s">
        <v>98</v>
      </c>
      <c r="C55" s="85">
        <f>SUM(C50,C54,C62)*10</f>
        <v>791.4042273481482</v>
      </c>
      <c r="D55" s="94" t="s">
        <v>115</v>
      </c>
      <c r="E55" s="28">
        <v>2</v>
      </c>
      <c r="F55" s="336">
        <f>IF(A55="x",SUM(C55*E55),0)</f>
        <v>1582.8084546962964</v>
      </c>
      <c r="G55" s="337"/>
      <c r="H55" s="336">
        <f>F55*$H$49</f>
        <v>146.40978205940741</v>
      </c>
      <c r="I55" s="337"/>
      <c r="J55" s="27" t="s">
        <v>25</v>
      </c>
      <c r="K55" s="15">
        <f t="shared" si="19"/>
        <v>395.7021136740741</v>
      </c>
      <c r="L55" s="3">
        <f t="shared" si="16"/>
        <v>2124.920350429778</v>
      </c>
      <c r="M55" s="26" t="s">
        <v>25</v>
      </c>
      <c r="N55" s="15">
        <f t="shared" si="20"/>
        <v>1062.460175214889</v>
      </c>
      <c r="O55" s="3">
        <f>SUM(N55+L55)</f>
        <v>3187.3805256446667</v>
      </c>
      <c r="P55" s="80">
        <f t="shared" si="18"/>
        <v>3187.3805256446667</v>
      </c>
    </row>
    <row r="56" spans="1:16" x14ac:dyDescent="0.2">
      <c r="A56" s="95" t="s">
        <v>68</v>
      </c>
      <c r="B56" s="93" t="s">
        <v>168</v>
      </c>
      <c r="C56" s="85">
        <v>1200</v>
      </c>
      <c r="D56" s="94" t="s">
        <v>115</v>
      </c>
      <c r="E56" s="28">
        <v>0.75</v>
      </c>
      <c r="F56" s="336">
        <f t="shared" si="14"/>
        <v>900</v>
      </c>
      <c r="G56" s="337"/>
      <c r="H56" s="336">
        <f t="shared" si="15"/>
        <v>83.25</v>
      </c>
      <c r="I56" s="337"/>
      <c r="J56" s="27" t="s">
        <v>25</v>
      </c>
      <c r="K56" s="15">
        <f t="shared" si="19"/>
        <v>225</v>
      </c>
      <c r="L56" s="3">
        <f t="shared" si="16"/>
        <v>1208.25</v>
      </c>
      <c r="M56" s="26" t="s">
        <v>25</v>
      </c>
      <c r="N56" s="15">
        <f t="shared" si="20"/>
        <v>604.125</v>
      </c>
      <c r="O56" s="3">
        <f t="shared" si="17"/>
        <v>1812.375</v>
      </c>
      <c r="P56" s="80">
        <f t="shared" si="18"/>
        <v>1812.375</v>
      </c>
    </row>
    <row r="57" spans="1:16" x14ac:dyDescent="0.2">
      <c r="A57" s="95" t="s">
        <v>68</v>
      </c>
      <c r="B57" s="93" t="s">
        <v>27</v>
      </c>
      <c r="C57" s="85">
        <v>3</v>
      </c>
      <c r="D57" s="94" t="s">
        <v>16</v>
      </c>
      <c r="E57" s="28">
        <v>30</v>
      </c>
      <c r="F57" s="336">
        <f>IF(A57="x",SUM(C57*E57),0)</f>
        <v>90</v>
      </c>
      <c r="G57" s="337"/>
      <c r="H57" s="336">
        <f>F57*$H$49</f>
        <v>8.3249999999999993</v>
      </c>
      <c r="I57" s="337"/>
      <c r="J57" s="27" t="s">
        <v>25</v>
      </c>
      <c r="K57" s="15">
        <f>F57*$J$49</f>
        <v>22.5</v>
      </c>
      <c r="L57" s="3">
        <f t="shared" si="16"/>
        <v>120.825</v>
      </c>
      <c r="M57" s="26" t="s">
        <v>25</v>
      </c>
      <c r="N57" s="15">
        <f>L57*$M$49</f>
        <v>60.412500000000001</v>
      </c>
      <c r="O57" s="3">
        <f>SUM(N57+L57)</f>
        <v>181.23750000000001</v>
      </c>
      <c r="P57" s="80">
        <f t="shared" si="18"/>
        <v>181.23750000000001</v>
      </c>
    </row>
    <row r="58" spans="1:16" x14ac:dyDescent="0.2">
      <c r="A58" s="95" t="s">
        <v>68</v>
      </c>
      <c r="B58" s="93" t="s">
        <v>83</v>
      </c>
      <c r="C58" s="85">
        <v>2</v>
      </c>
      <c r="D58" s="94" t="s">
        <v>16</v>
      </c>
      <c r="E58" s="50">
        <v>30</v>
      </c>
      <c r="F58" s="336">
        <f t="shared" si="14"/>
        <v>60</v>
      </c>
      <c r="G58" s="337"/>
      <c r="H58" s="338">
        <f t="shared" si="15"/>
        <v>5.55</v>
      </c>
      <c r="I58" s="337"/>
      <c r="J58" s="27" t="s">
        <v>25</v>
      </c>
      <c r="K58" s="15">
        <f t="shared" si="19"/>
        <v>15</v>
      </c>
      <c r="L58" s="3">
        <f t="shared" si="16"/>
        <v>80.55</v>
      </c>
      <c r="M58" s="26" t="s">
        <v>25</v>
      </c>
      <c r="N58" s="15">
        <f>L58*$M$48</f>
        <v>40.274999999999999</v>
      </c>
      <c r="O58" s="3">
        <f t="shared" si="17"/>
        <v>120.82499999999999</v>
      </c>
      <c r="P58" s="80">
        <f t="shared" si="18"/>
        <v>120.82499999999999</v>
      </c>
    </row>
    <row r="59" spans="1:16" x14ac:dyDescent="0.2">
      <c r="A59" s="95" t="s">
        <v>68</v>
      </c>
      <c r="B59" s="93" t="s">
        <v>94</v>
      </c>
      <c r="C59" s="40">
        <v>300</v>
      </c>
      <c r="D59" s="94" t="s">
        <v>16</v>
      </c>
      <c r="E59" s="23">
        <v>1</v>
      </c>
      <c r="F59" s="336">
        <f t="shared" si="14"/>
        <v>300</v>
      </c>
      <c r="G59" s="337"/>
      <c r="H59" s="338">
        <f t="shared" si="15"/>
        <v>27.75</v>
      </c>
      <c r="I59" s="337"/>
      <c r="J59" s="27" t="s">
        <v>25</v>
      </c>
      <c r="K59" s="15">
        <f t="shared" si="19"/>
        <v>75</v>
      </c>
      <c r="L59" s="3">
        <f t="shared" si="16"/>
        <v>402.75</v>
      </c>
      <c r="M59" s="26" t="s">
        <v>25</v>
      </c>
      <c r="N59" s="15">
        <f t="shared" si="20"/>
        <v>201.375</v>
      </c>
      <c r="O59" s="3">
        <f t="shared" si="17"/>
        <v>604.125</v>
      </c>
      <c r="P59" s="80">
        <f t="shared" si="18"/>
        <v>604.125</v>
      </c>
    </row>
    <row r="60" spans="1:16" x14ac:dyDescent="0.2">
      <c r="A60" s="33" t="s">
        <v>68</v>
      </c>
      <c r="B60" s="93" t="s">
        <v>169</v>
      </c>
      <c r="C60" s="85">
        <f>SUM('Concrete 16x32'!J84*2)</f>
        <v>1792</v>
      </c>
      <c r="D60" s="94" t="s">
        <v>12</v>
      </c>
      <c r="E60" s="28">
        <v>3</v>
      </c>
      <c r="F60" s="336">
        <f t="shared" si="14"/>
        <v>5376</v>
      </c>
      <c r="G60" s="337"/>
      <c r="H60" s="338">
        <f t="shared" si="15"/>
        <v>497.28</v>
      </c>
      <c r="I60" s="337"/>
      <c r="J60" s="27" t="s">
        <v>25</v>
      </c>
      <c r="K60" s="15">
        <f t="shared" si="19"/>
        <v>1344</v>
      </c>
      <c r="L60" s="3">
        <f t="shared" si="16"/>
        <v>7217.28</v>
      </c>
      <c r="M60" s="26" t="s">
        <v>25</v>
      </c>
      <c r="N60" s="15">
        <f t="shared" si="20"/>
        <v>3608.64</v>
      </c>
      <c r="O60" s="3">
        <f t="shared" si="17"/>
        <v>10825.92</v>
      </c>
      <c r="P60" s="80">
        <f t="shared" si="18"/>
        <v>10825.92</v>
      </c>
    </row>
    <row r="61" spans="1:16" x14ac:dyDescent="0.2">
      <c r="A61" s="33"/>
      <c r="B61" s="13" t="s">
        <v>170</v>
      </c>
      <c r="C61" s="85">
        <v>560</v>
      </c>
      <c r="D61" s="10" t="s">
        <v>12</v>
      </c>
      <c r="E61" s="28">
        <v>2</v>
      </c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x14ac:dyDescent="0.2">
      <c r="A62" s="33" t="s">
        <v>68</v>
      </c>
      <c r="B62" s="93" t="s">
        <v>188</v>
      </c>
      <c r="C62" s="85">
        <f>'20X40 Concrete'!F9</f>
        <v>67.14042273481482</v>
      </c>
      <c r="D62" s="10" t="s">
        <v>18</v>
      </c>
      <c r="E62" s="28">
        <v>105</v>
      </c>
      <c r="F62" s="336">
        <f>IF(A62="x",SUM(C62*E62),0)</f>
        <v>7049.7443871555561</v>
      </c>
      <c r="G62" s="337"/>
      <c r="H62" s="338">
        <f>F62*$H$49</f>
        <v>652.10135581188888</v>
      </c>
      <c r="I62" s="337"/>
      <c r="J62" s="27" t="s">
        <v>25</v>
      </c>
      <c r="K62" s="15">
        <f t="shared" si="19"/>
        <v>1762.436096788889</v>
      </c>
      <c r="L62" s="3">
        <f t="shared" si="16"/>
        <v>9464.2818397563351</v>
      </c>
      <c r="M62" s="26" t="s">
        <v>25</v>
      </c>
      <c r="N62" s="15">
        <f t="shared" si="20"/>
        <v>4732.1409198781676</v>
      </c>
      <c r="O62" s="3">
        <f>SUM(N62+L62)</f>
        <v>14196.422759634503</v>
      </c>
      <c r="P62" s="80">
        <f t="shared" si="18"/>
        <v>14196.422759634503</v>
      </c>
    </row>
    <row r="63" spans="1:16" ht="13.5" thickBot="1" x14ac:dyDescent="0.25">
      <c r="A63" s="33"/>
      <c r="B63" s="13"/>
      <c r="C63" s="85"/>
      <c r="D63" s="10"/>
      <c r="E63" s="28"/>
      <c r="F63" s="336">
        <f>IF(A63="x",SUM(C63*E63),0)</f>
        <v>0</v>
      </c>
      <c r="G63" s="337"/>
      <c r="H63" s="338">
        <f>F63*$H$49</f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>SUM(N63+L63)</f>
        <v>0</v>
      </c>
      <c r="P63" s="80">
        <f t="shared" si="18"/>
        <v>0</v>
      </c>
    </row>
    <row r="64" spans="1:16" ht="16.5" thickBot="1" x14ac:dyDescent="0.3">
      <c r="A64" s="9"/>
      <c r="B64" s="13"/>
      <c r="C64" s="326" t="s">
        <v>4</v>
      </c>
      <c r="D64" s="339"/>
      <c r="E64" s="34"/>
      <c r="F64" s="340">
        <f>SUM(F50:G63)</f>
        <v>17968.552841851852</v>
      </c>
      <c r="G64" s="329"/>
      <c r="H64" s="328">
        <f>SUM(H50:I63)</f>
        <v>1662.0911378712963</v>
      </c>
      <c r="I64" s="329"/>
      <c r="J64" s="328">
        <f>SUM(K50:K63)</f>
        <v>4492.1382104629629</v>
      </c>
      <c r="K64" s="329"/>
      <c r="L64" s="31">
        <f>SUM(L50:L63)</f>
        <v>24122.782190186113</v>
      </c>
      <c r="M64" s="341">
        <f>SUM(N50:N63)</f>
        <v>12061.391095093057</v>
      </c>
      <c r="N64" s="342"/>
      <c r="O64" s="31">
        <f>SUM(O50:O63)</f>
        <v>36184.173285279168</v>
      </c>
      <c r="P64" s="80">
        <f t="shared" si="18"/>
        <v>36184.173285279168</v>
      </c>
    </row>
    <row r="65" spans="1:16" x14ac:dyDescent="0.2">
      <c r="A65" s="9"/>
      <c r="B65" s="1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4"/>
    </row>
    <row r="66" spans="1:16" ht="18" x14ac:dyDescent="0.25">
      <c r="A66" s="9"/>
      <c r="B66" s="16" t="s">
        <v>36</v>
      </c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86"/>
    </row>
    <row r="67" spans="1:16" ht="18" x14ac:dyDescent="0.25">
      <c r="A67" s="9"/>
      <c r="B67" s="16"/>
      <c r="C67" s="17" t="s">
        <v>8</v>
      </c>
      <c r="D67" s="17" t="s">
        <v>9</v>
      </c>
      <c r="E67" s="17" t="s">
        <v>10</v>
      </c>
      <c r="F67" s="333" t="s">
        <v>36</v>
      </c>
      <c r="G67" s="333"/>
      <c r="H67" s="162">
        <f>H49</f>
        <v>9.2499999999999999E-2</v>
      </c>
      <c r="I67" s="19" t="s">
        <v>19</v>
      </c>
      <c r="J67" s="21">
        <f>H13</f>
        <v>0.25</v>
      </c>
      <c r="K67" s="19" t="s">
        <v>23</v>
      </c>
      <c r="L67" s="18" t="s">
        <v>4</v>
      </c>
      <c r="M67" s="90">
        <f>$H$7</f>
        <v>0.5</v>
      </c>
      <c r="N67" s="22" t="s">
        <v>24</v>
      </c>
      <c r="O67" s="18" t="s">
        <v>5</v>
      </c>
      <c r="P67" s="84" t="s">
        <v>21</v>
      </c>
    </row>
    <row r="68" spans="1:16" x14ac:dyDescent="0.2">
      <c r="A68" s="152" t="s">
        <v>68</v>
      </c>
      <c r="B68" s="93" t="s">
        <v>82</v>
      </c>
      <c r="C68" s="85">
        <v>144</v>
      </c>
      <c r="D68" s="94" t="s">
        <v>12</v>
      </c>
      <c r="E68" s="51">
        <v>1</v>
      </c>
      <c r="F68" s="334">
        <f t="shared" ref="F68:F74" si="21">IF(A68="x",SUM(C68*E68),0)</f>
        <v>144</v>
      </c>
      <c r="G68" s="335"/>
      <c r="H68" s="334">
        <f t="shared" ref="H68:H74" si="22">F68*$H$49</f>
        <v>13.32</v>
      </c>
      <c r="I68" s="335"/>
      <c r="J68" s="25" t="s">
        <v>25</v>
      </c>
      <c r="K68" s="15">
        <f>F68*$J$67</f>
        <v>36</v>
      </c>
      <c r="L68" s="3">
        <f t="shared" ref="L68:L74" si="23">SUM(F68:K68)</f>
        <v>193.32</v>
      </c>
      <c r="M68" s="26" t="s">
        <v>25</v>
      </c>
      <c r="N68" s="15">
        <f t="shared" ref="N68:N74" si="24">L68*$M$67</f>
        <v>96.66</v>
      </c>
      <c r="O68" s="3">
        <f t="shared" ref="O68:O74" si="25">SUM(N68+L68)</f>
        <v>289.98</v>
      </c>
      <c r="P68" s="80">
        <f t="shared" ref="P68:P76" si="26">SUM(O68)</f>
        <v>289.98</v>
      </c>
    </row>
    <row r="69" spans="1:16" x14ac:dyDescent="0.2">
      <c r="A69" s="152"/>
      <c r="B69" s="24"/>
      <c r="C69" s="85">
        <v>0</v>
      </c>
      <c r="D69" s="44" t="s">
        <v>17</v>
      </c>
      <c r="E69" s="28">
        <v>0.25</v>
      </c>
      <c r="F69" s="336">
        <f t="shared" si="21"/>
        <v>0</v>
      </c>
      <c r="G69" s="337"/>
      <c r="H69" s="336">
        <f t="shared" si="22"/>
        <v>0</v>
      </c>
      <c r="I69" s="337"/>
      <c r="J69" s="27" t="s">
        <v>25</v>
      </c>
      <c r="K69" s="15">
        <f t="shared" ref="K69:K74" si="27">F69*$J$67</f>
        <v>0</v>
      </c>
      <c r="L69" s="3">
        <f t="shared" si="23"/>
        <v>0</v>
      </c>
      <c r="M69" s="26" t="s">
        <v>25</v>
      </c>
      <c r="N69" s="15">
        <f t="shared" si="24"/>
        <v>0</v>
      </c>
      <c r="O69" s="3">
        <f t="shared" si="25"/>
        <v>0</v>
      </c>
      <c r="P69" s="80">
        <f t="shared" si="26"/>
        <v>0</v>
      </c>
    </row>
    <row r="70" spans="1:16" x14ac:dyDescent="0.2">
      <c r="A70" s="46" t="s">
        <v>26</v>
      </c>
      <c r="B70" s="24" t="s">
        <v>37</v>
      </c>
      <c r="C70" s="85">
        <f>$C$43+$C$29</f>
        <v>205</v>
      </c>
      <c r="D70" s="94" t="s">
        <v>53</v>
      </c>
      <c r="E70" s="28">
        <v>0.15</v>
      </c>
      <c r="F70" s="336">
        <f t="shared" si="21"/>
        <v>30.75</v>
      </c>
      <c r="G70" s="337"/>
      <c r="H70" s="336">
        <f t="shared" si="22"/>
        <v>2.8443749999999999</v>
      </c>
      <c r="I70" s="337"/>
      <c r="J70" s="27" t="s">
        <v>25</v>
      </c>
      <c r="K70" s="15">
        <f t="shared" si="27"/>
        <v>7.6875</v>
      </c>
      <c r="L70" s="3">
        <f t="shared" si="23"/>
        <v>41.281874999999999</v>
      </c>
      <c r="M70" s="26" t="s">
        <v>25</v>
      </c>
      <c r="N70" s="15">
        <f t="shared" si="24"/>
        <v>20.6409375</v>
      </c>
      <c r="O70" s="3">
        <f t="shared" si="25"/>
        <v>61.922812499999999</v>
      </c>
      <c r="P70" s="80">
        <f t="shared" si="26"/>
        <v>61.922812499999999</v>
      </c>
    </row>
    <row r="71" spans="1:16" x14ac:dyDescent="0.2">
      <c r="A71" s="95" t="s">
        <v>26</v>
      </c>
      <c r="B71" s="93" t="s">
        <v>125</v>
      </c>
      <c r="C71" s="85">
        <f>$C$43+$C$29</f>
        <v>205</v>
      </c>
      <c r="D71" s="94" t="s">
        <v>53</v>
      </c>
      <c r="E71" s="28">
        <v>0.25</v>
      </c>
      <c r="F71" s="336">
        <f>IF(A71="x",SUM(C71*E71),0)</f>
        <v>51.25</v>
      </c>
      <c r="G71" s="337"/>
      <c r="H71" s="336">
        <f t="shared" si="22"/>
        <v>4.7406249999999996</v>
      </c>
      <c r="I71" s="337"/>
      <c r="J71" s="27" t="s">
        <v>25</v>
      </c>
      <c r="K71" s="15">
        <f t="shared" si="27"/>
        <v>12.8125</v>
      </c>
      <c r="L71" s="3">
        <f t="shared" si="23"/>
        <v>68.803124999999994</v>
      </c>
      <c r="M71" s="26" t="s">
        <v>25</v>
      </c>
      <c r="N71" s="15">
        <f t="shared" si="24"/>
        <v>34.401562499999997</v>
      </c>
      <c r="O71" s="3">
        <f t="shared" si="25"/>
        <v>103.20468749999999</v>
      </c>
      <c r="P71" s="80">
        <f t="shared" si="26"/>
        <v>103.20468749999999</v>
      </c>
    </row>
    <row r="72" spans="1:16" x14ac:dyDescent="0.2">
      <c r="A72" s="95" t="s">
        <v>26</v>
      </c>
      <c r="B72" s="93" t="s">
        <v>22</v>
      </c>
      <c r="C72" s="85">
        <f>$C$43+$C$29</f>
        <v>205</v>
      </c>
      <c r="D72" s="94" t="s">
        <v>53</v>
      </c>
      <c r="E72" s="28">
        <v>0.5</v>
      </c>
      <c r="F72" s="336">
        <f t="shared" si="21"/>
        <v>102.5</v>
      </c>
      <c r="G72" s="337"/>
      <c r="H72" s="336">
        <f t="shared" si="22"/>
        <v>9.4812499999999993</v>
      </c>
      <c r="I72" s="337"/>
      <c r="J72" s="27" t="s">
        <v>25</v>
      </c>
      <c r="K72" s="15">
        <f t="shared" si="27"/>
        <v>25.625</v>
      </c>
      <c r="L72" s="3">
        <f t="shared" si="23"/>
        <v>137.60624999999999</v>
      </c>
      <c r="M72" s="26" t="s">
        <v>25</v>
      </c>
      <c r="N72" s="15">
        <f t="shared" si="24"/>
        <v>68.803124999999994</v>
      </c>
      <c r="O72" s="3">
        <f t="shared" si="25"/>
        <v>206.40937499999998</v>
      </c>
      <c r="P72" s="80">
        <f t="shared" si="26"/>
        <v>206.40937499999998</v>
      </c>
    </row>
    <row r="73" spans="1:16" x14ac:dyDescent="0.2">
      <c r="A73" s="95"/>
      <c r="B73" s="93"/>
      <c r="C73" s="85"/>
      <c r="D73" s="94" t="s">
        <v>11</v>
      </c>
      <c r="E73" s="28"/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si="27"/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6" x14ac:dyDescent="0.2">
      <c r="A74" s="46"/>
      <c r="B74" s="24"/>
      <c r="C74" s="85"/>
      <c r="D74" s="44"/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ht="16.5" thickBot="1" x14ac:dyDescent="0.3">
      <c r="A75" s="9"/>
      <c r="B75" s="29"/>
      <c r="C75" s="87"/>
      <c r="D75" s="11"/>
      <c r="E75" s="30"/>
      <c r="F75" s="353"/>
      <c r="G75" s="354"/>
      <c r="H75" s="358"/>
      <c r="I75" s="359"/>
      <c r="J75" s="6"/>
      <c r="K75" s="4"/>
      <c r="L75" s="5"/>
      <c r="M75" s="2"/>
      <c r="N75" s="8"/>
      <c r="O75" s="1"/>
      <c r="P75" s="80">
        <f t="shared" si="26"/>
        <v>0</v>
      </c>
    </row>
    <row r="76" spans="1:16" ht="16.5" thickBot="1" x14ac:dyDescent="0.3">
      <c r="A76" s="9"/>
      <c r="B76" s="13"/>
      <c r="C76" s="326" t="s">
        <v>4</v>
      </c>
      <c r="D76" s="339"/>
      <c r="E76" s="34"/>
      <c r="F76" s="340">
        <f>SUM(F68:G74)</f>
        <v>328.5</v>
      </c>
      <c r="G76" s="329"/>
      <c r="H76" s="328">
        <f>SUM(H68:I75)</f>
        <v>30.38625</v>
      </c>
      <c r="I76" s="329"/>
      <c r="J76" s="328">
        <f>SUM(K68:K75)</f>
        <v>82.125</v>
      </c>
      <c r="K76" s="329"/>
      <c r="L76" s="31">
        <f>SUM(L68:L75)</f>
        <v>441.01124999999996</v>
      </c>
      <c r="M76" s="341">
        <f>SUM(N68:N75)</f>
        <v>220.50562499999998</v>
      </c>
      <c r="N76" s="342"/>
      <c r="O76" s="31">
        <f>SUM(O68:O75)</f>
        <v>661.51687500000003</v>
      </c>
      <c r="P76" s="80">
        <f t="shared" si="26"/>
        <v>661.51687500000003</v>
      </c>
    </row>
    <row r="77" spans="1:16" ht="15.75" x14ac:dyDescent="0.25">
      <c r="A77" s="9"/>
      <c r="B77" s="13"/>
      <c r="C77" s="10"/>
      <c r="D77" s="10"/>
      <c r="E77" s="10"/>
      <c r="F77" s="126"/>
      <c r="G77" s="126"/>
      <c r="H77" s="126"/>
      <c r="I77" s="126"/>
      <c r="J77" s="126"/>
      <c r="K77" s="126"/>
      <c r="L77" s="127"/>
      <c r="M77" s="128"/>
      <c r="N77" s="128"/>
      <c r="O77" s="127"/>
      <c r="P77" s="129"/>
    </row>
    <row r="78" spans="1:16" ht="18" x14ac:dyDescent="0.25">
      <c r="A78" s="9"/>
      <c r="B78" s="16" t="s">
        <v>13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88"/>
    </row>
    <row r="79" spans="1:16" ht="14.25" x14ac:dyDescent="0.2">
      <c r="A79" s="9"/>
      <c r="B79" s="36" t="s">
        <v>30</v>
      </c>
      <c r="C79" s="238" t="s">
        <v>8</v>
      </c>
      <c r="D79" s="238" t="s">
        <v>20</v>
      </c>
      <c r="E79" s="238" t="s">
        <v>3</v>
      </c>
      <c r="F79" s="345" t="s">
        <v>13</v>
      </c>
      <c r="G79" s="345"/>
      <c r="H79" s="345" t="s">
        <v>29</v>
      </c>
      <c r="I79" s="345"/>
      <c r="J79" s="21">
        <f>H13</f>
        <v>0.25</v>
      </c>
      <c r="K79" s="19" t="s">
        <v>23</v>
      </c>
      <c r="L79" s="18" t="s">
        <v>4</v>
      </c>
      <c r="M79" s="90">
        <f>$H$7</f>
        <v>0.5</v>
      </c>
      <c r="N79" s="22" t="s">
        <v>24</v>
      </c>
      <c r="O79" s="18" t="s">
        <v>5</v>
      </c>
      <c r="P79" s="84" t="s">
        <v>21</v>
      </c>
    </row>
    <row r="80" spans="1:16" x14ac:dyDescent="0.2">
      <c r="A80" s="9"/>
      <c r="B80" s="167" t="s">
        <v>89</v>
      </c>
      <c r="C80" s="85">
        <v>1</v>
      </c>
      <c r="D80" s="52">
        <v>1</v>
      </c>
      <c r="E80" s="134">
        <v>25</v>
      </c>
      <c r="F80" s="346">
        <f>C80*D80*E80</f>
        <v>25</v>
      </c>
      <c r="G80" s="347"/>
      <c r="H80" s="334">
        <v>3</v>
      </c>
      <c r="I80" s="335"/>
      <c r="J80" s="25" t="s">
        <v>25</v>
      </c>
      <c r="K80" s="15">
        <f>F80*$J$79</f>
        <v>6.25</v>
      </c>
      <c r="L80" s="3">
        <f>SUM(F80:K80)</f>
        <v>34.25</v>
      </c>
      <c r="M80" s="26" t="s">
        <v>25</v>
      </c>
      <c r="N80" s="15">
        <f>L80*$M$79</f>
        <v>17.125</v>
      </c>
      <c r="O80" s="3">
        <f>SUM(N80+L80)</f>
        <v>51.375</v>
      </c>
      <c r="P80" s="80">
        <f t="shared" ref="P80:P86" si="28">SUM(O80)</f>
        <v>51.375</v>
      </c>
    </row>
    <row r="81" spans="1:16" x14ac:dyDescent="0.2">
      <c r="A81" s="9"/>
      <c r="B81" s="94" t="s">
        <v>90</v>
      </c>
      <c r="C81" s="85">
        <v>1</v>
      </c>
      <c r="D81" s="52">
        <v>2</v>
      </c>
      <c r="E81" s="45">
        <v>25</v>
      </c>
      <c r="F81" s="348">
        <f>C81*D81*E81</f>
        <v>50</v>
      </c>
      <c r="G81" s="349"/>
      <c r="H81" s="336">
        <v>0</v>
      </c>
      <c r="I81" s="337"/>
      <c r="J81" s="27" t="s">
        <v>25</v>
      </c>
      <c r="K81" s="15">
        <f>F81*$J$79</f>
        <v>12.5</v>
      </c>
      <c r="L81" s="3">
        <f>SUM(F81:K81)</f>
        <v>62.5</v>
      </c>
      <c r="M81" s="26" t="s">
        <v>25</v>
      </c>
      <c r="N81" s="15">
        <f>L81*$M$79</f>
        <v>31.25</v>
      </c>
      <c r="O81" s="3">
        <f>SUM(N81+L81)</f>
        <v>93.75</v>
      </c>
      <c r="P81" s="80">
        <f t="shared" si="28"/>
        <v>93.75</v>
      </c>
    </row>
    <row r="82" spans="1:16" x14ac:dyDescent="0.2">
      <c r="A82" s="9"/>
      <c r="B82" s="94" t="s">
        <v>91</v>
      </c>
      <c r="C82" s="85">
        <v>1</v>
      </c>
      <c r="D82" s="52">
        <v>1</v>
      </c>
      <c r="E82" s="45">
        <v>20</v>
      </c>
      <c r="F82" s="348">
        <f>C82*D82*E82</f>
        <v>20</v>
      </c>
      <c r="G82" s="349"/>
      <c r="H82" s="336">
        <v>0</v>
      </c>
      <c r="I82" s="337"/>
      <c r="J82" s="27" t="s">
        <v>25</v>
      </c>
      <c r="K82" s="15">
        <f>F82*$J$79</f>
        <v>5</v>
      </c>
      <c r="L82" s="3">
        <f>SUM(F82:K82)</f>
        <v>25</v>
      </c>
      <c r="M82" s="26" t="s">
        <v>25</v>
      </c>
      <c r="N82" s="15">
        <f>L82*$M$79</f>
        <v>12.5</v>
      </c>
      <c r="O82" s="3">
        <f>SUM(N82+L82)</f>
        <v>37.5</v>
      </c>
      <c r="P82" s="80">
        <f t="shared" si="28"/>
        <v>37.5</v>
      </c>
    </row>
    <row r="83" spans="1:16" x14ac:dyDescent="0.2">
      <c r="A83" s="165" t="s">
        <v>68</v>
      </c>
      <c r="B83" s="94" t="s">
        <v>92</v>
      </c>
      <c r="C83" s="85">
        <v>1</v>
      </c>
      <c r="D83" s="52">
        <v>4</v>
      </c>
      <c r="E83" s="45">
        <v>400</v>
      </c>
      <c r="F83" s="348">
        <f>C83*D83*E83</f>
        <v>1600</v>
      </c>
      <c r="G83" s="349"/>
      <c r="H83" s="336">
        <v>12</v>
      </c>
      <c r="I83" s="337"/>
      <c r="J83" s="27" t="s">
        <v>25</v>
      </c>
      <c r="K83" s="15">
        <f>F83*$J$79</f>
        <v>400</v>
      </c>
      <c r="L83" s="3">
        <f>SUM(F83:K83)</f>
        <v>2012</v>
      </c>
      <c r="M83" s="26" t="s">
        <v>25</v>
      </c>
      <c r="N83" s="15">
        <f>L83*$M$79</f>
        <v>1006</v>
      </c>
      <c r="O83" s="3">
        <f>SUM(N83+L83)</f>
        <v>3018</v>
      </c>
      <c r="P83" s="80">
        <f t="shared" si="28"/>
        <v>3018</v>
      </c>
    </row>
    <row r="84" spans="1:16" x14ac:dyDescent="0.2">
      <c r="A84" s="9" t="s">
        <v>68</v>
      </c>
      <c r="B84" s="94" t="s">
        <v>93</v>
      </c>
      <c r="C84" s="85">
        <v>1</v>
      </c>
      <c r="D84" s="52">
        <v>6</v>
      </c>
      <c r="E84" s="45">
        <v>200</v>
      </c>
      <c r="F84" s="348">
        <f>C84*D84*E84</f>
        <v>1200</v>
      </c>
      <c r="G84" s="349"/>
      <c r="H84" s="336">
        <v>0</v>
      </c>
      <c r="I84" s="337"/>
      <c r="J84" s="27" t="s">
        <v>25</v>
      </c>
      <c r="K84" s="15">
        <f>F84*$J$79</f>
        <v>300</v>
      </c>
      <c r="L84" s="3">
        <f>SUM(F84:K84)</f>
        <v>1500</v>
      </c>
      <c r="M84" s="26" t="s">
        <v>25</v>
      </c>
      <c r="N84" s="15">
        <f>L84*$M$79</f>
        <v>750</v>
      </c>
      <c r="O84" s="3">
        <f>SUM(N84+L84)</f>
        <v>2250</v>
      </c>
      <c r="P84" s="80">
        <f t="shared" si="28"/>
        <v>2250</v>
      </c>
    </row>
    <row r="85" spans="1:16" ht="13.5" thickBot="1" x14ac:dyDescent="0.25">
      <c r="A85" s="9"/>
      <c r="B85" s="44"/>
      <c r="C85" s="87"/>
      <c r="D85" s="52"/>
      <c r="E85" s="44"/>
      <c r="F85" s="348"/>
      <c r="G85" s="349"/>
      <c r="H85" s="336"/>
      <c r="I85" s="337"/>
      <c r="J85" s="27"/>
      <c r="K85" s="15"/>
      <c r="L85" s="3"/>
      <c r="M85" s="26"/>
      <c r="N85" s="15"/>
      <c r="O85" s="3"/>
      <c r="P85" s="80">
        <f t="shared" si="28"/>
        <v>0</v>
      </c>
    </row>
    <row r="86" spans="1:16" ht="16.5" thickBot="1" x14ac:dyDescent="0.3">
      <c r="A86" s="9"/>
      <c r="B86" s="13"/>
      <c r="C86" s="326" t="s">
        <v>4</v>
      </c>
      <c r="D86" s="339"/>
      <c r="E86" s="34"/>
      <c r="F86" s="328">
        <f>SUM(F80:G85)</f>
        <v>2895</v>
      </c>
      <c r="G86" s="329"/>
      <c r="H86" s="328">
        <f>SUM(H80:I85)</f>
        <v>15</v>
      </c>
      <c r="I86" s="329"/>
      <c r="J86" s="328">
        <f>SUM(J80:K85)</f>
        <v>723.75</v>
      </c>
      <c r="K86" s="329"/>
      <c r="L86" s="31">
        <f>SUM(L80:L85)</f>
        <v>3633.75</v>
      </c>
      <c r="M86" s="328">
        <f>SUM(M80:N85)</f>
        <v>1816.875</v>
      </c>
      <c r="N86" s="329"/>
      <c r="O86" s="31">
        <f>SUM(O80:O85)</f>
        <v>5450.625</v>
      </c>
      <c r="P86" s="80">
        <f t="shared" si="28"/>
        <v>5450.625</v>
      </c>
    </row>
    <row r="87" spans="1:16" ht="16.5" thickBot="1" x14ac:dyDescent="0.3">
      <c r="A87" s="9"/>
      <c r="B87" s="13"/>
      <c r="C87" s="360" t="s">
        <v>229</v>
      </c>
      <c r="D87" s="339"/>
      <c r="E87" s="34"/>
      <c r="F87" s="229"/>
      <c r="G87" s="230"/>
      <c r="H87" s="229"/>
      <c r="I87" s="230"/>
      <c r="J87" s="328">
        <f>SUM(H45,J64,J76,J86)</f>
        <v>6558.0882104629627</v>
      </c>
      <c r="K87" s="329"/>
      <c r="L87" s="31"/>
      <c r="M87" s="328">
        <f>SUM(M45,M64,M76,M86)</f>
        <v>18005.004220093055</v>
      </c>
      <c r="N87" s="329"/>
      <c r="O87" s="31"/>
      <c r="P87" s="80"/>
    </row>
    <row r="88" spans="1:16" x14ac:dyDescent="0.2">
      <c r="A88" s="9"/>
      <c r="B88" s="1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4"/>
    </row>
    <row r="89" spans="1:16" ht="13.5" thickBot="1" x14ac:dyDescent="0.25">
      <c r="A89" s="9"/>
      <c r="B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"/>
      <c r="O89" s="10"/>
      <c r="P89" s="80">
        <f>SUM(O89)</f>
        <v>0</v>
      </c>
    </row>
    <row r="90" spans="1:16" ht="21" thickBot="1" x14ac:dyDescent="0.35">
      <c r="A90" s="9"/>
      <c r="B90" s="13"/>
      <c r="C90" s="350" t="s">
        <v>15</v>
      </c>
      <c r="D90" s="351"/>
      <c r="E90" s="37"/>
      <c r="F90" s="37"/>
      <c r="G90" s="37"/>
      <c r="H90" s="37"/>
      <c r="I90" s="37"/>
      <c r="J90" s="37"/>
      <c r="K90" s="37"/>
      <c r="L90" s="202">
        <f>SUM(L45,L64,L76,L86)</f>
        <v>36010.00844018611</v>
      </c>
      <c r="M90" s="37"/>
      <c r="N90" s="38"/>
      <c r="O90" s="202">
        <f>SUM(O29,O43,O64,O76,O86)</f>
        <v>54015.012660279172</v>
      </c>
      <c r="P90" s="80">
        <f>SUM(O90)</f>
        <v>54015.012660279172</v>
      </c>
    </row>
  </sheetData>
  <mergeCells count="117"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C9:E9"/>
    <mergeCell ref="H9:I9"/>
    <mergeCell ref="C10:E10"/>
    <mergeCell ref="G10:I10"/>
    <mergeCell ref="K10:L10"/>
    <mergeCell ref="C11:E11"/>
    <mergeCell ref="H11:I11"/>
    <mergeCell ref="G6:I6"/>
    <mergeCell ref="C7:E7"/>
    <mergeCell ref="H7:I7"/>
    <mergeCell ref="K7:L7"/>
    <mergeCell ref="C8:E8"/>
    <mergeCell ref="H8:I8"/>
    <mergeCell ref="K8:L8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F52:G52"/>
    <mergeCell ref="H52:I52"/>
    <mergeCell ref="F53:G53"/>
    <mergeCell ref="H53:I53"/>
    <mergeCell ref="F54:G54"/>
    <mergeCell ref="H54:I54"/>
    <mergeCell ref="C46:P46"/>
    <mergeCell ref="C47:P47"/>
    <mergeCell ref="F49:G49"/>
    <mergeCell ref="F50:G50"/>
    <mergeCell ref="H50:I50"/>
    <mergeCell ref="F51:G51"/>
    <mergeCell ref="H51:I51"/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J64:K64"/>
    <mergeCell ref="M64:N64"/>
    <mergeCell ref="C65:P65"/>
    <mergeCell ref="F61:G61"/>
    <mergeCell ref="H61:I61"/>
    <mergeCell ref="F62:G62"/>
    <mergeCell ref="H62:I62"/>
    <mergeCell ref="F63:G63"/>
    <mergeCell ref="H63:I63"/>
    <mergeCell ref="F67:G67"/>
    <mergeCell ref="F68:G68"/>
    <mergeCell ref="H68:I68"/>
    <mergeCell ref="F69:G69"/>
    <mergeCell ref="H69:I69"/>
    <mergeCell ref="F70:G70"/>
    <mergeCell ref="H70:I70"/>
    <mergeCell ref="C64:D64"/>
    <mergeCell ref="F64:G64"/>
    <mergeCell ref="H64:I64"/>
    <mergeCell ref="F74:G74"/>
    <mergeCell ref="H74:I74"/>
    <mergeCell ref="F75:G75"/>
    <mergeCell ref="H75:I75"/>
    <mergeCell ref="C76:D76"/>
    <mergeCell ref="F76:G76"/>
    <mergeCell ref="H76:I76"/>
    <mergeCell ref="F71:G71"/>
    <mergeCell ref="H71:I71"/>
    <mergeCell ref="F72:G72"/>
    <mergeCell ref="H72:I72"/>
    <mergeCell ref="F73:G73"/>
    <mergeCell ref="H73:I73"/>
    <mergeCell ref="F81:G81"/>
    <mergeCell ref="H81:I81"/>
    <mergeCell ref="F82:G82"/>
    <mergeCell ref="H82:I82"/>
    <mergeCell ref="F83:G83"/>
    <mergeCell ref="H83:I83"/>
    <mergeCell ref="J76:K76"/>
    <mergeCell ref="M76:N76"/>
    <mergeCell ref="F79:G79"/>
    <mergeCell ref="H79:I79"/>
    <mergeCell ref="F80:G80"/>
    <mergeCell ref="H80:I80"/>
    <mergeCell ref="C90:D90"/>
    <mergeCell ref="J86:K86"/>
    <mergeCell ref="M86:N86"/>
    <mergeCell ref="C87:D87"/>
    <mergeCell ref="J87:K87"/>
    <mergeCell ref="M87:N87"/>
    <mergeCell ref="C88:P88"/>
    <mergeCell ref="F84:G84"/>
    <mergeCell ref="H84:I84"/>
    <mergeCell ref="F85:G85"/>
    <mergeCell ref="H85:I85"/>
    <mergeCell ref="C86:D86"/>
    <mergeCell ref="F86:G86"/>
    <mergeCell ref="H86:I86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E8" sqref="E8"/>
    </sheetView>
  </sheetViews>
  <sheetFormatPr defaultRowHeight="12.75" x14ac:dyDescent="0.2"/>
  <cols>
    <col min="1" max="1" width="42.85546875" bestFit="1" customWidth="1"/>
    <col min="2" max="2" width="10.85546875" bestFit="1" customWidth="1"/>
    <col min="3" max="3" width="12" bestFit="1" customWidth="1"/>
    <col min="4" max="4" width="10.28515625" bestFit="1" customWidth="1"/>
    <col min="5" max="5" width="19.42578125" bestFit="1" customWidth="1"/>
    <col min="6" max="6" width="12" bestFit="1" customWidth="1"/>
    <col min="7" max="7" width="12.5703125" bestFit="1" customWidth="1"/>
    <col min="8" max="8" width="14.140625" bestFit="1" customWidth="1"/>
    <col min="9" max="9" width="9.85546875" bestFit="1" customWidth="1"/>
    <col min="10" max="10" width="29.71093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271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272">
        <v>40</v>
      </c>
      <c r="E4" s="245">
        <v>0.66659999999999997</v>
      </c>
      <c r="F4">
        <f>SUM(C4*C3*E4)/27*2</f>
        <v>19.751111111111111</v>
      </c>
    </row>
    <row r="5" spans="1:10" x14ac:dyDescent="0.2">
      <c r="A5" s="178" t="s">
        <v>112</v>
      </c>
      <c r="B5" s="178" t="s">
        <v>111</v>
      </c>
      <c r="C5" s="272">
        <v>20</v>
      </c>
      <c r="E5" s="246">
        <v>0.66659999999999997</v>
      </c>
      <c r="F5">
        <f>SUM((C5-(C9*2))*C3*E5)/27*2</f>
        <v>9.0525925925925907</v>
      </c>
    </row>
    <row r="6" spans="1:10" x14ac:dyDescent="0.2">
      <c r="A6" s="178" t="s">
        <v>117</v>
      </c>
      <c r="B6" s="178" t="s">
        <v>120</v>
      </c>
      <c r="C6" s="272">
        <f>C5-1.32</f>
        <v>18.68</v>
      </c>
      <c r="D6">
        <f>C4-1.32</f>
        <v>38.68</v>
      </c>
      <c r="E6" s="246">
        <v>0.66659999999999997</v>
      </c>
      <c r="F6" s="175">
        <f>SUM(C6*D6*E6)/27*1</f>
        <v>17.838769031111109</v>
      </c>
    </row>
    <row r="7" spans="1:10" x14ac:dyDescent="0.2">
      <c r="A7" s="178" t="s">
        <v>119</v>
      </c>
      <c r="B7" s="178" t="s">
        <v>120</v>
      </c>
      <c r="C7" s="272">
        <v>20.5</v>
      </c>
      <c r="D7">
        <v>40.5</v>
      </c>
      <c r="E7" s="246">
        <v>0.66659999999999997</v>
      </c>
      <c r="F7" s="181">
        <f>SUM(C7*D7*E7)/27</f>
        <v>20.497949999999999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246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A9" s="178" t="s">
        <v>233</v>
      </c>
      <c r="B9" s="272">
        <v>10</v>
      </c>
      <c r="C9">
        <f>B9/12</f>
        <v>0.83333333333333337</v>
      </c>
      <c r="F9" s="189">
        <f>SUM(F4:F7)</f>
        <v>67.14042273481482</v>
      </c>
      <c r="G9" s="247">
        <f>SUM(27*110)</f>
        <v>2970</v>
      </c>
      <c r="H9" s="191">
        <f>SUM(F9*G9)</f>
        <v>199407.05552240001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167</v>
      </c>
      <c r="B29" s="206"/>
      <c r="C29" s="206"/>
      <c r="D29" s="206"/>
      <c r="E29" s="206"/>
      <c r="F29" s="206"/>
    </row>
    <row r="30" spans="1:10" x14ac:dyDescent="0.2">
      <c r="A30" s="206"/>
      <c r="B30" s="206"/>
      <c r="C30" s="206"/>
      <c r="D30" s="206"/>
      <c r="E30" s="206"/>
      <c r="F30" s="206"/>
    </row>
    <row r="31" spans="1:10" x14ac:dyDescent="0.2">
      <c r="A31" s="209" t="s">
        <v>186</v>
      </c>
      <c r="B31" s="191"/>
      <c r="C31" s="191"/>
      <c r="D31" s="191"/>
      <c r="E31" s="191"/>
      <c r="F31" s="191"/>
      <c r="G31" s="191"/>
      <c r="H31" s="191"/>
      <c r="I31" s="191"/>
      <c r="J31" s="210"/>
    </row>
    <row r="32" spans="1:10" x14ac:dyDescent="0.2">
      <c r="A32" s="211"/>
      <c r="B32" s="186"/>
      <c r="C32" s="243" t="s">
        <v>107</v>
      </c>
      <c r="D32" s="374" t="s">
        <v>172</v>
      </c>
      <c r="E32" s="374"/>
      <c r="F32" s="173" t="s">
        <v>18</v>
      </c>
      <c r="G32" s="173" t="s">
        <v>108</v>
      </c>
      <c r="H32" s="186"/>
      <c r="I32" s="375" t="s">
        <v>173</v>
      </c>
      <c r="J32" s="376"/>
    </row>
    <row r="33" spans="1:10" x14ac:dyDescent="0.2">
      <c r="A33" s="211" t="s">
        <v>109</v>
      </c>
      <c r="B33" s="186" t="s">
        <v>110</v>
      </c>
      <c r="C33" s="207">
        <v>21</v>
      </c>
      <c r="D33" s="186">
        <v>10</v>
      </c>
      <c r="E33" s="186">
        <v>0.33</v>
      </c>
      <c r="F33" s="186">
        <f>SUM(C33*D33*E33)/27*2</f>
        <v>5.1333333333333329</v>
      </c>
      <c r="G33" s="186"/>
      <c r="H33" s="186"/>
      <c r="I33" s="186"/>
      <c r="J33" s="213">
        <f>SUM(C33*D33*2)+(C35*D35)+(C36*D36*2)</f>
        <v>1174.6956</v>
      </c>
    </row>
    <row r="34" spans="1:10" x14ac:dyDescent="0.2">
      <c r="A34" s="211"/>
      <c r="B34" s="186" t="s">
        <v>174</v>
      </c>
      <c r="C34" s="186">
        <v>10</v>
      </c>
      <c r="D34" s="186"/>
      <c r="E34" s="186"/>
      <c r="F34" s="186"/>
      <c r="G34" s="186"/>
      <c r="H34" s="186"/>
      <c r="I34" s="186"/>
      <c r="J34" s="213"/>
    </row>
    <row r="35" spans="1:10" x14ac:dyDescent="0.2">
      <c r="A35" s="211" t="s">
        <v>117</v>
      </c>
      <c r="B35" s="186" t="s">
        <v>111</v>
      </c>
      <c r="C35" s="207">
        <f>SUM(20-1.66)</f>
        <v>18.34</v>
      </c>
      <c r="D35" s="186">
        <f>SUM(21-1.66)</f>
        <v>19.34</v>
      </c>
      <c r="E35" s="186">
        <v>0.75</v>
      </c>
      <c r="F35" s="181">
        <f>SUM(C35*D35*E35)/27*1</f>
        <v>9.8526555555555557</v>
      </c>
      <c r="G35" s="186"/>
      <c r="H35" s="186"/>
      <c r="I35" s="186"/>
      <c r="J35" s="213"/>
    </row>
    <row r="36" spans="1:10" x14ac:dyDescent="0.2">
      <c r="A36" s="211" t="s">
        <v>112</v>
      </c>
      <c r="B36" s="186" t="s">
        <v>112</v>
      </c>
      <c r="C36" s="207">
        <v>20</v>
      </c>
      <c r="D36" s="186">
        <v>10</v>
      </c>
      <c r="E36" s="186">
        <v>0.33</v>
      </c>
      <c r="F36" s="214">
        <f>SUM(C36*D36*E36)/27*2</f>
        <v>4.8888888888888893</v>
      </c>
      <c r="G36" s="248" t="s">
        <v>113</v>
      </c>
      <c r="H36" s="176" t="s">
        <v>114</v>
      </c>
      <c r="I36" s="186"/>
      <c r="J36" s="213"/>
    </row>
    <row r="37" spans="1:10" x14ac:dyDescent="0.2">
      <c r="A37" s="215"/>
      <c r="B37" s="173"/>
      <c r="C37" s="173"/>
      <c r="D37" s="173"/>
      <c r="E37" s="173"/>
      <c r="F37" s="214">
        <f>SUM(F33:F36)</f>
        <v>19.874877777777776</v>
      </c>
      <c r="G37" s="243">
        <f>SUM(27*105)</f>
        <v>2835</v>
      </c>
      <c r="H37" s="173">
        <f>SUM(F37*G37)</f>
        <v>56345.278499999993</v>
      </c>
      <c r="I37" s="176" t="s">
        <v>115</v>
      </c>
      <c r="J37" s="216"/>
    </row>
    <row r="38" spans="1:10" x14ac:dyDescent="0.2">
      <c r="A38" s="211"/>
      <c r="B38" s="186"/>
      <c r="C38" s="186"/>
      <c r="D38" s="186"/>
      <c r="E38" s="186"/>
      <c r="F38" s="181"/>
      <c r="G38" s="184"/>
      <c r="H38" s="186"/>
      <c r="I38" s="183"/>
      <c r="J38" s="213"/>
    </row>
    <row r="39" spans="1:10" x14ac:dyDescent="0.2">
      <c r="A39" s="211"/>
      <c r="B39" s="186"/>
      <c r="C39" s="186"/>
      <c r="D39" s="186"/>
      <c r="E39" s="186"/>
      <c r="F39" s="181"/>
      <c r="G39" s="184"/>
      <c r="H39" s="186"/>
      <c r="I39" s="183"/>
      <c r="J39" s="213"/>
    </row>
    <row r="40" spans="1:10" x14ac:dyDescent="0.2">
      <c r="A40" s="209" t="s">
        <v>171</v>
      </c>
      <c r="B40" s="191"/>
      <c r="C40" s="191"/>
      <c r="D40" s="191"/>
      <c r="E40" s="191"/>
      <c r="F40" s="191"/>
      <c r="G40" s="191"/>
      <c r="H40" s="191"/>
      <c r="I40" s="191"/>
      <c r="J40" s="210"/>
    </row>
    <row r="41" spans="1:10" x14ac:dyDescent="0.2">
      <c r="A41" s="211"/>
      <c r="B41" s="186"/>
      <c r="C41" s="243" t="s">
        <v>107</v>
      </c>
      <c r="D41" s="374" t="s">
        <v>172</v>
      </c>
      <c r="E41" s="374"/>
      <c r="F41" s="173" t="s">
        <v>18</v>
      </c>
      <c r="G41" s="173" t="s">
        <v>108</v>
      </c>
      <c r="H41" s="186"/>
      <c r="I41" s="375" t="s">
        <v>173</v>
      </c>
      <c r="J41" s="376"/>
    </row>
    <row r="42" spans="1:10" x14ac:dyDescent="0.2">
      <c r="A42" s="211" t="s">
        <v>109</v>
      </c>
      <c r="B42" s="186" t="s">
        <v>110</v>
      </c>
      <c r="C42" s="207">
        <v>20</v>
      </c>
      <c r="D42" s="186">
        <v>10</v>
      </c>
      <c r="E42" s="186">
        <v>0.33</v>
      </c>
      <c r="F42" s="186">
        <f>SUM(C42*D42*E42)/27*2</f>
        <v>4.8888888888888893</v>
      </c>
      <c r="G42" s="186"/>
      <c r="H42" s="186"/>
      <c r="I42" s="186"/>
      <c r="J42" s="213">
        <f>SUM(C42*D42*2)+(C44*D44)+(C45*D45*2)</f>
        <v>1120</v>
      </c>
    </row>
    <row r="43" spans="1:10" x14ac:dyDescent="0.2">
      <c r="A43" s="211"/>
      <c r="B43" s="186" t="s">
        <v>174</v>
      </c>
      <c r="C43" s="186">
        <v>10</v>
      </c>
      <c r="D43" s="186"/>
      <c r="E43" s="186"/>
      <c r="F43" s="186"/>
      <c r="G43" s="186"/>
      <c r="H43" s="186"/>
      <c r="I43" s="186"/>
      <c r="J43" s="213"/>
    </row>
    <row r="44" spans="1:10" x14ac:dyDescent="0.2">
      <c r="A44" s="211" t="s">
        <v>117</v>
      </c>
      <c r="B44" s="186" t="s">
        <v>111</v>
      </c>
      <c r="C44" s="207">
        <v>20</v>
      </c>
      <c r="D44" s="186">
        <v>18</v>
      </c>
      <c r="E44" s="186">
        <v>0.5</v>
      </c>
      <c r="F44" s="181">
        <f>SUM(C44*D44*E44)/27*1</f>
        <v>6.666666666666667</v>
      </c>
      <c r="G44" s="186"/>
      <c r="H44" s="186"/>
      <c r="I44" s="186"/>
      <c r="J44" s="213"/>
    </row>
    <row r="45" spans="1:10" x14ac:dyDescent="0.2">
      <c r="A45" s="211" t="s">
        <v>112</v>
      </c>
      <c r="B45" s="186" t="s">
        <v>112</v>
      </c>
      <c r="C45" s="207">
        <v>18</v>
      </c>
      <c r="D45" s="186">
        <v>10</v>
      </c>
      <c r="E45" s="186">
        <v>0.33</v>
      </c>
      <c r="F45" s="214">
        <f>SUM(C45*D45*E45)/27*2</f>
        <v>4.4000000000000004</v>
      </c>
      <c r="G45" s="248" t="s">
        <v>113</v>
      </c>
      <c r="H45" s="176" t="s">
        <v>114</v>
      </c>
      <c r="I45" s="186"/>
      <c r="J45" s="213"/>
    </row>
    <row r="46" spans="1:10" x14ac:dyDescent="0.2">
      <c r="A46" s="215"/>
      <c r="B46" s="173"/>
      <c r="C46" s="173"/>
      <c r="D46" s="173"/>
      <c r="E46" s="173"/>
      <c r="F46" s="214">
        <f>SUM(F42:F45)</f>
        <v>15.955555555555557</v>
      </c>
      <c r="G46" s="243">
        <f>SUM(27*105)</f>
        <v>2835</v>
      </c>
      <c r="H46" s="173">
        <f>SUM(F46*G46)</f>
        <v>45234.000000000007</v>
      </c>
      <c r="I46" s="176" t="s">
        <v>115</v>
      </c>
      <c r="J46" s="216"/>
    </row>
    <row r="47" spans="1:10" x14ac:dyDescent="0.2">
      <c r="A47" s="186"/>
      <c r="B47" s="186"/>
      <c r="C47" s="186"/>
      <c r="D47" s="186"/>
      <c r="E47" s="186"/>
      <c r="F47" s="181"/>
      <c r="G47" s="184"/>
      <c r="H47" s="186"/>
      <c r="I47" s="183"/>
      <c r="J47" s="186"/>
    </row>
    <row r="48" spans="1:10" x14ac:dyDescent="0.2">
      <c r="A48" s="186"/>
      <c r="B48" s="186"/>
      <c r="C48" s="186"/>
      <c r="D48" s="186"/>
      <c r="E48" s="186"/>
      <c r="F48" s="181"/>
      <c r="G48" s="184"/>
      <c r="H48" s="186"/>
      <c r="I48" s="183"/>
      <c r="J48" s="186"/>
    </row>
    <row r="49" spans="1:10" x14ac:dyDescent="0.2">
      <c r="A49" s="209" t="s">
        <v>175</v>
      </c>
      <c r="B49" s="191"/>
      <c r="C49" s="191"/>
      <c r="D49" s="191"/>
      <c r="E49" s="191"/>
      <c r="F49" s="191"/>
      <c r="G49" s="191"/>
      <c r="H49" s="191"/>
      <c r="I49" s="191"/>
      <c r="J49" s="210"/>
    </row>
    <row r="50" spans="1:10" x14ac:dyDescent="0.2">
      <c r="A50" s="211"/>
      <c r="B50" s="186"/>
      <c r="C50" s="243" t="s">
        <v>107</v>
      </c>
      <c r="D50" s="374" t="s">
        <v>172</v>
      </c>
      <c r="E50" s="374"/>
      <c r="F50" s="173" t="s">
        <v>18</v>
      </c>
      <c r="G50" s="173" t="s">
        <v>108</v>
      </c>
      <c r="H50" s="186"/>
      <c r="I50" s="375" t="s">
        <v>173</v>
      </c>
      <c r="J50" s="376"/>
    </row>
    <row r="51" spans="1:10" x14ac:dyDescent="0.2">
      <c r="A51" s="211" t="s">
        <v>109</v>
      </c>
      <c r="B51" s="186" t="s">
        <v>110</v>
      </c>
      <c r="C51" s="207">
        <v>28</v>
      </c>
      <c r="D51" s="186">
        <v>10</v>
      </c>
      <c r="E51" s="186">
        <v>0.33</v>
      </c>
      <c r="F51" s="186">
        <f>SUM(C51*D51*E51)/27*2</f>
        <v>6.844444444444445</v>
      </c>
      <c r="G51" s="186"/>
      <c r="H51" s="186"/>
      <c r="I51" s="186"/>
      <c r="J51" s="213">
        <f>SUM(C51*D51*2)+(C53*D53)+(C54*D54*2)</f>
        <v>1232</v>
      </c>
    </row>
    <row r="52" spans="1:10" x14ac:dyDescent="0.2">
      <c r="A52" s="211"/>
      <c r="B52" s="186" t="s">
        <v>174</v>
      </c>
      <c r="C52" s="186">
        <v>10</v>
      </c>
      <c r="D52" s="186"/>
      <c r="E52" s="186"/>
      <c r="F52" s="186"/>
      <c r="G52" s="186"/>
      <c r="H52" s="186"/>
      <c r="I52" s="186"/>
      <c r="J52" s="213"/>
    </row>
    <row r="53" spans="1:10" x14ac:dyDescent="0.2">
      <c r="A53" s="211" t="s">
        <v>117</v>
      </c>
      <c r="B53" s="186" t="s">
        <v>111</v>
      </c>
      <c r="C53" s="207">
        <v>28</v>
      </c>
      <c r="D53" s="186">
        <v>14</v>
      </c>
      <c r="E53" s="186">
        <v>0.5</v>
      </c>
      <c r="F53" s="181">
        <f>SUM(C53*D53*E53)/27*1</f>
        <v>7.2592592592592595</v>
      </c>
      <c r="G53" s="186"/>
      <c r="H53" s="186"/>
      <c r="I53" s="186"/>
      <c r="J53" s="213"/>
    </row>
    <row r="54" spans="1:10" x14ac:dyDescent="0.2">
      <c r="A54" s="211" t="s">
        <v>112</v>
      </c>
      <c r="B54" s="186" t="s">
        <v>112</v>
      </c>
      <c r="C54" s="207">
        <v>14</v>
      </c>
      <c r="D54" s="186">
        <v>10</v>
      </c>
      <c r="E54" s="186">
        <v>0.33</v>
      </c>
      <c r="F54" s="214">
        <f>SUM(C54*D54*E54)/27*2</f>
        <v>3.4222222222222225</v>
      </c>
      <c r="G54" s="248" t="s">
        <v>113</v>
      </c>
      <c r="H54" s="176" t="s">
        <v>114</v>
      </c>
      <c r="I54" s="186"/>
      <c r="J54" s="213"/>
    </row>
    <row r="55" spans="1:10" x14ac:dyDescent="0.2">
      <c r="A55" s="215"/>
      <c r="B55" s="173"/>
      <c r="C55" s="173"/>
      <c r="D55" s="173"/>
      <c r="E55" s="173"/>
      <c r="F55" s="214">
        <f>SUM(F51:F54)</f>
        <v>17.525925925925925</v>
      </c>
      <c r="G55" s="243">
        <f>SUM(27*105)</f>
        <v>2835</v>
      </c>
      <c r="H55" s="173">
        <f>SUM(F55*G55)</f>
        <v>49686</v>
      </c>
      <c r="I55" s="176" t="s">
        <v>115</v>
      </c>
      <c r="J55" s="216"/>
    </row>
    <row r="58" spans="1:10" x14ac:dyDescent="0.2">
      <c r="A58" s="209" t="s">
        <v>176</v>
      </c>
      <c r="B58" s="191"/>
      <c r="C58" s="217" t="s">
        <v>107</v>
      </c>
      <c r="D58" s="371" t="s">
        <v>172</v>
      </c>
      <c r="E58" s="371"/>
      <c r="F58" s="218" t="s">
        <v>18</v>
      </c>
      <c r="G58" s="218" t="s">
        <v>108</v>
      </c>
      <c r="H58" s="191"/>
      <c r="I58" s="372" t="s">
        <v>173</v>
      </c>
      <c r="J58" s="373"/>
    </row>
    <row r="59" spans="1:10" x14ac:dyDescent="0.2">
      <c r="A59" s="211" t="s">
        <v>109</v>
      </c>
      <c r="B59" s="186" t="s">
        <v>110</v>
      </c>
      <c r="C59" s="207">
        <v>21</v>
      </c>
      <c r="D59" s="186">
        <v>10</v>
      </c>
      <c r="E59" s="186">
        <v>0.33</v>
      </c>
      <c r="F59" s="186">
        <f>SUM(C59*D59*E59)/27*2</f>
        <v>5.1333333333333329</v>
      </c>
      <c r="G59" s="186"/>
      <c r="H59" s="186"/>
      <c r="I59" s="186"/>
      <c r="J59" s="213">
        <f>SUM(C59*D59*2)+(C61*D61)+(C62*D62*2)</f>
        <v>1140</v>
      </c>
    </row>
    <row r="60" spans="1:10" x14ac:dyDescent="0.2">
      <c r="A60" s="211"/>
      <c r="B60" s="186" t="s">
        <v>174</v>
      </c>
      <c r="C60" s="186">
        <v>10</v>
      </c>
      <c r="D60" s="186"/>
      <c r="E60" s="186"/>
      <c r="F60" s="186"/>
      <c r="G60" s="186"/>
      <c r="H60" s="186"/>
      <c r="I60" s="186"/>
      <c r="J60" s="213"/>
    </row>
    <row r="61" spans="1:10" x14ac:dyDescent="0.2">
      <c r="A61" s="211" t="s">
        <v>117</v>
      </c>
      <c r="B61" s="186" t="s">
        <v>111</v>
      </c>
      <c r="C61" s="207">
        <v>20</v>
      </c>
      <c r="D61" s="186">
        <v>20</v>
      </c>
      <c r="E61" s="186">
        <v>0.5</v>
      </c>
      <c r="F61" s="181">
        <f>SUM(C61*D61*E61)/27*1</f>
        <v>7.4074074074074074</v>
      </c>
      <c r="G61" s="186"/>
      <c r="H61" s="186"/>
      <c r="I61" s="186"/>
      <c r="J61" s="213"/>
    </row>
    <row r="62" spans="1:10" x14ac:dyDescent="0.2">
      <c r="A62" s="211" t="s">
        <v>112</v>
      </c>
      <c r="B62" s="186" t="s">
        <v>112</v>
      </c>
      <c r="C62" s="207">
        <v>16</v>
      </c>
      <c r="D62" s="186">
        <v>10</v>
      </c>
      <c r="E62" s="186">
        <v>0.33</v>
      </c>
      <c r="F62" s="214">
        <f>SUM(C62*D62*E62)/27*2</f>
        <v>3.9111111111111114</v>
      </c>
      <c r="G62" s="248" t="s">
        <v>113</v>
      </c>
      <c r="H62" s="176" t="s">
        <v>114</v>
      </c>
      <c r="I62" s="186"/>
      <c r="J62" s="213"/>
    </row>
    <row r="63" spans="1:10" x14ac:dyDescent="0.2">
      <c r="A63" s="215"/>
      <c r="B63" s="173"/>
      <c r="C63" s="173"/>
      <c r="D63" s="173"/>
      <c r="E63" s="173"/>
      <c r="F63" s="214">
        <f>SUM(F59:F62)</f>
        <v>16.451851851851853</v>
      </c>
      <c r="G63" s="243">
        <f>SUM(27*105)</f>
        <v>2835</v>
      </c>
      <c r="H63" s="173">
        <f>SUM(F63*G63)</f>
        <v>46641</v>
      </c>
      <c r="I63" s="176" t="s">
        <v>115</v>
      </c>
      <c r="J63" s="216"/>
    </row>
    <row r="66" spans="1:10" x14ac:dyDescent="0.2">
      <c r="A66" s="209" t="s">
        <v>177</v>
      </c>
      <c r="B66" s="191"/>
      <c r="C66" s="217" t="s">
        <v>107</v>
      </c>
      <c r="D66" s="371" t="s">
        <v>172</v>
      </c>
      <c r="E66" s="371"/>
      <c r="F66" s="218" t="s">
        <v>18</v>
      </c>
      <c r="G66" s="218" t="s">
        <v>108</v>
      </c>
      <c r="H66" s="191"/>
      <c r="I66" s="372" t="s">
        <v>173</v>
      </c>
      <c r="J66" s="373"/>
    </row>
    <row r="67" spans="1:10" x14ac:dyDescent="0.2">
      <c r="A67" s="211" t="s">
        <v>109</v>
      </c>
      <c r="B67" s="186" t="s">
        <v>110</v>
      </c>
      <c r="C67" s="207">
        <v>16</v>
      </c>
      <c r="D67" s="186">
        <v>10</v>
      </c>
      <c r="E67" s="186">
        <v>0.33</v>
      </c>
      <c r="F67" s="186">
        <f>SUM(C67*D67*E67)/27*2</f>
        <v>3.9111111111111114</v>
      </c>
      <c r="G67" s="186"/>
      <c r="H67" s="186"/>
      <c r="I67" s="186"/>
      <c r="J67" s="213">
        <f>SUM(C67*D67*2)+(C69*D69)+(C70*D70*2)</f>
        <v>608</v>
      </c>
    </row>
    <row r="68" spans="1:10" x14ac:dyDescent="0.2">
      <c r="A68" s="211"/>
      <c r="B68" s="186" t="s">
        <v>174</v>
      </c>
      <c r="C68" s="186">
        <v>10</v>
      </c>
      <c r="D68" s="186"/>
      <c r="E68" s="186"/>
      <c r="F68" s="186"/>
      <c r="G68" s="186"/>
      <c r="H68" s="186"/>
      <c r="I68" s="186"/>
      <c r="J68" s="213"/>
    </row>
    <row r="69" spans="1:10" x14ac:dyDescent="0.2">
      <c r="A69" s="211" t="s">
        <v>117</v>
      </c>
      <c r="B69" s="186" t="s">
        <v>111</v>
      </c>
      <c r="C69" s="207">
        <v>8</v>
      </c>
      <c r="D69" s="186">
        <v>16</v>
      </c>
      <c r="E69" s="186">
        <v>0.5</v>
      </c>
      <c r="F69" s="181">
        <f>SUM(C69*D69*E69)/27*1</f>
        <v>2.3703703703703702</v>
      </c>
      <c r="G69" s="186"/>
      <c r="H69" s="186"/>
      <c r="I69" s="186"/>
      <c r="J69" s="213"/>
    </row>
    <row r="70" spans="1:10" x14ac:dyDescent="0.2">
      <c r="A70" s="211" t="s">
        <v>112</v>
      </c>
      <c r="B70" s="186" t="s">
        <v>112</v>
      </c>
      <c r="C70" s="207">
        <v>8</v>
      </c>
      <c r="D70" s="186">
        <v>10</v>
      </c>
      <c r="E70" s="186">
        <v>0.33</v>
      </c>
      <c r="F70" s="214">
        <f>SUM(C70*D70*E70)/27*2</f>
        <v>1.9555555555555557</v>
      </c>
      <c r="G70" s="248" t="s">
        <v>113</v>
      </c>
      <c r="H70" s="176" t="s">
        <v>114</v>
      </c>
      <c r="I70" s="186"/>
      <c r="J70" s="213"/>
    </row>
    <row r="71" spans="1:10" x14ac:dyDescent="0.2">
      <c r="A71" s="215"/>
      <c r="B71" s="173"/>
      <c r="C71" s="173"/>
      <c r="D71" s="173"/>
      <c r="E71" s="173"/>
      <c r="F71" s="214">
        <f>SUM(F67:F70)</f>
        <v>8.2370370370370374</v>
      </c>
      <c r="G71" s="243">
        <f>SUM(27*105)</f>
        <v>2835</v>
      </c>
      <c r="H71" s="173">
        <f>SUM(F71*G71)</f>
        <v>23352</v>
      </c>
      <c r="I71" s="176" t="s">
        <v>115</v>
      </c>
      <c r="J71" s="216"/>
    </row>
    <row r="74" spans="1:10" x14ac:dyDescent="0.2">
      <c r="A74" s="209" t="s">
        <v>178</v>
      </c>
      <c r="B74" s="191"/>
      <c r="C74" s="217" t="s">
        <v>107</v>
      </c>
      <c r="D74" s="371" t="s">
        <v>172</v>
      </c>
      <c r="E74" s="371"/>
      <c r="F74" s="218" t="s">
        <v>18</v>
      </c>
      <c r="G74" s="218" t="s">
        <v>108</v>
      </c>
      <c r="H74" s="191"/>
      <c r="I74" s="372" t="s">
        <v>173</v>
      </c>
      <c r="J74" s="373"/>
    </row>
    <row r="75" spans="1:10" x14ac:dyDescent="0.2">
      <c r="A75" s="211" t="s">
        <v>109</v>
      </c>
      <c r="B75" s="186" t="s">
        <v>110</v>
      </c>
      <c r="C75" s="207">
        <v>20</v>
      </c>
      <c r="D75" s="186">
        <v>10</v>
      </c>
      <c r="E75" s="186">
        <v>0.33</v>
      </c>
      <c r="F75" s="186">
        <f>SUM(C75*D75*E75)/27*2</f>
        <v>4.8888888888888893</v>
      </c>
      <c r="G75" s="186"/>
      <c r="H75" s="186"/>
      <c r="I75" s="186"/>
      <c r="J75" s="213">
        <f>SUM(C75*D75*2)+(C77*D77)+(C78*D78*2)</f>
        <v>960</v>
      </c>
    </row>
    <row r="76" spans="1:10" x14ac:dyDescent="0.2">
      <c r="A76" s="211"/>
      <c r="B76" s="186" t="s">
        <v>174</v>
      </c>
      <c r="C76" s="186">
        <v>10</v>
      </c>
      <c r="D76" s="186"/>
      <c r="E76" s="186"/>
      <c r="F76" s="186"/>
      <c r="G76" s="186"/>
      <c r="H76" s="186"/>
      <c r="I76" s="186"/>
      <c r="J76" s="213"/>
    </row>
    <row r="77" spans="1:10" x14ac:dyDescent="0.2">
      <c r="A77" s="211" t="s">
        <v>117</v>
      </c>
      <c r="B77" s="186" t="s">
        <v>111</v>
      </c>
      <c r="C77" s="207">
        <v>20</v>
      </c>
      <c r="D77" s="186">
        <v>14</v>
      </c>
      <c r="E77" s="186">
        <v>0.5</v>
      </c>
      <c r="F77" s="181">
        <f>SUM(C77*D77*E77)/27*1</f>
        <v>5.1851851851851851</v>
      </c>
      <c r="G77" s="186"/>
      <c r="H77" s="186"/>
      <c r="I77" s="186"/>
      <c r="J77" s="213"/>
    </row>
    <row r="78" spans="1:10" x14ac:dyDescent="0.2">
      <c r="A78" s="211" t="s">
        <v>112</v>
      </c>
      <c r="B78" s="186" t="s">
        <v>112</v>
      </c>
      <c r="C78" s="207">
        <v>14</v>
      </c>
      <c r="D78" s="186">
        <v>10</v>
      </c>
      <c r="E78" s="186">
        <v>0.33</v>
      </c>
      <c r="F78" s="214">
        <f>SUM(C78*D78*E78)/27*2</f>
        <v>3.4222222222222225</v>
      </c>
      <c r="G78" s="248" t="s">
        <v>113</v>
      </c>
      <c r="H78" s="176" t="s">
        <v>114</v>
      </c>
      <c r="I78" s="186"/>
      <c r="J78" s="213"/>
    </row>
    <row r="79" spans="1:10" x14ac:dyDescent="0.2">
      <c r="A79" s="215"/>
      <c r="B79" s="173"/>
      <c r="C79" s="173"/>
      <c r="D79" s="173"/>
      <c r="E79" s="173"/>
      <c r="F79" s="214">
        <f>SUM(F75:F78)</f>
        <v>13.496296296296297</v>
      </c>
      <c r="G79" s="243">
        <f>SUM(27*105)</f>
        <v>2835</v>
      </c>
      <c r="H79" s="173">
        <f>SUM(F79*G79)</f>
        <v>38262</v>
      </c>
      <c r="I79" s="176" t="s">
        <v>115</v>
      </c>
      <c r="J79" s="216"/>
    </row>
    <row r="83" spans="1:10" x14ac:dyDescent="0.2">
      <c r="A83" s="209" t="s">
        <v>179</v>
      </c>
      <c r="B83" s="191"/>
      <c r="C83" s="217" t="s">
        <v>107</v>
      </c>
      <c r="D83" s="371" t="s">
        <v>172</v>
      </c>
      <c r="E83" s="371"/>
      <c r="F83" s="218" t="s">
        <v>18</v>
      </c>
      <c r="G83" s="218" t="s">
        <v>108</v>
      </c>
      <c r="H83" s="191"/>
      <c r="I83" s="372" t="s">
        <v>173</v>
      </c>
      <c r="J83" s="373"/>
    </row>
    <row r="84" spans="1:10" x14ac:dyDescent="0.2">
      <c r="A84" s="211" t="s">
        <v>109</v>
      </c>
      <c r="B84" s="186" t="s">
        <v>110</v>
      </c>
      <c r="C84" s="207">
        <v>16</v>
      </c>
      <c r="D84" s="186">
        <v>10</v>
      </c>
      <c r="E84" s="186">
        <v>0.33</v>
      </c>
      <c r="F84" s="186">
        <f>SUM(C84*D84*E84)/27*2</f>
        <v>3.9111111111111114</v>
      </c>
      <c r="G84" s="186"/>
      <c r="H84" s="186"/>
      <c r="I84" s="186"/>
      <c r="J84" s="213">
        <f>SUM(C84*D84*2)+(C86*D86)+(C87*D87*2)</f>
        <v>896</v>
      </c>
    </row>
    <row r="85" spans="1:10" x14ac:dyDescent="0.2">
      <c r="A85" s="211"/>
      <c r="B85" s="186" t="s">
        <v>174</v>
      </c>
      <c r="C85" s="186">
        <v>10</v>
      </c>
      <c r="D85" s="186"/>
      <c r="E85" s="186"/>
      <c r="F85" s="186"/>
      <c r="G85" s="186"/>
      <c r="H85" s="186"/>
      <c r="I85" s="186"/>
      <c r="J85" s="213"/>
    </row>
    <row r="86" spans="1:10" x14ac:dyDescent="0.2">
      <c r="A86" s="211" t="s">
        <v>117</v>
      </c>
      <c r="B86" s="186" t="s">
        <v>111</v>
      </c>
      <c r="C86" s="207">
        <v>16</v>
      </c>
      <c r="D86" s="186">
        <v>16</v>
      </c>
      <c r="E86" s="186">
        <v>0.5</v>
      </c>
      <c r="F86" s="181">
        <f>SUM(C86*D86*E86)/27*1</f>
        <v>4.7407407407407405</v>
      </c>
      <c r="G86" s="186"/>
      <c r="H86" s="186"/>
      <c r="I86" s="186"/>
      <c r="J86" s="213"/>
    </row>
    <row r="87" spans="1:10" x14ac:dyDescent="0.2">
      <c r="A87" s="211" t="s">
        <v>112</v>
      </c>
      <c r="B87" s="186" t="s">
        <v>112</v>
      </c>
      <c r="C87" s="207">
        <v>16</v>
      </c>
      <c r="D87" s="186">
        <v>10</v>
      </c>
      <c r="E87" s="186">
        <v>0.33</v>
      </c>
      <c r="F87" s="214">
        <f>SUM(C87*D87*E87)/27*2</f>
        <v>3.9111111111111114</v>
      </c>
      <c r="G87" s="248" t="s">
        <v>113</v>
      </c>
      <c r="H87" s="176" t="s">
        <v>114</v>
      </c>
      <c r="I87" s="186"/>
      <c r="J87" s="213"/>
    </row>
    <row r="88" spans="1:10" x14ac:dyDescent="0.2">
      <c r="A88" s="215"/>
      <c r="B88" s="173"/>
      <c r="C88" s="173"/>
      <c r="D88" s="173"/>
      <c r="E88" s="173"/>
      <c r="F88" s="214">
        <f>SUM(F84:F87)</f>
        <v>12.562962962962963</v>
      </c>
      <c r="G88" s="243">
        <f>SUM(27*105)</f>
        <v>2835</v>
      </c>
      <c r="H88" s="173">
        <f>SUM(F88*G88)</f>
        <v>35616</v>
      </c>
      <c r="I88" s="176" t="s">
        <v>115</v>
      </c>
      <c r="J88" s="216"/>
    </row>
    <row r="90" spans="1:10" x14ac:dyDescent="0.2">
      <c r="A90" s="209" t="s">
        <v>180</v>
      </c>
      <c r="B90" s="219" t="s">
        <v>181</v>
      </c>
      <c r="C90" s="217" t="s">
        <v>107</v>
      </c>
      <c r="D90" s="371" t="s">
        <v>172</v>
      </c>
      <c r="E90" s="371"/>
      <c r="F90" s="218" t="s">
        <v>18</v>
      </c>
      <c r="G90" s="218" t="s">
        <v>108</v>
      </c>
      <c r="H90" s="191"/>
      <c r="I90" s="372" t="s">
        <v>173</v>
      </c>
      <c r="J90" s="373"/>
    </row>
    <row r="91" spans="1:10" x14ac:dyDescent="0.2">
      <c r="A91" s="220" t="s">
        <v>182</v>
      </c>
      <c r="B91" s="184">
        <v>2</v>
      </c>
      <c r="C91" s="186">
        <v>19</v>
      </c>
      <c r="D91" s="186">
        <v>10</v>
      </c>
      <c r="E91" s="186">
        <v>0.33</v>
      </c>
      <c r="F91" s="186">
        <f>SUM(C91*D91*E91*1)/27*2</f>
        <v>4.6444444444444448</v>
      </c>
      <c r="G91" s="186"/>
      <c r="H91" s="186"/>
      <c r="I91" s="186"/>
      <c r="J91" s="213">
        <f>SUM(C91*D91*2)+(C92*D92*2)+(C93*D93)+(C94*D94)</f>
        <v>1484</v>
      </c>
    </row>
    <row r="92" spans="1:10" x14ac:dyDescent="0.2">
      <c r="A92" s="220" t="s">
        <v>182</v>
      </c>
      <c r="B92" s="186">
        <v>2</v>
      </c>
      <c r="C92" s="186">
        <v>20</v>
      </c>
      <c r="D92" s="186">
        <v>10</v>
      </c>
      <c r="E92" s="186">
        <v>0.33</v>
      </c>
      <c r="F92" s="186">
        <f>SUM(C92*D92*E92*1)/27*2</f>
        <v>4.8888888888888893</v>
      </c>
      <c r="G92" s="186"/>
      <c r="H92" s="186"/>
      <c r="I92" s="186"/>
      <c r="J92" s="213"/>
    </row>
    <row r="93" spans="1:10" x14ac:dyDescent="0.2">
      <c r="A93" s="220" t="s">
        <v>183</v>
      </c>
      <c r="B93" s="186"/>
      <c r="C93" s="186">
        <v>19</v>
      </c>
      <c r="D93" s="186">
        <v>16</v>
      </c>
      <c r="E93" s="186">
        <v>0.33</v>
      </c>
      <c r="F93" s="186">
        <f>SUM(C93*D93*E93*1)/27*1</f>
        <v>3.7155555555555559</v>
      </c>
      <c r="G93" s="186"/>
      <c r="H93" s="186"/>
      <c r="I93" s="186"/>
      <c r="J93" s="213"/>
    </row>
    <row r="94" spans="1:10" x14ac:dyDescent="0.2">
      <c r="A94" s="221" t="s">
        <v>183</v>
      </c>
      <c r="B94" s="173"/>
      <c r="C94" s="173">
        <v>20</v>
      </c>
      <c r="D94" s="173">
        <v>20</v>
      </c>
      <c r="E94" s="173">
        <v>0.33</v>
      </c>
      <c r="F94" s="173">
        <f>SUM(C94*D94*E94*1)/27*1</f>
        <v>4.8888888888888893</v>
      </c>
      <c r="G94" s="173"/>
      <c r="H94" s="173"/>
      <c r="I94" s="173"/>
      <c r="J94" s="216"/>
    </row>
    <row r="96" spans="1:10" x14ac:dyDescent="0.2">
      <c r="E96" s="363" t="s">
        <v>184</v>
      </c>
      <c r="F96" s="364"/>
      <c r="G96" s="364"/>
      <c r="I96" s="365" t="s">
        <v>185</v>
      </c>
      <c r="J96" s="365"/>
    </row>
    <row r="97" spans="1:13" x14ac:dyDescent="0.2">
      <c r="F97" s="175">
        <f>SUM(F46,F55,F63,F71,F79,F88,F91,F92,F93,F94,F88,F88)</f>
        <v>127.49333333333334</v>
      </c>
      <c r="G97" s="178" t="s">
        <v>18</v>
      </c>
      <c r="J97">
        <f>SUM(J42,J51,J59,J67,J75,J84,J91)</f>
        <v>7440</v>
      </c>
    </row>
    <row r="98" spans="1:13" x14ac:dyDescent="0.2">
      <c r="J98" s="173">
        <v>1800</v>
      </c>
    </row>
    <row r="99" spans="1:13" x14ac:dyDescent="0.2">
      <c r="J99" s="222">
        <f>SUM(J97:J98)</f>
        <v>9240</v>
      </c>
    </row>
    <row r="102" spans="1:13" x14ac:dyDescent="0.2">
      <c r="A102" s="223" t="s">
        <v>189</v>
      </c>
      <c r="B102" s="173" t="s">
        <v>190</v>
      </c>
      <c r="C102" s="223" t="s">
        <v>191</v>
      </c>
      <c r="D102" s="224" t="s">
        <v>192</v>
      </c>
      <c r="E102" s="366" t="s">
        <v>193</v>
      </c>
      <c r="F102" s="366"/>
      <c r="G102" s="367" t="s">
        <v>194</v>
      </c>
      <c r="H102" s="368"/>
      <c r="I102" s="225" t="s">
        <v>195</v>
      </c>
      <c r="M102" s="173" t="s">
        <v>196</v>
      </c>
    </row>
    <row r="103" spans="1:13" x14ac:dyDescent="0.2">
      <c r="A103" s="226" t="s">
        <v>197</v>
      </c>
      <c r="B103" t="s">
        <v>198</v>
      </c>
      <c r="C103" s="226">
        <v>268</v>
      </c>
      <c r="D103" s="178" t="s">
        <v>199</v>
      </c>
      <c r="E103" s="369" t="s">
        <v>200</v>
      </c>
      <c r="F103" s="369"/>
      <c r="G103" s="370" t="s">
        <v>201</v>
      </c>
      <c r="H103" s="370"/>
      <c r="I103" s="226">
        <f>C103*9.17</f>
        <v>2457.56</v>
      </c>
      <c r="M103" t="s">
        <v>202</v>
      </c>
    </row>
    <row r="104" spans="1:13" x14ac:dyDescent="0.2">
      <c r="A104" s="226" t="s">
        <v>197</v>
      </c>
      <c r="B104" t="s">
        <v>203</v>
      </c>
      <c r="C104" s="226">
        <v>400</v>
      </c>
      <c r="D104" s="178" t="s">
        <v>199</v>
      </c>
      <c r="E104" s="362" t="s">
        <v>200</v>
      </c>
      <c r="F104" s="362"/>
      <c r="G104" s="364" t="s">
        <v>204</v>
      </c>
      <c r="H104" s="364"/>
      <c r="I104" s="226">
        <f>C104*9.17</f>
        <v>3668</v>
      </c>
      <c r="M104" t="s">
        <v>205</v>
      </c>
    </row>
    <row r="105" spans="1:13" x14ac:dyDescent="0.2">
      <c r="A105" s="188"/>
      <c r="B105" s="188"/>
      <c r="C105" s="188"/>
      <c r="D105" s="188"/>
      <c r="E105" s="244"/>
      <c r="F105" s="244"/>
      <c r="G105" s="246"/>
      <c r="I105" s="226"/>
    </row>
    <row r="106" spans="1:13" x14ac:dyDescent="0.2">
      <c r="A106" s="226" t="s">
        <v>206</v>
      </c>
      <c r="B106" t="s">
        <v>207</v>
      </c>
      <c r="C106" s="226">
        <v>48</v>
      </c>
      <c r="E106" s="362" t="s">
        <v>208</v>
      </c>
      <c r="F106" s="362"/>
      <c r="G106" s="363" t="s">
        <v>209</v>
      </c>
      <c r="H106" s="363"/>
      <c r="I106" s="226">
        <f>C106*18.67</f>
        <v>896.16000000000008</v>
      </c>
      <c r="J106" t="s">
        <v>210</v>
      </c>
      <c r="M106" t="s">
        <v>211</v>
      </c>
    </row>
    <row r="107" spans="1:13" x14ac:dyDescent="0.2">
      <c r="A107" s="226" t="s">
        <v>206</v>
      </c>
      <c r="B107" t="s">
        <v>207</v>
      </c>
      <c r="C107" s="226">
        <v>28</v>
      </c>
      <c r="E107" s="362" t="s">
        <v>212</v>
      </c>
      <c r="F107" s="362"/>
      <c r="G107" s="363" t="s">
        <v>209</v>
      </c>
      <c r="H107" s="363"/>
      <c r="I107" s="226">
        <f>C107*12.67</f>
        <v>354.76</v>
      </c>
      <c r="J107" t="s">
        <v>213</v>
      </c>
    </row>
    <row r="108" spans="1:13" x14ac:dyDescent="0.2">
      <c r="A108" s="226" t="s">
        <v>206</v>
      </c>
      <c r="B108" t="s">
        <v>207</v>
      </c>
      <c r="C108" s="226">
        <v>36</v>
      </c>
      <c r="E108" s="362" t="s">
        <v>214</v>
      </c>
      <c r="F108" s="362"/>
      <c r="G108" s="363" t="s">
        <v>215</v>
      </c>
      <c r="H108" s="363"/>
      <c r="I108" s="226">
        <f>C108*14.67</f>
        <v>528.12</v>
      </c>
      <c r="J108" t="s">
        <v>216</v>
      </c>
    </row>
    <row r="109" spans="1:13" x14ac:dyDescent="0.2">
      <c r="A109" s="226" t="s">
        <v>217</v>
      </c>
      <c r="B109" t="s">
        <v>218</v>
      </c>
      <c r="C109" s="226">
        <v>60</v>
      </c>
      <c r="D109" t="s">
        <v>200</v>
      </c>
      <c r="E109" s="362" t="s">
        <v>214</v>
      </c>
      <c r="F109" s="362"/>
      <c r="G109" s="363" t="s">
        <v>215</v>
      </c>
      <c r="H109" s="363"/>
      <c r="I109" s="226">
        <f>C109*14.67</f>
        <v>880.2</v>
      </c>
      <c r="J109" t="s">
        <v>219</v>
      </c>
      <c r="M109" t="s">
        <v>220</v>
      </c>
    </row>
    <row r="110" spans="1:13" x14ac:dyDescent="0.2">
      <c r="A110" s="188"/>
      <c r="B110" s="188"/>
      <c r="C110" s="188"/>
      <c r="D110" s="188"/>
      <c r="E110" s="361"/>
      <c r="F110" s="361"/>
      <c r="G110" s="246"/>
    </row>
    <row r="111" spans="1:13" x14ac:dyDescent="0.2">
      <c r="A111" s="228" t="s">
        <v>221</v>
      </c>
      <c r="B111" s="188"/>
      <c r="C111" s="226">
        <v>1400</v>
      </c>
      <c r="D111" s="188"/>
      <c r="E111" s="361"/>
      <c r="F111" s="361"/>
      <c r="G111" s="246"/>
    </row>
    <row r="112" spans="1:13" x14ac:dyDescent="0.2">
      <c r="A112" s="228" t="s">
        <v>222</v>
      </c>
      <c r="B112" s="188"/>
      <c r="C112" s="226">
        <v>469</v>
      </c>
      <c r="D112" s="188"/>
      <c r="E112" s="361"/>
      <c r="F112" s="361"/>
      <c r="G112" s="246"/>
    </row>
    <row r="113" spans="1:7" x14ac:dyDescent="0.2">
      <c r="A113" s="228" t="s">
        <v>223</v>
      </c>
      <c r="B113" s="188"/>
      <c r="C113" s="226">
        <v>212</v>
      </c>
      <c r="D113" s="188"/>
      <c r="E113" s="188"/>
      <c r="F113" s="188"/>
      <c r="G113" s="246"/>
    </row>
  </sheetData>
  <mergeCells count="37">
    <mergeCell ref="C1:D1"/>
    <mergeCell ref="C2:D2"/>
    <mergeCell ref="D32:E32"/>
    <mergeCell ref="I32:J32"/>
    <mergeCell ref="D41:E41"/>
    <mergeCell ref="I41:J41"/>
    <mergeCell ref="D50:E50"/>
    <mergeCell ref="I50:J50"/>
    <mergeCell ref="D58:E58"/>
    <mergeCell ref="I58:J58"/>
    <mergeCell ref="D66:E66"/>
    <mergeCell ref="I66:J66"/>
    <mergeCell ref="D74:E74"/>
    <mergeCell ref="I74:J74"/>
    <mergeCell ref="D83:E83"/>
    <mergeCell ref="I83:J83"/>
    <mergeCell ref="D90:E90"/>
    <mergeCell ref="I90:J90"/>
    <mergeCell ref="E96:G96"/>
    <mergeCell ref="I96:J96"/>
    <mergeCell ref="E102:F102"/>
    <mergeCell ref="G102:H102"/>
    <mergeCell ref="E103:F103"/>
    <mergeCell ref="G103:H103"/>
    <mergeCell ref="E104:F104"/>
    <mergeCell ref="G104:H104"/>
    <mergeCell ref="E106:F106"/>
    <mergeCell ref="G106:H106"/>
    <mergeCell ref="E107:F107"/>
    <mergeCell ref="G107:H107"/>
    <mergeCell ref="E112:F112"/>
    <mergeCell ref="E108:F108"/>
    <mergeCell ref="G108:H108"/>
    <mergeCell ref="E109:F109"/>
    <mergeCell ref="G109:H109"/>
    <mergeCell ref="E110:F110"/>
    <mergeCell ref="E111:F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8" sqref="E8"/>
    </sheetView>
  </sheetViews>
  <sheetFormatPr defaultRowHeight="12.75" x14ac:dyDescent="0.2"/>
  <cols>
    <col min="1" max="1" width="39.5703125" bestFit="1" customWidth="1"/>
    <col min="8" max="8" width="14.14062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8</v>
      </c>
      <c r="E4" s="193">
        <v>0.66659999999999997</v>
      </c>
      <c r="F4">
        <f>SUM(C4*C3*E4)/27*2</f>
        <v>3.9502222222222221</v>
      </c>
    </row>
    <row r="5" spans="1:10" x14ac:dyDescent="0.2">
      <c r="A5" s="178" t="s">
        <v>112</v>
      </c>
      <c r="B5" s="178" t="s">
        <v>111</v>
      </c>
      <c r="C5" s="174">
        <v>10</v>
      </c>
      <c r="E5" s="177">
        <v>0.66659999999999997</v>
      </c>
      <c r="F5">
        <f>SUM(C5*C3*E5)/27*2</f>
        <v>4.9377777777777778</v>
      </c>
    </row>
    <row r="6" spans="1:10" x14ac:dyDescent="0.2">
      <c r="A6" s="178" t="s">
        <v>117</v>
      </c>
      <c r="B6" s="178" t="s">
        <v>120</v>
      </c>
      <c r="C6" s="188">
        <f>C5-1.32</f>
        <v>8.68</v>
      </c>
      <c r="D6">
        <f>C4-1.32</f>
        <v>6.68</v>
      </c>
      <c r="E6" s="177">
        <v>1</v>
      </c>
      <c r="F6" s="175">
        <f>SUM(C6*D6*E6)/27*2</f>
        <v>4.2949925925925925</v>
      </c>
    </row>
    <row r="7" spans="1:10" x14ac:dyDescent="0.2">
      <c r="A7" s="178" t="s">
        <v>119</v>
      </c>
      <c r="B7" s="178" t="s">
        <v>120</v>
      </c>
      <c r="C7" s="188">
        <v>10.5</v>
      </c>
      <c r="D7">
        <v>8.5</v>
      </c>
      <c r="E7" s="177">
        <v>0.66659999999999997</v>
      </c>
      <c r="F7" s="181">
        <f>SUM(C7*D7*E7)/27</f>
        <v>2.2034833333333332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15.386475925925925</v>
      </c>
      <c r="G9" s="190">
        <f>SUM(27*110)</f>
        <v>2970</v>
      </c>
      <c r="H9" s="191">
        <f>SUM(F9*G9)</f>
        <v>45697.833500000001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225</v>
      </c>
      <c r="B29" s="206"/>
      <c r="C29" s="206"/>
      <c r="D29" s="206"/>
      <c r="E29" s="206"/>
      <c r="F29" s="206"/>
    </row>
  </sheetData>
  <mergeCells count="2">
    <mergeCell ref="C1:D1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view="pageBreakPreview" topLeftCell="A31" zoomScale="85" zoomScaleNormal="100" zoomScaleSheetLayoutView="85" workbookViewId="0">
      <selection activeCell="C34" sqref="C34"/>
    </sheetView>
  </sheetViews>
  <sheetFormatPr defaultColWidth="0" defaultRowHeight="12.75" outlineLevelRow="1" x14ac:dyDescent="0.2"/>
  <cols>
    <col min="1" max="1" width="2.85546875" style="9" customWidth="1"/>
    <col min="2" max="2" width="29.42578125" style="13" customWidth="1"/>
    <col min="3" max="3" width="15.140625" style="13" customWidth="1"/>
    <col min="4" max="4" width="12.5703125" style="13" customWidth="1"/>
    <col min="5" max="5" width="16.7109375" style="13" bestFit="1" customWidth="1"/>
    <col min="6" max="6" width="5.140625" style="13" bestFit="1" customWidth="1"/>
    <col min="7" max="7" width="18.85546875" style="13" bestFit="1" customWidth="1"/>
    <col min="8" max="8" width="7" style="13" bestFit="1" customWidth="1"/>
    <col min="9" max="9" width="12" style="13" bestFit="1" customWidth="1"/>
    <col min="10" max="10" width="7" style="13" bestFit="1" customWidth="1"/>
    <col min="11" max="11" width="11.7109375" style="13" customWidth="1"/>
    <col min="12" max="12" width="18.85546875" style="13" bestFit="1" customWidth="1"/>
    <col min="13" max="13" width="7.140625" style="13" customWidth="1"/>
    <col min="14" max="14" width="13.85546875" style="35" bestFit="1" customWidth="1"/>
    <col min="15" max="15" width="23.42578125" style="13" bestFit="1" customWidth="1"/>
    <col min="16" max="16" width="13.28515625" style="13" bestFit="1" customWidth="1"/>
    <col min="17" max="17" width="5" style="13" customWidth="1"/>
    <col min="18" max="18" width="9.28515625" style="13" hidden="1" customWidth="1"/>
    <col min="19" max="19" width="0" style="13" hidden="1" customWidth="1"/>
    <col min="20" max="20" width="9.28515625" style="13" hidden="1" customWidth="1"/>
    <col min="21" max="16384" width="0" style="13" hidden="1"/>
  </cols>
  <sheetData>
    <row r="1" spans="1:16" ht="23.25" customHeight="1" x14ac:dyDescent="0.2">
      <c r="A1" s="296"/>
      <c r="B1" s="297"/>
      <c r="C1" s="297"/>
      <c r="D1" s="297"/>
      <c r="E1" s="298" t="s">
        <v>127</v>
      </c>
      <c r="F1" s="299"/>
      <c r="G1" s="99">
        <f>SUM(O93)</f>
        <v>17426.568497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</row>
    <row r="2" spans="1:16" ht="12.75" customHeight="1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</row>
    <row r="3" spans="1:16" ht="18.75" thickBot="1" x14ac:dyDescent="0.3">
      <c r="A3" s="296"/>
      <c r="B3" s="92" t="s">
        <v>84</v>
      </c>
      <c r="C3" s="172" t="s">
        <v>237</v>
      </c>
      <c r="D3" s="100" t="s">
        <v>102</v>
      </c>
      <c r="E3" s="302"/>
      <c r="F3" s="302"/>
      <c r="G3" s="302"/>
      <c r="H3" s="101"/>
      <c r="I3" s="56">
        <v>100</v>
      </c>
      <c r="J3" s="201" t="s">
        <v>12</v>
      </c>
      <c r="K3" s="101"/>
      <c r="L3" s="203">
        <f>SUM(L93/I3)</f>
        <v>125.02216805</v>
      </c>
      <c r="M3" s="101"/>
      <c r="N3" s="203">
        <f>SUM(G1/I3)</f>
        <v>174.26568497</v>
      </c>
      <c r="O3" s="101"/>
      <c r="P3" s="101"/>
    </row>
    <row r="4" spans="1:16" ht="12" customHeight="1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2" customHeight="1" outlineLevel="1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outlineLevel="1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0.4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</row>
    <row r="8" spans="1:16" ht="18" outlineLevel="1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SUM(N29,N43,M68,M80,M90)</f>
        <v>4924.3516920000011</v>
      </c>
      <c r="I8" s="316"/>
      <c r="J8" s="308"/>
      <c r="K8" s="357">
        <f>N8*H8</f>
        <v>492435.16920000012</v>
      </c>
      <c r="L8" s="357"/>
      <c r="M8" s="55" t="s">
        <v>103</v>
      </c>
      <c r="N8" s="195">
        <v>100</v>
      </c>
      <c r="O8" s="75"/>
      <c r="P8" s="80"/>
    </row>
    <row r="9" spans="1:16" ht="18" outlineLevel="1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2462.1758460000005</v>
      </c>
      <c r="I9" s="320"/>
      <c r="J9" s="308"/>
      <c r="K9" s="10"/>
      <c r="L9" s="11">
        <f>200*H9</f>
        <v>492435.16920000012</v>
      </c>
      <c r="M9" s="10" t="s">
        <v>104</v>
      </c>
      <c r="N9" s="12"/>
      <c r="O9" s="75"/>
      <c r="P9" s="80"/>
    </row>
    <row r="10" spans="1:16" ht="18" outlineLevel="1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customHeight="1" outlineLevel="1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customHeight="1" outlineLevel="1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customHeight="1" outlineLevel="1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customHeight="1" outlineLevel="1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SUM(H45,K68,J80,J90)</f>
        <v>1155.7249999999999</v>
      </c>
      <c r="I14" s="316"/>
      <c r="J14" s="308"/>
      <c r="K14" s="323"/>
      <c r="L14" s="324"/>
      <c r="M14" s="324"/>
      <c r="N14" s="324"/>
      <c r="O14" s="324"/>
      <c r="P14" s="325"/>
    </row>
    <row r="15" spans="1:16" ht="18" customHeight="1" outlineLevel="1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577.86249999999995</v>
      </c>
      <c r="I15" s="320"/>
      <c r="J15" s="308"/>
      <c r="K15" s="324"/>
      <c r="L15" s="324"/>
      <c r="M15" s="324"/>
      <c r="N15" s="324"/>
      <c r="O15" s="324"/>
      <c r="P15" s="325"/>
    </row>
    <row r="16" spans="1:16" ht="17.25" customHeight="1" outlineLevel="1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ht="17.25" customHeight="1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outlineLevel="1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0.4</v>
      </c>
      <c r="N19" s="22" t="s">
        <v>24</v>
      </c>
      <c r="O19" s="18" t="s">
        <v>5</v>
      </c>
      <c r="P19" s="84" t="s">
        <v>21</v>
      </c>
    </row>
    <row r="20" spans="1:16" outlineLevel="1" x14ac:dyDescent="0.2">
      <c r="A20" s="95" t="s">
        <v>68</v>
      </c>
      <c r="B20" s="151" t="s">
        <v>88</v>
      </c>
      <c r="C20" s="82">
        <v>12</v>
      </c>
      <c r="D20" s="69">
        <f>SUM(E15)</f>
        <v>15</v>
      </c>
      <c r="E20" s="41">
        <f t="shared" ref="E20:E28" si="0">IF(A20="X",D20*C20,0)</f>
        <v>180</v>
      </c>
      <c r="F20" s="97" t="s">
        <v>25</v>
      </c>
      <c r="G20" s="107">
        <f t="shared" ref="G20:G28" si="1">E20*$F$19</f>
        <v>54</v>
      </c>
      <c r="H20" s="25" t="s">
        <v>25</v>
      </c>
      <c r="I20" s="15">
        <f t="shared" ref="I20:I28" si="2">E20*$H$19</f>
        <v>45</v>
      </c>
      <c r="J20" s="108"/>
      <c r="K20" s="109"/>
      <c r="L20" s="3">
        <f t="shared" ref="L20:L28" si="3">SUM(E20:K20)</f>
        <v>279</v>
      </c>
      <c r="M20" s="26" t="s">
        <v>25</v>
      </c>
      <c r="N20" s="15">
        <f t="shared" ref="N20:N28" si="4">L20*$M$19</f>
        <v>111.60000000000001</v>
      </c>
      <c r="O20" s="3">
        <f t="shared" ref="O20:O28" si="5">SUM(N20+L20)</f>
        <v>390.6</v>
      </c>
      <c r="P20" s="80">
        <f>SUM(I1/O20)</f>
        <v>0</v>
      </c>
    </row>
    <row r="21" spans="1:16" outlineLevel="1" x14ac:dyDescent="0.2">
      <c r="A21" s="46" t="s">
        <v>26</v>
      </c>
      <c r="B21" s="93" t="s">
        <v>75</v>
      </c>
      <c r="C21" s="82">
        <v>6</v>
      </c>
      <c r="D21" s="69">
        <f>SUM(E15)</f>
        <v>15</v>
      </c>
      <c r="E21" s="41">
        <f t="shared" si="0"/>
        <v>90</v>
      </c>
      <c r="F21" s="98" t="s">
        <v>25</v>
      </c>
      <c r="G21" s="107">
        <f t="shared" si="1"/>
        <v>27</v>
      </c>
      <c r="H21" s="27" t="s">
        <v>25</v>
      </c>
      <c r="I21" s="15">
        <f t="shared" si="2"/>
        <v>22.5</v>
      </c>
      <c r="J21" s="110"/>
      <c r="K21" s="111"/>
      <c r="L21" s="3">
        <f t="shared" si="3"/>
        <v>139.5</v>
      </c>
      <c r="M21" s="26" t="s">
        <v>25</v>
      </c>
      <c r="N21" s="15">
        <f t="shared" si="4"/>
        <v>55.800000000000004</v>
      </c>
      <c r="O21" s="3">
        <f t="shared" si="5"/>
        <v>195.3</v>
      </c>
      <c r="P21" s="80">
        <f t="shared" ref="P21:P28" si="6">SUM(O21)</f>
        <v>195.3</v>
      </c>
    </row>
    <row r="22" spans="1:16" outlineLevel="1" x14ac:dyDescent="0.2">
      <c r="A22" s="95" t="s">
        <v>68</v>
      </c>
      <c r="B22" s="151" t="s">
        <v>106</v>
      </c>
      <c r="C22" s="82">
        <v>15</v>
      </c>
      <c r="D22" s="69">
        <f>SUM(E15)</f>
        <v>15</v>
      </c>
      <c r="E22" s="41">
        <f>IF(A22="X",D22*C22,0)</f>
        <v>225</v>
      </c>
      <c r="F22" s="98" t="s">
        <v>25</v>
      </c>
      <c r="G22" s="107">
        <f t="shared" si="1"/>
        <v>67.5</v>
      </c>
      <c r="H22" s="27" t="s">
        <v>25</v>
      </c>
      <c r="I22" s="15">
        <f t="shared" si="2"/>
        <v>56.25</v>
      </c>
      <c r="J22" s="110"/>
      <c r="K22" s="111"/>
      <c r="L22" s="3">
        <f t="shared" si="3"/>
        <v>348.75</v>
      </c>
      <c r="M22" s="26" t="s">
        <v>25</v>
      </c>
      <c r="N22" s="15">
        <f t="shared" si="4"/>
        <v>139.5</v>
      </c>
      <c r="O22" s="3">
        <f>SUM(N22+L22)</f>
        <v>488.25</v>
      </c>
      <c r="P22" s="80">
        <f t="shared" si="6"/>
        <v>488.25</v>
      </c>
    </row>
    <row r="23" spans="1:16" outlineLevel="1" x14ac:dyDescent="0.2">
      <c r="A23" s="95" t="s">
        <v>68</v>
      </c>
      <c r="B23" s="151" t="s">
        <v>79</v>
      </c>
      <c r="C23" s="82">
        <v>20</v>
      </c>
      <c r="D23" s="69">
        <v>15</v>
      </c>
      <c r="E23" s="41">
        <f>IF(A23="X",D23*C23,0)</f>
        <v>300</v>
      </c>
      <c r="F23" s="98" t="s">
        <v>25</v>
      </c>
      <c r="G23" s="107">
        <f t="shared" si="1"/>
        <v>90</v>
      </c>
      <c r="H23" s="27" t="s">
        <v>25</v>
      </c>
      <c r="I23" s="15">
        <f t="shared" si="2"/>
        <v>75</v>
      </c>
      <c r="J23" s="110"/>
      <c r="K23" s="111"/>
      <c r="L23" s="3">
        <f t="shared" si="3"/>
        <v>465</v>
      </c>
      <c r="M23" s="26" t="s">
        <v>25</v>
      </c>
      <c r="N23" s="15">
        <f t="shared" si="4"/>
        <v>186</v>
      </c>
      <c r="O23" s="3">
        <f>SUM(N23+L23)</f>
        <v>651</v>
      </c>
      <c r="P23" s="80">
        <f t="shared" si="6"/>
        <v>651</v>
      </c>
    </row>
    <row r="24" spans="1:16" outlineLevel="1" x14ac:dyDescent="0.2">
      <c r="A24" s="95" t="s">
        <v>68</v>
      </c>
      <c r="B24" s="151" t="s">
        <v>72</v>
      </c>
      <c r="C24" s="82">
        <v>4</v>
      </c>
      <c r="D24" s="159">
        <v>15</v>
      </c>
      <c r="E24" s="41">
        <f>IF(A24="X",D24*C24,0)</f>
        <v>60</v>
      </c>
      <c r="F24" s="98" t="s">
        <v>25</v>
      </c>
      <c r="G24" s="107">
        <f t="shared" si="1"/>
        <v>18</v>
      </c>
      <c r="H24" s="27" t="s">
        <v>25</v>
      </c>
      <c r="I24" s="15">
        <f t="shared" si="2"/>
        <v>15</v>
      </c>
      <c r="J24" s="110"/>
      <c r="K24" s="111"/>
      <c r="L24" s="3">
        <f t="shared" si="3"/>
        <v>93</v>
      </c>
      <c r="M24" s="26" t="s">
        <v>25</v>
      </c>
      <c r="N24" s="15">
        <f t="shared" si="4"/>
        <v>37.200000000000003</v>
      </c>
      <c r="O24" s="3">
        <f>SUM(N24+L24)</f>
        <v>130.19999999999999</v>
      </c>
      <c r="P24" s="80">
        <f t="shared" si="6"/>
        <v>130.19999999999999</v>
      </c>
    </row>
    <row r="25" spans="1:16" outlineLevel="1" x14ac:dyDescent="0.2">
      <c r="A25" s="33" t="s">
        <v>26</v>
      </c>
      <c r="B25" s="151" t="s">
        <v>154</v>
      </c>
      <c r="C25" s="82">
        <v>3</v>
      </c>
      <c r="D25" s="69">
        <f>SUM(E15)</f>
        <v>15</v>
      </c>
      <c r="E25" s="41">
        <f t="shared" si="0"/>
        <v>45</v>
      </c>
      <c r="F25" s="98" t="s">
        <v>25</v>
      </c>
      <c r="G25" s="107">
        <f t="shared" si="1"/>
        <v>13.5</v>
      </c>
      <c r="H25" s="27" t="s">
        <v>25</v>
      </c>
      <c r="I25" s="15">
        <f t="shared" si="2"/>
        <v>11.25</v>
      </c>
      <c r="J25" s="110"/>
      <c r="K25" s="111"/>
      <c r="L25" s="3">
        <f t="shared" si="3"/>
        <v>69.75</v>
      </c>
      <c r="M25" s="26" t="s">
        <v>25</v>
      </c>
      <c r="N25" s="15">
        <f t="shared" si="4"/>
        <v>27.900000000000002</v>
      </c>
      <c r="O25" s="3">
        <f t="shared" si="5"/>
        <v>97.65</v>
      </c>
      <c r="P25" s="80">
        <f t="shared" si="6"/>
        <v>97.65</v>
      </c>
    </row>
    <row r="26" spans="1:16" outlineLevel="1" x14ac:dyDescent="0.2">
      <c r="A26" s="149" t="s">
        <v>68</v>
      </c>
      <c r="B26" s="151" t="s">
        <v>148</v>
      </c>
      <c r="C26" s="82">
        <v>12</v>
      </c>
      <c r="D26" s="159">
        <f>SUM(E16)</f>
        <v>16.100000000000001</v>
      </c>
      <c r="E26" s="41">
        <f t="shared" si="0"/>
        <v>193.20000000000002</v>
      </c>
      <c r="F26" s="98" t="s">
        <v>25</v>
      </c>
      <c r="G26" s="107">
        <f t="shared" si="1"/>
        <v>57.96</v>
      </c>
      <c r="H26" s="27" t="s">
        <v>25</v>
      </c>
      <c r="I26" s="15">
        <f t="shared" si="2"/>
        <v>48.300000000000004</v>
      </c>
      <c r="J26" s="110"/>
      <c r="K26" s="111"/>
      <c r="L26" s="3">
        <f t="shared" si="3"/>
        <v>299.46000000000004</v>
      </c>
      <c r="M26" s="26" t="s">
        <v>25</v>
      </c>
      <c r="N26" s="15">
        <f t="shared" si="4"/>
        <v>119.78400000000002</v>
      </c>
      <c r="O26" s="3">
        <f t="shared" si="5"/>
        <v>419.24400000000003</v>
      </c>
      <c r="P26" s="80">
        <f t="shared" si="6"/>
        <v>419.24400000000003</v>
      </c>
    </row>
    <row r="27" spans="1:16" outlineLevel="1" x14ac:dyDescent="0.2">
      <c r="A27" s="149" t="s">
        <v>68</v>
      </c>
      <c r="B27" s="93" t="s">
        <v>81</v>
      </c>
      <c r="C27" s="82">
        <v>2</v>
      </c>
      <c r="D27" s="159">
        <v>15</v>
      </c>
      <c r="E27" s="41">
        <f t="shared" si="0"/>
        <v>30</v>
      </c>
      <c r="F27" s="98" t="s">
        <v>25</v>
      </c>
      <c r="G27" s="107">
        <f t="shared" si="1"/>
        <v>9</v>
      </c>
      <c r="H27" s="27" t="s">
        <v>25</v>
      </c>
      <c r="I27" s="15">
        <f t="shared" si="2"/>
        <v>7.5</v>
      </c>
      <c r="J27" s="110"/>
      <c r="K27" s="111"/>
      <c r="L27" s="3">
        <f t="shared" si="3"/>
        <v>46.5</v>
      </c>
      <c r="M27" s="26" t="s">
        <v>25</v>
      </c>
      <c r="N27" s="15">
        <f t="shared" si="4"/>
        <v>18.600000000000001</v>
      </c>
      <c r="O27" s="3">
        <f t="shared" si="5"/>
        <v>65.099999999999994</v>
      </c>
      <c r="P27" s="80">
        <f t="shared" si="6"/>
        <v>65.099999999999994</v>
      </c>
    </row>
    <row r="28" spans="1:16" outlineLevel="1" x14ac:dyDescent="0.2">
      <c r="A28" s="149" t="s">
        <v>68</v>
      </c>
      <c r="B28" s="93" t="s">
        <v>149</v>
      </c>
      <c r="C28" s="64">
        <v>12</v>
      </c>
      <c r="D28" s="69">
        <f>SUM(E15)</f>
        <v>15</v>
      </c>
      <c r="E28" s="41">
        <f t="shared" si="0"/>
        <v>180</v>
      </c>
      <c r="F28" s="112" t="s">
        <v>25</v>
      </c>
      <c r="G28" s="113">
        <f t="shared" si="1"/>
        <v>54</v>
      </c>
      <c r="H28" s="114" t="s">
        <v>25</v>
      </c>
      <c r="I28" s="119">
        <f t="shared" si="2"/>
        <v>45</v>
      </c>
      <c r="J28" s="115"/>
      <c r="K28" s="116"/>
      <c r="L28" s="117">
        <f t="shared" si="3"/>
        <v>279</v>
      </c>
      <c r="M28" s="118" t="s">
        <v>25</v>
      </c>
      <c r="N28" s="119">
        <f t="shared" si="4"/>
        <v>111.60000000000001</v>
      </c>
      <c r="O28" s="117">
        <f t="shared" si="5"/>
        <v>390.6</v>
      </c>
      <c r="P28" s="80">
        <f t="shared" si="6"/>
        <v>390.6</v>
      </c>
    </row>
    <row r="29" spans="1:16" outlineLevel="1" x14ac:dyDescent="0.2">
      <c r="B29" s="24"/>
      <c r="C29" s="65">
        <f>SUM(C20:C28)</f>
        <v>86</v>
      </c>
      <c r="D29" s="60"/>
      <c r="E29" s="48">
        <f>SUM(E20:E28)</f>
        <v>1303.2</v>
      </c>
      <c r="F29" s="120" t="s">
        <v>25</v>
      </c>
      <c r="G29" s="59">
        <f>SUM(G20:G28)</f>
        <v>390.96</v>
      </c>
      <c r="H29" s="121" t="s">
        <v>25</v>
      </c>
      <c r="I29" s="57">
        <f>SUM(I20:I28)</f>
        <v>325.8</v>
      </c>
      <c r="J29" s="121"/>
      <c r="K29" s="59"/>
      <c r="L29" s="63">
        <f>SUM(L20:L28)</f>
        <v>2019.96</v>
      </c>
      <c r="M29" s="121" t="s">
        <v>25</v>
      </c>
      <c r="N29" s="57">
        <f>SUM(N20:N28)</f>
        <v>807.98400000000004</v>
      </c>
      <c r="O29" s="58">
        <f>SUM(O20:O28)</f>
        <v>2827.944</v>
      </c>
      <c r="P29" s="122">
        <f>SUM(O29/1)</f>
        <v>2827.944</v>
      </c>
    </row>
    <row r="30" spans="1:16" outlineLevel="1" x14ac:dyDescent="0.2"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outlineLevel="1" x14ac:dyDescent="0.2"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outlineLevel="1" x14ac:dyDescent="0.2">
      <c r="A32" s="152" t="s">
        <v>26</v>
      </c>
      <c r="B32" s="24" t="s">
        <v>35</v>
      </c>
      <c r="C32" s="83">
        <v>10</v>
      </c>
      <c r="D32" s="45">
        <v>40</v>
      </c>
      <c r="E32" s="41">
        <f>IF(A32="X",D32*C32,0)</f>
        <v>400</v>
      </c>
      <c r="F32" s="112" t="s">
        <v>25</v>
      </c>
      <c r="G32" s="113">
        <f>E32*$F$19</f>
        <v>120</v>
      </c>
      <c r="H32" s="27" t="s">
        <v>25</v>
      </c>
      <c r="I32" s="15">
        <f t="shared" ref="I32:I42" si="7">E32*$H$19</f>
        <v>100</v>
      </c>
      <c r="J32" s="110"/>
      <c r="K32" s="111"/>
      <c r="L32" s="3">
        <f t="shared" ref="L32:L42" si="8">SUM(E32:K32)</f>
        <v>620</v>
      </c>
      <c r="M32" s="26" t="s">
        <v>25</v>
      </c>
      <c r="N32" s="15">
        <f t="shared" ref="N32:N42" si="9">L32*$M$19</f>
        <v>248</v>
      </c>
      <c r="O32" s="3">
        <f>SUM(N32+L32)</f>
        <v>868</v>
      </c>
      <c r="P32" s="80">
        <f t="shared" ref="P32:P45" si="10">SUM(O32)</f>
        <v>868</v>
      </c>
    </row>
    <row r="33" spans="1:16" outlineLevel="1" x14ac:dyDescent="0.2">
      <c r="A33" s="150" t="str">
        <f>IF(A20="X",A20,"")</f>
        <v>x</v>
      </c>
      <c r="B33" s="68" t="s">
        <v>31</v>
      </c>
      <c r="C33" s="83">
        <v>3</v>
      </c>
      <c r="D33" s="45">
        <v>40</v>
      </c>
      <c r="E33" s="41">
        <f t="shared" ref="E33:E42" si="11">IF(A33="X",D33*C33,0)</f>
        <v>120</v>
      </c>
      <c r="F33" s="98" t="s">
        <v>25</v>
      </c>
      <c r="G33" s="107">
        <f t="shared" ref="G33:G42" si="12">E33*$F$19</f>
        <v>36</v>
      </c>
      <c r="H33" s="27" t="s">
        <v>25</v>
      </c>
      <c r="I33" s="15">
        <f t="shared" si="7"/>
        <v>30</v>
      </c>
      <c r="J33" s="110"/>
      <c r="K33" s="111"/>
      <c r="L33" s="3">
        <f t="shared" si="8"/>
        <v>186</v>
      </c>
      <c r="M33" s="26" t="s">
        <v>25</v>
      </c>
      <c r="N33" s="15">
        <f t="shared" si="9"/>
        <v>74.400000000000006</v>
      </c>
      <c r="O33" s="3">
        <f t="shared" ref="O33:O42" si="13">SUM(N33+L33)</f>
        <v>260.39999999999998</v>
      </c>
      <c r="P33" s="80">
        <f t="shared" si="10"/>
        <v>260.39999999999998</v>
      </c>
    </row>
    <row r="34" spans="1:16" outlineLevel="1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148.80000000000001</v>
      </c>
      <c r="O34" s="3">
        <f t="shared" si="13"/>
        <v>520.79999999999995</v>
      </c>
      <c r="P34" s="80">
        <f t="shared" si="10"/>
        <v>520.79999999999995</v>
      </c>
    </row>
    <row r="35" spans="1:16" outlineLevel="1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outlineLevel="1" x14ac:dyDescent="0.2">
      <c r="A36" s="150" t="str">
        <f>IF(A22="X",A22,"")</f>
        <v>x</v>
      </c>
      <c r="B36" s="151" t="s">
        <v>80</v>
      </c>
      <c r="C36" s="83">
        <v>5</v>
      </c>
      <c r="D36" s="45">
        <v>40</v>
      </c>
      <c r="E36" s="41">
        <f>IF(A36="X",D36*C36,0)</f>
        <v>200</v>
      </c>
      <c r="F36" s="98" t="s">
        <v>25</v>
      </c>
      <c r="G36" s="107">
        <f t="shared" si="12"/>
        <v>60</v>
      </c>
      <c r="H36" s="27" t="s">
        <v>25</v>
      </c>
      <c r="I36" s="15">
        <f t="shared" si="7"/>
        <v>50</v>
      </c>
      <c r="J36" s="110"/>
      <c r="K36" s="111"/>
      <c r="L36" s="3">
        <f t="shared" si="8"/>
        <v>310</v>
      </c>
      <c r="M36" s="26" t="s">
        <v>25</v>
      </c>
      <c r="N36" s="15">
        <f t="shared" si="9"/>
        <v>124</v>
      </c>
      <c r="O36" s="3">
        <f>SUM(N36+L36)</f>
        <v>434</v>
      </c>
      <c r="P36" s="80">
        <f t="shared" si="10"/>
        <v>434</v>
      </c>
    </row>
    <row r="37" spans="1:16" outlineLevel="1" x14ac:dyDescent="0.2">
      <c r="A37" s="150" t="str">
        <f>IF(A23="X",A23,"")</f>
        <v>x</v>
      </c>
      <c r="B37" s="151" t="s">
        <v>124</v>
      </c>
      <c r="C37" s="83">
        <v>2</v>
      </c>
      <c r="D37" s="45">
        <v>40</v>
      </c>
      <c r="E37" s="41">
        <f>IF(A37="X",D37*C37,0)</f>
        <v>80</v>
      </c>
      <c r="F37" s="98" t="s">
        <v>25</v>
      </c>
      <c r="G37" s="107">
        <f t="shared" si="12"/>
        <v>24</v>
      </c>
      <c r="H37" s="27" t="s">
        <v>25</v>
      </c>
      <c r="I37" s="15">
        <f t="shared" si="7"/>
        <v>20</v>
      </c>
      <c r="J37" s="110"/>
      <c r="K37" s="111"/>
      <c r="L37" s="3">
        <f t="shared" si="8"/>
        <v>124</v>
      </c>
      <c r="M37" s="26" t="s">
        <v>25</v>
      </c>
      <c r="N37" s="15">
        <f t="shared" si="9"/>
        <v>49.6</v>
      </c>
      <c r="O37" s="3">
        <f>SUM(N37+L37)</f>
        <v>173.6</v>
      </c>
      <c r="P37" s="80">
        <f t="shared" si="10"/>
        <v>173.6</v>
      </c>
    </row>
    <row r="38" spans="1:16" outlineLevel="1" x14ac:dyDescent="0.2">
      <c r="A38" s="150" t="str">
        <f>IF(A24="X",A24,"")</f>
        <v>x</v>
      </c>
      <c r="B38" s="151" t="s">
        <v>72</v>
      </c>
      <c r="C38" s="83">
        <v>6</v>
      </c>
      <c r="D38" s="45">
        <v>40</v>
      </c>
      <c r="E38" s="41">
        <f>IF(A38="X",D38*C38,0)</f>
        <v>240</v>
      </c>
      <c r="F38" s="98" t="s">
        <v>25</v>
      </c>
      <c r="G38" s="107">
        <f t="shared" si="12"/>
        <v>72</v>
      </c>
      <c r="H38" s="27" t="s">
        <v>25</v>
      </c>
      <c r="I38" s="15">
        <f t="shared" si="7"/>
        <v>60</v>
      </c>
      <c r="J38" s="110"/>
      <c r="K38" s="111"/>
      <c r="L38" s="3">
        <f t="shared" si="8"/>
        <v>372</v>
      </c>
      <c r="M38" s="26" t="s">
        <v>25</v>
      </c>
      <c r="N38" s="15">
        <f t="shared" si="9"/>
        <v>148.80000000000001</v>
      </c>
      <c r="O38" s="3">
        <f>SUM(N38+L38)</f>
        <v>520.79999999999995</v>
      </c>
      <c r="P38" s="80">
        <f t="shared" si="10"/>
        <v>520.79999999999995</v>
      </c>
    </row>
    <row r="39" spans="1:16" outlineLevel="1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outlineLevel="1" x14ac:dyDescent="0.2">
      <c r="A40" s="150" t="str">
        <f>IF(A26="X",A26,"")</f>
        <v>x</v>
      </c>
      <c r="B40" s="151" t="s">
        <v>149</v>
      </c>
      <c r="C40" s="83">
        <v>4</v>
      </c>
      <c r="D40" s="45">
        <v>40</v>
      </c>
      <c r="E40" s="41">
        <f t="shared" si="11"/>
        <v>160</v>
      </c>
      <c r="F40" s="112" t="s">
        <v>25</v>
      </c>
      <c r="G40" s="113">
        <f t="shared" si="12"/>
        <v>48</v>
      </c>
      <c r="H40" s="27" t="s">
        <v>25</v>
      </c>
      <c r="I40" s="15">
        <f t="shared" si="7"/>
        <v>40</v>
      </c>
      <c r="J40" s="110"/>
      <c r="K40" s="111"/>
      <c r="L40" s="3">
        <f t="shared" si="8"/>
        <v>248</v>
      </c>
      <c r="M40" s="26" t="s">
        <v>25</v>
      </c>
      <c r="N40" s="15">
        <f t="shared" si="9"/>
        <v>99.2</v>
      </c>
      <c r="O40" s="3">
        <f t="shared" si="13"/>
        <v>347.2</v>
      </c>
      <c r="P40" s="80">
        <f t="shared" si="10"/>
        <v>347.2</v>
      </c>
    </row>
    <row r="41" spans="1:16" outlineLevel="1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24.8</v>
      </c>
      <c r="O41" s="3">
        <f t="shared" si="13"/>
        <v>86.8</v>
      </c>
      <c r="P41" s="80">
        <f t="shared" si="10"/>
        <v>86.8</v>
      </c>
    </row>
    <row r="42" spans="1:16" outlineLevel="1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outlineLevel="1" x14ac:dyDescent="0.2">
      <c r="A43" s="54"/>
      <c r="B43" s="24"/>
      <c r="C43" s="66">
        <f>SUM(C32:C42)</f>
        <v>37</v>
      </c>
      <c r="D43" s="60"/>
      <c r="E43" s="60">
        <f>SUM(E32:E42)</f>
        <v>1480</v>
      </c>
      <c r="F43" s="123" t="s">
        <v>25</v>
      </c>
      <c r="G43" s="61">
        <f>SUM(G32:G42)</f>
        <v>444</v>
      </c>
      <c r="H43" s="124" t="s">
        <v>25</v>
      </c>
      <c r="I43" s="62">
        <f>SUM(I32:I42)</f>
        <v>370</v>
      </c>
      <c r="J43" s="124"/>
      <c r="K43" s="61"/>
      <c r="L43" s="63">
        <f>SUM(L32:L42)</f>
        <v>2294</v>
      </c>
      <c r="M43" s="124" t="s">
        <v>25</v>
      </c>
      <c r="N43" s="62">
        <f>SUM(N32:N42)</f>
        <v>917.60000000000014</v>
      </c>
      <c r="O43" s="63">
        <f>SUM(O32:O42)</f>
        <v>3211.5999999999995</v>
      </c>
      <c r="P43" s="80">
        <f t="shared" si="10"/>
        <v>3211.5999999999995</v>
      </c>
    </row>
    <row r="44" spans="1:16" ht="13.5" outlineLevel="1" thickBot="1" x14ac:dyDescent="0.25">
      <c r="B44" s="49" t="s">
        <v>73</v>
      </c>
      <c r="C44" s="161">
        <f>SUM(C29+C43)</f>
        <v>123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B45" s="154"/>
      <c r="C45" s="326" t="s">
        <v>4</v>
      </c>
      <c r="D45" s="327"/>
      <c r="E45" s="125">
        <f>E43+E29</f>
        <v>2783.2</v>
      </c>
      <c r="F45" s="328">
        <f>G43+G29</f>
        <v>834.96</v>
      </c>
      <c r="G45" s="329"/>
      <c r="H45" s="328">
        <f>I43+I29</f>
        <v>695.8</v>
      </c>
      <c r="I45" s="329"/>
      <c r="J45" s="328"/>
      <c r="K45" s="329"/>
      <c r="L45" s="31">
        <f>L43+L29</f>
        <v>4313.96</v>
      </c>
      <c r="M45" s="330">
        <f>N43+N29</f>
        <v>1725.5840000000003</v>
      </c>
      <c r="N45" s="331"/>
      <c r="O45" s="31">
        <f>O43+O29</f>
        <v>6039.5439999999999</v>
      </c>
      <c r="P45" s="80">
        <f t="shared" si="10"/>
        <v>6039.5439999999999</v>
      </c>
    </row>
    <row r="46" spans="1:16" ht="15.75" customHeight="1" thickBot="1" x14ac:dyDescent="0.25"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>
        <v>0.6</v>
      </c>
      <c r="N48" s="56"/>
      <c r="O48" s="56"/>
      <c r="P48" s="86"/>
    </row>
    <row r="49" spans="1:18" ht="18" outlineLevel="1" x14ac:dyDescent="0.25"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v>0.3</v>
      </c>
      <c r="N49" s="22" t="s">
        <v>24</v>
      </c>
      <c r="O49" s="18" t="s">
        <v>5</v>
      </c>
      <c r="P49" s="84" t="s">
        <v>21</v>
      </c>
    </row>
    <row r="50" spans="1:18" ht="12" customHeight="1" outlineLevel="1" x14ac:dyDescent="0.2">
      <c r="A50" s="95" t="s">
        <v>68</v>
      </c>
      <c r="B50" s="93" t="s">
        <v>184</v>
      </c>
      <c r="C50" s="85">
        <f>'Concrete 10by10'!F9+1</f>
        <v>13.239533333333332</v>
      </c>
      <c r="D50" s="94" t="s">
        <v>18</v>
      </c>
      <c r="E50" s="51">
        <v>110</v>
      </c>
      <c r="F50" s="334">
        <f t="shared" ref="F50:F63" si="14">IF(A50="x",SUM(C50*E50),0)</f>
        <v>1456.3486666666665</v>
      </c>
      <c r="G50" s="335"/>
      <c r="H50" s="334">
        <f t="shared" ref="H50:H63" si="15">F50*$H$49</f>
        <v>134.71225166666665</v>
      </c>
      <c r="I50" s="335"/>
      <c r="J50" s="25" t="s">
        <v>25</v>
      </c>
      <c r="K50" s="15">
        <f>F50*$J$49</f>
        <v>364.08716666666663</v>
      </c>
      <c r="L50" s="3">
        <f t="shared" ref="L50:L67" si="16">SUM(F50:K50)</f>
        <v>1955.1480849999998</v>
      </c>
      <c r="M50" s="26" t="s">
        <v>25</v>
      </c>
      <c r="N50" s="15">
        <f>L50*$M$48</f>
        <v>1173.0888509999997</v>
      </c>
      <c r="O50" s="3">
        <f t="shared" ref="O50:O63" si="17">SUM(N50+L50)</f>
        <v>3128.2369359999993</v>
      </c>
      <c r="P50" s="80">
        <f t="shared" ref="P50:P68" si="18">SUM(O50)</f>
        <v>3128.2369359999993</v>
      </c>
    </row>
    <row r="51" spans="1:18" ht="12" customHeight="1" outlineLevel="1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7" si="19">F51*$J$49</f>
        <v>250</v>
      </c>
      <c r="L51" s="3">
        <f t="shared" si="16"/>
        <v>1342.5</v>
      </c>
      <c r="M51" s="26" t="s">
        <v>25</v>
      </c>
      <c r="N51" s="15">
        <f t="shared" ref="N51:N66" si="20">L51*$M$49</f>
        <v>402.75</v>
      </c>
      <c r="O51" s="3">
        <f>SUM(N51+L51)</f>
        <v>1745.25</v>
      </c>
      <c r="P51" s="80">
        <f t="shared" si="18"/>
        <v>1745.25</v>
      </c>
    </row>
    <row r="52" spans="1:18" ht="12" customHeight="1" outlineLevel="1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100.6875</v>
      </c>
      <c r="O52" s="3">
        <f>SUM(N52+L52)</f>
        <v>436.3125</v>
      </c>
      <c r="P52" s="80">
        <f t="shared" si="18"/>
        <v>436.3125</v>
      </c>
    </row>
    <row r="53" spans="1:18" ht="12" hidden="1" customHeight="1" outlineLevel="1" x14ac:dyDescent="0.2">
      <c r="A53" s="33"/>
      <c r="B53" s="24" t="s">
        <v>14</v>
      </c>
      <c r="C53" s="85" t="e">
        <f>#REF!</f>
        <v>#REF!</v>
      </c>
      <c r="D53" s="44" t="s">
        <v>11</v>
      </c>
      <c r="E53" s="28">
        <v>4.25</v>
      </c>
      <c r="F53" s="336">
        <f t="shared" si="14"/>
        <v>0</v>
      </c>
      <c r="G53" s="337"/>
      <c r="H53" s="336">
        <f t="shared" si="15"/>
        <v>0</v>
      </c>
      <c r="I53" s="337"/>
      <c r="J53" s="27" t="s">
        <v>25</v>
      </c>
      <c r="K53" s="15">
        <f t="shared" si="19"/>
        <v>0</v>
      </c>
      <c r="L53" s="3">
        <f t="shared" si="16"/>
        <v>0</v>
      </c>
      <c r="M53" s="26" t="s">
        <v>25</v>
      </c>
      <c r="N53" s="15">
        <f t="shared" si="20"/>
        <v>0</v>
      </c>
      <c r="O53" s="3">
        <f t="shared" si="17"/>
        <v>0</v>
      </c>
      <c r="P53" s="80">
        <f t="shared" si="18"/>
        <v>0</v>
      </c>
    </row>
    <row r="54" spans="1:18" ht="12" customHeight="1" outlineLevel="1" x14ac:dyDescent="0.2">
      <c r="A54" s="95" t="s">
        <v>68</v>
      </c>
      <c r="B54" s="93" t="s">
        <v>240</v>
      </c>
      <c r="C54" s="85">
        <f>'Concrete 10by10'!F7</f>
        <v>2.0416666666666665</v>
      </c>
      <c r="D54" s="94" t="s">
        <v>18</v>
      </c>
      <c r="E54" s="28">
        <v>100</v>
      </c>
      <c r="F54" s="336">
        <f t="shared" si="14"/>
        <v>204.16666666666666</v>
      </c>
      <c r="G54" s="337"/>
      <c r="H54" s="336">
        <f t="shared" si="15"/>
        <v>18.885416666666664</v>
      </c>
      <c r="I54" s="337"/>
      <c r="J54" s="27" t="s">
        <v>25</v>
      </c>
      <c r="K54" s="15">
        <f t="shared" si="19"/>
        <v>51.041666666666664</v>
      </c>
      <c r="L54" s="3">
        <f t="shared" si="16"/>
        <v>274.09375</v>
      </c>
      <c r="M54" s="26" t="s">
        <v>25</v>
      </c>
      <c r="N54" s="15">
        <f t="shared" si="20"/>
        <v>82.228124999999991</v>
      </c>
      <c r="O54" s="3">
        <f t="shared" si="17"/>
        <v>356.32187499999998</v>
      </c>
      <c r="P54" s="80">
        <f t="shared" si="18"/>
        <v>356.32187499999998</v>
      </c>
      <c r="Q54" s="42"/>
    </row>
    <row r="55" spans="1:18" ht="12" customHeight="1" outlineLevel="1" x14ac:dyDescent="0.2">
      <c r="A55" s="95" t="s">
        <v>68</v>
      </c>
      <c r="B55" s="93" t="s">
        <v>98</v>
      </c>
      <c r="C55" s="85">
        <f>SUM(C50,C54)*10</f>
        <v>152.81199999999998</v>
      </c>
      <c r="D55" s="94" t="s">
        <v>115</v>
      </c>
      <c r="E55" s="28">
        <v>2</v>
      </c>
      <c r="F55" s="336">
        <f>IF(A55="x",SUM(C55*E55),0)</f>
        <v>305.62399999999997</v>
      </c>
      <c r="G55" s="337"/>
      <c r="H55" s="336">
        <f>F55*$H$49</f>
        <v>28.270219999999998</v>
      </c>
      <c r="I55" s="337"/>
      <c r="J55" s="27" t="s">
        <v>25</v>
      </c>
      <c r="K55" s="15">
        <f t="shared" si="19"/>
        <v>76.405999999999992</v>
      </c>
      <c r="L55" s="3">
        <f t="shared" si="16"/>
        <v>410.30021999999997</v>
      </c>
      <c r="M55" s="26" t="s">
        <v>25</v>
      </c>
      <c r="N55" s="15">
        <f t="shared" si="20"/>
        <v>123.09006599999998</v>
      </c>
      <c r="O55" s="3">
        <f>SUM(N55+L55)</f>
        <v>533.39028599999995</v>
      </c>
      <c r="P55" s="80">
        <f t="shared" si="18"/>
        <v>533.39028599999995</v>
      </c>
      <c r="Q55" s="42"/>
    </row>
    <row r="56" spans="1:18" ht="12" customHeight="1" outlineLevel="1" x14ac:dyDescent="0.2">
      <c r="A56" s="95" t="s">
        <v>68</v>
      </c>
      <c r="B56" s="93" t="s">
        <v>238</v>
      </c>
      <c r="C56" s="85">
        <f>'Concrete 10by10'!G31</f>
        <v>525</v>
      </c>
      <c r="D56" s="94" t="s">
        <v>12</v>
      </c>
      <c r="E56" s="28">
        <v>3.4</v>
      </c>
      <c r="F56" s="336">
        <f t="shared" si="14"/>
        <v>1785</v>
      </c>
      <c r="G56" s="337"/>
      <c r="H56" s="336">
        <f t="shared" si="15"/>
        <v>165.11250000000001</v>
      </c>
      <c r="I56" s="337"/>
      <c r="J56" s="27" t="s">
        <v>25</v>
      </c>
      <c r="K56" s="15">
        <f t="shared" si="19"/>
        <v>446.25</v>
      </c>
      <c r="L56" s="3">
        <f t="shared" si="16"/>
        <v>2396.3625000000002</v>
      </c>
      <c r="M56" s="26" t="s">
        <v>25</v>
      </c>
      <c r="N56" s="15">
        <f t="shared" si="20"/>
        <v>718.90875000000005</v>
      </c>
      <c r="O56" s="3">
        <f t="shared" si="17"/>
        <v>3115.2712500000002</v>
      </c>
      <c r="P56" s="80">
        <f t="shared" si="18"/>
        <v>3115.2712500000002</v>
      </c>
      <c r="Q56" s="42"/>
    </row>
    <row r="57" spans="1:18" ht="12" customHeight="1" outlineLevel="1" x14ac:dyDescent="0.2">
      <c r="A57" s="95" t="s">
        <v>68</v>
      </c>
      <c r="B57" s="93" t="s">
        <v>27</v>
      </c>
      <c r="C57" s="85">
        <v>2</v>
      </c>
      <c r="D57" s="94" t="s">
        <v>16</v>
      </c>
      <c r="E57" s="28">
        <v>20</v>
      </c>
      <c r="F57" s="336">
        <f>IF(A57="x",SUM(C57*E57),0)</f>
        <v>40</v>
      </c>
      <c r="G57" s="337"/>
      <c r="H57" s="336">
        <f>F57*$H$49</f>
        <v>3.7</v>
      </c>
      <c r="I57" s="337"/>
      <c r="J57" s="27" t="s">
        <v>25</v>
      </c>
      <c r="K57" s="15">
        <f>F57*$J$49</f>
        <v>10</v>
      </c>
      <c r="L57" s="3">
        <f t="shared" si="16"/>
        <v>53.7</v>
      </c>
      <c r="M57" s="26" t="s">
        <v>25</v>
      </c>
      <c r="N57" s="15">
        <f>L57*$M$49</f>
        <v>16.11</v>
      </c>
      <c r="O57" s="3">
        <f>SUM(N57+L57)</f>
        <v>69.81</v>
      </c>
      <c r="P57" s="80">
        <f t="shared" si="18"/>
        <v>69.81</v>
      </c>
      <c r="Q57" s="42"/>
    </row>
    <row r="58" spans="1:18" ht="12" customHeight="1" outlineLevel="1" x14ac:dyDescent="0.2">
      <c r="A58" s="95" t="s">
        <v>68</v>
      </c>
      <c r="B58" s="93" t="s">
        <v>83</v>
      </c>
      <c r="C58" s="85">
        <v>1</v>
      </c>
      <c r="D58" s="94" t="s">
        <v>16</v>
      </c>
      <c r="E58" s="50">
        <v>30</v>
      </c>
      <c r="F58" s="336">
        <f t="shared" si="14"/>
        <v>30</v>
      </c>
      <c r="G58" s="337"/>
      <c r="H58" s="338">
        <f t="shared" si="15"/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>L58*$M$48</f>
        <v>24.164999999999999</v>
      </c>
      <c r="O58" s="3">
        <f t="shared" si="17"/>
        <v>64.44</v>
      </c>
      <c r="P58" s="80">
        <f t="shared" si="18"/>
        <v>64.44</v>
      </c>
      <c r="Q58" s="42"/>
    </row>
    <row r="59" spans="1:18" ht="12" hidden="1" customHeight="1" outlineLevel="1" x14ac:dyDescent="0.2">
      <c r="A59" s="95"/>
      <c r="B59" s="93" t="s">
        <v>74</v>
      </c>
      <c r="C59" s="85" t="e">
        <f>#REF!</f>
        <v>#REF!</v>
      </c>
      <c r="D59" s="44" t="s">
        <v>17</v>
      </c>
      <c r="E59" s="50" t="e">
        <f>SUM(#REF!)</f>
        <v>#REF!</v>
      </c>
      <c r="F59" s="336">
        <f>IF(A59="x",SUM(C59*E59),0)</f>
        <v>0</v>
      </c>
      <c r="G59" s="337"/>
      <c r="H59" s="338">
        <f>F59*$H$49</f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>SUM(N59+L59)</f>
        <v>0</v>
      </c>
      <c r="P59" s="80">
        <f t="shared" si="18"/>
        <v>0</v>
      </c>
      <c r="Q59" s="42"/>
    </row>
    <row r="60" spans="1:18" ht="12" hidden="1" customHeight="1" outlineLevel="1" x14ac:dyDescent="0.2">
      <c r="A60" s="33"/>
      <c r="B60" s="24" t="s">
        <v>38</v>
      </c>
      <c r="C60" s="40">
        <v>1063</v>
      </c>
      <c r="D60" s="10" t="s">
        <v>17</v>
      </c>
      <c r="E60" s="23">
        <v>39</v>
      </c>
      <c r="F60" s="336">
        <f t="shared" si="14"/>
        <v>0</v>
      </c>
      <c r="G60" s="337"/>
      <c r="H60" s="338">
        <f t="shared" si="15"/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 t="shared" si="17"/>
        <v>0</v>
      </c>
      <c r="P60" s="80">
        <f t="shared" si="18"/>
        <v>0</v>
      </c>
      <c r="Q60" s="42"/>
    </row>
    <row r="61" spans="1:18" ht="12" hidden="1" customHeight="1" outlineLevel="1" x14ac:dyDescent="0.2">
      <c r="A61" s="95"/>
      <c r="B61" s="24" t="s">
        <v>39</v>
      </c>
      <c r="C61" s="40" t="e">
        <f>#REF!</f>
        <v>#REF!</v>
      </c>
      <c r="D61" s="44" t="s">
        <v>17</v>
      </c>
      <c r="E61" s="23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  <c r="Q61" s="10"/>
    </row>
    <row r="62" spans="1:18" ht="12" hidden="1" customHeight="1" outlineLevel="1" x14ac:dyDescent="0.2">
      <c r="A62" s="33"/>
      <c r="B62" s="24" t="s">
        <v>28</v>
      </c>
      <c r="C62" s="85">
        <v>0</v>
      </c>
      <c r="D62" s="44" t="s">
        <v>18</v>
      </c>
      <c r="E62" s="28">
        <v>300</v>
      </c>
      <c r="F62" s="336">
        <f t="shared" si="14"/>
        <v>0</v>
      </c>
      <c r="G62" s="337"/>
      <c r="H62" s="338">
        <f t="shared" si="15"/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 t="shared" si="17"/>
        <v>0</v>
      </c>
      <c r="P62" s="80">
        <f t="shared" si="18"/>
        <v>0</v>
      </c>
      <c r="Q62" s="10"/>
    </row>
    <row r="63" spans="1:18" ht="12" hidden="1" customHeight="1" outlineLevel="1" x14ac:dyDescent="0.2">
      <c r="A63" s="33"/>
      <c r="B63" s="13" t="s">
        <v>70</v>
      </c>
      <c r="C63" s="85">
        <f>SUM(C51)</f>
        <v>1</v>
      </c>
      <c r="D63" s="10" t="s">
        <v>12</v>
      </c>
      <c r="E63" s="28">
        <v>1.1000000000000001</v>
      </c>
      <c r="F63" s="336">
        <f t="shared" si="14"/>
        <v>0</v>
      </c>
      <c r="G63" s="337"/>
      <c r="H63" s="338">
        <f t="shared" si="15"/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 t="shared" si="17"/>
        <v>0</v>
      </c>
      <c r="P63" s="80">
        <f t="shared" si="18"/>
        <v>0</v>
      </c>
      <c r="R63" s="10"/>
    </row>
    <row r="64" spans="1:18" ht="12" hidden="1" customHeight="1" outlineLevel="1" x14ac:dyDescent="0.2">
      <c r="A64" s="33"/>
      <c r="B64" s="13" t="s">
        <v>71</v>
      </c>
      <c r="C64" s="85">
        <f>SUM(C51)</f>
        <v>1</v>
      </c>
      <c r="D64" s="10" t="s">
        <v>12</v>
      </c>
      <c r="E64" s="28">
        <v>1.05</v>
      </c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  <c r="R64" s="10"/>
    </row>
    <row r="65" spans="1:18" ht="12" hidden="1" customHeight="1" outlineLevel="1" x14ac:dyDescent="0.2">
      <c r="A65" s="33"/>
      <c r="B65" s="93"/>
      <c r="C65" s="85"/>
      <c r="D65" s="10"/>
      <c r="E65" s="28"/>
      <c r="F65" s="336">
        <f>IF(A65="x",SUM(C65*E65),0)</f>
        <v>0</v>
      </c>
      <c r="G65" s="337"/>
      <c r="H65" s="338">
        <f>F65*$H$49</f>
        <v>0</v>
      </c>
      <c r="I65" s="337"/>
      <c r="J65" s="27" t="s">
        <v>25</v>
      </c>
      <c r="K65" s="15">
        <f t="shared" si="19"/>
        <v>0</v>
      </c>
      <c r="L65" s="3">
        <f t="shared" si="16"/>
        <v>0</v>
      </c>
      <c r="M65" s="26" t="s">
        <v>25</v>
      </c>
      <c r="N65" s="15">
        <f t="shared" si="20"/>
        <v>0</v>
      </c>
      <c r="O65" s="3">
        <f>SUM(N65+L65)</f>
        <v>0</v>
      </c>
      <c r="P65" s="80">
        <f t="shared" si="18"/>
        <v>0</v>
      </c>
      <c r="R65" s="10"/>
    </row>
    <row r="66" spans="1:18" ht="12" hidden="1" customHeight="1" outlineLevel="1" x14ac:dyDescent="0.2">
      <c r="A66" s="33"/>
      <c r="C66" s="85"/>
      <c r="D66" s="10"/>
      <c r="E66" s="28"/>
      <c r="F66" s="336">
        <f>IF(A66="x",SUM(C66*E66),0)</f>
        <v>0</v>
      </c>
      <c r="G66" s="337"/>
      <c r="H66" s="338">
        <f>F66*$H$49</f>
        <v>0</v>
      </c>
      <c r="I66" s="337"/>
      <c r="J66" s="27" t="s">
        <v>25</v>
      </c>
      <c r="K66" s="15">
        <f t="shared" si="19"/>
        <v>0</v>
      </c>
      <c r="L66" s="3">
        <f t="shared" si="16"/>
        <v>0</v>
      </c>
      <c r="M66" s="26" t="s">
        <v>25</v>
      </c>
      <c r="N66" s="15">
        <f t="shared" si="20"/>
        <v>0</v>
      </c>
      <c r="O66" s="3">
        <f>SUM(N66+L66)</f>
        <v>0</v>
      </c>
      <c r="P66" s="80">
        <f t="shared" si="18"/>
        <v>0</v>
      </c>
      <c r="R66" s="10"/>
    </row>
    <row r="67" spans="1:18" ht="15.75" outlineLevel="1" thickBot="1" x14ac:dyDescent="0.25">
      <c r="A67" s="9" t="s">
        <v>68</v>
      </c>
      <c r="B67" s="198" t="s">
        <v>151</v>
      </c>
      <c r="C67" s="87">
        <v>60</v>
      </c>
      <c r="D67" s="199" t="s">
        <v>17</v>
      </c>
      <c r="E67" s="30">
        <v>0.35</v>
      </c>
      <c r="F67" s="336">
        <f>IF(A67="x",SUM(C67*E67),0)</f>
        <v>21</v>
      </c>
      <c r="G67" s="337"/>
      <c r="H67" s="338">
        <f>F67*$H$49</f>
        <v>1.9424999999999999</v>
      </c>
      <c r="I67" s="337"/>
      <c r="J67" s="200" t="s">
        <v>25</v>
      </c>
      <c r="K67" s="15">
        <f t="shared" si="19"/>
        <v>5.25</v>
      </c>
      <c r="L67" s="3">
        <f t="shared" si="16"/>
        <v>28.192499999999999</v>
      </c>
      <c r="M67" s="199" t="s">
        <v>25</v>
      </c>
      <c r="N67" s="15">
        <f>L67*$M$48</f>
        <v>16.915499999999998</v>
      </c>
      <c r="O67" s="3">
        <f>SUM(N67+L67)</f>
        <v>45.107999999999997</v>
      </c>
      <c r="P67" s="80">
        <f t="shared" si="18"/>
        <v>45.107999999999997</v>
      </c>
    </row>
    <row r="68" spans="1:18" ht="16.5" thickBot="1" x14ac:dyDescent="0.3">
      <c r="C68" s="326" t="s">
        <v>4</v>
      </c>
      <c r="D68" s="339"/>
      <c r="E68" s="34"/>
      <c r="F68" s="340">
        <f>SUM(F50:G66)</f>
        <v>5071.1393333333326</v>
      </c>
      <c r="G68" s="329"/>
      <c r="H68" s="328">
        <f>SUM(H50:I67)</f>
        <v>471.0228883333333</v>
      </c>
      <c r="I68" s="329"/>
      <c r="J68" s="328">
        <f>SUM(K50:K67)</f>
        <v>1273.0348333333332</v>
      </c>
      <c r="K68" s="329"/>
      <c r="L68" s="31">
        <f>SUM(L50:L67)</f>
        <v>6836.1970549999996</v>
      </c>
      <c r="M68" s="341">
        <f>SUM(N50:N67)</f>
        <v>2657.943792</v>
      </c>
      <c r="N68" s="342"/>
      <c r="O68" s="31">
        <f>SUM(O50:O67)</f>
        <v>9494.1408469999988</v>
      </c>
      <c r="P68" s="80">
        <f t="shared" si="18"/>
        <v>9494.1408469999988</v>
      </c>
    </row>
    <row r="69" spans="1:18" x14ac:dyDescent="0.2"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4"/>
    </row>
    <row r="70" spans="1:18" ht="18" x14ac:dyDescent="0.25">
      <c r="B70" s="16" t="s">
        <v>36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86"/>
    </row>
    <row r="71" spans="1:18" ht="18" outlineLevel="1" x14ac:dyDescent="0.25">
      <c r="B71" s="16"/>
      <c r="C71" s="17" t="s">
        <v>8</v>
      </c>
      <c r="D71" s="17" t="s">
        <v>9</v>
      </c>
      <c r="E71" s="17" t="s">
        <v>10</v>
      </c>
      <c r="F71" s="333" t="s">
        <v>36</v>
      </c>
      <c r="G71" s="333"/>
      <c r="H71" s="162">
        <f>H49</f>
        <v>9.2499999999999999E-2</v>
      </c>
      <c r="I71" s="19" t="s">
        <v>19</v>
      </c>
      <c r="J71" s="21">
        <f>H13</f>
        <v>0.25</v>
      </c>
      <c r="K71" s="19" t="s">
        <v>23</v>
      </c>
      <c r="L71" s="18" t="s">
        <v>4</v>
      </c>
      <c r="M71" s="90">
        <f>$H$7</f>
        <v>0.4</v>
      </c>
      <c r="N71" s="22" t="s">
        <v>24</v>
      </c>
      <c r="O71" s="18" t="s">
        <v>5</v>
      </c>
      <c r="P71" s="84" t="s">
        <v>21</v>
      </c>
      <c r="R71" s="10"/>
    </row>
    <row r="72" spans="1:18" outlineLevel="1" x14ac:dyDescent="0.2">
      <c r="A72" s="152" t="s">
        <v>68</v>
      </c>
      <c r="B72" s="93" t="s">
        <v>82</v>
      </c>
      <c r="C72" s="85">
        <v>144</v>
      </c>
      <c r="D72" s="94" t="s">
        <v>12</v>
      </c>
      <c r="E72" s="51">
        <v>1</v>
      </c>
      <c r="F72" s="334">
        <f t="shared" ref="F72:F78" si="21">IF(A72="x",SUM(C72*E72),0)</f>
        <v>144</v>
      </c>
      <c r="G72" s="335"/>
      <c r="H72" s="334">
        <f t="shared" ref="H72:H78" si="22">F72*$H$49</f>
        <v>13.32</v>
      </c>
      <c r="I72" s="335"/>
      <c r="J72" s="25" t="s">
        <v>25</v>
      </c>
      <c r="K72" s="15">
        <f>F72*$J$71</f>
        <v>36</v>
      </c>
      <c r="L72" s="3">
        <f t="shared" ref="L72:L78" si="23">SUM(F72:K72)</f>
        <v>193.32</v>
      </c>
      <c r="M72" s="26" t="s">
        <v>25</v>
      </c>
      <c r="N72" s="15">
        <f t="shared" ref="N72:N78" si="24">L72*$M$71</f>
        <v>77.328000000000003</v>
      </c>
      <c r="O72" s="3">
        <f t="shared" ref="O72:O78" si="25">SUM(N72+L72)</f>
        <v>270.64800000000002</v>
      </c>
      <c r="P72" s="80">
        <f t="shared" ref="P72:P80" si="26">SUM(O72)</f>
        <v>270.64800000000002</v>
      </c>
      <c r="R72" s="10"/>
    </row>
    <row r="73" spans="1:18" outlineLevel="1" x14ac:dyDescent="0.2">
      <c r="A73" s="152"/>
      <c r="B73" s="24"/>
      <c r="C73" s="85">
        <v>0</v>
      </c>
      <c r="D73" s="44" t="s">
        <v>17</v>
      </c>
      <c r="E73" s="28">
        <v>0.25</v>
      </c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ref="K73:K78" si="27">F73*$J$71</f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8" outlineLevel="1" x14ac:dyDescent="0.2">
      <c r="A74" s="46" t="s">
        <v>26</v>
      </c>
      <c r="B74" s="24" t="s">
        <v>37</v>
      </c>
      <c r="C74" s="85">
        <f>$C$43+$C$29</f>
        <v>123</v>
      </c>
      <c r="D74" s="94" t="s">
        <v>53</v>
      </c>
      <c r="E74" s="28">
        <v>0.15</v>
      </c>
      <c r="F74" s="336">
        <f t="shared" si="21"/>
        <v>18.45</v>
      </c>
      <c r="G74" s="337"/>
      <c r="H74" s="336">
        <f t="shared" si="22"/>
        <v>1.7066249999999998</v>
      </c>
      <c r="I74" s="337"/>
      <c r="J74" s="27" t="s">
        <v>25</v>
      </c>
      <c r="K74" s="15">
        <f t="shared" si="27"/>
        <v>4.6124999999999998</v>
      </c>
      <c r="L74" s="3">
        <f t="shared" si="23"/>
        <v>24.769124999999999</v>
      </c>
      <c r="M74" s="26" t="s">
        <v>25</v>
      </c>
      <c r="N74" s="15">
        <f t="shared" si="24"/>
        <v>9.9076500000000003</v>
      </c>
      <c r="O74" s="3">
        <f t="shared" si="25"/>
        <v>34.676774999999999</v>
      </c>
      <c r="P74" s="80">
        <f t="shared" si="26"/>
        <v>34.676774999999999</v>
      </c>
    </row>
    <row r="75" spans="1:18" outlineLevel="1" x14ac:dyDescent="0.2">
      <c r="A75" s="95" t="s">
        <v>26</v>
      </c>
      <c r="B75" s="93" t="s">
        <v>125</v>
      </c>
      <c r="C75" s="85">
        <f>$C$43+$C$29</f>
        <v>123</v>
      </c>
      <c r="D75" s="94" t="s">
        <v>53</v>
      </c>
      <c r="E75" s="28">
        <v>0.25</v>
      </c>
      <c r="F75" s="336">
        <f>IF(A75="x",SUM(C75*E75),0)</f>
        <v>30.75</v>
      </c>
      <c r="G75" s="337"/>
      <c r="H75" s="336">
        <f t="shared" si="22"/>
        <v>2.8443749999999999</v>
      </c>
      <c r="I75" s="337"/>
      <c r="J75" s="27" t="s">
        <v>25</v>
      </c>
      <c r="K75" s="15">
        <f t="shared" si="27"/>
        <v>7.6875</v>
      </c>
      <c r="L75" s="3">
        <f t="shared" si="23"/>
        <v>41.281874999999999</v>
      </c>
      <c r="M75" s="26" t="s">
        <v>25</v>
      </c>
      <c r="N75" s="15">
        <f t="shared" si="24"/>
        <v>16.51275</v>
      </c>
      <c r="O75" s="3">
        <f t="shared" si="25"/>
        <v>57.794624999999996</v>
      </c>
      <c r="P75" s="80">
        <f t="shared" si="26"/>
        <v>57.794624999999996</v>
      </c>
    </row>
    <row r="76" spans="1:18" outlineLevel="1" x14ac:dyDescent="0.2">
      <c r="A76" s="95" t="s">
        <v>26</v>
      </c>
      <c r="B76" s="93" t="s">
        <v>22</v>
      </c>
      <c r="C76" s="85">
        <f>$C$43+$C$29</f>
        <v>123</v>
      </c>
      <c r="D76" s="94" t="s">
        <v>53</v>
      </c>
      <c r="E76" s="28">
        <v>0.5</v>
      </c>
      <c r="F76" s="336">
        <f t="shared" si="21"/>
        <v>61.5</v>
      </c>
      <c r="G76" s="337"/>
      <c r="H76" s="336">
        <f t="shared" si="22"/>
        <v>5.6887499999999998</v>
      </c>
      <c r="I76" s="337"/>
      <c r="J76" s="27" t="s">
        <v>25</v>
      </c>
      <c r="K76" s="15">
        <f t="shared" si="27"/>
        <v>15.375</v>
      </c>
      <c r="L76" s="3">
        <f t="shared" si="23"/>
        <v>82.563749999999999</v>
      </c>
      <c r="M76" s="26" t="s">
        <v>25</v>
      </c>
      <c r="N76" s="15">
        <f t="shared" si="24"/>
        <v>33.025500000000001</v>
      </c>
      <c r="O76" s="3">
        <f t="shared" si="25"/>
        <v>115.58924999999999</v>
      </c>
      <c r="P76" s="80">
        <f t="shared" si="26"/>
        <v>115.58924999999999</v>
      </c>
    </row>
    <row r="77" spans="1:18" outlineLevel="1" x14ac:dyDescent="0.2">
      <c r="A77" s="95" t="s">
        <v>68</v>
      </c>
      <c r="B77" s="93" t="s">
        <v>94</v>
      </c>
      <c r="C77" s="85">
        <v>100</v>
      </c>
      <c r="D77" s="94" t="s">
        <v>11</v>
      </c>
      <c r="E77" s="28">
        <v>1.5</v>
      </c>
      <c r="F77" s="336">
        <f t="shared" si="21"/>
        <v>150</v>
      </c>
      <c r="G77" s="337"/>
      <c r="H77" s="336">
        <f t="shared" si="22"/>
        <v>13.875</v>
      </c>
      <c r="I77" s="337"/>
      <c r="J77" s="27" t="s">
        <v>25</v>
      </c>
      <c r="K77" s="15">
        <f t="shared" si="27"/>
        <v>37.5</v>
      </c>
      <c r="L77" s="3">
        <f t="shared" si="23"/>
        <v>201.375</v>
      </c>
      <c r="M77" s="26" t="s">
        <v>25</v>
      </c>
      <c r="N77" s="15">
        <f t="shared" si="24"/>
        <v>80.550000000000011</v>
      </c>
      <c r="O77" s="3">
        <f t="shared" si="25"/>
        <v>281.92500000000001</v>
      </c>
      <c r="P77" s="80">
        <f t="shared" si="26"/>
        <v>281.92500000000001</v>
      </c>
    </row>
    <row r="78" spans="1:18" outlineLevel="1" x14ac:dyDescent="0.2">
      <c r="A78" s="46"/>
      <c r="B78" s="24"/>
      <c r="C78" s="85"/>
      <c r="D78" s="44"/>
      <c r="E78" s="28"/>
      <c r="F78" s="336">
        <f t="shared" si="21"/>
        <v>0</v>
      </c>
      <c r="G78" s="337"/>
      <c r="H78" s="336">
        <f t="shared" si="22"/>
        <v>0</v>
      </c>
      <c r="I78" s="337"/>
      <c r="J78" s="27" t="s">
        <v>25</v>
      </c>
      <c r="K78" s="15">
        <f t="shared" si="27"/>
        <v>0</v>
      </c>
      <c r="L78" s="3">
        <f t="shared" si="23"/>
        <v>0</v>
      </c>
      <c r="M78" s="26" t="s">
        <v>25</v>
      </c>
      <c r="N78" s="15">
        <f t="shared" si="24"/>
        <v>0</v>
      </c>
      <c r="O78" s="3">
        <f t="shared" si="25"/>
        <v>0</v>
      </c>
      <c r="P78" s="80">
        <f t="shared" si="26"/>
        <v>0</v>
      </c>
    </row>
    <row r="79" spans="1:18" ht="16.5" outlineLevel="1" thickBot="1" x14ac:dyDescent="0.3">
      <c r="B79" s="29"/>
      <c r="C79" s="87"/>
      <c r="D79" s="11"/>
      <c r="E79" s="30"/>
      <c r="F79" s="353"/>
      <c r="G79" s="354"/>
      <c r="H79" s="358"/>
      <c r="I79" s="359"/>
      <c r="J79" s="6"/>
      <c r="K79" s="4"/>
      <c r="L79" s="5"/>
      <c r="M79" s="2"/>
      <c r="N79" s="8"/>
      <c r="O79" s="1"/>
      <c r="P79" s="80">
        <f t="shared" si="26"/>
        <v>0</v>
      </c>
    </row>
    <row r="80" spans="1:18" ht="16.5" thickBot="1" x14ac:dyDescent="0.3">
      <c r="C80" s="326" t="s">
        <v>4</v>
      </c>
      <c r="D80" s="339"/>
      <c r="E80" s="34"/>
      <c r="F80" s="340">
        <f>SUM(F72:G78)</f>
        <v>404.7</v>
      </c>
      <c r="G80" s="329"/>
      <c r="H80" s="328">
        <f>SUM(H72:I79)</f>
        <v>37.434749999999994</v>
      </c>
      <c r="I80" s="329"/>
      <c r="J80" s="328">
        <f>SUM(K72:K79)</f>
        <v>101.175</v>
      </c>
      <c r="K80" s="329"/>
      <c r="L80" s="31">
        <f>SUM(L72:L79)</f>
        <v>543.30975000000001</v>
      </c>
      <c r="M80" s="341">
        <f>SUM(N72:N79)</f>
        <v>217.32390000000001</v>
      </c>
      <c r="N80" s="342"/>
      <c r="O80" s="31">
        <f>SUM(O72:O79)</f>
        <v>760.63364999999999</v>
      </c>
      <c r="P80" s="80">
        <f t="shared" si="26"/>
        <v>760.63364999999999</v>
      </c>
    </row>
    <row r="81" spans="1:16" ht="15.75" x14ac:dyDescent="0.25">
      <c r="C81" s="10"/>
      <c r="D81" s="10"/>
      <c r="E81" s="10"/>
      <c r="F81" s="126"/>
      <c r="G81" s="126"/>
      <c r="H81" s="126"/>
      <c r="I81" s="126"/>
      <c r="J81" s="126"/>
      <c r="K81" s="126"/>
      <c r="L81" s="127"/>
      <c r="M81" s="128"/>
      <c r="N81" s="128"/>
      <c r="O81" s="127"/>
      <c r="P81" s="129"/>
    </row>
    <row r="82" spans="1:16" ht="18" x14ac:dyDescent="0.25">
      <c r="B82" s="16" t="s">
        <v>13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88"/>
    </row>
    <row r="83" spans="1:16" ht="14.25" outlineLevel="1" x14ac:dyDescent="0.2">
      <c r="B83" s="36" t="s">
        <v>30</v>
      </c>
      <c r="C83" s="96" t="s">
        <v>8</v>
      </c>
      <c r="D83" s="96" t="s">
        <v>20</v>
      </c>
      <c r="E83" s="96" t="s">
        <v>3</v>
      </c>
      <c r="F83" s="345" t="s">
        <v>13</v>
      </c>
      <c r="G83" s="345"/>
      <c r="H83" s="345" t="s">
        <v>29</v>
      </c>
      <c r="I83" s="345"/>
      <c r="J83" s="21">
        <f>H13</f>
        <v>0.25</v>
      </c>
      <c r="K83" s="19" t="s">
        <v>23</v>
      </c>
      <c r="L83" s="18" t="s">
        <v>4</v>
      </c>
      <c r="M83" s="90">
        <f>$H$7</f>
        <v>0.4</v>
      </c>
      <c r="N83" s="22" t="s">
        <v>24</v>
      </c>
      <c r="O83" s="18" t="s">
        <v>5</v>
      </c>
      <c r="P83" s="84" t="s">
        <v>21</v>
      </c>
    </row>
    <row r="84" spans="1:16" outlineLevel="1" x14ac:dyDescent="0.2">
      <c r="B84" s="167" t="s">
        <v>89</v>
      </c>
      <c r="C84" s="85">
        <v>1</v>
      </c>
      <c r="D84" s="52">
        <v>1</v>
      </c>
      <c r="E84" s="134">
        <v>25</v>
      </c>
      <c r="F84" s="346">
        <f t="shared" ref="F84:F89" si="28">C84*D84*E84</f>
        <v>25</v>
      </c>
      <c r="G84" s="347"/>
      <c r="H84" s="334">
        <v>3</v>
      </c>
      <c r="I84" s="335"/>
      <c r="J84" s="25" t="s">
        <v>25</v>
      </c>
      <c r="K84" s="15">
        <f t="shared" ref="K84:K89" si="29">F84*$J$83</f>
        <v>6.25</v>
      </c>
      <c r="L84" s="3">
        <f>SUM(F84:K84)</f>
        <v>34.25</v>
      </c>
      <c r="M84" s="26" t="s">
        <v>25</v>
      </c>
      <c r="N84" s="15">
        <f>L84*$M$83</f>
        <v>13.700000000000001</v>
      </c>
      <c r="O84" s="3">
        <f>SUM(N84+L84)</f>
        <v>47.95</v>
      </c>
      <c r="P84" s="80">
        <f t="shared" ref="P84:P90" si="30">SUM(O84)</f>
        <v>47.95</v>
      </c>
    </row>
    <row r="85" spans="1:16" outlineLevel="1" x14ac:dyDescent="0.2">
      <c r="B85" s="94" t="s">
        <v>90</v>
      </c>
      <c r="C85" s="85">
        <v>1</v>
      </c>
      <c r="D85" s="52">
        <v>2</v>
      </c>
      <c r="E85" s="45">
        <v>45</v>
      </c>
      <c r="F85" s="348">
        <f t="shared" si="28"/>
        <v>90</v>
      </c>
      <c r="G85" s="349"/>
      <c r="H85" s="336">
        <v>0</v>
      </c>
      <c r="I85" s="337"/>
      <c r="J85" s="27" t="s">
        <v>25</v>
      </c>
      <c r="K85" s="15">
        <f t="shared" si="29"/>
        <v>22.5</v>
      </c>
      <c r="L85" s="3">
        <f>SUM(F85:K85)</f>
        <v>112.5</v>
      </c>
      <c r="M85" s="26" t="s">
        <v>25</v>
      </c>
      <c r="N85" s="15">
        <f>L85*$M$83</f>
        <v>45</v>
      </c>
      <c r="O85" s="3">
        <f>SUM(N85+L85)</f>
        <v>157.5</v>
      </c>
      <c r="P85" s="80">
        <f t="shared" si="30"/>
        <v>157.5</v>
      </c>
    </row>
    <row r="86" spans="1:16" outlineLevel="1" x14ac:dyDescent="0.2">
      <c r="B86" s="94" t="s">
        <v>91</v>
      </c>
      <c r="C86" s="85">
        <v>1</v>
      </c>
      <c r="D86" s="52">
        <v>1</v>
      </c>
      <c r="E86" s="45">
        <v>20</v>
      </c>
      <c r="F86" s="348">
        <f t="shared" si="28"/>
        <v>20</v>
      </c>
      <c r="G86" s="349"/>
      <c r="H86" s="336">
        <v>0</v>
      </c>
      <c r="I86" s="337"/>
      <c r="J86" s="27" t="s">
        <v>25</v>
      </c>
      <c r="K86" s="15">
        <f t="shared" si="29"/>
        <v>5</v>
      </c>
      <c r="L86" s="3">
        <f>SUM(F86:K86)</f>
        <v>25</v>
      </c>
      <c r="M86" s="26" t="s">
        <v>25</v>
      </c>
      <c r="N86" s="15">
        <f>L86*$M$83</f>
        <v>10</v>
      </c>
      <c r="O86" s="3">
        <f>SUM(N86+L86)</f>
        <v>35</v>
      </c>
      <c r="P86" s="80">
        <f t="shared" si="30"/>
        <v>35</v>
      </c>
    </row>
    <row r="87" spans="1:16" outlineLevel="1" x14ac:dyDescent="0.2">
      <c r="A87" s="165" t="s">
        <v>68</v>
      </c>
      <c r="B87" s="94" t="s">
        <v>92</v>
      </c>
      <c r="C87" s="85">
        <v>1</v>
      </c>
      <c r="D87" s="52">
        <v>1</v>
      </c>
      <c r="E87" s="45">
        <v>300</v>
      </c>
      <c r="F87" s="348">
        <f t="shared" si="28"/>
        <v>300</v>
      </c>
      <c r="G87" s="349"/>
      <c r="H87" s="336">
        <v>12</v>
      </c>
      <c r="I87" s="337"/>
      <c r="J87" s="27" t="s">
        <v>25</v>
      </c>
      <c r="K87" s="15">
        <f t="shared" si="29"/>
        <v>75</v>
      </c>
      <c r="L87" s="3">
        <f>SUM(F87:K87)</f>
        <v>387</v>
      </c>
      <c r="M87" s="26" t="s">
        <v>25</v>
      </c>
      <c r="N87" s="15">
        <f>L87*$M$83</f>
        <v>154.80000000000001</v>
      </c>
      <c r="O87" s="3">
        <f>SUM(N87+L87)</f>
        <v>541.79999999999995</v>
      </c>
      <c r="P87" s="80">
        <f t="shared" si="30"/>
        <v>541.79999999999995</v>
      </c>
    </row>
    <row r="88" spans="1:16" outlineLevel="1" x14ac:dyDescent="0.2">
      <c r="B88" s="94" t="s">
        <v>93</v>
      </c>
      <c r="C88" s="85">
        <v>1</v>
      </c>
      <c r="D88" s="52">
        <v>2</v>
      </c>
      <c r="E88" s="45">
        <v>100</v>
      </c>
      <c r="F88" s="348">
        <f t="shared" si="28"/>
        <v>200</v>
      </c>
      <c r="G88" s="349"/>
      <c r="H88" s="336">
        <v>0</v>
      </c>
      <c r="I88" s="337"/>
      <c r="J88" s="27" t="s">
        <v>25</v>
      </c>
      <c r="K88" s="15">
        <f t="shared" si="29"/>
        <v>50</v>
      </c>
      <c r="L88" s="3">
        <f>SUM(F88:K88)</f>
        <v>250</v>
      </c>
      <c r="M88" s="26" t="s">
        <v>25</v>
      </c>
      <c r="N88" s="15">
        <f>L88*$M$83</f>
        <v>100</v>
      </c>
      <c r="O88" s="3">
        <f>SUM(N88+L88)</f>
        <v>350</v>
      </c>
      <c r="P88" s="80">
        <f t="shared" si="30"/>
        <v>350</v>
      </c>
    </row>
    <row r="89" spans="1:16" ht="13.5" outlineLevel="1" thickBot="1" x14ac:dyDescent="0.25">
      <c r="B89" s="94" t="s">
        <v>105</v>
      </c>
      <c r="C89" s="87">
        <v>1</v>
      </c>
      <c r="D89" s="52">
        <v>2</v>
      </c>
      <c r="E89" s="45">
        <v>400</v>
      </c>
      <c r="F89" s="348">
        <f t="shared" si="28"/>
        <v>800</v>
      </c>
      <c r="G89" s="349"/>
      <c r="H89" s="336"/>
      <c r="I89" s="337"/>
      <c r="J89" s="27"/>
      <c r="K89" s="15">
        <f t="shared" si="29"/>
        <v>200</v>
      </c>
      <c r="L89" s="3"/>
      <c r="M89" s="26"/>
      <c r="N89" s="15"/>
      <c r="O89" s="3"/>
      <c r="P89" s="80">
        <f t="shared" si="30"/>
        <v>0</v>
      </c>
    </row>
    <row r="90" spans="1:16" ht="16.5" thickBot="1" x14ac:dyDescent="0.3">
      <c r="C90" s="326" t="s">
        <v>4</v>
      </c>
      <c r="D90" s="339"/>
      <c r="E90" s="34"/>
      <c r="F90" s="328">
        <f>SUM(F84:G89)</f>
        <v>1435</v>
      </c>
      <c r="G90" s="329"/>
      <c r="H90" s="328">
        <f>SUM(H84:I89)</f>
        <v>15</v>
      </c>
      <c r="I90" s="329"/>
      <c r="J90" s="328">
        <f>SUM(J84:K89)</f>
        <v>358.75</v>
      </c>
      <c r="K90" s="329"/>
      <c r="L90" s="31">
        <f>SUM(L84:L89)</f>
        <v>808.75</v>
      </c>
      <c r="M90" s="328">
        <f>SUM(M84:N89)</f>
        <v>323.5</v>
      </c>
      <c r="N90" s="329"/>
      <c r="O90" s="31">
        <f>SUM(O84:O89)</f>
        <v>1132.25</v>
      </c>
      <c r="P90" s="80">
        <f t="shared" si="30"/>
        <v>1132.25</v>
      </c>
    </row>
    <row r="91" spans="1:16" x14ac:dyDescent="0.2"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4"/>
    </row>
    <row r="92" spans="1:16" ht="13.5" thickBot="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"/>
      <c r="O92" s="10"/>
      <c r="P92" s="80">
        <f>SUM(O92)</f>
        <v>0</v>
      </c>
    </row>
    <row r="93" spans="1:16" ht="21" thickBot="1" x14ac:dyDescent="0.35">
      <c r="C93" s="350" t="s">
        <v>15</v>
      </c>
      <c r="D93" s="351"/>
      <c r="E93" s="37"/>
      <c r="F93" s="37"/>
      <c r="G93" s="37"/>
      <c r="H93" s="37"/>
      <c r="I93" s="37"/>
      <c r="J93" s="37"/>
      <c r="K93" s="37"/>
      <c r="L93" s="202">
        <f>SUM(L45,L68,L80,L90)</f>
        <v>12502.216805</v>
      </c>
      <c r="M93" s="37"/>
      <c r="N93" s="38"/>
      <c r="O93" s="202">
        <f>SUM(O29,O43,O68,O80,O90)</f>
        <v>17426.568497</v>
      </c>
      <c r="P93" s="80">
        <f>SUM(O93)</f>
        <v>17426.568497</v>
      </c>
    </row>
    <row r="94" spans="1:16" ht="17.25" hidden="1" thickBot="1" x14ac:dyDescent="0.3">
      <c r="P94" s="89" t="e">
        <f>O94/$C$3</f>
        <v>#VALUE!</v>
      </c>
    </row>
    <row r="95" spans="1:16" ht="17.25" hidden="1" thickBot="1" x14ac:dyDescent="0.3">
      <c r="O95" s="135" t="e">
        <f>SUM(#REF!)</f>
        <v>#REF!</v>
      </c>
      <c r="P95" s="89" t="e">
        <f>O95/$C$3</f>
        <v>#REF!</v>
      </c>
    </row>
    <row r="96" spans="1:16" ht="17.25" hidden="1" thickBot="1" x14ac:dyDescent="0.3">
      <c r="P96" s="89" t="e">
        <f>O96/$C$3</f>
        <v>#VALUE!</v>
      </c>
    </row>
    <row r="97" spans="2:16" ht="17.25" thickBot="1" x14ac:dyDescent="0.3">
      <c r="C97" s="171"/>
      <c r="P97" s="89"/>
    </row>
    <row r="98" spans="2:16" ht="17.25" thickBot="1" x14ac:dyDescent="0.3">
      <c r="B98" s="93"/>
      <c r="C98" s="171"/>
      <c r="O98" s="135"/>
      <c r="P98" s="168"/>
    </row>
    <row r="99" spans="2:16" ht="17.25" hidden="1" thickBot="1" x14ac:dyDescent="0.3">
      <c r="L99" s="135"/>
      <c r="P99" s="89"/>
    </row>
    <row r="100" spans="2:16" ht="17.25" hidden="1" thickBot="1" x14ac:dyDescent="0.3">
      <c r="E100" s="13">
        <f>(O24+O38)/2</f>
        <v>325.5</v>
      </c>
      <c r="O100" s="135"/>
      <c r="P100" s="89"/>
    </row>
    <row r="101" spans="2:16" ht="17.25" hidden="1" thickBot="1" x14ac:dyDescent="0.3">
      <c r="P101" s="169"/>
    </row>
    <row r="102" spans="2:16" ht="16.5" x14ac:dyDescent="0.25">
      <c r="B102" s="93"/>
      <c r="C102" s="171"/>
      <c r="O102" s="135"/>
      <c r="P102" s="170"/>
    </row>
    <row r="103" spans="2:16" ht="16.5" x14ac:dyDescent="0.25">
      <c r="B103" s="93"/>
      <c r="C103" s="171"/>
      <c r="L103" s="153"/>
      <c r="O103" s="135"/>
      <c r="P103" s="170"/>
    </row>
    <row r="104" spans="2:16" ht="16.5" x14ac:dyDescent="0.25">
      <c r="B104" s="93"/>
      <c r="C104" s="43"/>
      <c r="N104" s="12"/>
      <c r="O104" s="11"/>
      <c r="P104" s="170"/>
    </row>
    <row r="105" spans="2:16" ht="16.5" x14ac:dyDescent="0.25">
      <c r="B105" s="93"/>
      <c r="C105" s="42"/>
      <c r="N105" s="12"/>
      <c r="O105" s="11"/>
      <c r="P105" s="170"/>
    </row>
    <row r="106" spans="2:16" ht="16.5" x14ac:dyDescent="0.25">
      <c r="C106" s="135"/>
      <c r="N106" s="164"/>
      <c r="O106" s="163"/>
      <c r="P106" s="170"/>
    </row>
    <row r="107" spans="2:16" x14ac:dyDescent="0.2">
      <c r="B107" s="13" t="s">
        <v>69</v>
      </c>
    </row>
  </sheetData>
  <sheetProtection formatCells="0" formatColumns="0" formatRows="0" insertColumns="0" insertRows="0" insertHyperlinks="0"/>
  <dataConsolidate/>
  <mergeCells count="122">
    <mergeCell ref="C93:D93"/>
    <mergeCell ref="C90:D90"/>
    <mergeCell ref="F84:G84"/>
    <mergeCell ref="F88:G88"/>
    <mergeCell ref="F76:G76"/>
    <mergeCell ref="F68:G68"/>
    <mergeCell ref="F71:G71"/>
    <mergeCell ref="H54:I54"/>
    <mergeCell ref="H56:I56"/>
    <mergeCell ref="H58:I58"/>
    <mergeCell ref="H68:I68"/>
    <mergeCell ref="F60:G60"/>
    <mergeCell ref="H77:I77"/>
    <mergeCell ref="F67:G67"/>
    <mergeCell ref="H76:I76"/>
    <mergeCell ref="F65:G65"/>
    <mergeCell ref="F55:G55"/>
    <mergeCell ref="H87:I87"/>
    <mergeCell ref="F85:G85"/>
    <mergeCell ref="H85:I85"/>
    <mergeCell ref="F86:G86"/>
    <mergeCell ref="F87:G87"/>
    <mergeCell ref="F75:G75"/>
    <mergeCell ref="F74:G74"/>
    <mergeCell ref="C45:D45"/>
    <mergeCell ref="H89:I89"/>
    <mergeCell ref="H45:I45"/>
    <mergeCell ref="F63:G63"/>
    <mergeCell ref="F83:G83"/>
    <mergeCell ref="H84:I84"/>
    <mergeCell ref="H88:I88"/>
    <mergeCell ref="C91:P91"/>
    <mergeCell ref="C68:D68"/>
    <mergeCell ref="H78:I78"/>
    <mergeCell ref="F51:G51"/>
    <mergeCell ref="H51:I51"/>
    <mergeCell ref="F52:G52"/>
    <mergeCell ref="H52:I52"/>
    <mergeCell ref="M68:N68"/>
    <mergeCell ref="M90:N90"/>
    <mergeCell ref="C47:P47"/>
    <mergeCell ref="C69:P69"/>
    <mergeCell ref="C46:P46"/>
    <mergeCell ref="F62:G62"/>
    <mergeCell ref="F89:G89"/>
    <mergeCell ref="F90:G90"/>
    <mergeCell ref="F58:G58"/>
    <mergeCell ref="J68:K68"/>
    <mergeCell ref="J90:K90"/>
    <mergeCell ref="H60:I60"/>
    <mergeCell ref="H62:I62"/>
    <mergeCell ref="H65:I65"/>
    <mergeCell ref="J80:K80"/>
    <mergeCell ref="H75:I75"/>
    <mergeCell ref="H50:I50"/>
    <mergeCell ref="H63:I63"/>
    <mergeCell ref="H53:I53"/>
    <mergeCell ref="H79:I79"/>
    <mergeCell ref="H67:I67"/>
    <mergeCell ref="H83:I83"/>
    <mergeCell ref="H86:I86"/>
    <mergeCell ref="H90:I90"/>
    <mergeCell ref="H74:I74"/>
    <mergeCell ref="K8:L8"/>
    <mergeCell ref="G12:I12"/>
    <mergeCell ref="H7:I7"/>
    <mergeCell ref="H8:I8"/>
    <mergeCell ref="H9:I9"/>
    <mergeCell ref="F72:G72"/>
    <mergeCell ref="H72:I72"/>
    <mergeCell ref="F73:G73"/>
    <mergeCell ref="H73:I73"/>
    <mergeCell ref="J45:K45"/>
    <mergeCell ref="K10:L10"/>
    <mergeCell ref="N1:O1"/>
    <mergeCell ref="F66:G66"/>
    <mergeCell ref="H66:I66"/>
    <mergeCell ref="F59:G59"/>
    <mergeCell ref="H59:I59"/>
    <mergeCell ref="F61:G61"/>
    <mergeCell ref="J4:J18"/>
    <mergeCell ref="H5:I5"/>
    <mergeCell ref="G6:I6"/>
    <mergeCell ref="G10:I10"/>
    <mergeCell ref="M45:N45"/>
    <mergeCell ref="H55:I55"/>
    <mergeCell ref="F64:G64"/>
    <mergeCell ref="H64:I64"/>
    <mergeCell ref="H13:I13"/>
    <mergeCell ref="H14:I14"/>
    <mergeCell ref="H15:I15"/>
    <mergeCell ref="F45:G45"/>
    <mergeCell ref="F49:G49"/>
    <mergeCell ref="F53:G53"/>
    <mergeCell ref="F4:F18"/>
    <mergeCell ref="G4:I4"/>
    <mergeCell ref="F56:G56"/>
    <mergeCell ref="K7:L7"/>
    <mergeCell ref="A1:A19"/>
    <mergeCell ref="E2:G3"/>
    <mergeCell ref="M80:N80"/>
    <mergeCell ref="F54:G54"/>
    <mergeCell ref="E1:F1"/>
    <mergeCell ref="B1:D2"/>
    <mergeCell ref="K14:P17"/>
    <mergeCell ref="F57:G57"/>
    <mergeCell ref="H57:I57"/>
    <mergeCell ref="H11:I11"/>
    <mergeCell ref="C7:E7"/>
    <mergeCell ref="C8:E8"/>
    <mergeCell ref="C9:E9"/>
    <mergeCell ref="C10:E10"/>
    <mergeCell ref="C4:E6"/>
    <mergeCell ref="C11:E11"/>
    <mergeCell ref="C80:D80"/>
    <mergeCell ref="F80:G80"/>
    <mergeCell ref="H80:I80"/>
    <mergeCell ref="F50:G50"/>
    <mergeCell ref="F79:G79"/>
    <mergeCell ref="F77:G77"/>
    <mergeCell ref="F78:G78"/>
    <mergeCell ref="H61:I61"/>
  </mergeCells>
  <pageMargins left="0.56000000000000005" right="0.47" top="0.28000000000000003" bottom="1" header="0.14000000000000001" footer="0.5"/>
  <pageSetup scale="4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6" sqref="E6"/>
    </sheetView>
  </sheetViews>
  <sheetFormatPr defaultRowHeight="12.75" x14ac:dyDescent="0.2"/>
  <cols>
    <col min="1" max="1" width="23.42578125" customWidth="1"/>
    <col min="2" max="2" width="10.140625" bestFit="1" customWidth="1"/>
    <col min="3" max="3" width="7.28515625" customWidth="1"/>
    <col min="4" max="4" width="6" customWidth="1"/>
    <col min="5" max="5" width="19.140625" bestFit="1" customWidth="1"/>
    <col min="6" max="6" width="6" customWidth="1"/>
    <col min="7" max="7" width="16.5703125" customWidth="1"/>
    <col min="8" max="8" width="14.28515625" bestFit="1" customWidth="1"/>
    <col min="9" max="9" width="9.8554687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187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174">
        <v>10</v>
      </c>
      <c r="E4" s="193">
        <v>0.5</v>
      </c>
      <c r="F4">
        <f>SUM(C4*C3*E4)/27*2</f>
        <v>3.7037037037037037</v>
      </c>
    </row>
    <row r="5" spans="1:10" x14ac:dyDescent="0.2">
      <c r="A5" s="178" t="s">
        <v>112</v>
      </c>
      <c r="B5" s="178" t="s">
        <v>111</v>
      </c>
      <c r="C5" s="174">
        <v>10</v>
      </c>
      <c r="E5" s="177">
        <v>0.5</v>
      </c>
      <c r="F5">
        <f>SUM(C5*C3*E5)/27*2</f>
        <v>3.7037037037037037</v>
      </c>
    </row>
    <row r="6" spans="1:10" x14ac:dyDescent="0.2">
      <c r="A6" s="178" t="s">
        <v>117</v>
      </c>
      <c r="B6" s="178" t="s">
        <v>120</v>
      </c>
      <c r="C6" s="188">
        <f>C5-1.32</f>
        <v>8.68</v>
      </c>
      <c r="D6">
        <f>C4-1.32</f>
        <v>8.68</v>
      </c>
      <c r="E6" s="177">
        <v>0.5</v>
      </c>
      <c r="F6" s="175">
        <f>SUM(C6*D6*E6)/27*2</f>
        <v>2.7904592592592592</v>
      </c>
    </row>
    <row r="7" spans="1:10" x14ac:dyDescent="0.2">
      <c r="A7" s="178" t="s">
        <v>119</v>
      </c>
      <c r="B7" s="178" t="s">
        <v>120</v>
      </c>
      <c r="C7" s="188">
        <v>10.5</v>
      </c>
      <c r="D7">
        <v>10.5</v>
      </c>
      <c r="E7" s="177">
        <v>0.5</v>
      </c>
      <c r="F7" s="181">
        <f>SUM(C7*D7*E7)/27</f>
        <v>2.0416666666666665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177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12.239533333333332</v>
      </c>
      <c r="G9" s="190">
        <f>SUM(27*110)</f>
        <v>2970</v>
      </c>
      <c r="H9" s="191">
        <f>SUM(F9*G9)</f>
        <v>36351.413999999997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226</v>
      </c>
      <c r="B29" s="206"/>
      <c r="C29" s="206"/>
      <c r="D29" s="206"/>
      <c r="E29" s="206"/>
      <c r="F29" s="206"/>
    </row>
    <row r="30" spans="1:10" x14ac:dyDescent="0.2">
      <c r="C30" t="s">
        <v>118</v>
      </c>
      <c r="D30" t="s">
        <v>132</v>
      </c>
      <c r="E30" t="s">
        <v>109</v>
      </c>
    </row>
    <row r="31" spans="1:10" x14ac:dyDescent="0.2">
      <c r="A31" t="s">
        <v>239</v>
      </c>
      <c r="C31">
        <v>10.5</v>
      </c>
      <c r="D31">
        <v>10</v>
      </c>
      <c r="E31">
        <v>5</v>
      </c>
      <c r="F31" t="s">
        <v>12</v>
      </c>
      <c r="G31">
        <f>SUM(C31*D31*E31)</f>
        <v>525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topLeftCell="A13" workbookViewId="0">
      <selection activeCell="M50" sqref="M50"/>
    </sheetView>
  </sheetViews>
  <sheetFormatPr defaultRowHeight="12.75" x14ac:dyDescent="0.2"/>
  <cols>
    <col min="1" max="1" width="2" bestFit="1" customWidth="1"/>
    <col min="2" max="2" width="33.28515625" bestFit="1" customWidth="1"/>
    <col min="3" max="3" width="10.140625" bestFit="1" customWidth="1"/>
    <col min="4" max="4" width="9" bestFit="1" customWidth="1"/>
    <col min="5" max="5" width="12.85546875" bestFit="1" customWidth="1"/>
    <col min="6" max="6" width="5.140625" bestFit="1" customWidth="1"/>
    <col min="7" max="7" width="18.140625" bestFit="1" customWidth="1"/>
    <col min="8" max="8" width="6.85546875" bestFit="1" customWidth="1"/>
    <col min="9" max="9" width="11.5703125" bestFit="1" customWidth="1"/>
    <col min="10" max="10" width="6.85546875" bestFit="1" customWidth="1"/>
    <col min="11" max="11" width="11.5703125" bestFit="1" customWidth="1"/>
    <col min="12" max="12" width="19" bestFit="1" customWidth="1"/>
    <col min="13" max="13" width="5.140625" bestFit="1" customWidth="1"/>
    <col min="14" max="14" width="13.85546875" bestFit="1" customWidth="1"/>
    <col min="15" max="15" width="19" bestFit="1" customWidth="1"/>
    <col min="16" max="16" width="11.285156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SUM(O89)</f>
        <v>20499.063128162499</v>
      </c>
      <c r="H1" s="237" t="s">
        <v>0</v>
      </c>
      <c r="I1" s="237"/>
      <c r="J1" s="201"/>
      <c r="K1" s="237"/>
      <c r="L1" s="237"/>
      <c r="M1" s="237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237"/>
      <c r="I2" s="237"/>
      <c r="J2" s="237"/>
      <c r="K2" s="237"/>
      <c r="L2" s="204" t="s">
        <v>152</v>
      </c>
      <c r="M2" s="205"/>
      <c r="N2" s="204" t="s">
        <v>153</v>
      </c>
      <c r="O2" s="237"/>
      <c r="P2" s="237"/>
    </row>
    <row r="3" spans="1:16" ht="18.75" thickBot="1" x14ac:dyDescent="0.3">
      <c r="A3" s="296"/>
      <c r="B3" s="92" t="s">
        <v>84</v>
      </c>
      <c r="C3" s="172" t="s">
        <v>248</v>
      </c>
      <c r="D3" s="100" t="s">
        <v>102</v>
      </c>
      <c r="E3" s="302"/>
      <c r="F3" s="302"/>
      <c r="G3" s="302"/>
      <c r="H3" s="236"/>
      <c r="I3" s="237">
        <f>12*12</f>
        <v>144</v>
      </c>
      <c r="J3" s="201" t="s">
        <v>12</v>
      </c>
      <c r="K3" s="236"/>
      <c r="L3" s="203">
        <f>SUM(L89/I3)</f>
        <v>94.903070037789348</v>
      </c>
      <c r="M3" s="236"/>
      <c r="N3" s="203">
        <f>SUM(G1/I3)</f>
        <v>142.35460505668402</v>
      </c>
      <c r="O3" s="236"/>
      <c r="P3" s="236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239" t="s">
        <v>46</v>
      </c>
      <c r="H7" s="355">
        <v>0.5</v>
      </c>
      <c r="I7" s="355"/>
      <c r="J7" s="308"/>
      <c r="K7" s="313" t="s">
        <v>123</v>
      </c>
      <c r="L7" s="313"/>
      <c r="M7" s="276"/>
      <c r="N7" s="277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239" t="s">
        <v>47</v>
      </c>
      <c r="H8" s="316">
        <f>SUM(N29,N43,M64,M76,M86)</f>
        <v>6833.0210427208331</v>
      </c>
      <c r="I8" s="316"/>
      <c r="J8" s="308"/>
      <c r="K8" s="317">
        <f>N8*H8</f>
        <v>355317.09422148333</v>
      </c>
      <c r="L8" s="317"/>
      <c r="M8" s="276" t="s">
        <v>103</v>
      </c>
      <c r="N8" s="278">
        <v>52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239" t="s">
        <v>48</v>
      </c>
      <c r="H9" s="320">
        <f>H8/2</f>
        <v>3416.5105213604165</v>
      </c>
      <c r="I9" s="320"/>
      <c r="J9" s="308"/>
      <c r="K9" s="279"/>
      <c r="L9" s="127">
        <f>N8*H9</f>
        <v>177658.54711074167</v>
      </c>
      <c r="M9" s="276" t="s">
        <v>104</v>
      </c>
      <c r="N9" s="280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239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239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239" t="s">
        <v>50</v>
      </c>
      <c r="H14" s="316">
        <f>SUM(H45,K64,J76,J86)</f>
        <v>1226.7249999999999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239" t="s">
        <v>52</v>
      </c>
      <c r="H15" s="320">
        <f>H14/2</f>
        <v>613.36249999999995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12</v>
      </c>
      <c r="D20" s="69">
        <f>SUM(E15)</f>
        <v>15</v>
      </c>
      <c r="E20" s="241">
        <f t="shared" ref="E20:E28" si="0">IF(A20="X",D20*C20,0)</f>
        <v>180</v>
      </c>
      <c r="F20" s="242" t="s">
        <v>25</v>
      </c>
      <c r="G20" s="107">
        <f t="shared" ref="G20:G28" si="1">E20*$F$19</f>
        <v>54</v>
      </c>
      <c r="H20" s="25" t="s">
        <v>25</v>
      </c>
      <c r="I20" s="15">
        <f t="shared" ref="I20:I28" si="2">E20*$H$19</f>
        <v>45</v>
      </c>
      <c r="J20" s="108"/>
      <c r="K20" s="109"/>
      <c r="L20" s="3">
        <f t="shared" ref="L20:L28" si="3">SUM(E20:K20)</f>
        <v>279</v>
      </c>
      <c r="M20" s="26" t="s">
        <v>25</v>
      </c>
      <c r="N20" s="15">
        <f t="shared" ref="N20:N28" si="4">L20*$M$19</f>
        <v>139.5</v>
      </c>
      <c r="O20" s="3">
        <f t="shared" ref="O20:O28" si="5">SUM(N20+L20)</f>
        <v>418.5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12</v>
      </c>
      <c r="D21" s="69">
        <f>SUM(E15)</f>
        <v>15</v>
      </c>
      <c r="E21" s="241">
        <f t="shared" si="0"/>
        <v>180</v>
      </c>
      <c r="F21" s="240" t="s">
        <v>25</v>
      </c>
      <c r="G21" s="107">
        <f t="shared" si="1"/>
        <v>54</v>
      </c>
      <c r="H21" s="27" t="s">
        <v>25</v>
      </c>
      <c r="I21" s="15">
        <f t="shared" si="2"/>
        <v>45</v>
      </c>
      <c r="J21" s="110"/>
      <c r="K21" s="111"/>
      <c r="L21" s="3">
        <f t="shared" si="3"/>
        <v>279</v>
      </c>
      <c r="M21" s="26" t="s">
        <v>25</v>
      </c>
      <c r="N21" s="15">
        <f t="shared" si="4"/>
        <v>139.5</v>
      </c>
      <c r="O21" s="3">
        <f t="shared" si="5"/>
        <v>418.5</v>
      </c>
      <c r="P21" s="80">
        <f t="shared" ref="P21:P28" si="6">SUM(O21)</f>
        <v>418.5</v>
      </c>
    </row>
    <row r="22" spans="1:16" x14ac:dyDescent="0.2">
      <c r="A22" s="95" t="s">
        <v>68</v>
      </c>
      <c r="B22" s="151" t="s">
        <v>106</v>
      </c>
      <c r="C22" s="82">
        <v>15</v>
      </c>
      <c r="D22" s="69">
        <f>SUM(E15)</f>
        <v>15</v>
      </c>
      <c r="E22" s="241">
        <f>IF(A22="X",D22*C22,0)</f>
        <v>225</v>
      </c>
      <c r="F22" s="240" t="s">
        <v>25</v>
      </c>
      <c r="G22" s="107">
        <f t="shared" si="1"/>
        <v>67.5</v>
      </c>
      <c r="H22" s="27" t="s">
        <v>25</v>
      </c>
      <c r="I22" s="15">
        <f t="shared" si="2"/>
        <v>56.25</v>
      </c>
      <c r="J22" s="110"/>
      <c r="K22" s="111"/>
      <c r="L22" s="3">
        <f t="shared" si="3"/>
        <v>348.75</v>
      </c>
      <c r="M22" s="26" t="s">
        <v>25</v>
      </c>
      <c r="N22" s="15">
        <f t="shared" si="4"/>
        <v>174.375</v>
      </c>
      <c r="O22" s="3">
        <f>SUM(N22+L22)</f>
        <v>523.125</v>
      </c>
      <c r="P22" s="80">
        <f t="shared" si="6"/>
        <v>523.125</v>
      </c>
    </row>
    <row r="23" spans="1:16" x14ac:dyDescent="0.2">
      <c r="A23" s="95" t="s">
        <v>68</v>
      </c>
      <c r="B23" s="151" t="s">
        <v>79</v>
      </c>
      <c r="C23" s="82">
        <v>21</v>
      </c>
      <c r="D23" s="69">
        <v>15</v>
      </c>
      <c r="E23" s="241">
        <f>IF(A23="X",D23*C23,0)</f>
        <v>315</v>
      </c>
      <c r="F23" s="240" t="s">
        <v>25</v>
      </c>
      <c r="G23" s="107">
        <f t="shared" si="1"/>
        <v>94.5</v>
      </c>
      <c r="H23" s="27" t="s">
        <v>25</v>
      </c>
      <c r="I23" s="15">
        <f t="shared" si="2"/>
        <v>78.75</v>
      </c>
      <c r="J23" s="110"/>
      <c r="K23" s="111"/>
      <c r="L23" s="3">
        <f t="shared" si="3"/>
        <v>488.25</v>
      </c>
      <c r="M23" s="26" t="s">
        <v>25</v>
      </c>
      <c r="N23" s="15">
        <f t="shared" si="4"/>
        <v>244.125</v>
      </c>
      <c r="O23" s="3">
        <f>SUM(N23+L23)</f>
        <v>732.375</v>
      </c>
      <c r="P23" s="80">
        <f t="shared" si="6"/>
        <v>732.375</v>
      </c>
    </row>
    <row r="24" spans="1:16" x14ac:dyDescent="0.2">
      <c r="A24" s="95" t="s">
        <v>68</v>
      </c>
      <c r="B24" s="151" t="s">
        <v>72</v>
      </c>
      <c r="C24" s="82">
        <v>9</v>
      </c>
      <c r="D24" s="159">
        <v>15</v>
      </c>
      <c r="E24" s="241">
        <f>IF(A24="X",D24*C24,0)</f>
        <v>135</v>
      </c>
      <c r="F24" s="240" t="s">
        <v>25</v>
      </c>
      <c r="G24" s="107">
        <f t="shared" si="1"/>
        <v>40.5</v>
      </c>
      <c r="H24" s="27" t="s">
        <v>25</v>
      </c>
      <c r="I24" s="15">
        <f t="shared" si="2"/>
        <v>33.75</v>
      </c>
      <c r="J24" s="110"/>
      <c r="K24" s="111"/>
      <c r="L24" s="3">
        <f t="shared" si="3"/>
        <v>209.25</v>
      </c>
      <c r="M24" s="26" t="s">
        <v>25</v>
      </c>
      <c r="N24" s="15">
        <f t="shared" si="4"/>
        <v>104.625</v>
      </c>
      <c r="O24" s="3">
        <f>SUM(N24+L24)</f>
        <v>313.875</v>
      </c>
      <c r="P24" s="80">
        <f t="shared" si="6"/>
        <v>313.875</v>
      </c>
    </row>
    <row r="25" spans="1:16" x14ac:dyDescent="0.2">
      <c r="A25" s="33" t="s">
        <v>26</v>
      </c>
      <c r="B25" s="151" t="s">
        <v>154</v>
      </c>
      <c r="C25" s="82">
        <v>3</v>
      </c>
      <c r="D25" s="69">
        <f>SUM(E15)</f>
        <v>15</v>
      </c>
      <c r="E25" s="241">
        <f t="shared" si="0"/>
        <v>45</v>
      </c>
      <c r="F25" s="240" t="s">
        <v>25</v>
      </c>
      <c r="G25" s="107">
        <f t="shared" si="1"/>
        <v>13.5</v>
      </c>
      <c r="H25" s="27" t="s">
        <v>25</v>
      </c>
      <c r="I25" s="15">
        <f t="shared" si="2"/>
        <v>11.25</v>
      </c>
      <c r="J25" s="110"/>
      <c r="K25" s="111"/>
      <c r="L25" s="3">
        <f t="shared" si="3"/>
        <v>69.75</v>
      </c>
      <c r="M25" s="26" t="s">
        <v>25</v>
      </c>
      <c r="N25" s="15">
        <f t="shared" si="4"/>
        <v>34.875</v>
      </c>
      <c r="O25" s="3">
        <f t="shared" si="5"/>
        <v>104.625</v>
      </c>
      <c r="P25" s="80">
        <f t="shared" si="6"/>
        <v>104.625</v>
      </c>
    </row>
    <row r="26" spans="1:16" x14ac:dyDescent="0.2">
      <c r="A26" s="149" t="s">
        <v>68</v>
      </c>
      <c r="B26" s="151" t="s">
        <v>148</v>
      </c>
      <c r="C26" s="82">
        <v>12</v>
      </c>
      <c r="D26" s="159">
        <f>SUM(E16)</f>
        <v>16.100000000000001</v>
      </c>
      <c r="E26" s="241">
        <f t="shared" si="0"/>
        <v>193.20000000000002</v>
      </c>
      <c r="F26" s="240" t="s">
        <v>25</v>
      </c>
      <c r="G26" s="107">
        <f t="shared" si="1"/>
        <v>57.96</v>
      </c>
      <c r="H26" s="27" t="s">
        <v>25</v>
      </c>
      <c r="I26" s="15">
        <f t="shared" si="2"/>
        <v>48.300000000000004</v>
      </c>
      <c r="J26" s="110"/>
      <c r="K26" s="111"/>
      <c r="L26" s="3">
        <f t="shared" si="3"/>
        <v>299.46000000000004</v>
      </c>
      <c r="M26" s="26" t="s">
        <v>25</v>
      </c>
      <c r="N26" s="15">
        <f t="shared" si="4"/>
        <v>149.73000000000002</v>
      </c>
      <c r="O26" s="3">
        <f t="shared" si="5"/>
        <v>449.19000000000005</v>
      </c>
      <c r="P26" s="80">
        <f t="shared" si="6"/>
        <v>449.19000000000005</v>
      </c>
    </row>
    <row r="27" spans="1:16" x14ac:dyDescent="0.2">
      <c r="A27" s="149" t="s">
        <v>68</v>
      </c>
      <c r="B27" s="93" t="s">
        <v>81</v>
      </c>
      <c r="C27" s="82">
        <v>2</v>
      </c>
      <c r="D27" s="159">
        <v>15</v>
      </c>
      <c r="E27" s="241">
        <f t="shared" si="0"/>
        <v>30</v>
      </c>
      <c r="F27" s="240" t="s">
        <v>25</v>
      </c>
      <c r="G27" s="107">
        <f t="shared" si="1"/>
        <v>9</v>
      </c>
      <c r="H27" s="27" t="s">
        <v>25</v>
      </c>
      <c r="I27" s="15">
        <f t="shared" si="2"/>
        <v>7.5</v>
      </c>
      <c r="J27" s="110"/>
      <c r="K27" s="111"/>
      <c r="L27" s="3">
        <f t="shared" si="3"/>
        <v>46.5</v>
      </c>
      <c r="M27" s="26" t="s">
        <v>25</v>
      </c>
      <c r="N27" s="15">
        <f t="shared" si="4"/>
        <v>23.25</v>
      </c>
      <c r="O27" s="3">
        <f t="shared" si="5"/>
        <v>69.75</v>
      </c>
      <c r="P27" s="80">
        <f t="shared" si="6"/>
        <v>69.75</v>
      </c>
    </row>
    <row r="28" spans="1:16" x14ac:dyDescent="0.2">
      <c r="A28" s="149" t="s">
        <v>68</v>
      </c>
      <c r="B28" s="93" t="s">
        <v>149</v>
      </c>
      <c r="C28" s="64">
        <v>9</v>
      </c>
      <c r="D28" s="69">
        <f>SUM(E15)</f>
        <v>15</v>
      </c>
      <c r="E28" s="241">
        <f t="shared" si="0"/>
        <v>135</v>
      </c>
      <c r="F28" s="112" t="s">
        <v>25</v>
      </c>
      <c r="G28" s="113">
        <f t="shared" si="1"/>
        <v>40.5</v>
      </c>
      <c r="H28" s="114" t="s">
        <v>25</v>
      </c>
      <c r="I28" s="119">
        <f t="shared" si="2"/>
        <v>33.75</v>
      </c>
      <c r="J28" s="115"/>
      <c r="K28" s="116"/>
      <c r="L28" s="117">
        <f t="shared" si="3"/>
        <v>209.25</v>
      </c>
      <c r="M28" s="118" t="s">
        <v>25</v>
      </c>
      <c r="N28" s="119">
        <f t="shared" si="4"/>
        <v>104.625</v>
      </c>
      <c r="O28" s="117">
        <f t="shared" si="5"/>
        <v>313.875</v>
      </c>
      <c r="P28" s="80">
        <f t="shared" si="6"/>
        <v>313.875</v>
      </c>
    </row>
    <row r="29" spans="1:16" x14ac:dyDescent="0.2">
      <c r="A29" s="9"/>
      <c r="B29" s="24"/>
      <c r="C29" s="65">
        <f>SUM(C20:C28)</f>
        <v>95</v>
      </c>
      <c r="D29" s="60"/>
      <c r="E29" s="48">
        <f>SUM(E20:E28)</f>
        <v>1438.2</v>
      </c>
      <c r="F29" s="120" t="s">
        <v>25</v>
      </c>
      <c r="G29" s="59">
        <f>SUM(G20:G28)</f>
        <v>431.46</v>
      </c>
      <c r="H29" s="121" t="s">
        <v>25</v>
      </c>
      <c r="I29" s="57">
        <f>SUM(I20:I28)</f>
        <v>359.55</v>
      </c>
      <c r="J29" s="121"/>
      <c r="K29" s="59"/>
      <c r="L29" s="63">
        <f>SUM(L20:L28)</f>
        <v>2229.21</v>
      </c>
      <c r="M29" s="121" t="s">
        <v>25</v>
      </c>
      <c r="N29" s="57">
        <f>SUM(N20:N28)</f>
        <v>1114.605</v>
      </c>
      <c r="O29" s="58">
        <f>SUM(O20:O28)</f>
        <v>3343.8150000000001</v>
      </c>
      <c r="P29" s="122">
        <f>SUM(O29/1)</f>
        <v>3343.8150000000001</v>
      </c>
    </row>
    <row r="30" spans="1:16" x14ac:dyDescent="0.2">
      <c r="A30" s="9"/>
      <c r="B30" s="24"/>
      <c r="C30" s="82"/>
      <c r="D30" s="45"/>
      <c r="E30" s="241"/>
      <c r="F30" s="240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241"/>
      <c r="F31" s="240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12</v>
      </c>
      <c r="D32" s="45">
        <v>40</v>
      </c>
      <c r="E32" s="241">
        <f>IF(A32="X",D32*C32,0)</f>
        <v>480</v>
      </c>
      <c r="F32" s="112" t="s">
        <v>25</v>
      </c>
      <c r="G32" s="113">
        <f>E32*$F$19</f>
        <v>144</v>
      </c>
      <c r="H32" s="27" t="s">
        <v>25</v>
      </c>
      <c r="I32" s="15">
        <f t="shared" ref="I32:I42" si="7">E32*$H$19</f>
        <v>120</v>
      </c>
      <c r="J32" s="110"/>
      <c r="K32" s="111"/>
      <c r="L32" s="3">
        <f t="shared" ref="L32:L42" si="8">SUM(E32:K32)</f>
        <v>744</v>
      </c>
      <c r="M32" s="26" t="s">
        <v>25</v>
      </c>
      <c r="N32" s="15">
        <f t="shared" ref="N32:N42" si="9">L32*$M$19</f>
        <v>372</v>
      </c>
      <c r="O32" s="3">
        <f>SUM(N32+L32)</f>
        <v>1116</v>
      </c>
      <c r="P32" s="80">
        <f t="shared" ref="P32:P45" si="10">SUM(O32)</f>
        <v>1116</v>
      </c>
    </row>
    <row r="33" spans="1:16" x14ac:dyDescent="0.2">
      <c r="A33" s="150" t="str">
        <f>IF(A20="X",A20,"")</f>
        <v>x</v>
      </c>
      <c r="B33" s="68" t="s">
        <v>31</v>
      </c>
      <c r="C33" s="83">
        <v>2</v>
      </c>
      <c r="D33" s="45">
        <v>40</v>
      </c>
      <c r="E33" s="241">
        <f t="shared" ref="E33:E42" si="11">IF(A33="X",D33*C33,0)</f>
        <v>80</v>
      </c>
      <c r="F33" s="240" t="s">
        <v>25</v>
      </c>
      <c r="G33" s="107">
        <f t="shared" ref="G33:G42" si="12">E33*$F$19</f>
        <v>24</v>
      </c>
      <c r="H33" s="27" t="s">
        <v>25</v>
      </c>
      <c r="I33" s="15">
        <f t="shared" si="7"/>
        <v>20</v>
      </c>
      <c r="J33" s="110"/>
      <c r="K33" s="111"/>
      <c r="L33" s="3">
        <f t="shared" si="8"/>
        <v>124</v>
      </c>
      <c r="M33" s="26" t="s">
        <v>25</v>
      </c>
      <c r="N33" s="15">
        <f t="shared" si="9"/>
        <v>62</v>
      </c>
      <c r="O33" s="3">
        <f t="shared" ref="O33:O42" si="13">SUM(N33+L33)</f>
        <v>186</v>
      </c>
      <c r="P33" s="80">
        <f t="shared" si="10"/>
        <v>186</v>
      </c>
    </row>
    <row r="34" spans="1:16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2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186</v>
      </c>
      <c r="O34" s="3">
        <f t="shared" si="13"/>
        <v>558</v>
      </c>
      <c r="P34" s="80">
        <f t="shared" si="10"/>
        <v>558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2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5</v>
      </c>
      <c r="D36" s="45">
        <v>40</v>
      </c>
      <c r="E36" s="241">
        <f>IF(A36="X",D36*C36,0)</f>
        <v>200</v>
      </c>
      <c r="F36" s="240" t="s">
        <v>25</v>
      </c>
      <c r="G36" s="107">
        <f t="shared" si="12"/>
        <v>60</v>
      </c>
      <c r="H36" s="27" t="s">
        <v>25</v>
      </c>
      <c r="I36" s="15">
        <f t="shared" si="7"/>
        <v>50</v>
      </c>
      <c r="J36" s="110"/>
      <c r="K36" s="111"/>
      <c r="L36" s="3">
        <f t="shared" si="8"/>
        <v>310</v>
      </c>
      <c r="M36" s="26" t="s">
        <v>25</v>
      </c>
      <c r="N36" s="15">
        <f t="shared" si="9"/>
        <v>155</v>
      </c>
      <c r="O36" s="3">
        <f>SUM(N36+L36)</f>
        <v>465</v>
      </c>
      <c r="P36" s="80">
        <f t="shared" si="10"/>
        <v>465</v>
      </c>
    </row>
    <row r="37" spans="1:16" x14ac:dyDescent="0.2">
      <c r="A37" s="150" t="str">
        <f>IF(A23="X",A23,"")</f>
        <v>x</v>
      </c>
      <c r="B37" s="151" t="s">
        <v>124</v>
      </c>
      <c r="C37" s="83">
        <v>2</v>
      </c>
      <c r="D37" s="45">
        <v>40</v>
      </c>
      <c r="E37" s="241">
        <f>IF(A37="X",D37*C37,0)</f>
        <v>80</v>
      </c>
      <c r="F37" s="240" t="s">
        <v>25</v>
      </c>
      <c r="G37" s="107">
        <f t="shared" si="12"/>
        <v>24</v>
      </c>
      <c r="H37" s="27" t="s">
        <v>25</v>
      </c>
      <c r="I37" s="15">
        <f t="shared" si="7"/>
        <v>20</v>
      </c>
      <c r="J37" s="110"/>
      <c r="K37" s="111"/>
      <c r="L37" s="3">
        <f t="shared" si="8"/>
        <v>124</v>
      </c>
      <c r="M37" s="26" t="s">
        <v>25</v>
      </c>
      <c r="N37" s="15">
        <f t="shared" si="9"/>
        <v>62</v>
      </c>
      <c r="O37" s="3">
        <f>SUM(N37+L37)</f>
        <v>186</v>
      </c>
      <c r="P37" s="80">
        <f t="shared" si="10"/>
        <v>186</v>
      </c>
    </row>
    <row r="38" spans="1:16" x14ac:dyDescent="0.2">
      <c r="A38" s="150" t="str">
        <f>IF(A24="X",A24,"")</f>
        <v>x</v>
      </c>
      <c r="B38" s="151" t="s">
        <v>72</v>
      </c>
      <c r="C38" s="83">
        <v>6</v>
      </c>
      <c r="D38" s="45">
        <v>40</v>
      </c>
      <c r="E38" s="241">
        <f>IF(A38="X",D38*C38,0)</f>
        <v>240</v>
      </c>
      <c r="F38" s="240" t="s">
        <v>25</v>
      </c>
      <c r="G38" s="107">
        <f t="shared" si="12"/>
        <v>72</v>
      </c>
      <c r="H38" s="27" t="s">
        <v>25</v>
      </c>
      <c r="I38" s="15">
        <f t="shared" si="7"/>
        <v>60</v>
      </c>
      <c r="J38" s="110"/>
      <c r="K38" s="111"/>
      <c r="L38" s="3">
        <f t="shared" si="8"/>
        <v>372</v>
      </c>
      <c r="M38" s="26" t="s">
        <v>25</v>
      </c>
      <c r="N38" s="15">
        <f t="shared" si="9"/>
        <v>186</v>
      </c>
      <c r="O38" s="3">
        <f>SUM(N38+L38)</f>
        <v>558</v>
      </c>
      <c r="P38" s="80">
        <f t="shared" si="10"/>
        <v>558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2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4</v>
      </c>
      <c r="D40" s="45">
        <v>40</v>
      </c>
      <c r="E40" s="241">
        <f t="shared" si="11"/>
        <v>160</v>
      </c>
      <c r="F40" s="112" t="s">
        <v>25</v>
      </c>
      <c r="G40" s="113">
        <f t="shared" si="12"/>
        <v>48</v>
      </c>
      <c r="H40" s="27" t="s">
        <v>25</v>
      </c>
      <c r="I40" s="15">
        <f t="shared" si="7"/>
        <v>40</v>
      </c>
      <c r="J40" s="110"/>
      <c r="K40" s="111"/>
      <c r="L40" s="3">
        <f t="shared" si="8"/>
        <v>248</v>
      </c>
      <c r="M40" s="26" t="s">
        <v>25</v>
      </c>
      <c r="N40" s="15">
        <f t="shared" si="9"/>
        <v>124</v>
      </c>
      <c r="O40" s="3">
        <f t="shared" si="13"/>
        <v>372</v>
      </c>
      <c r="P40" s="80">
        <f t="shared" si="10"/>
        <v>372</v>
      </c>
    </row>
    <row r="41" spans="1:16" x14ac:dyDescent="0.2">
      <c r="A41" s="166" t="s">
        <v>68</v>
      </c>
      <c r="B41" s="93" t="s">
        <v>81</v>
      </c>
      <c r="C41" s="83">
        <v>1</v>
      </c>
      <c r="D41" s="45">
        <v>40</v>
      </c>
      <c r="E41" s="2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31</v>
      </c>
      <c r="O41" s="3">
        <f t="shared" si="13"/>
        <v>93</v>
      </c>
      <c r="P41" s="80">
        <f t="shared" si="10"/>
        <v>93</v>
      </c>
    </row>
    <row r="42" spans="1:16" x14ac:dyDescent="0.2">
      <c r="A42" s="150"/>
      <c r="B42" s="93"/>
      <c r="C42" s="83">
        <v>0</v>
      </c>
      <c r="D42" s="45">
        <v>40</v>
      </c>
      <c r="E42" s="2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38</v>
      </c>
      <c r="D43" s="60"/>
      <c r="E43" s="60">
        <f>SUM(E32:E42)</f>
        <v>1520</v>
      </c>
      <c r="F43" s="123" t="s">
        <v>25</v>
      </c>
      <c r="G43" s="61">
        <f>SUM(G32:G42)</f>
        <v>456</v>
      </c>
      <c r="H43" s="124" t="s">
        <v>25</v>
      </c>
      <c r="I43" s="62">
        <f>SUM(I32:I42)</f>
        <v>380</v>
      </c>
      <c r="J43" s="124"/>
      <c r="K43" s="61"/>
      <c r="L43" s="63">
        <f>SUM(L32:L42)</f>
        <v>2356</v>
      </c>
      <c r="M43" s="124" t="s">
        <v>25</v>
      </c>
      <c r="N43" s="62">
        <f>SUM(N32:N42)</f>
        <v>1178</v>
      </c>
      <c r="O43" s="63">
        <f>SUM(O32:O42)</f>
        <v>3534</v>
      </c>
      <c r="P43" s="80">
        <f t="shared" si="10"/>
        <v>3534</v>
      </c>
    </row>
    <row r="44" spans="1:16" ht="13.5" thickBot="1" x14ac:dyDescent="0.25">
      <c r="A44" s="9"/>
      <c r="B44" s="49" t="s">
        <v>73</v>
      </c>
      <c r="C44" s="161">
        <f>SUM(C29+C43)</f>
        <v>133</v>
      </c>
      <c r="D44" s="45"/>
      <c r="E44" s="241"/>
      <c r="F44" s="240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2958.2</v>
      </c>
      <c r="F45" s="328">
        <f>G43+G29</f>
        <v>887.46</v>
      </c>
      <c r="G45" s="329"/>
      <c r="H45" s="328">
        <f>I43+I29</f>
        <v>739.55</v>
      </c>
      <c r="I45" s="329"/>
      <c r="J45" s="328"/>
      <c r="K45" s="329"/>
      <c r="L45" s="31">
        <f>L43+L29</f>
        <v>4585.21</v>
      </c>
      <c r="M45" s="330">
        <f>N43+N29</f>
        <v>2292.605</v>
      </c>
      <c r="N45" s="331"/>
      <c r="O45" s="31">
        <f>O43+O29</f>
        <v>6877.8150000000005</v>
      </c>
      <c r="P45" s="80">
        <f t="shared" si="10"/>
        <v>6877.8150000000005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237">
        <v>39295</v>
      </c>
      <c r="D48" s="237"/>
      <c r="E48" s="237"/>
      <c r="F48" s="237"/>
      <c r="G48" s="237"/>
      <c r="H48" s="237"/>
      <c r="I48" s="237"/>
      <c r="J48" s="237"/>
      <c r="K48" s="237"/>
      <c r="L48" s="237"/>
      <c r="M48" s="160">
        <f>H7</f>
        <v>0.5</v>
      </c>
      <c r="N48" s="237"/>
      <c r="O48" s="237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f>H7</f>
        <v>0.5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 t="s">
        <v>68</v>
      </c>
      <c r="B50" s="93" t="s">
        <v>184</v>
      </c>
      <c r="C50" s="85">
        <f>'12X12 Concrete'!F9</f>
        <v>15.415120062222222</v>
      </c>
      <c r="D50" s="94" t="s">
        <v>18</v>
      </c>
      <c r="E50" s="51">
        <v>105</v>
      </c>
      <c r="F50" s="334">
        <f t="shared" ref="F50:F59" si="14">IF(A50="x",SUM(C50*E50),0)</f>
        <v>1618.5876065333332</v>
      </c>
      <c r="G50" s="335"/>
      <c r="H50" s="334">
        <f t="shared" ref="H50:H59" si="15">F50*$H$49</f>
        <v>149.71935360433332</v>
      </c>
      <c r="I50" s="335"/>
      <c r="J50" s="25" t="s">
        <v>25</v>
      </c>
      <c r="K50" s="15">
        <f>F50*$J$49</f>
        <v>404.6469016333333</v>
      </c>
      <c r="L50" s="3">
        <f t="shared" ref="L50:L63" si="16">SUM(F50:K50)</f>
        <v>2172.9538617709995</v>
      </c>
      <c r="M50" s="26" t="s">
        <v>25</v>
      </c>
      <c r="N50" s="15">
        <f>L50*$M$48</f>
        <v>1086.4769308854998</v>
      </c>
      <c r="O50" s="3">
        <f t="shared" ref="O50:O59" si="17">SUM(N50+L50)</f>
        <v>3259.4307926564993</v>
      </c>
      <c r="P50" s="80">
        <f t="shared" ref="P50:P64" si="18">SUM(O50)</f>
        <v>3259.4307926564993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3" si="19">F51*$J$49</f>
        <v>250</v>
      </c>
      <c r="L51" s="3">
        <f t="shared" si="16"/>
        <v>1342.5</v>
      </c>
      <c r="M51" s="26" t="s">
        <v>25</v>
      </c>
      <c r="N51" s="15">
        <f t="shared" ref="N51:N62" si="20">L51*$M$49</f>
        <v>671.25</v>
      </c>
      <c r="O51" s="3">
        <f>SUM(N51+L51)</f>
        <v>2013.75</v>
      </c>
      <c r="P51" s="80">
        <f t="shared" si="18"/>
        <v>2013.75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</row>
    <row r="53" spans="1:16" x14ac:dyDescent="0.2">
      <c r="A53" s="33"/>
      <c r="B53" s="24"/>
      <c r="C53" s="85"/>
      <c r="D53" s="44"/>
      <c r="E53" s="28"/>
      <c r="F53" s="336">
        <f t="shared" si="14"/>
        <v>0</v>
      </c>
      <c r="G53" s="337"/>
      <c r="H53" s="336">
        <f t="shared" si="15"/>
        <v>0</v>
      </c>
      <c r="I53" s="337"/>
      <c r="J53" s="27" t="s">
        <v>25</v>
      </c>
      <c r="K53" s="15">
        <f t="shared" si="19"/>
        <v>0</v>
      </c>
      <c r="L53" s="3">
        <f t="shared" si="16"/>
        <v>0</v>
      </c>
      <c r="M53" s="26" t="s">
        <v>25</v>
      </c>
      <c r="N53" s="15">
        <f t="shared" si="20"/>
        <v>0</v>
      </c>
      <c r="O53" s="3">
        <f t="shared" si="17"/>
        <v>0</v>
      </c>
      <c r="P53" s="80">
        <f t="shared" si="18"/>
        <v>0</v>
      </c>
    </row>
    <row r="54" spans="1:16" x14ac:dyDescent="0.2">
      <c r="A54" s="95" t="s">
        <v>68</v>
      </c>
      <c r="B54" s="93" t="s">
        <v>240</v>
      </c>
      <c r="C54" s="85">
        <f>'Concrete 10by10'!F7</f>
        <v>2.0416666666666665</v>
      </c>
      <c r="D54" s="94" t="s">
        <v>18</v>
      </c>
      <c r="E54" s="28">
        <v>100</v>
      </c>
      <c r="F54" s="336">
        <f t="shared" si="14"/>
        <v>204.16666666666666</v>
      </c>
      <c r="G54" s="337"/>
      <c r="H54" s="336">
        <f t="shared" si="15"/>
        <v>18.885416666666664</v>
      </c>
      <c r="I54" s="337"/>
      <c r="J54" s="27" t="s">
        <v>25</v>
      </c>
      <c r="K54" s="15">
        <f t="shared" si="19"/>
        <v>51.041666666666664</v>
      </c>
      <c r="L54" s="3">
        <f t="shared" si="16"/>
        <v>274.09375</v>
      </c>
      <c r="M54" s="26" t="s">
        <v>25</v>
      </c>
      <c r="N54" s="15">
        <f t="shared" si="20"/>
        <v>137.046875</v>
      </c>
      <c r="O54" s="3">
        <f t="shared" si="17"/>
        <v>411.140625</v>
      </c>
      <c r="P54" s="80">
        <f t="shared" si="18"/>
        <v>411.140625</v>
      </c>
    </row>
    <row r="55" spans="1:16" x14ac:dyDescent="0.2">
      <c r="A55" s="95" t="s">
        <v>68</v>
      </c>
      <c r="B55" s="93" t="s">
        <v>98</v>
      </c>
      <c r="C55" s="85">
        <f>SUM(C50,C54)*10</f>
        <v>174.56786728888889</v>
      </c>
      <c r="D55" s="94" t="s">
        <v>115</v>
      </c>
      <c r="E55" s="28">
        <v>2</v>
      </c>
      <c r="F55" s="336">
        <f>IF(A55="x",SUM(C55*E55),0)</f>
        <v>349.13573457777778</v>
      </c>
      <c r="G55" s="337"/>
      <c r="H55" s="336">
        <f>F55*$H$49</f>
        <v>32.295055448444444</v>
      </c>
      <c r="I55" s="337"/>
      <c r="J55" s="27" t="s">
        <v>25</v>
      </c>
      <c r="K55" s="15">
        <f t="shared" si="19"/>
        <v>87.283933644444446</v>
      </c>
      <c r="L55" s="3">
        <f t="shared" si="16"/>
        <v>468.71472367066667</v>
      </c>
      <c r="M55" s="26" t="s">
        <v>25</v>
      </c>
      <c r="N55" s="15">
        <f t="shared" si="20"/>
        <v>234.35736183533334</v>
      </c>
      <c r="O55" s="3">
        <f>SUM(N55+L55)</f>
        <v>703.07208550600001</v>
      </c>
      <c r="P55" s="80">
        <f t="shared" si="18"/>
        <v>703.07208550600001</v>
      </c>
    </row>
    <row r="56" spans="1:16" x14ac:dyDescent="0.2">
      <c r="A56" s="95" t="s">
        <v>68</v>
      </c>
      <c r="B56" s="93" t="s">
        <v>238</v>
      </c>
      <c r="C56" s="85">
        <f>'12X12 Concrete'!G31</f>
        <v>630</v>
      </c>
      <c r="D56" s="94" t="s">
        <v>12</v>
      </c>
      <c r="E56" s="28">
        <v>3.4</v>
      </c>
      <c r="F56" s="336">
        <f t="shared" si="14"/>
        <v>2142</v>
      </c>
      <c r="G56" s="337"/>
      <c r="H56" s="336">
        <f t="shared" si="15"/>
        <v>198.13499999999999</v>
      </c>
      <c r="I56" s="337"/>
      <c r="J56" s="27" t="s">
        <v>25</v>
      </c>
      <c r="K56" s="15">
        <f t="shared" si="19"/>
        <v>535.5</v>
      </c>
      <c r="L56" s="3">
        <f t="shared" si="16"/>
        <v>2875.6350000000002</v>
      </c>
      <c r="M56" s="26" t="s">
        <v>25</v>
      </c>
      <c r="N56" s="15">
        <f t="shared" si="20"/>
        <v>1437.8175000000001</v>
      </c>
      <c r="O56" s="3">
        <f t="shared" si="17"/>
        <v>4313.4525000000003</v>
      </c>
      <c r="P56" s="80">
        <f t="shared" si="18"/>
        <v>4313.4525000000003</v>
      </c>
    </row>
    <row r="57" spans="1:16" x14ac:dyDescent="0.2">
      <c r="A57" s="95" t="s">
        <v>68</v>
      </c>
      <c r="B57" s="93" t="s">
        <v>27</v>
      </c>
      <c r="C57" s="85">
        <v>2</v>
      </c>
      <c r="D57" s="94" t="s">
        <v>16</v>
      </c>
      <c r="E57" s="28">
        <v>20</v>
      </c>
      <c r="F57" s="336">
        <f>IF(A57="x",SUM(C57*E57),0)</f>
        <v>40</v>
      </c>
      <c r="G57" s="337"/>
      <c r="H57" s="336">
        <f>F57*$H$49</f>
        <v>3.7</v>
      </c>
      <c r="I57" s="337"/>
      <c r="J57" s="27" t="s">
        <v>25</v>
      </c>
      <c r="K57" s="15">
        <f>F57*$J$49</f>
        <v>10</v>
      </c>
      <c r="L57" s="3">
        <f t="shared" si="16"/>
        <v>53.7</v>
      </c>
      <c r="M57" s="26" t="s">
        <v>25</v>
      </c>
      <c r="N57" s="15">
        <f>L57*$M$49</f>
        <v>26.85</v>
      </c>
      <c r="O57" s="3">
        <f>SUM(N57+L57)</f>
        <v>80.550000000000011</v>
      </c>
      <c r="P57" s="80">
        <f t="shared" si="18"/>
        <v>80.550000000000011</v>
      </c>
    </row>
    <row r="58" spans="1:16" x14ac:dyDescent="0.2">
      <c r="A58" s="95" t="s">
        <v>68</v>
      </c>
      <c r="B58" s="93" t="s">
        <v>83</v>
      </c>
      <c r="C58" s="85">
        <v>1</v>
      </c>
      <c r="D58" s="94" t="s">
        <v>16</v>
      </c>
      <c r="E58" s="50">
        <v>30</v>
      </c>
      <c r="F58" s="336">
        <f t="shared" si="14"/>
        <v>30</v>
      </c>
      <c r="G58" s="337"/>
      <c r="H58" s="338">
        <f t="shared" si="15"/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>L58*$M$48</f>
        <v>20.137499999999999</v>
      </c>
      <c r="O58" s="3">
        <f t="shared" si="17"/>
        <v>60.412499999999994</v>
      </c>
      <c r="P58" s="80">
        <f t="shared" si="18"/>
        <v>60.412499999999994</v>
      </c>
    </row>
    <row r="59" spans="1:16" x14ac:dyDescent="0.2">
      <c r="A59" s="33"/>
      <c r="B59" s="93" t="s">
        <v>286</v>
      </c>
      <c r="C59" s="85">
        <f>SUM(12*10)*4</f>
        <v>480</v>
      </c>
      <c r="D59" s="10" t="s">
        <v>12</v>
      </c>
      <c r="E59" s="28">
        <v>1.1000000000000001</v>
      </c>
      <c r="F59" s="336">
        <f t="shared" si="14"/>
        <v>0</v>
      </c>
      <c r="G59" s="337"/>
      <c r="H59" s="338">
        <f t="shared" si="15"/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 t="shared" si="17"/>
        <v>0</v>
      </c>
      <c r="P59" s="80">
        <f t="shared" si="18"/>
        <v>0</v>
      </c>
    </row>
    <row r="60" spans="1:16" x14ac:dyDescent="0.2">
      <c r="A60" s="33"/>
      <c r="B60" s="13"/>
      <c r="C60" s="85">
        <f>SUM(C51)</f>
        <v>1</v>
      </c>
      <c r="D60" s="10" t="s">
        <v>12</v>
      </c>
      <c r="E60" s="28">
        <v>1.05</v>
      </c>
      <c r="F60" s="336">
        <f>IF(A60="x",SUM(C60*E60),0)</f>
        <v>0</v>
      </c>
      <c r="G60" s="337"/>
      <c r="H60" s="338">
        <f>F60*$H$49</f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>SUM(N60+L60)</f>
        <v>0</v>
      </c>
      <c r="P60" s="80">
        <f t="shared" si="18"/>
        <v>0</v>
      </c>
    </row>
    <row r="61" spans="1:16" x14ac:dyDescent="0.2">
      <c r="A61" s="33"/>
      <c r="B61" s="93"/>
      <c r="C61" s="85"/>
      <c r="D61" s="10"/>
      <c r="E61" s="28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x14ac:dyDescent="0.2">
      <c r="A62" s="33"/>
      <c r="B62" s="13"/>
      <c r="C62" s="85"/>
      <c r="D62" s="10"/>
      <c r="E62" s="28"/>
      <c r="F62" s="336">
        <f>IF(A62="x",SUM(C62*E62),0)</f>
        <v>0</v>
      </c>
      <c r="G62" s="337"/>
      <c r="H62" s="338">
        <f>F62*$H$49</f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>SUM(N62+L62)</f>
        <v>0</v>
      </c>
      <c r="P62" s="80">
        <f t="shared" si="18"/>
        <v>0</v>
      </c>
    </row>
    <row r="63" spans="1:16" ht="15.75" thickBot="1" x14ac:dyDescent="0.25">
      <c r="A63" s="9" t="s">
        <v>68</v>
      </c>
      <c r="B63" s="198" t="s">
        <v>151</v>
      </c>
      <c r="C63" s="87">
        <v>60</v>
      </c>
      <c r="D63" s="199" t="s">
        <v>17</v>
      </c>
      <c r="E63" s="30">
        <v>0.35</v>
      </c>
      <c r="F63" s="336">
        <f>IF(A63="x",SUM(C63*E63),0)</f>
        <v>21</v>
      </c>
      <c r="G63" s="337"/>
      <c r="H63" s="338">
        <f>F63*$H$49</f>
        <v>1.9424999999999999</v>
      </c>
      <c r="I63" s="337"/>
      <c r="J63" s="200" t="s">
        <v>25</v>
      </c>
      <c r="K63" s="15">
        <f t="shared" si="19"/>
        <v>5.25</v>
      </c>
      <c r="L63" s="3">
        <f t="shared" si="16"/>
        <v>28.192499999999999</v>
      </c>
      <c r="M63" s="199" t="s">
        <v>25</v>
      </c>
      <c r="N63" s="15">
        <f>L63*$M$48</f>
        <v>14.09625</v>
      </c>
      <c r="O63" s="3">
        <f>SUM(N63+L63)</f>
        <v>42.28875</v>
      </c>
      <c r="P63" s="80">
        <f t="shared" si="18"/>
        <v>42.28875</v>
      </c>
    </row>
    <row r="64" spans="1:16" ht="16.5" thickBot="1" x14ac:dyDescent="0.3">
      <c r="A64" s="9"/>
      <c r="B64" s="13"/>
      <c r="C64" s="326" t="s">
        <v>4</v>
      </c>
      <c r="D64" s="339"/>
      <c r="E64" s="34"/>
      <c r="F64" s="340">
        <f>SUM(F50:G62)</f>
        <v>5633.890007777778</v>
      </c>
      <c r="G64" s="329"/>
      <c r="H64" s="328">
        <f>SUM(H50:I63)</f>
        <v>523.07732571944439</v>
      </c>
      <c r="I64" s="329"/>
      <c r="J64" s="328">
        <f>SUM(K50:K63)</f>
        <v>1413.7225019444445</v>
      </c>
      <c r="K64" s="329"/>
      <c r="L64" s="31">
        <f>SUM(L50:L63)</f>
        <v>7591.6898354416662</v>
      </c>
      <c r="M64" s="341">
        <f>SUM(N50:N63)</f>
        <v>3795.8449177208331</v>
      </c>
      <c r="N64" s="342"/>
      <c r="O64" s="31">
        <f>SUM(O50:O63)</f>
        <v>11387.534753162499</v>
      </c>
      <c r="P64" s="80">
        <f t="shared" si="18"/>
        <v>11387.534753162499</v>
      </c>
    </row>
    <row r="65" spans="1:16" x14ac:dyDescent="0.2">
      <c r="A65" s="9"/>
      <c r="B65" s="1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4"/>
    </row>
    <row r="66" spans="1:16" ht="18" x14ac:dyDescent="0.25">
      <c r="A66" s="9"/>
      <c r="B66" s="16" t="s">
        <v>36</v>
      </c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86"/>
    </row>
    <row r="67" spans="1:16" ht="18" x14ac:dyDescent="0.25">
      <c r="A67" s="9"/>
      <c r="B67" s="16"/>
      <c r="C67" s="17" t="s">
        <v>8</v>
      </c>
      <c r="D67" s="17" t="s">
        <v>9</v>
      </c>
      <c r="E67" s="17" t="s">
        <v>10</v>
      </c>
      <c r="F67" s="333" t="s">
        <v>36</v>
      </c>
      <c r="G67" s="333"/>
      <c r="H67" s="162">
        <f>H49</f>
        <v>9.2499999999999999E-2</v>
      </c>
      <c r="I67" s="19" t="s">
        <v>19</v>
      </c>
      <c r="J67" s="21">
        <f>H13</f>
        <v>0.25</v>
      </c>
      <c r="K67" s="19" t="s">
        <v>23</v>
      </c>
      <c r="L67" s="18" t="s">
        <v>4</v>
      </c>
      <c r="M67" s="90">
        <f>$H$7</f>
        <v>0.5</v>
      </c>
      <c r="N67" s="22" t="s">
        <v>24</v>
      </c>
      <c r="O67" s="18" t="s">
        <v>5</v>
      </c>
      <c r="P67" s="84" t="s">
        <v>21</v>
      </c>
    </row>
    <row r="68" spans="1:16" x14ac:dyDescent="0.2">
      <c r="A68" s="152" t="s">
        <v>68</v>
      </c>
      <c r="B68" s="93" t="s">
        <v>82</v>
      </c>
      <c r="C68" s="85">
        <v>144</v>
      </c>
      <c r="D68" s="94" t="s">
        <v>12</v>
      </c>
      <c r="E68" s="51">
        <v>1</v>
      </c>
      <c r="F68" s="334">
        <f t="shared" ref="F68:F74" si="21">IF(A68="x",SUM(C68*E68),0)</f>
        <v>144</v>
      </c>
      <c r="G68" s="335"/>
      <c r="H68" s="334">
        <f t="shared" ref="H68:H74" si="22">F68*$H$49</f>
        <v>13.32</v>
      </c>
      <c r="I68" s="335"/>
      <c r="J68" s="25" t="s">
        <v>25</v>
      </c>
      <c r="K68" s="15">
        <f>F68*$J$67</f>
        <v>36</v>
      </c>
      <c r="L68" s="3">
        <f t="shared" ref="L68:L74" si="23">SUM(F68:K68)</f>
        <v>193.32</v>
      </c>
      <c r="M68" s="26" t="s">
        <v>25</v>
      </c>
      <c r="N68" s="15">
        <f t="shared" ref="N68:N74" si="24">L68*$M$67</f>
        <v>96.66</v>
      </c>
      <c r="O68" s="3">
        <f t="shared" ref="O68:O74" si="25">SUM(N68+L68)</f>
        <v>289.98</v>
      </c>
      <c r="P68" s="80">
        <f t="shared" ref="P68:P76" si="26">SUM(O68)</f>
        <v>289.98</v>
      </c>
    </row>
    <row r="69" spans="1:16" x14ac:dyDescent="0.2">
      <c r="A69" s="152"/>
      <c r="B69" s="24"/>
      <c r="C69" s="85">
        <v>0</v>
      </c>
      <c r="D69" s="44" t="s">
        <v>17</v>
      </c>
      <c r="E69" s="28">
        <v>0.25</v>
      </c>
      <c r="F69" s="336">
        <f t="shared" si="21"/>
        <v>0</v>
      </c>
      <c r="G69" s="337"/>
      <c r="H69" s="336">
        <f t="shared" si="22"/>
        <v>0</v>
      </c>
      <c r="I69" s="337"/>
      <c r="J69" s="27" t="s">
        <v>25</v>
      </c>
      <c r="K69" s="15">
        <f t="shared" ref="K69:K74" si="27">F69*$J$67</f>
        <v>0</v>
      </c>
      <c r="L69" s="3">
        <f t="shared" si="23"/>
        <v>0</v>
      </c>
      <c r="M69" s="26" t="s">
        <v>25</v>
      </c>
      <c r="N69" s="15">
        <f t="shared" si="24"/>
        <v>0</v>
      </c>
      <c r="O69" s="3">
        <f t="shared" si="25"/>
        <v>0</v>
      </c>
      <c r="P69" s="80">
        <f t="shared" si="26"/>
        <v>0</v>
      </c>
    </row>
    <row r="70" spans="1:16" x14ac:dyDescent="0.2">
      <c r="A70" s="46" t="s">
        <v>26</v>
      </c>
      <c r="B70" s="24" t="s">
        <v>37</v>
      </c>
      <c r="C70" s="85">
        <f>$C$43+$C$29</f>
        <v>133</v>
      </c>
      <c r="D70" s="94" t="s">
        <v>53</v>
      </c>
      <c r="E70" s="28">
        <v>0.15</v>
      </c>
      <c r="F70" s="336">
        <f t="shared" si="21"/>
        <v>19.95</v>
      </c>
      <c r="G70" s="337"/>
      <c r="H70" s="336">
        <f t="shared" si="22"/>
        <v>1.845375</v>
      </c>
      <c r="I70" s="337"/>
      <c r="J70" s="27" t="s">
        <v>25</v>
      </c>
      <c r="K70" s="15">
        <f t="shared" si="27"/>
        <v>4.9874999999999998</v>
      </c>
      <c r="L70" s="3">
        <f t="shared" si="23"/>
        <v>26.782875000000001</v>
      </c>
      <c r="M70" s="26" t="s">
        <v>25</v>
      </c>
      <c r="N70" s="15">
        <f t="shared" si="24"/>
        <v>13.3914375</v>
      </c>
      <c r="O70" s="3">
        <f t="shared" si="25"/>
        <v>40.174312499999999</v>
      </c>
      <c r="P70" s="80">
        <f t="shared" si="26"/>
        <v>40.174312499999999</v>
      </c>
    </row>
    <row r="71" spans="1:16" x14ac:dyDescent="0.2">
      <c r="A71" s="95" t="s">
        <v>26</v>
      </c>
      <c r="B71" s="93" t="s">
        <v>125</v>
      </c>
      <c r="C71" s="85">
        <f>$C$43+$C$29</f>
        <v>133</v>
      </c>
      <c r="D71" s="94" t="s">
        <v>53</v>
      </c>
      <c r="E71" s="28">
        <v>0.25</v>
      </c>
      <c r="F71" s="336">
        <f>IF(A71="x",SUM(C71*E71),0)</f>
        <v>33.25</v>
      </c>
      <c r="G71" s="337"/>
      <c r="H71" s="336">
        <f t="shared" si="22"/>
        <v>3.0756250000000001</v>
      </c>
      <c r="I71" s="337"/>
      <c r="J71" s="27" t="s">
        <v>25</v>
      </c>
      <c r="K71" s="15">
        <f t="shared" si="27"/>
        <v>8.3125</v>
      </c>
      <c r="L71" s="3">
        <f t="shared" si="23"/>
        <v>44.638125000000002</v>
      </c>
      <c r="M71" s="26" t="s">
        <v>25</v>
      </c>
      <c r="N71" s="15">
        <f t="shared" si="24"/>
        <v>22.319062500000001</v>
      </c>
      <c r="O71" s="3">
        <f t="shared" si="25"/>
        <v>66.957187500000003</v>
      </c>
      <c r="P71" s="80">
        <f t="shared" si="26"/>
        <v>66.957187500000003</v>
      </c>
    </row>
    <row r="72" spans="1:16" x14ac:dyDescent="0.2">
      <c r="A72" s="95" t="s">
        <v>26</v>
      </c>
      <c r="B72" s="93" t="s">
        <v>22</v>
      </c>
      <c r="C72" s="85">
        <f>$C$43+$C$29</f>
        <v>133</v>
      </c>
      <c r="D72" s="94" t="s">
        <v>53</v>
      </c>
      <c r="E72" s="28">
        <v>0.5</v>
      </c>
      <c r="F72" s="336">
        <f t="shared" si="21"/>
        <v>66.5</v>
      </c>
      <c r="G72" s="337"/>
      <c r="H72" s="336">
        <f t="shared" si="22"/>
        <v>6.1512500000000001</v>
      </c>
      <c r="I72" s="337"/>
      <c r="J72" s="27" t="s">
        <v>25</v>
      </c>
      <c r="K72" s="15">
        <f t="shared" si="27"/>
        <v>16.625</v>
      </c>
      <c r="L72" s="3">
        <f t="shared" si="23"/>
        <v>89.276250000000005</v>
      </c>
      <c r="M72" s="26" t="s">
        <v>25</v>
      </c>
      <c r="N72" s="15">
        <f t="shared" si="24"/>
        <v>44.638125000000002</v>
      </c>
      <c r="O72" s="3">
        <f t="shared" si="25"/>
        <v>133.91437500000001</v>
      </c>
      <c r="P72" s="80">
        <f t="shared" si="26"/>
        <v>133.91437500000001</v>
      </c>
    </row>
    <row r="73" spans="1:16" x14ac:dyDescent="0.2">
      <c r="A73" s="95" t="s">
        <v>68</v>
      </c>
      <c r="B73" s="93" t="s">
        <v>94</v>
      </c>
      <c r="C73" s="85">
        <v>100</v>
      </c>
      <c r="D73" s="94" t="s">
        <v>11</v>
      </c>
      <c r="E73" s="28">
        <v>1.5</v>
      </c>
      <c r="F73" s="336">
        <f t="shared" si="21"/>
        <v>150</v>
      </c>
      <c r="G73" s="337"/>
      <c r="H73" s="336">
        <f t="shared" si="22"/>
        <v>13.875</v>
      </c>
      <c r="I73" s="337"/>
      <c r="J73" s="27" t="s">
        <v>25</v>
      </c>
      <c r="K73" s="15">
        <f t="shared" si="27"/>
        <v>37.5</v>
      </c>
      <c r="L73" s="3">
        <f t="shared" si="23"/>
        <v>201.375</v>
      </c>
      <c r="M73" s="26" t="s">
        <v>25</v>
      </c>
      <c r="N73" s="15">
        <f t="shared" si="24"/>
        <v>100.6875</v>
      </c>
      <c r="O73" s="3">
        <f t="shared" si="25"/>
        <v>302.0625</v>
      </c>
      <c r="P73" s="80">
        <f t="shared" si="26"/>
        <v>302.0625</v>
      </c>
    </row>
    <row r="74" spans="1:16" x14ac:dyDescent="0.2">
      <c r="A74" s="46"/>
      <c r="B74" s="24"/>
      <c r="C74" s="85"/>
      <c r="D74" s="44"/>
      <c r="E74" s="28"/>
      <c r="F74" s="336">
        <f t="shared" si="21"/>
        <v>0</v>
      </c>
      <c r="G74" s="337"/>
      <c r="H74" s="336">
        <f t="shared" si="22"/>
        <v>0</v>
      </c>
      <c r="I74" s="337"/>
      <c r="J74" s="27" t="s">
        <v>25</v>
      </c>
      <c r="K74" s="15">
        <f t="shared" si="27"/>
        <v>0</v>
      </c>
      <c r="L74" s="3">
        <f t="shared" si="23"/>
        <v>0</v>
      </c>
      <c r="M74" s="26" t="s">
        <v>25</v>
      </c>
      <c r="N74" s="15">
        <f t="shared" si="24"/>
        <v>0</v>
      </c>
      <c r="O74" s="3">
        <f t="shared" si="25"/>
        <v>0</v>
      </c>
      <c r="P74" s="80">
        <f t="shared" si="26"/>
        <v>0</v>
      </c>
    </row>
    <row r="75" spans="1:16" ht="16.5" thickBot="1" x14ac:dyDescent="0.3">
      <c r="A75" s="9"/>
      <c r="B75" s="29"/>
      <c r="C75" s="87"/>
      <c r="D75" s="11"/>
      <c r="E75" s="30"/>
      <c r="F75" s="353"/>
      <c r="G75" s="354"/>
      <c r="H75" s="358"/>
      <c r="I75" s="359"/>
      <c r="J75" s="6"/>
      <c r="K75" s="4"/>
      <c r="L75" s="5"/>
      <c r="M75" s="2"/>
      <c r="N75" s="8"/>
      <c r="O75" s="1"/>
      <c r="P75" s="80">
        <f t="shared" si="26"/>
        <v>0</v>
      </c>
    </row>
    <row r="76" spans="1:16" ht="16.5" thickBot="1" x14ac:dyDescent="0.3">
      <c r="A76" s="9"/>
      <c r="B76" s="13"/>
      <c r="C76" s="326" t="s">
        <v>4</v>
      </c>
      <c r="D76" s="339"/>
      <c r="E76" s="34"/>
      <c r="F76" s="340">
        <f>SUM(F68:G74)</f>
        <v>413.7</v>
      </c>
      <c r="G76" s="329"/>
      <c r="H76" s="328">
        <f>SUM(H68:I75)</f>
        <v>38.267250000000004</v>
      </c>
      <c r="I76" s="329"/>
      <c r="J76" s="328">
        <f>SUM(K68:K75)</f>
        <v>103.425</v>
      </c>
      <c r="K76" s="329"/>
      <c r="L76" s="31">
        <f>SUM(L68:L75)</f>
        <v>555.39224999999999</v>
      </c>
      <c r="M76" s="341">
        <f>SUM(N68:N75)</f>
        <v>277.69612499999999</v>
      </c>
      <c r="N76" s="342"/>
      <c r="O76" s="31">
        <f>SUM(O68:O75)</f>
        <v>833.08837500000004</v>
      </c>
      <c r="P76" s="80">
        <f t="shared" si="26"/>
        <v>833.08837500000004</v>
      </c>
    </row>
    <row r="77" spans="1:16" ht="15.75" x14ac:dyDescent="0.25">
      <c r="A77" s="9"/>
      <c r="B77" s="13"/>
      <c r="C77" s="10"/>
      <c r="D77" s="10"/>
      <c r="E77" s="10"/>
      <c r="F77" s="126"/>
      <c r="G77" s="126"/>
      <c r="H77" s="126"/>
      <c r="I77" s="126"/>
      <c r="J77" s="126"/>
      <c r="K77" s="126"/>
      <c r="L77" s="127"/>
      <c r="M77" s="128"/>
      <c r="N77" s="128"/>
      <c r="O77" s="127"/>
      <c r="P77" s="129"/>
    </row>
    <row r="78" spans="1:16" ht="18" x14ac:dyDescent="0.25">
      <c r="A78" s="9"/>
      <c r="B78" s="16" t="s">
        <v>13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88"/>
    </row>
    <row r="79" spans="1:16" ht="14.25" x14ac:dyDescent="0.2">
      <c r="A79" s="9"/>
      <c r="B79" s="36" t="s">
        <v>30</v>
      </c>
      <c r="C79" s="238" t="s">
        <v>8</v>
      </c>
      <c r="D79" s="238" t="s">
        <v>20</v>
      </c>
      <c r="E79" s="238" t="s">
        <v>3</v>
      </c>
      <c r="F79" s="345" t="s">
        <v>13</v>
      </c>
      <c r="G79" s="345"/>
      <c r="H79" s="345" t="s">
        <v>29</v>
      </c>
      <c r="I79" s="345"/>
      <c r="J79" s="21">
        <f>H13</f>
        <v>0.25</v>
      </c>
      <c r="K79" s="19" t="s">
        <v>23</v>
      </c>
      <c r="L79" s="18" t="s">
        <v>4</v>
      </c>
      <c r="M79" s="90">
        <f>$H$7</f>
        <v>0.5</v>
      </c>
      <c r="N79" s="22" t="s">
        <v>24</v>
      </c>
      <c r="O79" s="18" t="s">
        <v>5</v>
      </c>
      <c r="P79" s="84" t="s">
        <v>21</v>
      </c>
    </row>
    <row r="80" spans="1:16" x14ac:dyDescent="0.2">
      <c r="A80" s="9"/>
      <c r="B80" s="167" t="s">
        <v>89</v>
      </c>
      <c r="C80" s="85">
        <v>1</v>
      </c>
      <c r="D80" s="52">
        <v>1</v>
      </c>
      <c r="E80" s="134">
        <v>25</v>
      </c>
      <c r="F80" s="346">
        <f t="shared" ref="F80:F85" si="28">C80*D80*E80</f>
        <v>25</v>
      </c>
      <c r="G80" s="347"/>
      <c r="H80" s="334">
        <v>3</v>
      </c>
      <c r="I80" s="335"/>
      <c r="J80" s="25" t="s">
        <v>25</v>
      </c>
      <c r="K80" s="15">
        <f t="shared" ref="K80:K85" si="29">F80*$J$79</f>
        <v>6.25</v>
      </c>
      <c r="L80" s="3">
        <f>SUM(F80:K80)</f>
        <v>34.25</v>
      </c>
      <c r="M80" s="26" t="s">
        <v>25</v>
      </c>
      <c r="N80" s="15">
        <f>L80*$M$79</f>
        <v>17.125</v>
      </c>
      <c r="O80" s="3">
        <f>SUM(N80+L80)</f>
        <v>51.375</v>
      </c>
      <c r="P80" s="80">
        <f t="shared" ref="P80:P86" si="30">SUM(O80)</f>
        <v>51.375</v>
      </c>
    </row>
    <row r="81" spans="1:16" x14ac:dyDescent="0.2">
      <c r="A81" s="9"/>
      <c r="B81" s="94" t="s">
        <v>90</v>
      </c>
      <c r="C81" s="85">
        <v>1</v>
      </c>
      <c r="D81" s="52">
        <v>2</v>
      </c>
      <c r="E81" s="45">
        <v>45</v>
      </c>
      <c r="F81" s="348">
        <f t="shared" si="28"/>
        <v>90</v>
      </c>
      <c r="G81" s="349"/>
      <c r="H81" s="336">
        <v>0</v>
      </c>
      <c r="I81" s="337"/>
      <c r="J81" s="27" t="s">
        <v>25</v>
      </c>
      <c r="K81" s="15">
        <f t="shared" si="29"/>
        <v>22.5</v>
      </c>
      <c r="L81" s="3">
        <f>SUM(F81:K81)</f>
        <v>112.5</v>
      </c>
      <c r="M81" s="26" t="s">
        <v>25</v>
      </c>
      <c r="N81" s="15">
        <f>L81*$M$79</f>
        <v>56.25</v>
      </c>
      <c r="O81" s="3">
        <f>SUM(N81+L81)</f>
        <v>168.75</v>
      </c>
      <c r="P81" s="80">
        <f t="shared" si="30"/>
        <v>168.75</v>
      </c>
    </row>
    <row r="82" spans="1:16" x14ac:dyDescent="0.2">
      <c r="A82" s="9"/>
      <c r="B82" s="94" t="s">
        <v>91</v>
      </c>
      <c r="C82" s="85">
        <v>1</v>
      </c>
      <c r="D82" s="52">
        <v>1</v>
      </c>
      <c r="E82" s="45">
        <v>20</v>
      </c>
      <c r="F82" s="348">
        <f t="shared" si="28"/>
        <v>20</v>
      </c>
      <c r="G82" s="349"/>
      <c r="H82" s="336">
        <v>0</v>
      </c>
      <c r="I82" s="337"/>
      <c r="J82" s="27" t="s">
        <v>25</v>
      </c>
      <c r="K82" s="15">
        <f t="shared" si="29"/>
        <v>5</v>
      </c>
      <c r="L82" s="3">
        <f>SUM(F82:K82)</f>
        <v>25</v>
      </c>
      <c r="M82" s="26" t="s">
        <v>25</v>
      </c>
      <c r="N82" s="15">
        <f>L82*$M$79</f>
        <v>12.5</v>
      </c>
      <c r="O82" s="3">
        <f>SUM(N82+L82)</f>
        <v>37.5</v>
      </c>
      <c r="P82" s="80">
        <f t="shared" si="30"/>
        <v>37.5</v>
      </c>
    </row>
    <row r="83" spans="1:16" x14ac:dyDescent="0.2">
      <c r="A83" s="165" t="s">
        <v>68</v>
      </c>
      <c r="B83" s="94" t="s">
        <v>92</v>
      </c>
      <c r="C83" s="85">
        <v>1</v>
      </c>
      <c r="D83" s="52">
        <v>1</v>
      </c>
      <c r="E83" s="45">
        <v>400</v>
      </c>
      <c r="F83" s="348">
        <f t="shared" si="28"/>
        <v>400</v>
      </c>
      <c r="G83" s="349"/>
      <c r="H83" s="336">
        <v>12</v>
      </c>
      <c r="I83" s="337"/>
      <c r="J83" s="27" t="s">
        <v>25</v>
      </c>
      <c r="K83" s="15">
        <f t="shared" si="29"/>
        <v>100</v>
      </c>
      <c r="L83" s="3">
        <f>SUM(F83:K83)</f>
        <v>512</v>
      </c>
      <c r="M83" s="26" t="s">
        <v>25</v>
      </c>
      <c r="N83" s="15">
        <f>L83*$M$79</f>
        <v>256</v>
      </c>
      <c r="O83" s="3">
        <f>SUM(N83+L83)</f>
        <v>768</v>
      </c>
      <c r="P83" s="80">
        <f t="shared" si="30"/>
        <v>768</v>
      </c>
    </row>
    <row r="84" spans="1:16" x14ac:dyDescent="0.2">
      <c r="A84" s="9"/>
      <c r="B84" s="94" t="s">
        <v>93</v>
      </c>
      <c r="C84" s="85">
        <v>1</v>
      </c>
      <c r="D84" s="52">
        <v>2</v>
      </c>
      <c r="E84" s="45">
        <v>100</v>
      </c>
      <c r="F84" s="348">
        <f t="shared" si="28"/>
        <v>200</v>
      </c>
      <c r="G84" s="349"/>
      <c r="H84" s="336">
        <v>0</v>
      </c>
      <c r="I84" s="337"/>
      <c r="J84" s="27" t="s">
        <v>25</v>
      </c>
      <c r="K84" s="15">
        <f t="shared" si="29"/>
        <v>50</v>
      </c>
      <c r="L84" s="3">
        <f>SUM(F84:K84)</f>
        <v>250</v>
      </c>
      <c r="M84" s="26" t="s">
        <v>25</v>
      </c>
      <c r="N84" s="15">
        <f>L84*$M$79</f>
        <v>125</v>
      </c>
      <c r="O84" s="3">
        <f>SUM(N84+L84)</f>
        <v>375</v>
      </c>
      <c r="P84" s="80">
        <f t="shared" si="30"/>
        <v>375</v>
      </c>
    </row>
    <row r="85" spans="1:16" ht="13.5" thickBot="1" x14ac:dyDescent="0.25">
      <c r="A85" s="165" t="s">
        <v>68</v>
      </c>
      <c r="B85" s="94" t="s">
        <v>105</v>
      </c>
      <c r="C85" s="87">
        <v>1</v>
      </c>
      <c r="D85" s="52">
        <v>2</v>
      </c>
      <c r="E85" s="44">
        <v>400</v>
      </c>
      <c r="F85" s="348">
        <f t="shared" si="28"/>
        <v>800</v>
      </c>
      <c r="G85" s="349"/>
      <c r="H85" s="336"/>
      <c r="I85" s="337"/>
      <c r="J85" s="27"/>
      <c r="K85" s="15">
        <f t="shared" si="29"/>
        <v>200</v>
      </c>
      <c r="L85" s="3"/>
      <c r="M85" s="26"/>
      <c r="N85" s="15"/>
      <c r="O85" s="3"/>
      <c r="P85" s="80">
        <f t="shared" si="30"/>
        <v>0</v>
      </c>
    </row>
    <row r="86" spans="1:16" ht="16.5" thickBot="1" x14ac:dyDescent="0.3">
      <c r="A86" s="9"/>
      <c r="B86" s="13"/>
      <c r="C86" s="326" t="s">
        <v>4</v>
      </c>
      <c r="D86" s="339"/>
      <c r="E86" s="34"/>
      <c r="F86" s="328">
        <f>SUM(F80:G85)</f>
        <v>1535</v>
      </c>
      <c r="G86" s="329"/>
      <c r="H86" s="328">
        <f>SUM(H80:I85)</f>
        <v>15</v>
      </c>
      <c r="I86" s="329"/>
      <c r="J86" s="328">
        <f>SUM(J80:K85)</f>
        <v>383.75</v>
      </c>
      <c r="K86" s="329"/>
      <c r="L86" s="31">
        <f>SUM(L80:L85)</f>
        <v>933.75</v>
      </c>
      <c r="M86" s="328">
        <f>SUM(M80:N85)</f>
        <v>466.875</v>
      </c>
      <c r="N86" s="329"/>
      <c r="O86" s="31">
        <f>SUM(O80:O85)</f>
        <v>1400.625</v>
      </c>
      <c r="P86" s="80">
        <f t="shared" si="30"/>
        <v>1400.625</v>
      </c>
    </row>
    <row r="87" spans="1:16" x14ac:dyDescent="0.2">
      <c r="A87" s="9"/>
      <c r="B87" s="1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4"/>
    </row>
    <row r="88" spans="1:16" ht="13.5" thickBot="1" x14ac:dyDescent="0.25">
      <c r="A88" s="9"/>
      <c r="B88" s="1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2"/>
      <c r="O88" s="10"/>
      <c r="P88" s="80">
        <f>SUM(O88)</f>
        <v>0</v>
      </c>
    </row>
    <row r="89" spans="1:16" ht="21" thickBot="1" x14ac:dyDescent="0.35">
      <c r="A89" s="9"/>
      <c r="B89" s="13"/>
      <c r="C89" s="350" t="s">
        <v>15</v>
      </c>
      <c r="D89" s="351"/>
      <c r="E89" s="37"/>
      <c r="F89" s="37"/>
      <c r="G89" s="37"/>
      <c r="H89" s="37"/>
      <c r="I89" s="37"/>
      <c r="J89" s="37"/>
      <c r="K89" s="37"/>
      <c r="L89" s="202">
        <f>SUM(L45,L64,L76,L86)</f>
        <v>13666.042085441666</v>
      </c>
      <c r="M89" s="37"/>
      <c r="N89" s="38"/>
      <c r="O89" s="202">
        <f>SUM(O29,O43,O64,O76,O86)</f>
        <v>20499.063128162499</v>
      </c>
      <c r="P89" s="80">
        <f>SUM(O89)</f>
        <v>20499.063128162499</v>
      </c>
    </row>
    <row r="90" spans="1:16" ht="17.25" thickBot="1" x14ac:dyDescent="0.3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5"/>
      <c r="O90" s="13"/>
      <c r="P90" s="89"/>
    </row>
  </sheetData>
  <mergeCells count="114"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C9:E9"/>
    <mergeCell ref="H9:I9"/>
    <mergeCell ref="C10:E10"/>
    <mergeCell ref="G10:I10"/>
    <mergeCell ref="K10:L10"/>
    <mergeCell ref="C11:E11"/>
    <mergeCell ref="H11:I11"/>
    <mergeCell ref="G6:I6"/>
    <mergeCell ref="C7:E7"/>
    <mergeCell ref="H7:I7"/>
    <mergeCell ref="K7:L7"/>
    <mergeCell ref="C8:E8"/>
    <mergeCell ref="H8:I8"/>
    <mergeCell ref="K8:L8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F52:G52"/>
    <mergeCell ref="H52:I52"/>
    <mergeCell ref="F53:G53"/>
    <mergeCell ref="H53:I53"/>
    <mergeCell ref="F54:G54"/>
    <mergeCell ref="H54:I54"/>
    <mergeCell ref="C46:P46"/>
    <mergeCell ref="C47:P47"/>
    <mergeCell ref="F49:G49"/>
    <mergeCell ref="F50:G50"/>
    <mergeCell ref="H50:I50"/>
    <mergeCell ref="F51:G51"/>
    <mergeCell ref="H51:I51"/>
    <mergeCell ref="F59:G59"/>
    <mergeCell ref="H59:I59"/>
    <mergeCell ref="F58:G58"/>
    <mergeCell ref="H58:I58"/>
    <mergeCell ref="F55:G55"/>
    <mergeCell ref="H55:I55"/>
    <mergeCell ref="F56:G56"/>
    <mergeCell ref="H56:I56"/>
    <mergeCell ref="F57:G57"/>
    <mergeCell ref="H57:I57"/>
    <mergeCell ref="F63:G63"/>
    <mergeCell ref="H63:I63"/>
    <mergeCell ref="C64:D64"/>
    <mergeCell ref="F64:G64"/>
    <mergeCell ref="H64:I64"/>
    <mergeCell ref="J64:K64"/>
    <mergeCell ref="F60:G60"/>
    <mergeCell ref="H60:I60"/>
    <mergeCell ref="F61:G61"/>
    <mergeCell ref="H61:I61"/>
    <mergeCell ref="F62:G62"/>
    <mergeCell ref="H62:I62"/>
    <mergeCell ref="F70:G70"/>
    <mergeCell ref="H70:I70"/>
    <mergeCell ref="F71:G71"/>
    <mergeCell ref="H71:I71"/>
    <mergeCell ref="F72:G72"/>
    <mergeCell ref="H72:I72"/>
    <mergeCell ref="M64:N64"/>
    <mergeCell ref="C65:P65"/>
    <mergeCell ref="F67:G67"/>
    <mergeCell ref="F68:G68"/>
    <mergeCell ref="H68:I68"/>
    <mergeCell ref="F69:G69"/>
    <mergeCell ref="H69:I69"/>
    <mergeCell ref="J76:K76"/>
    <mergeCell ref="M76:N76"/>
    <mergeCell ref="F79:G79"/>
    <mergeCell ref="H79:I79"/>
    <mergeCell ref="F73:G73"/>
    <mergeCell ref="H73:I73"/>
    <mergeCell ref="F74:G74"/>
    <mergeCell ref="H74:I74"/>
    <mergeCell ref="F75:G75"/>
    <mergeCell ref="H75:I75"/>
    <mergeCell ref="F80:G80"/>
    <mergeCell ref="H80:I80"/>
    <mergeCell ref="F81:G81"/>
    <mergeCell ref="H81:I81"/>
    <mergeCell ref="F82:G82"/>
    <mergeCell ref="H82:I82"/>
    <mergeCell ref="C76:D76"/>
    <mergeCell ref="F76:G76"/>
    <mergeCell ref="H76:I76"/>
    <mergeCell ref="C89:D89"/>
    <mergeCell ref="C86:D86"/>
    <mergeCell ref="F86:G86"/>
    <mergeCell ref="H86:I86"/>
    <mergeCell ref="J86:K86"/>
    <mergeCell ref="M86:N86"/>
    <mergeCell ref="C87:P87"/>
    <mergeCell ref="F83:G83"/>
    <mergeCell ref="H83:I83"/>
    <mergeCell ref="F84:G84"/>
    <mergeCell ref="H84:I84"/>
    <mergeCell ref="F85:G85"/>
    <mergeCell ref="H85:I8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7" sqref="E7"/>
    </sheetView>
  </sheetViews>
  <sheetFormatPr defaultRowHeight="12.75" x14ac:dyDescent="0.2"/>
  <cols>
    <col min="2" max="2" width="10.42578125" bestFit="1" customWidth="1"/>
  </cols>
  <sheetData>
    <row r="1" spans="1:10" x14ac:dyDescent="0.2">
      <c r="A1" s="178"/>
      <c r="C1" s="352"/>
      <c r="D1" s="352"/>
    </row>
    <row r="2" spans="1:10" x14ac:dyDescent="0.2">
      <c r="C2" s="352" t="s">
        <v>107</v>
      </c>
      <c r="D2" s="352"/>
      <c r="E2" s="179" t="s">
        <v>116</v>
      </c>
      <c r="F2" s="173" t="s">
        <v>18</v>
      </c>
      <c r="G2" s="173" t="s">
        <v>108</v>
      </c>
    </row>
    <row r="3" spans="1:10" x14ac:dyDescent="0.2">
      <c r="A3" s="178" t="s">
        <v>118</v>
      </c>
      <c r="C3" s="271">
        <v>10</v>
      </c>
      <c r="D3" s="184"/>
      <c r="E3" s="185"/>
      <c r="F3" s="186"/>
      <c r="G3" s="186"/>
    </row>
    <row r="4" spans="1:10" x14ac:dyDescent="0.2">
      <c r="A4" t="s">
        <v>109</v>
      </c>
      <c r="B4" t="s">
        <v>110</v>
      </c>
      <c r="C4" s="272">
        <v>12</v>
      </c>
      <c r="E4" s="245">
        <v>0.33329999999999999</v>
      </c>
      <c r="F4">
        <f>SUM(C4*C3*E4)/27*2</f>
        <v>2.9626666666666663</v>
      </c>
    </row>
    <row r="5" spans="1:10" x14ac:dyDescent="0.2">
      <c r="A5" s="178" t="s">
        <v>112</v>
      </c>
      <c r="B5" s="178" t="s">
        <v>111</v>
      </c>
      <c r="C5" s="272">
        <v>12</v>
      </c>
      <c r="E5" s="246">
        <v>0.33329999999999999</v>
      </c>
      <c r="F5">
        <f>SUM(C5*C3*E5)/27*2</f>
        <v>2.9626666666666663</v>
      </c>
    </row>
    <row r="6" spans="1:10" x14ac:dyDescent="0.2">
      <c r="A6" s="178" t="s">
        <v>117</v>
      </c>
      <c r="B6" s="178" t="s">
        <v>120</v>
      </c>
      <c r="C6" s="188">
        <f>C5-1.32</f>
        <v>10.68</v>
      </c>
      <c r="D6">
        <f>C4-1.32</f>
        <v>10.68</v>
      </c>
      <c r="E6" s="246">
        <v>0.66659999999999997</v>
      </c>
      <c r="F6" s="175">
        <f>SUM(C6*D6*E6)/27*2</f>
        <v>5.6321478399999991</v>
      </c>
    </row>
    <row r="7" spans="1:10" x14ac:dyDescent="0.2">
      <c r="A7" s="178" t="s">
        <v>119</v>
      </c>
      <c r="B7" s="178" t="s">
        <v>120</v>
      </c>
      <c r="C7" s="272">
        <v>12.5</v>
      </c>
      <c r="D7" s="272">
        <v>12.5</v>
      </c>
      <c r="E7" s="246">
        <v>0.66659999999999997</v>
      </c>
      <c r="F7" s="181">
        <f>SUM(C7*D7*E7)/27</f>
        <v>3.8576388888888888</v>
      </c>
      <c r="G7" s="182" t="s">
        <v>113</v>
      </c>
      <c r="H7" s="183" t="s">
        <v>114</v>
      </c>
    </row>
    <row r="8" spans="1:10" x14ac:dyDescent="0.2">
      <c r="A8" s="178" t="s">
        <v>121</v>
      </c>
      <c r="C8" s="188">
        <v>6.91</v>
      </c>
      <c r="D8">
        <v>3</v>
      </c>
      <c r="E8" s="246">
        <v>0.66659999999999997</v>
      </c>
      <c r="F8" s="181">
        <f>SUM(C8*D8*E8)/-27</f>
        <v>-0.51180066666666668</v>
      </c>
      <c r="G8" s="182"/>
      <c r="H8" s="183"/>
    </row>
    <row r="9" spans="1:10" x14ac:dyDescent="0.2">
      <c r="F9" s="189">
        <f>SUM(F4:F7)</f>
        <v>15.415120062222222</v>
      </c>
      <c r="G9" s="247">
        <f>SUM(27*110)</f>
        <v>2970</v>
      </c>
      <c r="H9" s="191">
        <f>SUM(F9*G9)</f>
        <v>45782.906584800003</v>
      </c>
      <c r="I9" s="192" t="s">
        <v>115</v>
      </c>
    </row>
    <row r="13" spans="1:10" x14ac:dyDescent="0.2">
      <c r="A13" s="176" t="s">
        <v>129</v>
      </c>
      <c r="B13" s="176" t="s">
        <v>131</v>
      </c>
      <c r="C13" s="176" t="s">
        <v>132</v>
      </c>
      <c r="D13" s="176" t="s">
        <v>110</v>
      </c>
      <c r="E13" s="176" t="s">
        <v>133</v>
      </c>
      <c r="F13" s="176" t="s">
        <v>9</v>
      </c>
      <c r="G13" s="176" t="s">
        <v>10</v>
      </c>
      <c r="H13" s="176" t="s">
        <v>138</v>
      </c>
      <c r="I13" s="197" t="s">
        <v>142</v>
      </c>
      <c r="J13" s="196" t="s">
        <v>161</v>
      </c>
    </row>
    <row r="14" spans="1:10" x14ac:dyDescent="0.2">
      <c r="A14" s="178" t="s">
        <v>130</v>
      </c>
      <c r="B14" s="178" t="s">
        <v>134</v>
      </c>
      <c r="C14" s="178" t="s">
        <v>135</v>
      </c>
      <c r="D14" s="178" t="s">
        <v>136</v>
      </c>
      <c r="E14">
        <v>62</v>
      </c>
      <c r="F14" s="178" t="s">
        <v>137</v>
      </c>
      <c r="G14" s="136">
        <v>43.65</v>
      </c>
      <c r="H14" s="145">
        <f>G14/E14</f>
        <v>0.70403225806451608</v>
      </c>
      <c r="I14" s="178" t="s">
        <v>143</v>
      </c>
    </row>
    <row r="15" spans="1:10" x14ac:dyDescent="0.2">
      <c r="A15" s="178" t="s">
        <v>139</v>
      </c>
      <c r="B15" s="178" t="s">
        <v>140</v>
      </c>
      <c r="C15" s="178" t="s">
        <v>135</v>
      </c>
      <c r="D15" s="178" t="s">
        <v>136</v>
      </c>
      <c r="E15">
        <v>91</v>
      </c>
      <c r="F15" s="178" t="s">
        <v>137</v>
      </c>
      <c r="G15" s="136">
        <v>65</v>
      </c>
      <c r="H15" s="145">
        <f>G15/E15</f>
        <v>0.7142857142857143</v>
      </c>
      <c r="I15" s="178" t="s">
        <v>143</v>
      </c>
    </row>
    <row r="16" spans="1:10" x14ac:dyDescent="0.2">
      <c r="A16" s="178" t="s">
        <v>139</v>
      </c>
      <c r="B16" s="178" t="s">
        <v>134</v>
      </c>
      <c r="C16" s="178" t="s">
        <v>141</v>
      </c>
      <c r="D16" s="178" t="s">
        <v>136</v>
      </c>
      <c r="E16">
        <v>73</v>
      </c>
      <c r="F16" s="178" t="s">
        <v>137</v>
      </c>
      <c r="G16" s="136">
        <v>50</v>
      </c>
      <c r="H16" s="145">
        <f>G16/E16</f>
        <v>0.68493150684931503</v>
      </c>
      <c r="I16" s="178" t="s">
        <v>143</v>
      </c>
    </row>
    <row r="17" spans="1:10" x14ac:dyDescent="0.2">
      <c r="A17" s="178" t="s">
        <v>130</v>
      </c>
      <c r="B17" s="178" t="s">
        <v>134</v>
      </c>
      <c r="C17" s="178" t="s">
        <v>141</v>
      </c>
      <c r="D17" s="178" t="s">
        <v>136</v>
      </c>
      <c r="E17">
        <v>50</v>
      </c>
      <c r="F17" s="178" t="s">
        <v>137</v>
      </c>
      <c r="G17" s="136">
        <v>39.15</v>
      </c>
      <c r="H17" s="145">
        <f>G17/E17</f>
        <v>0.78299999999999992</v>
      </c>
      <c r="I17" s="178" t="s">
        <v>143</v>
      </c>
    </row>
    <row r="18" spans="1:10" x14ac:dyDescent="0.2">
      <c r="A18" s="178" t="s">
        <v>144</v>
      </c>
      <c r="F18" s="178" t="s">
        <v>137</v>
      </c>
      <c r="G18" s="136"/>
      <c r="H18">
        <v>1.95</v>
      </c>
    </row>
    <row r="19" spans="1:10" x14ac:dyDescent="0.2">
      <c r="A19" s="178" t="s">
        <v>130</v>
      </c>
      <c r="B19" t="s">
        <v>145</v>
      </c>
      <c r="C19" t="s">
        <v>146</v>
      </c>
      <c r="D19" t="s">
        <v>136</v>
      </c>
      <c r="E19">
        <v>136</v>
      </c>
      <c r="F19" t="s">
        <v>137</v>
      </c>
      <c r="G19" s="136">
        <v>68</v>
      </c>
      <c r="H19" s="145">
        <f>G19/E19</f>
        <v>0.5</v>
      </c>
      <c r="I19" t="s">
        <v>147</v>
      </c>
    </row>
    <row r="20" spans="1:10" x14ac:dyDescent="0.2">
      <c r="G20" s="136"/>
    </row>
    <row r="21" spans="1:10" x14ac:dyDescent="0.2">
      <c r="A21" s="178" t="s">
        <v>156</v>
      </c>
      <c r="B21" s="178" t="s">
        <v>145</v>
      </c>
      <c r="C21" s="178" t="s">
        <v>157</v>
      </c>
      <c r="D21" s="178" t="s">
        <v>136</v>
      </c>
      <c r="E21">
        <v>13.36</v>
      </c>
      <c r="F21" s="178" t="s">
        <v>137</v>
      </c>
      <c r="G21" s="136">
        <v>5.6</v>
      </c>
      <c r="H21" s="145">
        <f>G21/E21</f>
        <v>0.41916167664670656</v>
      </c>
      <c r="I21" s="178" t="s">
        <v>158</v>
      </c>
      <c r="J21" s="145">
        <f>G21/20</f>
        <v>0.27999999999999997</v>
      </c>
    </row>
    <row r="22" spans="1:10" x14ac:dyDescent="0.2">
      <c r="A22" s="178" t="s">
        <v>159</v>
      </c>
      <c r="B22" s="178" t="s">
        <v>145</v>
      </c>
      <c r="C22" s="178" t="s">
        <v>160</v>
      </c>
      <c r="D22" s="178" t="s">
        <v>136</v>
      </c>
      <c r="E22">
        <v>20.8</v>
      </c>
      <c r="F22" s="178" t="s">
        <v>137</v>
      </c>
      <c r="G22" s="136">
        <v>8.5</v>
      </c>
      <c r="H22" s="145">
        <f>G22/E22</f>
        <v>0.40865384615384615</v>
      </c>
      <c r="I22" s="178" t="s">
        <v>158</v>
      </c>
      <c r="J22" s="145">
        <f>G22/20</f>
        <v>0.42499999999999999</v>
      </c>
    </row>
    <row r="24" spans="1:10" x14ac:dyDescent="0.2">
      <c r="A24" s="178" t="s">
        <v>164</v>
      </c>
      <c r="B24" s="178" t="s">
        <v>145</v>
      </c>
      <c r="C24" s="178" t="s">
        <v>141</v>
      </c>
      <c r="D24" s="178" t="s">
        <v>146</v>
      </c>
      <c r="E24">
        <v>180</v>
      </c>
      <c r="F24" s="178" t="s">
        <v>137</v>
      </c>
      <c r="G24" s="136">
        <v>78.56</v>
      </c>
      <c r="H24" s="145">
        <f>G24/E24</f>
        <v>0.43644444444444447</v>
      </c>
    </row>
    <row r="25" spans="1:10" x14ac:dyDescent="0.2">
      <c r="A25" s="178" t="s">
        <v>165</v>
      </c>
      <c r="B25" s="178" t="s">
        <v>145</v>
      </c>
      <c r="C25" s="178" t="s">
        <v>141</v>
      </c>
      <c r="D25" s="178" t="s">
        <v>146</v>
      </c>
      <c r="E25">
        <v>245</v>
      </c>
      <c r="F25" s="178" t="s">
        <v>137</v>
      </c>
      <c r="G25" s="136">
        <v>108.8</v>
      </c>
      <c r="H25" s="145">
        <f>G25/E25</f>
        <v>0.44408163265306122</v>
      </c>
    </row>
    <row r="26" spans="1:10" x14ac:dyDescent="0.2">
      <c r="A26" s="178" t="s">
        <v>166</v>
      </c>
      <c r="B26" s="178" t="s">
        <v>145</v>
      </c>
      <c r="C26" s="178" t="s">
        <v>141</v>
      </c>
      <c r="D26" s="178" t="s">
        <v>146</v>
      </c>
      <c r="E26">
        <v>327</v>
      </c>
      <c r="F26" s="178" t="s">
        <v>137</v>
      </c>
      <c r="G26" s="136">
        <v>162.59</v>
      </c>
      <c r="H26" s="145">
        <f>G26/E26</f>
        <v>0.49721712538226298</v>
      </c>
    </row>
    <row r="27" spans="1:10" x14ac:dyDescent="0.2">
      <c r="A27" s="178"/>
      <c r="B27" s="178"/>
      <c r="C27" s="178"/>
      <c r="D27" s="178"/>
      <c r="F27" s="178"/>
      <c r="G27" s="136"/>
      <c r="H27" s="145"/>
    </row>
    <row r="28" spans="1:10" x14ac:dyDescent="0.2">
      <c r="A28" s="178"/>
      <c r="B28" s="178"/>
      <c r="C28" s="178"/>
      <c r="D28" s="178"/>
      <c r="F28" s="178"/>
      <c r="G28" s="136"/>
      <c r="H28" s="145"/>
    </row>
    <row r="29" spans="1:10" x14ac:dyDescent="0.2">
      <c r="A29" s="206" t="s">
        <v>226</v>
      </c>
      <c r="B29" s="206"/>
      <c r="C29" s="206"/>
      <c r="D29" s="206"/>
      <c r="E29" s="206"/>
      <c r="F29" s="206"/>
    </row>
    <row r="30" spans="1:10" x14ac:dyDescent="0.2">
      <c r="C30" t="s">
        <v>118</v>
      </c>
      <c r="D30" t="s">
        <v>132</v>
      </c>
      <c r="E30" t="s">
        <v>109</v>
      </c>
    </row>
    <row r="31" spans="1:10" x14ac:dyDescent="0.2">
      <c r="A31" t="s">
        <v>239</v>
      </c>
      <c r="C31">
        <v>10.5</v>
      </c>
      <c r="D31">
        <v>12</v>
      </c>
      <c r="E31">
        <v>5</v>
      </c>
      <c r="F31" t="s">
        <v>12</v>
      </c>
      <c r="G31" s="272">
        <f>SUM(C31*D31*E31)</f>
        <v>630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5" sqref="J5"/>
    </sheetView>
  </sheetViews>
  <sheetFormatPr defaultRowHeight="12.75" x14ac:dyDescent="0.2"/>
  <cols>
    <col min="2" max="2" width="20.140625" customWidth="1"/>
    <col min="3" max="3" width="27.7109375" customWidth="1"/>
    <col min="4" max="6" width="9.140625" customWidth="1"/>
    <col min="7" max="7" width="25" style="136" customWidth="1"/>
    <col min="8" max="8" width="19.140625" customWidth="1"/>
    <col min="9" max="9" width="35.140625" customWidth="1"/>
    <col min="10" max="10" width="27.5703125" style="136" customWidth="1"/>
    <col min="11" max="11" width="5.140625" style="136" customWidth="1"/>
    <col min="12" max="12" width="20.140625" style="136" customWidth="1"/>
  </cols>
  <sheetData>
    <row r="1" spans="1:13" x14ac:dyDescent="0.2">
      <c r="B1" t="s">
        <v>57</v>
      </c>
      <c r="J1" t="s">
        <v>57</v>
      </c>
      <c r="K1"/>
    </row>
    <row r="2" spans="1:13" ht="13.5" thickBot="1" x14ac:dyDescent="0.25">
      <c r="L2" s="137" t="s">
        <v>58</v>
      </c>
    </row>
    <row r="3" spans="1:13" ht="43.5" customHeight="1" thickTop="1" thickBot="1" x14ac:dyDescent="0.35">
      <c r="A3" s="138"/>
      <c r="B3" s="138" t="s">
        <v>59</v>
      </c>
      <c r="C3" s="139">
        <v>3000000</v>
      </c>
      <c r="D3" s="138"/>
      <c r="E3" s="138"/>
      <c r="F3" s="138"/>
      <c r="G3" s="139">
        <v>3000000</v>
      </c>
      <c r="H3" s="138"/>
      <c r="I3" s="140" t="s">
        <v>59</v>
      </c>
      <c r="J3" s="141">
        <f>'10x10 bid sheet'!O93</f>
        <v>17426.568497</v>
      </c>
      <c r="K3" s="142"/>
      <c r="L3" s="143">
        <f>SUM(L5:L10)</f>
        <v>435.66421242500002</v>
      </c>
      <c r="M3" s="138"/>
    </row>
    <row r="4" spans="1:13" ht="13.5" thickTop="1" x14ac:dyDescent="0.2">
      <c r="C4" s="136"/>
    </row>
    <row r="5" spans="1:13" ht="11.25" customHeight="1" x14ac:dyDescent="0.2">
      <c r="B5" t="s">
        <v>60</v>
      </c>
      <c r="C5" s="136">
        <f>100000*0.025</f>
        <v>2500</v>
      </c>
      <c r="D5" s="144">
        <v>2.5000000000000001E-2</v>
      </c>
      <c r="F5" s="144">
        <v>2.5000000000000001E-2</v>
      </c>
      <c r="G5" s="136">
        <v>100000</v>
      </c>
      <c r="H5" s="145">
        <f>F5*G5</f>
        <v>2500</v>
      </c>
      <c r="J5" s="136">
        <f>IF(J3-G5&gt;0,H5,J3*F5)</f>
        <v>435.66421242500002</v>
      </c>
      <c r="L5" s="136">
        <f>J5</f>
        <v>435.66421242500002</v>
      </c>
    </row>
    <row r="6" spans="1:13" x14ac:dyDescent="0.2">
      <c r="B6" t="s">
        <v>61</v>
      </c>
      <c r="C6" s="136">
        <f>400000*0.015</f>
        <v>6000</v>
      </c>
      <c r="D6" s="144">
        <v>1.4999999999999999E-2</v>
      </c>
      <c r="F6" s="144">
        <v>1.4999999999999999E-2</v>
      </c>
      <c r="G6" s="136">
        <v>400000</v>
      </c>
      <c r="H6" s="145">
        <f>F6*G6</f>
        <v>6000</v>
      </c>
      <c r="J6" s="136">
        <f>IF(J3-(G5+G6)&gt;0,H6,(J3-G5)*F6)</f>
        <v>-1238.601472545</v>
      </c>
      <c r="L6" s="136">
        <f>IF(J6&lt;0,0,J6)</f>
        <v>0</v>
      </c>
    </row>
    <row r="7" spans="1:13" x14ac:dyDescent="0.2">
      <c r="B7" t="s">
        <v>62</v>
      </c>
      <c r="C7" s="136">
        <f>2000000*0.01</f>
        <v>20000</v>
      </c>
      <c r="D7" s="146">
        <v>0.01</v>
      </c>
      <c r="F7" s="146">
        <v>0.01</v>
      </c>
      <c r="G7" s="136">
        <v>2000000</v>
      </c>
      <c r="H7" s="145">
        <f>F7*G7</f>
        <v>20000</v>
      </c>
      <c r="J7" s="136">
        <f>IF(J3-(G5+G6+G7)&gt;0,G7*F7,(J3-(G5+G6))*F7)</f>
        <v>-4825.7343150299994</v>
      </c>
      <c r="L7" s="136">
        <f>IF(J7&lt;0,0,J7)</f>
        <v>0</v>
      </c>
    </row>
    <row r="8" spans="1:13" x14ac:dyDescent="0.2">
      <c r="C8" s="136"/>
      <c r="F8" s="144">
        <v>7.4999999999999997E-3</v>
      </c>
      <c r="G8" s="136">
        <v>2500000</v>
      </c>
      <c r="H8" s="145">
        <f>G8*F8</f>
        <v>18750</v>
      </c>
      <c r="J8" s="136">
        <f>IF(J3-(G5+G6+G7+G8)&gt;0,G8*F8,(J3-(G5+G6+G7))*F8)</f>
        <v>-18619.3007362725</v>
      </c>
      <c r="L8" s="136">
        <f>IF(J8&lt;0,0,J8)</f>
        <v>0</v>
      </c>
    </row>
    <row r="9" spans="1:13" x14ac:dyDescent="0.2">
      <c r="C9" s="136"/>
    </row>
    <row r="10" spans="1:13" x14ac:dyDescent="0.2">
      <c r="C10" s="136"/>
    </row>
    <row r="11" spans="1:13" x14ac:dyDescent="0.2">
      <c r="C11" s="136"/>
      <c r="L11" s="147">
        <f>L3/J3</f>
        <v>2.5000000000000001E-2</v>
      </c>
    </row>
    <row r="12" spans="1:13" x14ac:dyDescent="0.2">
      <c r="C12" s="136"/>
    </row>
    <row r="13" spans="1:13" x14ac:dyDescent="0.2">
      <c r="A13" t="s">
        <v>63</v>
      </c>
    </row>
    <row r="14" spans="1:13" x14ac:dyDescent="0.2">
      <c r="I14" t="s">
        <v>64</v>
      </c>
    </row>
    <row r="15" spans="1:13" x14ac:dyDescent="0.2">
      <c r="I15" t="s">
        <v>65</v>
      </c>
    </row>
    <row r="17" spans="9:10" x14ac:dyDescent="0.2">
      <c r="I17" t="s">
        <v>66</v>
      </c>
      <c r="J17" s="136">
        <v>3250000</v>
      </c>
    </row>
    <row r="18" spans="9:10" x14ac:dyDescent="0.2">
      <c r="I18" t="s">
        <v>67</v>
      </c>
      <c r="J18" s="136">
        <v>5000000</v>
      </c>
    </row>
  </sheetData>
  <protectedRanges>
    <protectedRange sqref="J3" name="Contract Amount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3"/>
  <sheetViews>
    <sheetView workbookViewId="0">
      <selection activeCell="M50" sqref="M50"/>
    </sheetView>
  </sheetViews>
  <sheetFormatPr defaultRowHeight="12.75" x14ac:dyDescent="0.2"/>
  <cols>
    <col min="1" max="1" width="2.28515625" bestFit="1" customWidth="1"/>
    <col min="2" max="2" width="28.5703125" bestFit="1" customWidth="1"/>
    <col min="3" max="3" width="9.7109375" bestFit="1" customWidth="1"/>
    <col min="4" max="4" width="8.42578125" bestFit="1" customWidth="1"/>
    <col min="5" max="5" width="12.85546875" bestFit="1" customWidth="1"/>
    <col min="6" max="6" width="5" bestFit="1" customWidth="1"/>
    <col min="7" max="7" width="17.28515625" bestFit="1" customWidth="1"/>
    <col min="8" max="8" width="6.7109375" bestFit="1" customWidth="1"/>
    <col min="9" max="9" width="11.140625" bestFit="1" customWidth="1"/>
    <col min="10" max="10" width="6.7109375" bestFit="1" customWidth="1"/>
    <col min="11" max="11" width="11.140625" bestFit="1" customWidth="1"/>
    <col min="12" max="12" width="18.5703125" bestFit="1" customWidth="1"/>
    <col min="13" max="13" width="5" bestFit="1" customWidth="1"/>
    <col min="14" max="14" width="13.85546875" bestFit="1" customWidth="1"/>
    <col min="15" max="15" width="18.5703125" bestFit="1" customWidth="1"/>
    <col min="16" max="16" width="11.42578125" bestFit="1" customWidth="1"/>
  </cols>
  <sheetData>
    <row r="1" spans="1:16" x14ac:dyDescent="0.2">
      <c r="A1" s="296"/>
      <c r="B1" s="297"/>
      <c r="C1" s="297"/>
      <c r="D1" s="297"/>
      <c r="E1" s="298" t="s">
        <v>127</v>
      </c>
      <c r="F1" s="299"/>
      <c r="G1" s="99">
        <f>SUM(O93)</f>
        <v>22370.996656249998</v>
      </c>
      <c r="H1" s="56" t="s">
        <v>0</v>
      </c>
      <c r="I1" s="56"/>
      <c r="J1" s="201"/>
      <c r="K1" s="56"/>
      <c r="L1" s="56"/>
      <c r="M1" s="56"/>
      <c r="N1" s="300" t="s">
        <v>55</v>
      </c>
      <c r="O1" s="300"/>
      <c r="P1" s="133" t="s">
        <v>56</v>
      </c>
    </row>
    <row r="2" spans="1:16" x14ac:dyDescent="0.2">
      <c r="A2" s="296"/>
      <c r="B2" s="297"/>
      <c r="C2" s="297"/>
      <c r="D2" s="297"/>
      <c r="E2" s="301"/>
      <c r="F2" s="301"/>
      <c r="G2" s="301"/>
      <c r="H2" s="56"/>
      <c r="I2" s="56"/>
      <c r="J2" s="56"/>
      <c r="K2" s="56"/>
      <c r="L2" s="204" t="s">
        <v>152</v>
      </c>
      <c r="M2" s="205"/>
      <c r="N2" s="204" t="s">
        <v>153</v>
      </c>
      <c r="O2" s="56"/>
      <c r="P2" s="56"/>
    </row>
    <row r="3" spans="1:16" ht="18.75" thickBot="1" x14ac:dyDescent="0.3">
      <c r="A3" s="296"/>
      <c r="B3" s="92" t="s">
        <v>84</v>
      </c>
      <c r="C3" s="172" t="s">
        <v>254</v>
      </c>
      <c r="D3" s="100" t="s">
        <v>102</v>
      </c>
      <c r="E3" s="302"/>
      <c r="F3" s="302"/>
      <c r="G3" s="302"/>
      <c r="H3" s="101"/>
      <c r="I3" s="56">
        <v>256</v>
      </c>
      <c r="J3" s="201" t="s">
        <v>12</v>
      </c>
      <c r="K3" s="101"/>
      <c r="L3" s="203">
        <f>SUM(L93/I3)</f>
        <v>58.257803792317709</v>
      </c>
      <c r="M3" s="101"/>
      <c r="N3" s="203">
        <f>SUM(G1/I3)</f>
        <v>87.386705688476553</v>
      </c>
      <c r="O3" s="101"/>
      <c r="P3" s="101"/>
    </row>
    <row r="4" spans="1:16" ht="18" x14ac:dyDescent="0.25">
      <c r="A4" s="296"/>
      <c r="B4" s="70"/>
      <c r="C4" s="303"/>
      <c r="D4" s="303"/>
      <c r="E4" s="303"/>
      <c r="F4" s="305"/>
      <c r="G4" s="305"/>
      <c r="H4" s="305"/>
      <c r="I4" s="305"/>
      <c r="J4" s="307"/>
      <c r="K4" s="102"/>
      <c r="L4" s="102"/>
      <c r="M4" s="102"/>
      <c r="N4" s="103"/>
      <c r="O4" s="104"/>
      <c r="P4" s="105"/>
    </row>
    <row r="5" spans="1:16" ht="18" x14ac:dyDescent="0.25">
      <c r="A5" s="296"/>
      <c r="B5" s="16" t="s">
        <v>40</v>
      </c>
      <c r="C5" s="304"/>
      <c r="D5" s="304"/>
      <c r="E5" s="304"/>
      <c r="F5" s="306"/>
      <c r="G5" s="79" t="s">
        <v>24</v>
      </c>
      <c r="H5" s="309"/>
      <c r="I5" s="309"/>
      <c r="J5" s="308"/>
      <c r="K5" s="79"/>
      <c r="L5" s="10"/>
      <c r="M5" s="10"/>
      <c r="N5" s="12"/>
      <c r="O5" s="75"/>
      <c r="P5" s="80"/>
    </row>
    <row r="6" spans="1:16" ht="18" x14ac:dyDescent="0.25">
      <c r="A6" s="296"/>
      <c r="B6" s="70"/>
      <c r="C6" s="304"/>
      <c r="D6" s="304"/>
      <c r="E6" s="304"/>
      <c r="F6" s="306"/>
      <c r="G6" s="306"/>
      <c r="H6" s="306"/>
      <c r="I6" s="306"/>
      <c r="J6" s="308"/>
      <c r="K6" s="10"/>
      <c r="L6" s="10"/>
      <c r="M6" s="10"/>
      <c r="N6" s="12"/>
      <c r="O6" s="75"/>
      <c r="P6" s="80"/>
    </row>
    <row r="7" spans="1:16" ht="18" x14ac:dyDescent="0.25">
      <c r="A7" s="296"/>
      <c r="B7" s="76" t="s">
        <v>41</v>
      </c>
      <c r="C7" s="310" t="s">
        <v>85</v>
      </c>
      <c r="D7" s="311"/>
      <c r="E7" s="311"/>
      <c r="F7" s="306"/>
      <c r="G7" s="55" t="s">
        <v>46</v>
      </c>
      <c r="H7" s="355">
        <v>0.5</v>
      </c>
      <c r="I7" s="355"/>
      <c r="J7" s="308"/>
      <c r="K7" s="356" t="s">
        <v>123</v>
      </c>
      <c r="L7" s="356"/>
      <c r="M7" s="55"/>
      <c r="N7" s="194" t="s">
        <v>122</v>
      </c>
      <c r="O7" s="75"/>
      <c r="P7" s="80"/>
    </row>
    <row r="8" spans="1:16" ht="18" x14ac:dyDescent="0.25">
      <c r="A8" s="296"/>
      <c r="B8" s="76" t="s">
        <v>42</v>
      </c>
      <c r="C8" s="314" t="s">
        <v>86</v>
      </c>
      <c r="D8" s="315"/>
      <c r="E8" s="315"/>
      <c r="F8" s="306"/>
      <c r="G8" s="55" t="s">
        <v>47</v>
      </c>
      <c r="H8" s="316">
        <f>SUM(N29,N43,M68,M80,M90)</f>
        <v>7456.9988854166668</v>
      </c>
      <c r="I8" s="316"/>
      <c r="J8" s="308"/>
      <c r="K8" s="357">
        <f>N8*H8</f>
        <v>745699.88854166667</v>
      </c>
      <c r="L8" s="357"/>
      <c r="M8" s="55" t="s">
        <v>103</v>
      </c>
      <c r="N8" s="195">
        <v>100</v>
      </c>
      <c r="O8" s="75"/>
      <c r="P8" s="80"/>
    </row>
    <row r="9" spans="1:16" ht="18" x14ac:dyDescent="0.25">
      <c r="A9" s="296"/>
      <c r="B9" s="76" t="s">
        <v>43</v>
      </c>
      <c r="C9" s="318" t="s">
        <v>87</v>
      </c>
      <c r="D9" s="319"/>
      <c r="E9" s="319"/>
      <c r="F9" s="306"/>
      <c r="G9" s="55" t="s">
        <v>48</v>
      </c>
      <c r="H9" s="320">
        <f>H8/2</f>
        <v>3728.4994427083334</v>
      </c>
      <c r="I9" s="320"/>
      <c r="J9" s="308"/>
      <c r="K9" s="10"/>
      <c r="L9" s="11">
        <f>200*H9</f>
        <v>745699.88854166667</v>
      </c>
      <c r="M9" s="10" t="s">
        <v>104</v>
      </c>
      <c r="N9" s="12"/>
      <c r="O9" s="75"/>
      <c r="P9" s="80"/>
    </row>
    <row r="10" spans="1:16" ht="18" x14ac:dyDescent="0.25">
      <c r="A10" s="296"/>
      <c r="B10" s="76" t="s">
        <v>44</v>
      </c>
      <c r="C10" s="319"/>
      <c r="D10" s="319"/>
      <c r="E10" s="319"/>
      <c r="F10" s="306"/>
      <c r="G10" s="306"/>
      <c r="H10" s="306"/>
      <c r="I10" s="306"/>
      <c r="J10" s="308"/>
      <c r="K10" s="321"/>
      <c r="L10" s="321"/>
      <c r="M10" s="148"/>
      <c r="N10" s="12"/>
      <c r="O10" s="75"/>
      <c r="P10" s="80"/>
    </row>
    <row r="11" spans="1:16" ht="18" x14ac:dyDescent="0.25">
      <c r="A11" s="296"/>
      <c r="B11" s="76" t="s">
        <v>45</v>
      </c>
      <c r="C11" s="322">
        <v>41506</v>
      </c>
      <c r="D11" s="322"/>
      <c r="E11" s="322"/>
      <c r="F11" s="306"/>
      <c r="G11" s="79" t="s">
        <v>23</v>
      </c>
      <c r="H11" s="309"/>
      <c r="I11" s="309"/>
      <c r="J11" s="308"/>
      <c r="K11" s="10"/>
      <c r="L11" s="10"/>
      <c r="M11" s="10"/>
      <c r="N11" s="12"/>
      <c r="O11" s="75"/>
      <c r="P11" s="80"/>
    </row>
    <row r="12" spans="1:16" ht="18" x14ac:dyDescent="0.25">
      <c r="A12" s="296"/>
      <c r="B12" s="55"/>
      <c r="C12" s="77"/>
      <c r="D12" s="78"/>
      <c r="E12" s="14"/>
      <c r="F12" s="306"/>
      <c r="G12" s="306"/>
      <c r="H12" s="306"/>
      <c r="I12" s="306"/>
      <c r="J12" s="308"/>
      <c r="K12" s="10"/>
      <c r="L12" s="10"/>
      <c r="M12" s="10"/>
      <c r="N12" s="12"/>
      <c r="O12" s="75"/>
      <c r="P12" s="80"/>
    </row>
    <row r="13" spans="1:16" ht="18" x14ac:dyDescent="0.25">
      <c r="A13" s="296"/>
      <c r="B13" s="131" t="s">
        <v>51</v>
      </c>
      <c r="C13" s="91">
        <v>3.75</v>
      </c>
      <c r="D13" s="72"/>
      <c r="E13" s="10"/>
      <c r="F13" s="306"/>
      <c r="G13" s="55" t="s">
        <v>49</v>
      </c>
      <c r="H13" s="355">
        <v>0.25</v>
      </c>
      <c r="I13" s="355"/>
      <c r="J13" s="308"/>
      <c r="K13" s="79"/>
      <c r="L13" s="155"/>
      <c r="M13" s="156"/>
      <c r="N13" s="157"/>
      <c r="O13" s="75"/>
      <c r="P13" s="80"/>
    </row>
    <row r="14" spans="1:16" ht="18" x14ac:dyDescent="0.25">
      <c r="A14" s="296"/>
      <c r="B14" s="131"/>
      <c r="C14" s="71"/>
      <c r="D14" s="72"/>
      <c r="E14" s="10"/>
      <c r="F14" s="306"/>
      <c r="G14" s="55" t="s">
        <v>50</v>
      </c>
      <c r="H14" s="316">
        <f>SUM(H45,K68,J80,J90)</f>
        <v>1116.7</v>
      </c>
      <c r="I14" s="316"/>
      <c r="J14" s="308"/>
      <c r="K14" s="323"/>
      <c r="L14" s="324"/>
      <c r="M14" s="324"/>
      <c r="N14" s="324"/>
      <c r="O14" s="324"/>
      <c r="P14" s="325"/>
    </row>
    <row r="15" spans="1:16" ht="15.75" x14ac:dyDescent="0.25">
      <c r="A15" s="296"/>
      <c r="B15" s="131" t="s">
        <v>54</v>
      </c>
      <c r="C15" s="130">
        <v>15</v>
      </c>
      <c r="D15" s="130">
        <v>0</v>
      </c>
      <c r="E15" s="132">
        <f>SUM(D15+C15)</f>
        <v>15</v>
      </c>
      <c r="F15" s="306"/>
      <c r="G15" s="55" t="s">
        <v>52</v>
      </c>
      <c r="H15" s="320">
        <f>H14/2</f>
        <v>558.35</v>
      </c>
      <c r="I15" s="320"/>
      <c r="J15" s="308"/>
      <c r="K15" s="324"/>
      <c r="L15" s="324"/>
      <c r="M15" s="324"/>
      <c r="N15" s="324"/>
      <c r="O15" s="324"/>
      <c r="P15" s="325"/>
    </row>
    <row r="16" spans="1:16" ht="18" x14ac:dyDescent="0.25">
      <c r="A16" s="296"/>
      <c r="B16" s="93" t="s">
        <v>77</v>
      </c>
      <c r="C16" s="158">
        <v>16.100000000000001</v>
      </c>
      <c r="D16" s="158">
        <v>0</v>
      </c>
      <c r="E16" s="158">
        <f>SUM(C16:D16)</f>
        <v>16.100000000000001</v>
      </c>
      <c r="F16" s="306"/>
      <c r="G16" s="73"/>
      <c r="H16" s="74"/>
      <c r="I16" s="10"/>
      <c r="J16" s="308"/>
      <c r="K16" s="324"/>
      <c r="L16" s="324"/>
      <c r="M16" s="324"/>
      <c r="N16" s="324"/>
      <c r="O16" s="324"/>
      <c r="P16" s="325"/>
    </row>
    <row r="17" spans="1:16" x14ac:dyDescent="0.2">
      <c r="A17" s="296"/>
      <c r="B17" s="24"/>
      <c r="C17" s="10"/>
      <c r="D17" s="10"/>
      <c r="E17" s="10"/>
      <c r="F17" s="306"/>
      <c r="G17" s="10"/>
      <c r="H17" s="10"/>
      <c r="I17" s="10"/>
      <c r="J17" s="308"/>
      <c r="K17" s="324"/>
      <c r="L17" s="324"/>
      <c r="M17" s="324"/>
      <c r="N17" s="324"/>
      <c r="O17" s="324"/>
      <c r="P17" s="325"/>
    </row>
    <row r="18" spans="1:16" ht="18" x14ac:dyDescent="0.25">
      <c r="A18" s="296"/>
      <c r="B18" s="16" t="s">
        <v>1</v>
      </c>
      <c r="C18" s="10"/>
      <c r="D18" s="81"/>
      <c r="E18" s="42" t="s">
        <v>6</v>
      </c>
      <c r="F18" s="306"/>
      <c r="G18" s="10"/>
      <c r="H18" s="10"/>
      <c r="I18" s="10"/>
      <c r="J18" s="308"/>
      <c r="K18" s="10"/>
      <c r="L18" s="10"/>
      <c r="M18" s="10"/>
      <c r="N18" s="12"/>
      <c r="O18" s="7"/>
      <c r="P18" s="80"/>
    </row>
    <row r="19" spans="1:16" ht="14.25" x14ac:dyDescent="0.2">
      <c r="A19" s="296"/>
      <c r="B19" s="17" t="s">
        <v>33</v>
      </c>
      <c r="C19" s="17" t="s">
        <v>2</v>
      </c>
      <c r="D19" s="17" t="s">
        <v>3</v>
      </c>
      <c r="E19" s="17" t="s">
        <v>1</v>
      </c>
      <c r="F19" s="32">
        <v>0.3</v>
      </c>
      <c r="G19" s="18" t="s">
        <v>34</v>
      </c>
      <c r="H19" s="20">
        <f>H13</f>
        <v>0.25</v>
      </c>
      <c r="I19" s="19" t="s">
        <v>23</v>
      </c>
      <c r="J19" s="47"/>
      <c r="K19" s="106"/>
      <c r="L19" s="18" t="s">
        <v>4</v>
      </c>
      <c r="M19" s="90">
        <f>$H$7</f>
        <v>0.5</v>
      </c>
      <c r="N19" s="22" t="s">
        <v>24</v>
      </c>
      <c r="O19" s="18" t="s">
        <v>5</v>
      </c>
      <c r="P19" s="84" t="s">
        <v>21</v>
      </c>
    </row>
    <row r="20" spans="1:16" x14ac:dyDescent="0.2">
      <c r="A20" s="95" t="s">
        <v>68</v>
      </c>
      <c r="B20" s="151" t="s">
        <v>88</v>
      </c>
      <c r="C20" s="82">
        <v>12</v>
      </c>
      <c r="D20" s="69">
        <f>SUM(E15)</f>
        <v>15</v>
      </c>
      <c r="E20" s="41">
        <f t="shared" ref="E20:E28" si="0">IF(A20="X",D20*C20,0)</f>
        <v>180</v>
      </c>
      <c r="F20" s="97" t="s">
        <v>25</v>
      </c>
      <c r="G20" s="107">
        <f t="shared" ref="G20:G28" si="1">E20*$F$19</f>
        <v>54</v>
      </c>
      <c r="H20" s="25" t="s">
        <v>25</v>
      </c>
      <c r="I20" s="15">
        <f t="shared" ref="I20:I28" si="2">E20*$H$19</f>
        <v>45</v>
      </c>
      <c r="J20" s="108"/>
      <c r="K20" s="109"/>
      <c r="L20" s="3">
        <f t="shared" ref="L20:L28" si="3">SUM(E20:K20)</f>
        <v>279</v>
      </c>
      <c r="M20" s="26" t="s">
        <v>25</v>
      </c>
      <c r="N20" s="15">
        <f t="shared" ref="N20:N28" si="4">L20*$M$19</f>
        <v>139.5</v>
      </c>
      <c r="O20" s="3">
        <f t="shared" ref="O20:O28" si="5">SUM(N20+L20)</f>
        <v>418.5</v>
      </c>
      <c r="P20" s="80">
        <f>SUM(I1/O20)</f>
        <v>0</v>
      </c>
    </row>
    <row r="21" spans="1:16" x14ac:dyDescent="0.2">
      <c r="A21" s="46" t="s">
        <v>26</v>
      </c>
      <c r="B21" s="93" t="s">
        <v>75</v>
      </c>
      <c r="C21" s="82">
        <v>8</v>
      </c>
      <c r="D21" s="69">
        <f>SUM(E15)</f>
        <v>15</v>
      </c>
      <c r="E21" s="41">
        <f t="shared" si="0"/>
        <v>120</v>
      </c>
      <c r="F21" s="98" t="s">
        <v>25</v>
      </c>
      <c r="G21" s="107">
        <f t="shared" si="1"/>
        <v>36</v>
      </c>
      <c r="H21" s="27" t="s">
        <v>25</v>
      </c>
      <c r="I21" s="15">
        <f t="shared" si="2"/>
        <v>30</v>
      </c>
      <c r="J21" s="110"/>
      <c r="K21" s="111"/>
      <c r="L21" s="3">
        <f t="shared" si="3"/>
        <v>186</v>
      </c>
      <c r="M21" s="26" t="s">
        <v>25</v>
      </c>
      <c r="N21" s="15">
        <f t="shared" si="4"/>
        <v>93</v>
      </c>
      <c r="O21" s="3">
        <f t="shared" si="5"/>
        <v>279</v>
      </c>
      <c r="P21" s="80">
        <f t="shared" ref="P21:P28" si="6">SUM(O21)</f>
        <v>279</v>
      </c>
    </row>
    <row r="22" spans="1:16" x14ac:dyDescent="0.2">
      <c r="A22" s="95" t="s">
        <v>68</v>
      </c>
      <c r="B22" s="151" t="s">
        <v>106</v>
      </c>
      <c r="C22" s="82">
        <v>18</v>
      </c>
      <c r="D22" s="69">
        <f>SUM(E15)</f>
        <v>15</v>
      </c>
      <c r="E22" s="41">
        <f>IF(A22="X",D22*C22,0)</f>
        <v>270</v>
      </c>
      <c r="F22" s="98" t="s">
        <v>25</v>
      </c>
      <c r="G22" s="107">
        <f t="shared" si="1"/>
        <v>81</v>
      </c>
      <c r="H22" s="27" t="s">
        <v>25</v>
      </c>
      <c r="I22" s="15">
        <f t="shared" si="2"/>
        <v>67.5</v>
      </c>
      <c r="J22" s="110"/>
      <c r="K22" s="111"/>
      <c r="L22" s="3">
        <f t="shared" si="3"/>
        <v>418.5</v>
      </c>
      <c r="M22" s="26" t="s">
        <v>25</v>
      </c>
      <c r="N22" s="15">
        <f t="shared" si="4"/>
        <v>209.25</v>
      </c>
      <c r="O22" s="3">
        <f>SUM(N22+L22)</f>
        <v>627.75</v>
      </c>
      <c r="P22" s="80">
        <f t="shared" si="6"/>
        <v>627.75</v>
      </c>
    </row>
    <row r="23" spans="1:16" x14ac:dyDescent="0.2">
      <c r="A23" s="95" t="s">
        <v>68</v>
      </c>
      <c r="B23" s="151" t="s">
        <v>79</v>
      </c>
      <c r="C23" s="82">
        <v>18</v>
      </c>
      <c r="D23" s="69">
        <v>15</v>
      </c>
      <c r="E23" s="41">
        <f>IF(A23="X",D23*C23,0)</f>
        <v>270</v>
      </c>
      <c r="F23" s="98" t="s">
        <v>25</v>
      </c>
      <c r="G23" s="107">
        <f t="shared" si="1"/>
        <v>81</v>
      </c>
      <c r="H23" s="27" t="s">
        <v>25</v>
      </c>
      <c r="I23" s="15">
        <f t="shared" si="2"/>
        <v>67.5</v>
      </c>
      <c r="J23" s="110"/>
      <c r="K23" s="111"/>
      <c r="L23" s="3">
        <f t="shared" si="3"/>
        <v>418.5</v>
      </c>
      <c r="M23" s="26" t="s">
        <v>25</v>
      </c>
      <c r="N23" s="15">
        <f t="shared" si="4"/>
        <v>209.25</v>
      </c>
      <c r="O23" s="3">
        <f>SUM(N23+L23)</f>
        <v>627.75</v>
      </c>
      <c r="P23" s="80">
        <f t="shared" si="6"/>
        <v>627.75</v>
      </c>
    </row>
    <row r="24" spans="1:16" x14ac:dyDescent="0.2">
      <c r="A24" s="95" t="s">
        <v>68</v>
      </c>
      <c r="B24" s="151" t="s">
        <v>72</v>
      </c>
      <c r="C24" s="82">
        <v>5</v>
      </c>
      <c r="D24" s="159">
        <f>SUM(E16)</f>
        <v>16.100000000000001</v>
      </c>
      <c r="E24" s="41">
        <f>IF(A24="X",D24*C24,0)</f>
        <v>80.5</v>
      </c>
      <c r="F24" s="98" t="s">
        <v>25</v>
      </c>
      <c r="G24" s="107">
        <f t="shared" si="1"/>
        <v>24.15</v>
      </c>
      <c r="H24" s="27" t="s">
        <v>25</v>
      </c>
      <c r="I24" s="15">
        <f t="shared" si="2"/>
        <v>20.125</v>
      </c>
      <c r="J24" s="110"/>
      <c r="K24" s="111"/>
      <c r="L24" s="3">
        <f t="shared" si="3"/>
        <v>124.77500000000001</v>
      </c>
      <c r="M24" s="26" t="s">
        <v>25</v>
      </c>
      <c r="N24" s="15">
        <f t="shared" si="4"/>
        <v>62.387500000000003</v>
      </c>
      <c r="O24" s="3">
        <f>SUM(N24+L24)</f>
        <v>187.16250000000002</v>
      </c>
      <c r="P24" s="80">
        <f t="shared" si="6"/>
        <v>187.16250000000002</v>
      </c>
    </row>
    <row r="25" spans="1:16" x14ac:dyDescent="0.2">
      <c r="A25" s="33" t="s">
        <v>26</v>
      </c>
      <c r="B25" s="151" t="s">
        <v>154</v>
      </c>
      <c r="C25" s="82">
        <v>6</v>
      </c>
      <c r="D25" s="69">
        <f>SUM(E15)</f>
        <v>15</v>
      </c>
      <c r="E25" s="41">
        <f t="shared" si="0"/>
        <v>90</v>
      </c>
      <c r="F25" s="98" t="s">
        <v>25</v>
      </c>
      <c r="G25" s="107">
        <f t="shared" si="1"/>
        <v>27</v>
      </c>
      <c r="H25" s="27" t="s">
        <v>25</v>
      </c>
      <c r="I25" s="15">
        <f t="shared" si="2"/>
        <v>22.5</v>
      </c>
      <c r="J25" s="110"/>
      <c r="K25" s="111"/>
      <c r="L25" s="3">
        <f t="shared" si="3"/>
        <v>139.5</v>
      </c>
      <c r="M25" s="26" t="s">
        <v>25</v>
      </c>
      <c r="N25" s="15">
        <f t="shared" si="4"/>
        <v>69.75</v>
      </c>
      <c r="O25" s="3">
        <f t="shared" si="5"/>
        <v>209.25</v>
      </c>
      <c r="P25" s="80">
        <f t="shared" si="6"/>
        <v>209.25</v>
      </c>
    </row>
    <row r="26" spans="1:16" x14ac:dyDescent="0.2">
      <c r="A26" s="149" t="s">
        <v>68</v>
      </c>
      <c r="B26" s="151" t="s">
        <v>148</v>
      </c>
      <c r="C26" s="82">
        <v>14</v>
      </c>
      <c r="D26" s="159">
        <f>SUM(E16)</f>
        <v>16.100000000000001</v>
      </c>
      <c r="E26" s="41">
        <f t="shared" si="0"/>
        <v>225.40000000000003</v>
      </c>
      <c r="F26" s="98" t="s">
        <v>25</v>
      </c>
      <c r="G26" s="107">
        <f t="shared" si="1"/>
        <v>67.62</v>
      </c>
      <c r="H26" s="27" t="s">
        <v>25</v>
      </c>
      <c r="I26" s="15">
        <f t="shared" si="2"/>
        <v>56.350000000000009</v>
      </c>
      <c r="J26" s="110"/>
      <c r="K26" s="111"/>
      <c r="L26" s="3">
        <f t="shared" si="3"/>
        <v>349.37000000000006</v>
      </c>
      <c r="M26" s="26" t="s">
        <v>25</v>
      </c>
      <c r="N26" s="15">
        <f t="shared" si="4"/>
        <v>174.68500000000003</v>
      </c>
      <c r="O26" s="3">
        <f t="shared" si="5"/>
        <v>524.05500000000006</v>
      </c>
      <c r="P26" s="80">
        <f t="shared" si="6"/>
        <v>524.05500000000006</v>
      </c>
    </row>
    <row r="27" spans="1:16" x14ac:dyDescent="0.2">
      <c r="A27" s="149" t="s">
        <v>68</v>
      </c>
      <c r="B27" s="93" t="s">
        <v>81</v>
      </c>
      <c r="C27" s="82">
        <v>2</v>
      </c>
      <c r="D27" s="159">
        <f>SUM(E16)</f>
        <v>16.100000000000001</v>
      </c>
      <c r="E27" s="41">
        <f t="shared" si="0"/>
        <v>32.200000000000003</v>
      </c>
      <c r="F27" s="98" t="s">
        <v>25</v>
      </c>
      <c r="G27" s="107">
        <f t="shared" si="1"/>
        <v>9.66</v>
      </c>
      <c r="H27" s="27" t="s">
        <v>25</v>
      </c>
      <c r="I27" s="15">
        <f t="shared" si="2"/>
        <v>8.0500000000000007</v>
      </c>
      <c r="J27" s="110"/>
      <c r="K27" s="111"/>
      <c r="L27" s="3">
        <f t="shared" si="3"/>
        <v>49.91</v>
      </c>
      <c r="M27" s="26" t="s">
        <v>25</v>
      </c>
      <c r="N27" s="15">
        <f t="shared" si="4"/>
        <v>24.954999999999998</v>
      </c>
      <c r="O27" s="3">
        <f t="shared" si="5"/>
        <v>74.864999999999995</v>
      </c>
      <c r="P27" s="80">
        <f t="shared" si="6"/>
        <v>74.864999999999995</v>
      </c>
    </row>
    <row r="28" spans="1:16" x14ac:dyDescent="0.2">
      <c r="A28" s="149" t="s">
        <v>68</v>
      </c>
      <c r="B28" s="93" t="s">
        <v>149</v>
      </c>
      <c r="C28" s="64">
        <v>14</v>
      </c>
      <c r="D28" s="69">
        <f>SUM(E15)</f>
        <v>15</v>
      </c>
      <c r="E28" s="41">
        <f t="shared" si="0"/>
        <v>210</v>
      </c>
      <c r="F28" s="112" t="s">
        <v>25</v>
      </c>
      <c r="G28" s="113">
        <f t="shared" si="1"/>
        <v>63</v>
      </c>
      <c r="H28" s="114" t="s">
        <v>25</v>
      </c>
      <c r="I28" s="119">
        <f t="shared" si="2"/>
        <v>52.5</v>
      </c>
      <c r="J28" s="115"/>
      <c r="K28" s="116"/>
      <c r="L28" s="117">
        <f t="shared" si="3"/>
        <v>325.5</v>
      </c>
      <c r="M28" s="118" t="s">
        <v>25</v>
      </c>
      <c r="N28" s="119">
        <f t="shared" si="4"/>
        <v>162.75</v>
      </c>
      <c r="O28" s="117">
        <f t="shared" si="5"/>
        <v>488.25</v>
      </c>
      <c r="P28" s="80">
        <f t="shared" si="6"/>
        <v>488.25</v>
      </c>
    </row>
    <row r="29" spans="1:16" x14ac:dyDescent="0.2">
      <c r="A29" s="9"/>
      <c r="B29" s="24"/>
      <c r="C29" s="65">
        <f>SUM(C20:C28)</f>
        <v>97</v>
      </c>
      <c r="D29" s="60"/>
      <c r="E29" s="48">
        <f>SUM(E20:E28)</f>
        <v>1478.1000000000001</v>
      </c>
      <c r="F29" s="120" t="s">
        <v>25</v>
      </c>
      <c r="G29" s="59">
        <f>SUM(G20:G28)</f>
        <v>443.43</v>
      </c>
      <c r="H29" s="121" t="s">
        <v>25</v>
      </c>
      <c r="I29" s="57">
        <f>SUM(I20:I28)</f>
        <v>369.52500000000003</v>
      </c>
      <c r="J29" s="121"/>
      <c r="K29" s="59"/>
      <c r="L29" s="63">
        <f>SUM(L20:L28)</f>
        <v>2291.0550000000003</v>
      </c>
      <c r="M29" s="121" t="s">
        <v>25</v>
      </c>
      <c r="N29" s="57">
        <f>SUM(N20:N28)</f>
        <v>1145.5275000000001</v>
      </c>
      <c r="O29" s="58">
        <f>SUM(O20:O28)</f>
        <v>3436.5824999999995</v>
      </c>
      <c r="P29" s="122">
        <f>SUM(O29/1)</f>
        <v>3436.5824999999995</v>
      </c>
    </row>
    <row r="30" spans="1:16" x14ac:dyDescent="0.2">
      <c r="A30" s="9"/>
      <c r="B30" s="24"/>
      <c r="C30" s="82"/>
      <c r="D30" s="45"/>
      <c r="E30" s="41"/>
      <c r="F30" s="98"/>
      <c r="G30" s="107"/>
      <c r="H30" s="27"/>
      <c r="I30" s="15"/>
      <c r="J30" s="110"/>
      <c r="K30" s="111"/>
      <c r="L30" s="3"/>
      <c r="M30" s="26"/>
      <c r="N30" s="15"/>
      <c r="O30" s="3"/>
      <c r="P30" s="80"/>
    </row>
    <row r="31" spans="1:16" ht="15" x14ac:dyDescent="0.2">
      <c r="A31" s="9"/>
      <c r="B31" s="67" t="s">
        <v>76</v>
      </c>
      <c r="C31" s="82"/>
      <c r="D31" s="45"/>
      <c r="E31" s="41"/>
      <c r="F31" s="98"/>
      <c r="G31" s="107"/>
      <c r="H31" s="27"/>
      <c r="I31" s="15"/>
      <c r="J31" s="110"/>
      <c r="K31" s="111"/>
      <c r="L31" s="3"/>
      <c r="M31" s="26"/>
      <c r="N31" s="15"/>
      <c r="O31" s="3"/>
      <c r="P31" s="80"/>
    </row>
    <row r="32" spans="1:16" x14ac:dyDescent="0.2">
      <c r="A32" s="152" t="s">
        <v>26</v>
      </c>
      <c r="B32" s="24" t="s">
        <v>35</v>
      </c>
      <c r="C32" s="83">
        <v>10</v>
      </c>
      <c r="D32" s="45">
        <v>40</v>
      </c>
      <c r="E32" s="41">
        <f>IF(A32="X",D32*C32,0)</f>
        <v>400</v>
      </c>
      <c r="F32" s="112" t="s">
        <v>25</v>
      </c>
      <c r="G32" s="113">
        <f>E32*$F$19</f>
        <v>120</v>
      </c>
      <c r="H32" s="27" t="s">
        <v>25</v>
      </c>
      <c r="I32" s="15">
        <f t="shared" ref="I32:I42" si="7">E32*$H$19</f>
        <v>100</v>
      </c>
      <c r="J32" s="110"/>
      <c r="K32" s="111"/>
      <c r="L32" s="3">
        <f t="shared" ref="L32:L42" si="8">SUM(E32:K32)</f>
        <v>620</v>
      </c>
      <c r="M32" s="26" t="s">
        <v>25</v>
      </c>
      <c r="N32" s="15">
        <f t="shared" ref="N32:N42" si="9">L32*$M$19</f>
        <v>310</v>
      </c>
      <c r="O32" s="3">
        <f>SUM(N32+L32)</f>
        <v>930</v>
      </c>
      <c r="P32" s="80">
        <f t="shared" ref="P32:P45" si="10">SUM(O32)</f>
        <v>930</v>
      </c>
    </row>
    <row r="33" spans="1:16" x14ac:dyDescent="0.2">
      <c r="A33" s="150" t="str">
        <f>IF(A20="X",A20,"")</f>
        <v>x</v>
      </c>
      <c r="B33" s="68" t="s">
        <v>31</v>
      </c>
      <c r="C33" s="83">
        <v>2</v>
      </c>
      <c r="D33" s="45">
        <v>40</v>
      </c>
      <c r="E33" s="41">
        <f t="shared" ref="E33:E42" si="11">IF(A33="X",D33*C33,0)</f>
        <v>80</v>
      </c>
      <c r="F33" s="98" t="s">
        <v>25</v>
      </c>
      <c r="G33" s="107">
        <f t="shared" ref="G33:G42" si="12">E33*$F$19</f>
        <v>24</v>
      </c>
      <c r="H33" s="27" t="s">
        <v>25</v>
      </c>
      <c r="I33" s="15">
        <f t="shared" si="7"/>
        <v>20</v>
      </c>
      <c r="J33" s="110"/>
      <c r="K33" s="111"/>
      <c r="L33" s="3">
        <f t="shared" si="8"/>
        <v>124</v>
      </c>
      <c r="M33" s="26" t="s">
        <v>25</v>
      </c>
      <c r="N33" s="15">
        <f t="shared" si="9"/>
        <v>62</v>
      </c>
      <c r="O33" s="3">
        <f t="shared" ref="O33:O42" si="13">SUM(N33+L33)</f>
        <v>186</v>
      </c>
      <c r="P33" s="80">
        <f t="shared" si="10"/>
        <v>186</v>
      </c>
    </row>
    <row r="34" spans="1:16" x14ac:dyDescent="0.2">
      <c r="A34" s="150" t="str">
        <f>IF(A21="X",A21,"")</f>
        <v>X</v>
      </c>
      <c r="B34" s="93" t="s">
        <v>75</v>
      </c>
      <c r="C34" s="83">
        <v>6</v>
      </c>
      <c r="D34" s="45">
        <v>40</v>
      </c>
      <c r="E34" s="41">
        <f t="shared" si="11"/>
        <v>240</v>
      </c>
      <c r="F34" s="112" t="s">
        <v>25</v>
      </c>
      <c r="G34" s="113">
        <f t="shared" si="12"/>
        <v>72</v>
      </c>
      <c r="H34" s="27" t="s">
        <v>25</v>
      </c>
      <c r="I34" s="15">
        <f t="shared" si="7"/>
        <v>60</v>
      </c>
      <c r="J34" s="110"/>
      <c r="K34" s="111"/>
      <c r="L34" s="3">
        <f t="shared" si="8"/>
        <v>372</v>
      </c>
      <c r="M34" s="26" t="s">
        <v>25</v>
      </c>
      <c r="N34" s="15">
        <f t="shared" si="9"/>
        <v>186</v>
      </c>
      <c r="O34" s="3">
        <f t="shared" si="13"/>
        <v>558</v>
      </c>
      <c r="P34" s="80">
        <f t="shared" si="10"/>
        <v>558</v>
      </c>
    </row>
    <row r="35" spans="1:16" x14ac:dyDescent="0.2">
      <c r="A35" s="166" t="s">
        <v>68</v>
      </c>
      <c r="B35" s="151" t="s">
        <v>78</v>
      </c>
      <c r="C35" s="83">
        <v>0</v>
      </c>
      <c r="D35" s="45">
        <v>40</v>
      </c>
      <c r="E35" s="41">
        <f t="shared" si="11"/>
        <v>0</v>
      </c>
      <c r="F35" s="112" t="s">
        <v>25</v>
      </c>
      <c r="G35" s="113">
        <f t="shared" si="12"/>
        <v>0</v>
      </c>
      <c r="H35" s="27" t="s">
        <v>25</v>
      </c>
      <c r="I35" s="15">
        <f t="shared" si="7"/>
        <v>0</v>
      </c>
      <c r="J35" s="110"/>
      <c r="K35" s="111"/>
      <c r="L35" s="3">
        <f t="shared" si="8"/>
        <v>0</v>
      </c>
      <c r="M35" s="26" t="s">
        <v>25</v>
      </c>
      <c r="N35" s="15">
        <f t="shared" si="9"/>
        <v>0</v>
      </c>
      <c r="O35" s="3">
        <f t="shared" si="13"/>
        <v>0</v>
      </c>
      <c r="P35" s="80">
        <f t="shared" si="10"/>
        <v>0</v>
      </c>
    </row>
    <row r="36" spans="1:16" x14ac:dyDescent="0.2">
      <c r="A36" s="150" t="str">
        <f>IF(A22="X",A22,"")</f>
        <v>x</v>
      </c>
      <c r="B36" s="151" t="s">
        <v>80</v>
      </c>
      <c r="C36" s="83">
        <v>5</v>
      </c>
      <c r="D36" s="45">
        <v>40</v>
      </c>
      <c r="E36" s="41">
        <f>IF(A36="X",D36*C36,0)</f>
        <v>200</v>
      </c>
      <c r="F36" s="98" t="s">
        <v>25</v>
      </c>
      <c r="G36" s="107">
        <f t="shared" si="12"/>
        <v>60</v>
      </c>
      <c r="H36" s="27" t="s">
        <v>25</v>
      </c>
      <c r="I36" s="15">
        <f t="shared" si="7"/>
        <v>50</v>
      </c>
      <c r="J36" s="110"/>
      <c r="K36" s="111"/>
      <c r="L36" s="3">
        <f t="shared" si="8"/>
        <v>310</v>
      </c>
      <c r="M36" s="26" t="s">
        <v>25</v>
      </c>
      <c r="N36" s="15">
        <f t="shared" si="9"/>
        <v>155</v>
      </c>
      <c r="O36" s="3">
        <f>SUM(N36+L36)</f>
        <v>465</v>
      </c>
      <c r="P36" s="80">
        <f t="shared" si="10"/>
        <v>465</v>
      </c>
    </row>
    <row r="37" spans="1:16" x14ac:dyDescent="0.2">
      <c r="A37" s="150" t="str">
        <f>IF(A23="X",A23,"")</f>
        <v>x</v>
      </c>
      <c r="B37" s="151" t="s">
        <v>124</v>
      </c>
      <c r="C37" s="83">
        <v>2</v>
      </c>
      <c r="D37" s="45">
        <v>40</v>
      </c>
      <c r="E37" s="41">
        <f>IF(A37="X",D37*C37,0)</f>
        <v>80</v>
      </c>
      <c r="F37" s="98" t="s">
        <v>25</v>
      </c>
      <c r="G37" s="107">
        <f t="shared" si="12"/>
        <v>24</v>
      </c>
      <c r="H37" s="27" t="s">
        <v>25</v>
      </c>
      <c r="I37" s="15">
        <f t="shared" si="7"/>
        <v>20</v>
      </c>
      <c r="J37" s="110"/>
      <c r="K37" s="111"/>
      <c r="L37" s="3">
        <f t="shared" si="8"/>
        <v>124</v>
      </c>
      <c r="M37" s="26" t="s">
        <v>25</v>
      </c>
      <c r="N37" s="15">
        <f t="shared" si="9"/>
        <v>62</v>
      </c>
      <c r="O37" s="3">
        <f>SUM(N37+L37)</f>
        <v>186</v>
      </c>
      <c r="P37" s="80">
        <f t="shared" si="10"/>
        <v>186</v>
      </c>
    </row>
    <row r="38" spans="1:16" x14ac:dyDescent="0.2">
      <c r="A38" s="150" t="str">
        <f>IF(A24="X",A24,"")</f>
        <v>x</v>
      </c>
      <c r="B38" s="151" t="s">
        <v>72</v>
      </c>
      <c r="C38" s="83">
        <v>6</v>
      </c>
      <c r="D38" s="45">
        <v>40</v>
      </c>
      <c r="E38" s="41">
        <f>IF(A38="X",D38*C38,0)</f>
        <v>240</v>
      </c>
      <c r="F38" s="98" t="s">
        <v>25</v>
      </c>
      <c r="G38" s="107">
        <f t="shared" si="12"/>
        <v>72</v>
      </c>
      <c r="H38" s="27" t="s">
        <v>25</v>
      </c>
      <c r="I38" s="15">
        <f t="shared" si="7"/>
        <v>60</v>
      </c>
      <c r="J38" s="110"/>
      <c r="K38" s="111"/>
      <c r="L38" s="3">
        <f t="shared" si="8"/>
        <v>372</v>
      </c>
      <c r="M38" s="26" t="s">
        <v>25</v>
      </c>
      <c r="N38" s="15">
        <f t="shared" si="9"/>
        <v>186</v>
      </c>
      <c r="O38" s="3">
        <f>SUM(N38+L38)</f>
        <v>558</v>
      </c>
      <c r="P38" s="80">
        <f t="shared" si="10"/>
        <v>558</v>
      </c>
    </row>
    <row r="39" spans="1:16" x14ac:dyDescent="0.2">
      <c r="A39" s="150" t="str">
        <f>IF(A25="X",A25,"")</f>
        <v>X</v>
      </c>
      <c r="B39" s="68" t="s">
        <v>32</v>
      </c>
      <c r="C39" s="83">
        <v>0</v>
      </c>
      <c r="D39" s="45">
        <v>40</v>
      </c>
      <c r="E39" s="41">
        <f t="shared" si="11"/>
        <v>0</v>
      </c>
      <c r="F39" s="112" t="s">
        <v>25</v>
      </c>
      <c r="G39" s="113">
        <f t="shared" si="12"/>
        <v>0</v>
      </c>
      <c r="H39" s="27" t="s">
        <v>25</v>
      </c>
      <c r="I39" s="15">
        <f t="shared" si="7"/>
        <v>0</v>
      </c>
      <c r="J39" s="110"/>
      <c r="K39" s="111"/>
      <c r="L39" s="3">
        <f t="shared" si="8"/>
        <v>0</v>
      </c>
      <c r="M39" s="26" t="s">
        <v>25</v>
      </c>
      <c r="N39" s="15">
        <f t="shared" si="9"/>
        <v>0</v>
      </c>
      <c r="O39" s="3">
        <f t="shared" si="13"/>
        <v>0</v>
      </c>
      <c r="P39" s="80">
        <f t="shared" si="10"/>
        <v>0</v>
      </c>
    </row>
    <row r="40" spans="1:16" x14ac:dyDescent="0.2">
      <c r="A40" s="150" t="str">
        <f>IF(A26="X",A26,"")</f>
        <v>x</v>
      </c>
      <c r="B40" s="151" t="s">
        <v>149</v>
      </c>
      <c r="C40" s="83">
        <v>4</v>
      </c>
      <c r="D40" s="45">
        <v>40</v>
      </c>
      <c r="E40" s="41">
        <f t="shared" si="11"/>
        <v>160</v>
      </c>
      <c r="F40" s="112" t="s">
        <v>25</v>
      </c>
      <c r="G40" s="113">
        <f t="shared" si="12"/>
        <v>48</v>
      </c>
      <c r="H40" s="27" t="s">
        <v>25</v>
      </c>
      <c r="I40" s="15">
        <f t="shared" si="7"/>
        <v>40</v>
      </c>
      <c r="J40" s="110"/>
      <c r="K40" s="111"/>
      <c r="L40" s="3">
        <f t="shared" si="8"/>
        <v>248</v>
      </c>
      <c r="M40" s="26" t="s">
        <v>25</v>
      </c>
      <c r="N40" s="15">
        <f t="shared" si="9"/>
        <v>124</v>
      </c>
      <c r="O40" s="3">
        <f t="shared" si="13"/>
        <v>372</v>
      </c>
      <c r="P40" s="80">
        <f t="shared" si="10"/>
        <v>372</v>
      </c>
    </row>
    <row r="41" spans="1:16" x14ac:dyDescent="0.2">
      <c r="A41" s="166" t="s">
        <v>68</v>
      </c>
      <c r="B41" s="93" t="s">
        <v>81</v>
      </c>
      <c r="C41" s="83">
        <v>1</v>
      </c>
      <c r="D41" s="45">
        <v>40</v>
      </c>
      <c r="E41" s="41">
        <f t="shared" si="11"/>
        <v>40</v>
      </c>
      <c r="F41" s="112" t="s">
        <v>25</v>
      </c>
      <c r="G41" s="113">
        <f t="shared" si="12"/>
        <v>12</v>
      </c>
      <c r="H41" s="27" t="s">
        <v>25</v>
      </c>
      <c r="I41" s="15">
        <f t="shared" si="7"/>
        <v>10</v>
      </c>
      <c r="J41" s="110"/>
      <c r="K41" s="111"/>
      <c r="L41" s="3">
        <f t="shared" si="8"/>
        <v>62</v>
      </c>
      <c r="M41" s="26" t="s">
        <v>25</v>
      </c>
      <c r="N41" s="15">
        <f t="shared" si="9"/>
        <v>31</v>
      </c>
      <c r="O41" s="3">
        <f t="shared" si="13"/>
        <v>93</v>
      </c>
      <c r="P41" s="80">
        <f t="shared" si="10"/>
        <v>93</v>
      </c>
    </row>
    <row r="42" spans="1:16" x14ac:dyDescent="0.2">
      <c r="A42" s="150"/>
      <c r="B42" s="93"/>
      <c r="C42" s="83">
        <v>0</v>
      </c>
      <c r="D42" s="45">
        <v>40</v>
      </c>
      <c r="E42" s="41">
        <f t="shared" si="11"/>
        <v>0</v>
      </c>
      <c r="F42" s="112" t="s">
        <v>25</v>
      </c>
      <c r="G42" s="113">
        <f t="shared" si="12"/>
        <v>0</v>
      </c>
      <c r="H42" s="27" t="s">
        <v>25</v>
      </c>
      <c r="I42" s="15">
        <f t="shared" si="7"/>
        <v>0</v>
      </c>
      <c r="J42" s="110"/>
      <c r="K42" s="111"/>
      <c r="L42" s="28">
        <f t="shared" si="8"/>
        <v>0</v>
      </c>
      <c r="M42" s="26" t="s">
        <v>25</v>
      </c>
      <c r="N42" s="15">
        <f t="shared" si="9"/>
        <v>0</v>
      </c>
      <c r="O42" s="3">
        <f t="shared" si="13"/>
        <v>0</v>
      </c>
      <c r="P42" s="80">
        <f t="shared" si="10"/>
        <v>0</v>
      </c>
    </row>
    <row r="43" spans="1:16" x14ac:dyDescent="0.2">
      <c r="A43" s="54"/>
      <c r="B43" s="24"/>
      <c r="C43" s="66">
        <f>SUM(C32:C42)</f>
        <v>36</v>
      </c>
      <c r="D43" s="60"/>
      <c r="E43" s="60">
        <f>SUM(E32:E42)</f>
        <v>1440</v>
      </c>
      <c r="F43" s="123" t="s">
        <v>25</v>
      </c>
      <c r="G43" s="61">
        <f>SUM(G32:G42)</f>
        <v>432</v>
      </c>
      <c r="H43" s="124" t="s">
        <v>25</v>
      </c>
      <c r="I43" s="62">
        <f>SUM(I32:I42)</f>
        <v>360</v>
      </c>
      <c r="J43" s="124"/>
      <c r="K43" s="61"/>
      <c r="L43" s="63">
        <f>SUM(L32:L42)</f>
        <v>2232</v>
      </c>
      <c r="M43" s="124" t="s">
        <v>25</v>
      </c>
      <c r="N43" s="62">
        <f>SUM(N32:N42)</f>
        <v>1116</v>
      </c>
      <c r="O43" s="63">
        <f>SUM(O32:O42)</f>
        <v>3348</v>
      </c>
      <c r="P43" s="80">
        <f t="shared" si="10"/>
        <v>3348</v>
      </c>
    </row>
    <row r="44" spans="1:16" ht="13.5" thickBot="1" x14ac:dyDescent="0.25">
      <c r="A44" s="9"/>
      <c r="B44" s="49" t="s">
        <v>73</v>
      </c>
      <c r="C44" s="161">
        <f>SUM(C29+C43)</f>
        <v>133</v>
      </c>
      <c r="D44" s="45"/>
      <c r="E44" s="41"/>
      <c r="F44" s="98"/>
      <c r="G44" s="107"/>
      <c r="H44" s="27"/>
      <c r="I44" s="15"/>
      <c r="J44" s="27"/>
      <c r="K44" s="15"/>
      <c r="L44" s="28"/>
      <c r="M44" s="26"/>
      <c r="N44" s="15"/>
      <c r="O44" s="3"/>
      <c r="P44" s="80">
        <f t="shared" si="10"/>
        <v>0</v>
      </c>
    </row>
    <row r="45" spans="1:16" ht="16.5" thickBot="1" x14ac:dyDescent="0.3">
      <c r="A45" s="9"/>
      <c r="B45" s="154"/>
      <c r="C45" s="326" t="s">
        <v>4</v>
      </c>
      <c r="D45" s="327"/>
      <c r="E45" s="125">
        <f>E43+E29</f>
        <v>2918.1000000000004</v>
      </c>
      <c r="F45" s="328">
        <f>G43+G29</f>
        <v>875.43000000000006</v>
      </c>
      <c r="G45" s="329"/>
      <c r="H45" s="328">
        <f>I43+I29</f>
        <v>729.52500000000009</v>
      </c>
      <c r="I45" s="329"/>
      <c r="J45" s="328"/>
      <c r="K45" s="329"/>
      <c r="L45" s="31">
        <f>L43+L29</f>
        <v>4523.0550000000003</v>
      </c>
      <c r="M45" s="330">
        <f>N43+N29</f>
        <v>2261.5275000000001</v>
      </c>
      <c r="N45" s="331"/>
      <c r="O45" s="31">
        <f>O43+O29</f>
        <v>6784.5824999999995</v>
      </c>
      <c r="P45" s="80">
        <f t="shared" si="10"/>
        <v>6784.5824999999995</v>
      </c>
    </row>
    <row r="46" spans="1:16" ht="13.5" thickBot="1" x14ac:dyDescent="0.25">
      <c r="A46" s="9"/>
      <c r="B46" s="13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32"/>
    </row>
    <row r="47" spans="1:16" x14ac:dyDescent="0.2">
      <c r="A47" s="9"/>
      <c r="B47" s="13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32"/>
    </row>
    <row r="48" spans="1:16" ht="18" x14ac:dyDescent="0.25">
      <c r="A48" s="9"/>
      <c r="B48" s="16" t="s">
        <v>7</v>
      </c>
      <c r="C48" s="56">
        <v>39295</v>
      </c>
      <c r="D48" s="56"/>
      <c r="E48" s="56"/>
      <c r="F48" s="56"/>
      <c r="G48" s="56"/>
      <c r="H48" s="56"/>
      <c r="I48" s="56"/>
      <c r="J48" s="56"/>
      <c r="K48" s="56"/>
      <c r="L48" s="56"/>
      <c r="M48" s="160"/>
      <c r="N48" s="56"/>
      <c r="O48" s="56"/>
      <c r="P48" s="86"/>
    </row>
    <row r="49" spans="1:16" ht="18" x14ac:dyDescent="0.25">
      <c r="A49" s="9"/>
      <c r="B49" s="16"/>
      <c r="C49" s="17" t="s">
        <v>8</v>
      </c>
      <c r="D49" s="17" t="s">
        <v>9</v>
      </c>
      <c r="E49" s="17" t="s">
        <v>10</v>
      </c>
      <c r="F49" s="333" t="s">
        <v>7</v>
      </c>
      <c r="G49" s="333"/>
      <c r="H49" s="162">
        <v>9.2499999999999999E-2</v>
      </c>
      <c r="I49" s="19" t="s">
        <v>19</v>
      </c>
      <c r="J49" s="21">
        <f>H13</f>
        <v>0.25</v>
      </c>
      <c r="K49" s="19" t="s">
        <v>23</v>
      </c>
      <c r="L49" s="18" t="s">
        <v>4</v>
      </c>
      <c r="M49" s="90">
        <f>H7</f>
        <v>0.5</v>
      </c>
      <c r="N49" s="22" t="s">
        <v>24</v>
      </c>
      <c r="O49" s="18" t="s">
        <v>5</v>
      </c>
      <c r="P49" s="84" t="s">
        <v>21</v>
      </c>
    </row>
    <row r="50" spans="1:16" x14ac:dyDescent="0.2">
      <c r="A50" s="95" t="s">
        <v>68</v>
      </c>
      <c r="B50" s="93" t="s">
        <v>184</v>
      </c>
      <c r="C50" s="85">
        <f>'14x14 CONCRETE'!F9</f>
        <v>16.761311111111109</v>
      </c>
      <c r="D50" s="94" t="s">
        <v>18</v>
      </c>
      <c r="E50" s="51">
        <v>105</v>
      </c>
      <c r="F50" s="334">
        <f t="shared" ref="F50:F63" si="14">IF(A50="x",SUM(C50*E50),0)</f>
        <v>1759.9376666666665</v>
      </c>
      <c r="G50" s="335"/>
      <c r="H50" s="334">
        <f t="shared" ref="H50:H63" si="15">F50*$H$49</f>
        <v>162.79423416666666</v>
      </c>
      <c r="I50" s="335"/>
      <c r="J50" s="25" t="s">
        <v>25</v>
      </c>
      <c r="K50" s="15">
        <f>F50*$J$49</f>
        <v>439.98441666666662</v>
      </c>
      <c r="L50" s="3">
        <f t="shared" ref="L50:L67" si="16">SUM(F50:K50)</f>
        <v>2362.7163174999996</v>
      </c>
      <c r="M50" s="26" t="s">
        <v>25</v>
      </c>
      <c r="N50" s="15">
        <f>L50*$M$49</f>
        <v>1181.3581587499998</v>
      </c>
      <c r="O50" s="3">
        <f t="shared" ref="O50:O63" si="17">SUM(N50+L50)</f>
        <v>3544.0744762499994</v>
      </c>
      <c r="P50" s="80">
        <f t="shared" ref="P50:P68" si="18">SUM(O50)</f>
        <v>3544.0744762499994</v>
      </c>
    </row>
    <row r="51" spans="1:16" x14ac:dyDescent="0.2">
      <c r="A51" s="95" t="s">
        <v>68</v>
      </c>
      <c r="B51" s="93" t="s">
        <v>95</v>
      </c>
      <c r="C51" s="85">
        <v>1</v>
      </c>
      <c r="D51" s="94" t="s">
        <v>11</v>
      </c>
      <c r="E51" s="28">
        <v>1000</v>
      </c>
      <c r="F51" s="336">
        <f>IF(A51="x",SUM(C51*E51),0)</f>
        <v>1000</v>
      </c>
      <c r="G51" s="337"/>
      <c r="H51" s="336">
        <f>F51*$H$49</f>
        <v>92.5</v>
      </c>
      <c r="I51" s="337"/>
      <c r="J51" s="27" t="s">
        <v>25</v>
      </c>
      <c r="K51" s="15">
        <f t="shared" ref="K51:K67" si="19">F51*$J$49</f>
        <v>250</v>
      </c>
      <c r="L51" s="3">
        <f t="shared" si="16"/>
        <v>1342.5</v>
      </c>
      <c r="M51" s="26" t="s">
        <v>25</v>
      </c>
      <c r="N51" s="15">
        <f t="shared" ref="N51:N66" si="20">L51*$M$49</f>
        <v>671.25</v>
      </c>
      <c r="O51" s="3">
        <f>SUM(N51+L51)</f>
        <v>2013.75</v>
      </c>
      <c r="P51" s="80">
        <f t="shared" si="18"/>
        <v>2013.75</v>
      </c>
    </row>
    <row r="52" spans="1:16" x14ac:dyDescent="0.2">
      <c r="A52" s="95" t="s">
        <v>68</v>
      </c>
      <c r="B52" s="93" t="s">
        <v>96</v>
      </c>
      <c r="C52" s="85">
        <v>1</v>
      </c>
      <c r="D52" s="94" t="s">
        <v>11</v>
      </c>
      <c r="E52" s="28">
        <v>250</v>
      </c>
      <c r="F52" s="336">
        <f>IF(A52="x",SUM(C52*E52),0)</f>
        <v>250</v>
      </c>
      <c r="G52" s="337"/>
      <c r="H52" s="336">
        <f>F52*$H$49</f>
        <v>23.125</v>
      </c>
      <c r="I52" s="337"/>
      <c r="J52" s="27" t="s">
        <v>25</v>
      </c>
      <c r="K52" s="15">
        <f t="shared" si="19"/>
        <v>62.5</v>
      </c>
      <c r="L52" s="3">
        <f t="shared" si="16"/>
        <v>335.625</v>
      </c>
      <c r="M52" s="26" t="s">
        <v>25</v>
      </c>
      <c r="N52" s="15">
        <f t="shared" si="20"/>
        <v>167.8125</v>
      </c>
      <c r="O52" s="3">
        <f>SUM(N52+L52)</f>
        <v>503.4375</v>
      </c>
      <c r="P52" s="80">
        <f t="shared" si="18"/>
        <v>503.4375</v>
      </c>
    </row>
    <row r="53" spans="1:16" x14ac:dyDescent="0.2">
      <c r="A53" s="33"/>
      <c r="B53" s="24" t="s">
        <v>14</v>
      </c>
      <c r="C53" s="85">
        <v>0</v>
      </c>
      <c r="D53" s="44" t="s">
        <v>11</v>
      </c>
      <c r="E53" s="28">
        <v>4.25</v>
      </c>
      <c r="F53" s="336">
        <f t="shared" si="14"/>
        <v>0</v>
      </c>
      <c r="G53" s="337"/>
      <c r="H53" s="336">
        <f t="shared" si="15"/>
        <v>0</v>
      </c>
      <c r="I53" s="337"/>
      <c r="J53" s="27" t="s">
        <v>25</v>
      </c>
      <c r="K53" s="15">
        <f t="shared" si="19"/>
        <v>0</v>
      </c>
      <c r="L53" s="3">
        <f t="shared" si="16"/>
        <v>0</v>
      </c>
      <c r="M53" s="26" t="s">
        <v>25</v>
      </c>
      <c r="N53" s="15">
        <f t="shared" si="20"/>
        <v>0</v>
      </c>
      <c r="O53" s="3">
        <f t="shared" si="17"/>
        <v>0</v>
      </c>
      <c r="P53" s="80">
        <f t="shared" si="18"/>
        <v>0</v>
      </c>
    </row>
    <row r="54" spans="1:16" x14ac:dyDescent="0.2">
      <c r="A54" s="95" t="s">
        <v>68</v>
      </c>
      <c r="B54" s="93" t="s">
        <v>240</v>
      </c>
      <c r="C54" s="85">
        <v>4</v>
      </c>
      <c r="D54" s="94" t="s">
        <v>18</v>
      </c>
      <c r="E54" s="28">
        <v>100</v>
      </c>
      <c r="F54" s="336">
        <f t="shared" si="14"/>
        <v>400</v>
      </c>
      <c r="G54" s="337"/>
      <c r="H54" s="336">
        <f t="shared" si="15"/>
        <v>37</v>
      </c>
      <c r="I54" s="337"/>
      <c r="J54" s="27" t="s">
        <v>25</v>
      </c>
      <c r="K54" s="15">
        <f t="shared" si="19"/>
        <v>100</v>
      </c>
      <c r="L54" s="3">
        <f t="shared" si="16"/>
        <v>537</v>
      </c>
      <c r="M54" s="26" t="s">
        <v>25</v>
      </c>
      <c r="N54" s="15">
        <f t="shared" si="20"/>
        <v>268.5</v>
      </c>
      <c r="O54" s="3">
        <f t="shared" si="17"/>
        <v>805.5</v>
      </c>
      <c r="P54" s="80">
        <f t="shared" si="18"/>
        <v>805.5</v>
      </c>
    </row>
    <row r="55" spans="1:16" x14ac:dyDescent="0.2">
      <c r="A55" s="95" t="s">
        <v>68</v>
      </c>
      <c r="B55" s="93" t="s">
        <v>98</v>
      </c>
      <c r="C55" s="85">
        <f>SUM(C50,C54)*10</f>
        <v>207.6131111111111</v>
      </c>
      <c r="D55" s="94" t="s">
        <v>115</v>
      </c>
      <c r="E55" s="28">
        <v>2</v>
      </c>
      <c r="F55" s="336">
        <f>IF(A55="x",SUM(C55*E55),0)</f>
        <v>415.22622222222219</v>
      </c>
      <c r="G55" s="337"/>
      <c r="H55" s="336">
        <f>F55*$H$49</f>
        <v>38.408425555555553</v>
      </c>
      <c r="I55" s="337"/>
      <c r="J55" s="27" t="s">
        <v>25</v>
      </c>
      <c r="K55" s="15">
        <f t="shared" si="19"/>
        <v>103.80655555555555</v>
      </c>
      <c r="L55" s="3">
        <f t="shared" si="16"/>
        <v>557.44120333333331</v>
      </c>
      <c r="M55" s="26" t="s">
        <v>25</v>
      </c>
      <c r="N55" s="15">
        <f t="shared" si="20"/>
        <v>278.72060166666665</v>
      </c>
      <c r="O55" s="3">
        <f>SUM(N55+L55)</f>
        <v>836.16180499999996</v>
      </c>
      <c r="P55" s="80">
        <f t="shared" si="18"/>
        <v>836.16180499999996</v>
      </c>
    </row>
    <row r="56" spans="1:16" x14ac:dyDescent="0.2">
      <c r="A56" s="95" t="s">
        <v>68</v>
      </c>
      <c r="B56" s="93" t="s">
        <v>238</v>
      </c>
      <c r="C56" s="85">
        <f>'14x14 CONCRETE'!G31</f>
        <v>784</v>
      </c>
      <c r="D56" s="94" t="s">
        <v>12</v>
      </c>
      <c r="E56" s="28">
        <v>3.4</v>
      </c>
      <c r="F56" s="336">
        <f t="shared" si="14"/>
        <v>2665.6</v>
      </c>
      <c r="G56" s="337"/>
      <c r="H56" s="336">
        <f t="shared" si="15"/>
        <v>246.56799999999998</v>
      </c>
      <c r="I56" s="337"/>
      <c r="J56" s="27" t="s">
        <v>25</v>
      </c>
      <c r="K56" s="15">
        <f t="shared" si="19"/>
        <v>666.4</v>
      </c>
      <c r="L56" s="3">
        <f t="shared" si="16"/>
        <v>3578.5679999999998</v>
      </c>
      <c r="M56" s="26" t="s">
        <v>25</v>
      </c>
      <c r="N56" s="15">
        <f t="shared" si="20"/>
        <v>1789.2839999999999</v>
      </c>
      <c r="O56" s="3">
        <f t="shared" si="17"/>
        <v>5367.8519999999999</v>
      </c>
      <c r="P56" s="80">
        <f t="shared" si="18"/>
        <v>5367.8519999999999</v>
      </c>
    </row>
    <row r="57" spans="1:16" x14ac:dyDescent="0.2">
      <c r="A57" s="95" t="s">
        <v>68</v>
      </c>
      <c r="B57" s="93" t="s">
        <v>27</v>
      </c>
      <c r="C57" s="85">
        <v>2</v>
      </c>
      <c r="D57" s="94" t="s">
        <v>16</v>
      </c>
      <c r="E57" s="28">
        <v>20</v>
      </c>
      <c r="F57" s="336">
        <f>IF(A57="x",SUM(C57*E57),0)</f>
        <v>40</v>
      </c>
      <c r="G57" s="337"/>
      <c r="H57" s="336">
        <f>F57*$H$49</f>
        <v>3.7</v>
      </c>
      <c r="I57" s="337"/>
      <c r="J57" s="27" t="s">
        <v>25</v>
      </c>
      <c r="K57" s="15">
        <f>F57*$J$49</f>
        <v>10</v>
      </c>
      <c r="L57" s="3">
        <f t="shared" si="16"/>
        <v>53.7</v>
      </c>
      <c r="M57" s="26" t="s">
        <v>25</v>
      </c>
      <c r="N57" s="15">
        <f>L57*$M$49</f>
        <v>26.85</v>
      </c>
      <c r="O57" s="3">
        <f>SUM(N57+L57)</f>
        <v>80.550000000000011</v>
      </c>
      <c r="P57" s="80">
        <f t="shared" si="18"/>
        <v>80.550000000000011</v>
      </c>
    </row>
    <row r="58" spans="1:16" x14ac:dyDescent="0.2">
      <c r="A58" s="95" t="s">
        <v>68</v>
      </c>
      <c r="B58" s="93" t="s">
        <v>83</v>
      </c>
      <c r="C58" s="85">
        <v>1</v>
      </c>
      <c r="D58" s="94" t="s">
        <v>16</v>
      </c>
      <c r="E58" s="50">
        <v>30</v>
      </c>
      <c r="F58" s="336">
        <f t="shared" si="14"/>
        <v>30</v>
      </c>
      <c r="G58" s="337"/>
      <c r="H58" s="338">
        <f t="shared" si="15"/>
        <v>2.7749999999999999</v>
      </c>
      <c r="I58" s="337"/>
      <c r="J58" s="27" t="s">
        <v>25</v>
      </c>
      <c r="K58" s="15">
        <f t="shared" si="19"/>
        <v>7.5</v>
      </c>
      <c r="L58" s="3">
        <f t="shared" si="16"/>
        <v>40.274999999999999</v>
      </c>
      <c r="M58" s="26" t="s">
        <v>25</v>
      </c>
      <c r="N58" s="15">
        <f>L58*$M$49</f>
        <v>20.137499999999999</v>
      </c>
      <c r="O58" s="3">
        <f t="shared" si="17"/>
        <v>60.412499999999994</v>
      </c>
      <c r="P58" s="80">
        <f t="shared" si="18"/>
        <v>60.412499999999994</v>
      </c>
    </row>
    <row r="59" spans="1:16" x14ac:dyDescent="0.2">
      <c r="A59" s="95"/>
      <c r="B59" s="93"/>
      <c r="C59" s="85"/>
      <c r="D59" s="44"/>
      <c r="E59" s="50"/>
      <c r="F59" s="336">
        <f>IF(A59="x",SUM(C59*E59),0)</f>
        <v>0</v>
      </c>
      <c r="G59" s="337"/>
      <c r="H59" s="338">
        <f>F59*$H$49</f>
        <v>0</v>
      </c>
      <c r="I59" s="337"/>
      <c r="J59" s="27" t="s">
        <v>25</v>
      </c>
      <c r="K59" s="15">
        <f t="shared" si="19"/>
        <v>0</v>
      </c>
      <c r="L59" s="3">
        <f t="shared" si="16"/>
        <v>0</v>
      </c>
      <c r="M59" s="26" t="s">
        <v>25</v>
      </c>
      <c r="N59" s="15">
        <f t="shared" si="20"/>
        <v>0</v>
      </c>
      <c r="O59" s="3">
        <f>SUM(N59+L59)</f>
        <v>0</v>
      </c>
      <c r="P59" s="80">
        <f t="shared" si="18"/>
        <v>0</v>
      </c>
    </row>
    <row r="60" spans="1:16" x14ac:dyDescent="0.2">
      <c r="A60" s="33"/>
      <c r="B60" s="24"/>
      <c r="C60" s="40"/>
      <c r="D60" s="10"/>
      <c r="E60" s="23"/>
      <c r="F60" s="336">
        <f t="shared" si="14"/>
        <v>0</v>
      </c>
      <c r="G60" s="337"/>
      <c r="H60" s="338">
        <f t="shared" si="15"/>
        <v>0</v>
      </c>
      <c r="I60" s="337"/>
      <c r="J60" s="27" t="s">
        <v>25</v>
      </c>
      <c r="K60" s="15">
        <f t="shared" si="19"/>
        <v>0</v>
      </c>
      <c r="L60" s="3">
        <f t="shared" si="16"/>
        <v>0</v>
      </c>
      <c r="M60" s="26" t="s">
        <v>25</v>
      </c>
      <c r="N60" s="15">
        <f t="shared" si="20"/>
        <v>0</v>
      </c>
      <c r="O60" s="3">
        <f t="shared" si="17"/>
        <v>0</v>
      </c>
      <c r="P60" s="80">
        <f t="shared" si="18"/>
        <v>0</v>
      </c>
    </row>
    <row r="61" spans="1:16" x14ac:dyDescent="0.2">
      <c r="A61" s="95"/>
      <c r="B61" s="24"/>
      <c r="C61" s="40"/>
      <c r="D61" s="44"/>
      <c r="E61" s="23"/>
      <c r="F61" s="336">
        <f>IF(A61="x",SUM(C61*E61),0)</f>
        <v>0</v>
      </c>
      <c r="G61" s="337"/>
      <c r="H61" s="338">
        <f>F61*$H$49</f>
        <v>0</v>
      </c>
      <c r="I61" s="337"/>
      <c r="J61" s="27" t="s">
        <v>25</v>
      </c>
      <c r="K61" s="15">
        <f t="shared" si="19"/>
        <v>0</v>
      </c>
      <c r="L61" s="3">
        <f t="shared" si="16"/>
        <v>0</v>
      </c>
      <c r="M61" s="26" t="s">
        <v>25</v>
      </c>
      <c r="N61" s="15">
        <f t="shared" si="20"/>
        <v>0</v>
      </c>
      <c r="O61" s="3">
        <f>SUM(N61+L61)</f>
        <v>0</v>
      </c>
      <c r="P61" s="80">
        <f t="shared" si="18"/>
        <v>0</v>
      </c>
    </row>
    <row r="62" spans="1:16" x14ac:dyDescent="0.2">
      <c r="A62" s="33"/>
      <c r="B62" s="24"/>
      <c r="C62" s="85"/>
      <c r="D62" s="44"/>
      <c r="E62" s="28"/>
      <c r="F62" s="336">
        <f t="shared" si="14"/>
        <v>0</v>
      </c>
      <c r="G62" s="337"/>
      <c r="H62" s="338">
        <f t="shared" si="15"/>
        <v>0</v>
      </c>
      <c r="I62" s="337"/>
      <c r="J62" s="27" t="s">
        <v>25</v>
      </c>
      <c r="K62" s="15">
        <f t="shared" si="19"/>
        <v>0</v>
      </c>
      <c r="L62" s="3">
        <f t="shared" si="16"/>
        <v>0</v>
      </c>
      <c r="M62" s="26" t="s">
        <v>25</v>
      </c>
      <c r="N62" s="15">
        <f t="shared" si="20"/>
        <v>0</v>
      </c>
      <c r="O62" s="3">
        <f t="shared" si="17"/>
        <v>0</v>
      </c>
      <c r="P62" s="80">
        <f t="shared" si="18"/>
        <v>0</v>
      </c>
    </row>
    <row r="63" spans="1:16" x14ac:dyDescent="0.2">
      <c r="A63" s="33"/>
      <c r="B63" s="13"/>
      <c r="C63" s="85"/>
      <c r="D63" s="10"/>
      <c r="E63" s="28"/>
      <c r="F63" s="336">
        <f t="shared" si="14"/>
        <v>0</v>
      </c>
      <c r="G63" s="337"/>
      <c r="H63" s="338">
        <f t="shared" si="15"/>
        <v>0</v>
      </c>
      <c r="I63" s="337"/>
      <c r="J63" s="27" t="s">
        <v>25</v>
      </c>
      <c r="K63" s="15">
        <f t="shared" si="19"/>
        <v>0</v>
      </c>
      <c r="L63" s="3">
        <f t="shared" si="16"/>
        <v>0</v>
      </c>
      <c r="M63" s="26" t="s">
        <v>25</v>
      </c>
      <c r="N63" s="15">
        <f t="shared" si="20"/>
        <v>0</v>
      </c>
      <c r="O63" s="3">
        <f t="shared" si="17"/>
        <v>0</v>
      </c>
      <c r="P63" s="80">
        <f t="shared" si="18"/>
        <v>0</v>
      </c>
    </row>
    <row r="64" spans="1:16" x14ac:dyDescent="0.2">
      <c r="A64" s="33"/>
      <c r="B64" s="13"/>
      <c r="C64" s="85"/>
      <c r="D64" s="10"/>
      <c r="E64" s="28"/>
      <c r="F64" s="336">
        <f>IF(A64="x",SUM(C64*E64),0)</f>
        <v>0</v>
      </c>
      <c r="G64" s="337"/>
      <c r="H64" s="338">
        <f>F64*$H$49</f>
        <v>0</v>
      </c>
      <c r="I64" s="337"/>
      <c r="J64" s="27" t="s">
        <v>25</v>
      </c>
      <c r="K64" s="15">
        <f t="shared" si="19"/>
        <v>0</v>
      </c>
      <c r="L64" s="3">
        <f t="shared" si="16"/>
        <v>0</v>
      </c>
      <c r="M64" s="26" t="s">
        <v>25</v>
      </c>
      <c r="N64" s="15">
        <f t="shared" si="20"/>
        <v>0</v>
      </c>
      <c r="O64" s="3">
        <f>SUM(N64+L64)</f>
        <v>0</v>
      </c>
      <c r="P64" s="80">
        <f t="shared" si="18"/>
        <v>0</v>
      </c>
    </row>
    <row r="65" spans="1:16" x14ac:dyDescent="0.2">
      <c r="A65" s="33"/>
      <c r="B65" s="93"/>
      <c r="C65" s="85"/>
      <c r="D65" s="10"/>
      <c r="E65" s="28"/>
      <c r="F65" s="336">
        <f>IF(A65="x",SUM(C65*E65),0)</f>
        <v>0</v>
      </c>
      <c r="G65" s="337"/>
      <c r="H65" s="338">
        <f>F65*$H$49</f>
        <v>0</v>
      </c>
      <c r="I65" s="337"/>
      <c r="J65" s="27" t="s">
        <v>25</v>
      </c>
      <c r="K65" s="15">
        <f t="shared" si="19"/>
        <v>0</v>
      </c>
      <c r="L65" s="3">
        <f t="shared" si="16"/>
        <v>0</v>
      </c>
      <c r="M65" s="26" t="s">
        <v>25</v>
      </c>
      <c r="N65" s="15">
        <f t="shared" si="20"/>
        <v>0</v>
      </c>
      <c r="O65" s="3">
        <f>SUM(N65+L65)</f>
        <v>0</v>
      </c>
      <c r="P65" s="80">
        <f t="shared" si="18"/>
        <v>0</v>
      </c>
    </row>
    <row r="66" spans="1:16" x14ac:dyDescent="0.2">
      <c r="A66" s="33"/>
      <c r="B66" s="13"/>
      <c r="C66" s="85"/>
      <c r="D66" s="10"/>
      <c r="E66" s="28"/>
      <c r="F66" s="336">
        <f>IF(A66="x",SUM(C66*E66),0)</f>
        <v>0</v>
      </c>
      <c r="G66" s="337"/>
      <c r="H66" s="338">
        <f>F66*$H$49</f>
        <v>0</v>
      </c>
      <c r="I66" s="337"/>
      <c r="J66" s="27" t="s">
        <v>25</v>
      </c>
      <c r="K66" s="15">
        <f t="shared" si="19"/>
        <v>0</v>
      </c>
      <c r="L66" s="3">
        <f t="shared" si="16"/>
        <v>0</v>
      </c>
      <c r="M66" s="26" t="s">
        <v>25</v>
      </c>
      <c r="N66" s="15">
        <f t="shared" si="20"/>
        <v>0</v>
      </c>
      <c r="O66" s="3">
        <f>SUM(N66+L66)</f>
        <v>0</v>
      </c>
      <c r="P66" s="80">
        <f t="shared" si="18"/>
        <v>0</v>
      </c>
    </row>
    <row r="67" spans="1:16" ht="15.75" thickBot="1" x14ac:dyDescent="0.25">
      <c r="A67" s="9" t="s">
        <v>68</v>
      </c>
      <c r="B67" s="198" t="s">
        <v>151</v>
      </c>
      <c r="C67" s="87">
        <v>200</v>
      </c>
      <c r="D67" s="199" t="s">
        <v>17</v>
      </c>
      <c r="E67" s="30">
        <v>0.35</v>
      </c>
      <c r="F67" s="336">
        <f>IF(A67="x",SUM(C67*E67),0)</f>
        <v>70</v>
      </c>
      <c r="G67" s="337"/>
      <c r="H67" s="338">
        <f>F67*$H$49</f>
        <v>6.4749999999999996</v>
      </c>
      <c r="I67" s="337"/>
      <c r="J67" s="200" t="s">
        <v>25</v>
      </c>
      <c r="K67" s="15">
        <f t="shared" si="19"/>
        <v>17.5</v>
      </c>
      <c r="L67" s="3">
        <f t="shared" si="16"/>
        <v>93.974999999999994</v>
      </c>
      <c r="M67" s="199" t="s">
        <v>25</v>
      </c>
      <c r="N67" s="15">
        <f>L67*$M$49</f>
        <v>46.987499999999997</v>
      </c>
      <c r="O67" s="3">
        <f>SUM(N67+L67)</f>
        <v>140.96249999999998</v>
      </c>
      <c r="P67" s="80">
        <f t="shared" si="18"/>
        <v>140.96249999999998</v>
      </c>
    </row>
    <row r="68" spans="1:16" ht="16.5" thickBot="1" x14ac:dyDescent="0.3">
      <c r="A68" s="9"/>
      <c r="B68" s="13"/>
      <c r="C68" s="326" t="s">
        <v>4</v>
      </c>
      <c r="D68" s="339"/>
      <c r="E68" s="34"/>
      <c r="F68" s="340">
        <f>SUM(F50:G66)</f>
        <v>6560.7638888888887</v>
      </c>
      <c r="G68" s="329"/>
      <c r="H68" s="328">
        <f>SUM(H50:I67)</f>
        <v>613.34565972222231</v>
      </c>
      <c r="I68" s="329"/>
      <c r="J68" s="328">
        <f>SUM(K50:K67)</f>
        <v>1657.6909722222222</v>
      </c>
      <c r="K68" s="329"/>
      <c r="L68" s="31">
        <f>SUM(L50:L67)</f>
        <v>8901.8005208333325</v>
      </c>
      <c r="M68" s="341">
        <f>SUM(N50:N67)</f>
        <v>4450.9002604166662</v>
      </c>
      <c r="N68" s="342"/>
      <c r="O68" s="31">
        <f>SUM(O50:O67)</f>
        <v>13352.700781249998</v>
      </c>
      <c r="P68" s="80">
        <f t="shared" si="18"/>
        <v>13352.700781249998</v>
      </c>
    </row>
    <row r="69" spans="1:16" x14ac:dyDescent="0.2">
      <c r="A69" s="9"/>
      <c r="B69" s="1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4"/>
    </row>
    <row r="70" spans="1:16" ht="18" x14ac:dyDescent="0.25">
      <c r="A70" s="9"/>
      <c r="B70" s="16" t="s">
        <v>36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86"/>
    </row>
    <row r="71" spans="1:16" ht="18" x14ac:dyDescent="0.25">
      <c r="A71" s="9"/>
      <c r="B71" s="16"/>
      <c r="C71" s="17" t="s">
        <v>8</v>
      </c>
      <c r="D71" s="17" t="s">
        <v>9</v>
      </c>
      <c r="E71" s="17" t="s">
        <v>10</v>
      </c>
      <c r="F71" s="333" t="s">
        <v>36</v>
      </c>
      <c r="G71" s="333"/>
      <c r="H71" s="162">
        <f>H49</f>
        <v>9.2499999999999999E-2</v>
      </c>
      <c r="I71" s="19" t="s">
        <v>19</v>
      </c>
      <c r="J71" s="21">
        <f>H13</f>
        <v>0.25</v>
      </c>
      <c r="K71" s="19" t="s">
        <v>23</v>
      </c>
      <c r="L71" s="18" t="s">
        <v>4</v>
      </c>
      <c r="M71" s="90">
        <f>$H$7</f>
        <v>0.5</v>
      </c>
      <c r="N71" s="22" t="s">
        <v>24</v>
      </c>
      <c r="O71" s="18" t="s">
        <v>5</v>
      </c>
      <c r="P71" s="84" t="s">
        <v>21</v>
      </c>
    </row>
    <row r="72" spans="1:16" x14ac:dyDescent="0.2">
      <c r="A72" s="152" t="s">
        <v>68</v>
      </c>
      <c r="B72" s="93" t="s">
        <v>82</v>
      </c>
      <c r="C72" s="85">
        <v>144</v>
      </c>
      <c r="D72" s="94" t="s">
        <v>12</v>
      </c>
      <c r="E72" s="51">
        <v>1</v>
      </c>
      <c r="F72" s="334">
        <f t="shared" ref="F72:F78" si="21">IF(A72="x",SUM(C72*E72),0)</f>
        <v>144</v>
      </c>
      <c r="G72" s="335"/>
      <c r="H72" s="334">
        <f t="shared" ref="H72:H78" si="22">F72*$H$49</f>
        <v>13.32</v>
      </c>
      <c r="I72" s="335"/>
      <c r="J72" s="25" t="s">
        <v>25</v>
      </c>
      <c r="K72" s="15">
        <f>F72*$J$71</f>
        <v>36</v>
      </c>
      <c r="L72" s="3">
        <f t="shared" ref="L72:L78" si="23">SUM(F72:K72)</f>
        <v>193.32</v>
      </c>
      <c r="M72" s="26" t="s">
        <v>25</v>
      </c>
      <c r="N72" s="15">
        <f t="shared" ref="N72:N78" si="24">L72*$M$71</f>
        <v>96.66</v>
      </c>
      <c r="O72" s="3">
        <f t="shared" ref="O72:O78" si="25">SUM(N72+L72)</f>
        <v>289.98</v>
      </c>
      <c r="P72" s="80">
        <f t="shared" ref="P72:P80" si="26">SUM(O72)</f>
        <v>289.98</v>
      </c>
    </row>
    <row r="73" spans="1:16" x14ac:dyDescent="0.2">
      <c r="A73" s="152"/>
      <c r="B73" s="24"/>
      <c r="C73" s="85">
        <v>0</v>
      </c>
      <c r="D73" s="44" t="s">
        <v>17</v>
      </c>
      <c r="E73" s="28">
        <v>0.25</v>
      </c>
      <c r="F73" s="336">
        <f t="shared" si="21"/>
        <v>0</v>
      </c>
      <c r="G73" s="337"/>
      <c r="H73" s="336">
        <f t="shared" si="22"/>
        <v>0</v>
      </c>
      <c r="I73" s="337"/>
      <c r="J73" s="27" t="s">
        <v>25</v>
      </c>
      <c r="K73" s="15">
        <f t="shared" ref="K73:K78" si="27">F73*$J$71</f>
        <v>0</v>
      </c>
      <c r="L73" s="3">
        <f t="shared" si="23"/>
        <v>0</v>
      </c>
      <c r="M73" s="26" t="s">
        <v>25</v>
      </c>
      <c r="N73" s="15">
        <f t="shared" si="24"/>
        <v>0</v>
      </c>
      <c r="O73" s="3">
        <f t="shared" si="25"/>
        <v>0</v>
      </c>
      <c r="P73" s="80">
        <f t="shared" si="26"/>
        <v>0</v>
      </c>
    </row>
    <row r="74" spans="1:16" x14ac:dyDescent="0.2">
      <c r="A74" s="46" t="s">
        <v>26</v>
      </c>
      <c r="B74" s="24" t="s">
        <v>37</v>
      </c>
      <c r="C74" s="85">
        <f>$C$43+$C$29</f>
        <v>133</v>
      </c>
      <c r="D74" s="94" t="s">
        <v>53</v>
      </c>
      <c r="E74" s="28">
        <v>0.15</v>
      </c>
      <c r="F74" s="336">
        <f t="shared" si="21"/>
        <v>19.95</v>
      </c>
      <c r="G74" s="337"/>
      <c r="H74" s="336">
        <f t="shared" si="22"/>
        <v>1.845375</v>
      </c>
      <c r="I74" s="337"/>
      <c r="J74" s="27" t="s">
        <v>25</v>
      </c>
      <c r="K74" s="15">
        <f t="shared" si="27"/>
        <v>4.9874999999999998</v>
      </c>
      <c r="L74" s="3">
        <f t="shared" si="23"/>
        <v>26.782875000000001</v>
      </c>
      <c r="M74" s="26" t="s">
        <v>25</v>
      </c>
      <c r="N74" s="15">
        <f t="shared" si="24"/>
        <v>13.3914375</v>
      </c>
      <c r="O74" s="3">
        <f t="shared" si="25"/>
        <v>40.174312499999999</v>
      </c>
      <c r="P74" s="80">
        <f t="shared" si="26"/>
        <v>40.174312499999999</v>
      </c>
    </row>
    <row r="75" spans="1:16" x14ac:dyDescent="0.2">
      <c r="A75" s="95" t="s">
        <v>26</v>
      </c>
      <c r="B75" s="93" t="s">
        <v>125</v>
      </c>
      <c r="C75" s="85">
        <f>$C$43+$C$29</f>
        <v>133</v>
      </c>
      <c r="D75" s="94" t="s">
        <v>53</v>
      </c>
      <c r="E75" s="28">
        <v>0.25</v>
      </c>
      <c r="F75" s="336">
        <f>IF(A75="x",SUM(C75*E75),0)</f>
        <v>33.25</v>
      </c>
      <c r="G75" s="337"/>
      <c r="H75" s="336">
        <f t="shared" si="22"/>
        <v>3.0756250000000001</v>
      </c>
      <c r="I75" s="337"/>
      <c r="J75" s="27" t="s">
        <v>25</v>
      </c>
      <c r="K75" s="15">
        <f t="shared" si="27"/>
        <v>8.3125</v>
      </c>
      <c r="L75" s="3">
        <f t="shared" si="23"/>
        <v>44.638125000000002</v>
      </c>
      <c r="M75" s="26" t="s">
        <v>25</v>
      </c>
      <c r="N75" s="15">
        <f t="shared" si="24"/>
        <v>22.319062500000001</v>
      </c>
      <c r="O75" s="3">
        <f t="shared" si="25"/>
        <v>66.957187500000003</v>
      </c>
      <c r="P75" s="80">
        <f t="shared" si="26"/>
        <v>66.957187500000003</v>
      </c>
    </row>
    <row r="76" spans="1:16" x14ac:dyDescent="0.2">
      <c r="A76" s="95" t="s">
        <v>26</v>
      </c>
      <c r="B76" s="93" t="s">
        <v>22</v>
      </c>
      <c r="C76" s="85">
        <f>$C$43+$C$29</f>
        <v>133</v>
      </c>
      <c r="D76" s="94" t="s">
        <v>53</v>
      </c>
      <c r="E76" s="28">
        <v>0.5</v>
      </c>
      <c r="F76" s="336">
        <f t="shared" si="21"/>
        <v>66.5</v>
      </c>
      <c r="G76" s="337"/>
      <c r="H76" s="336">
        <f t="shared" si="22"/>
        <v>6.1512500000000001</v>
      </c>
      <c r="I76" s="337"/>
      <c r="J76" s="27" t="s">
        <v>25</v>
      </c>
      <c r="K76" s="15">
        <f t="shared" si="27"/>
        <v>16.625</v>
      </c>
      <c r="L76" s="3">
        <f t="shared" si="23"/>
        <v>89.276250000000005</v>
      </c>
      <c r="M76" s="26" t="s">
        <v>25</v>
      </c>
      <c r="N76" s="15">
        <f t="shared" si="24"/>
        <v>44.638125000000002</v>
      </c>
      <c r="O76" s="3">
        <f t="shared" si="25"/>
        <v>133.91437500000001</v>
      </c>
      <c r="P76" s="80">
        <f t="shared" si="26"/>
        <v>133.91437500000001</v>
      </c>
    </row>
    <row r="77" spans="1:16" x14ac:dyDescent="0.2">
      <c r="A77" s="95" t="s">
        <v>68</v>
      </c>
      <c r="B77" s="93" t="s">
        <v>94</v>
      </c>
      <c r="C77" s="85">
        <v>100</v>
      </c>
      <c r="D77" s="94" t="s">
        <v>11</v>
      </c>
      <c r="E77" s="28">
        <v>1.5</v>
      </c>
      <c r="F77" s="336">
        <f t="shared" si="21"/>
        <v>150</v>
      </c>
      <c r="G77" s="337"/>
      <c r="H77" s="336">
        <f t="shared" si="22"/>
        <v>13.875</v>
      </c>
      <c r="I77" s="337"/>
      <c r="J77" s="27" t="s">
        <v>25</v>
      </c>
      <c r="K77" s="15">
        <f t="shared" si="27"/>
        <v>37.5</v>
      </c>
      <c r="L77" s="3">
        <f t="shared" si="23"/>
        <v>201.375</v>
      </c>
      <c r="M77" s="26" t="s">
        <v>25</v>
      </c>
      <c r="N77" s="15">
        <f t="shared" si="24"/>
        <v>100.6875</v>
      </c>
      <c r="O77" s="3">
        <f t="shared" si="25"/>
        <v>302.0625</v>
      </c>
      <c r="P77" s="80">
        <f t="shared" si="26"/>
        <v>302.0625</v>
      </c>
    </row>
    <row r="78" spans="1:16" x14ac:dyDescent="0.2">
      <c r="A78" s="46"/>
      <c r="B78" s="24"/>
      <c r="C78" s="85"/>
      <c r="D78" s="44"/>
      <c r="E78" s="28"/>
      <c r="F78" s="336">
        <f t="shared" si="21"/>
        <v>0</v>
      </c>
      <c r="G78" s="337"/>
      <c r="H78" s="336">
        <f t="shared" si="22"/>
        <v>0</v>
      </c>
      <c r="I78" s="337"/>
      <c r="J78" s="27" t="s">
        <v>25</v>
      </c>
      <c r="K78" s="15">
        <f t="shared" si="27"/>
        <v>0</v>
      </c>
      <c r="L78" s="3">
        <f t="shared" si="23"/>
        <v>0</v>
      </c>
      <c r="M78" s="26" t="s">
        <v>25</v>
      </c>
      <c r="N78" s="15">
        <f t="shared" si="24"/>
        <v>0</v>
      </c>
      <c r="O78" s="3">
        <f t="shared" si="25"/>
        <v>0</v>
      </c>
      <c r="P78" s="80">
        <f t="shared" si="26"/>
        <v>0</v>
      </c>
    </row>
    <row r="79" spans="1:16" ht="16.5" thickBot="1" x14ac:dyDescent="0.3">
      <c r="A79" s="9"/>
      <c r="B79" s="29"/>
      <c r="C79" s="87"/>
      <c r="D79" s="11"/>
      <c r="E79" s="30"/>
      <c r="F79" s="353"/>
      <c r="G79" s="354"/>
      <c r="H79" s="358"/>
      <c r="I79" s="359"/>
      <c r="J79" s="6"/>
      <c r="K79" s="4"/>
      <c r="L79" s="5"/>
      <c r="M79" s="2"/>
      <c r="N79" s="8"/>
      <c r="O79" s="1"/>
      <c r="P79" s="80">
        <f t="shared" si="26"/>
        <v>0</v>
      </c>
    </row>
    <row r="80" spans="1:16" ht="16.5" thickBot="1" x14ac:dyDescent="0.3">
      <c r="A80" s="9"/>
      <c r="B80" s="13"/>
      <c r="C80" s="326" t="s">
        <v>4</v>
      </c>
      <c r="D80" s="339"/>
      <c r="E80" s="34"/>
      <c r="F80" s="340">
        <f>SUM(F72:G78)</f>
        <v>413.7</v>
      </c>
      <c r="G80" s="329"/>
      <c r="H80" s="328">
        <f>SUM(H72:I79)</f>
        <v>38.267250000000004</v>
      </c>
      <c r="I80" s="329"/>
      <c r="J80" s="328">
        <f>SUM(K72:K79)</f>
        <v>103.425</v>
      </c>
      <c r="K80" s="329"/>
      <c r="L80" s="31">
        <f>SUM(L72:L79)</f>
        <v>555.39224999999999</v>
      </c>
      <c r="M80" s="341">
        <f>SUM(N72:N79)</f>
        <v>277.69612499999999</v>
      </c>
      <c r="N80" s="342"/>
      <c r="O80" s="31">
        <f>SUM(O72:O79)</f>
        <v>833.08837500000004</v>
      </c>
      <c r="P80" s="80">
        <f t="shared" si="26"/>
        <v>833.08837500000004</v>
      </c>
    </row>
    <row r="81" spans="1:16" ht="15.75" x14ac:dyDescent="0.25">
      <c r="A81" s="9"/>
      <c r="B81" s="13"/>
      <c r="C81" s="10"/>
      <c r="D81" s="10"/>
      <c r="E81" s="10"/>
      <c r="F81" s="126"/>
      <c r="G81" s="126"/>
      <c r="H81" s="126"/>
      <c r="I81" s="126"/>
      <c r="J81" s="126"/>
      <c r="K81" s="126"/>
      <c r="L81" s="127"/>
      <c r="M81" s="128"/>
      <c r="N81" s="128"/>
      <c r="O81" s="127"/>
      <c r="P81" s="129"/>
    </row>
    <row r="82" spans="1:16" ht="18" x14ac:dyDescent="0.25">
      <c r="A82" s="9"/>
      <c r="B82" s="16" t="s">
        <v>13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88"/>
    </row>
    <row r="83" spans="1:16" ht="14.25" x14ac:dyDescent="0.2">
      <c r="A83" s="9"/>
      <c r="B83" s="36" t="s">
        <v>30</v>
      </c>
      <c r="C83" s="96" t="s">
        <v>8</v>
      </c>
      <c r="D83" s="96" t="s">
        <v>20</v>
      </c>
      <c r="E83" s="96" t="s">
        <v>3</v>
      </c>
      <c r="F83" s="345" t="s">
        <v>13</v>
      </c>
      <c r="G83" s="345"/>
      <c r="H83" s="345" t="s">
        <v>29</v>
      </c>
      <c r="I83" s="345"/>
      <c r="J83" s="21">
        <f>H13</f>
        <v>0.25</v>
      </c>
      <c r="K83" s="19" t="s">
        <v>23</v>
      </c>
      <c r="L83" s="18" t="s">
        <v>4</v>
      </c>
      <c r="M83" s="90">
        <f>$H$7</f>
        <v>0.5</v>
      </c>
      <c r="N83" s="22" t="s">
        <v>24</v>
      </c>
      <c r="O83" s="18" t="s">
        <v>5</v>
      </c>
      <c r="P83" s="84" t="s">
        <v>21</v>
      </c>
    </row>
    <row r="84" spans="1:16" x14ac:dyDescent="0.2">
      <c r="A84" s="9"/>
      <c r="B84" s="167" t="s">
        <v>89</v>
      </c>
      <c r="C84" s="85">
        <v>1</v>
      </c>
      <c r="D84" s="52">
        <v>1</v>
      </c>
      <c r="E84" s="134">
        <v>25</v>
      </c>
      <c r="F84" s="346">
        <f t="shared" ref="F84:F89" si="28">C84*D84*E84</f>
        <v>25</v>
      </c>
      <c r="G84" s="347"/>
      <c r="H84" s="334">
        <v>3</v>
      </c>
      <c r="I84" s="335"/>
      <c r="J84" s="25" t="s">
        <v>25</v>
      </c>
      <c r="K84" s="15">
        <f t="shared" ref="K84:K89" si="29">F84*$J$83</f>
        <v>6.25</v>
      </c>
      <c r="L84" s="3">
        <f>SUM(F84:K84)</f>
        <v>34.25</v>
      </c>
      <c r="M84" s="26" t="s">
        <v>25</v>
      </c>
      <c r="N84" s="15">
        <f>L84*$M$83</f>
        <v>17.125</v>
      </c>
      <c r="O84" s="3">
        <f>SUM(N84+L84)</f>
        <v>51.375</v>
      </c>
      <c r="P84" s="80">
        <f t="shared" ref="P84:P90" si="30">SUM(O84)</f>
        <v>51.375</v>
      </c>
    </row>
    <row r="85" spans="1:16" x14ac:dyDescent="0.2">
      <c r="A85" s="9"/>
      <c r="B85" s="94" t="s">
        <v>90</v>
      </c>
      <c r="C85" s="85">
        <v>1</v>
      </c>
      <c r="D85" s="52">
        <v>2</v>
      </c>
      <c r="E85" s="45">
        <v>45</v>
      </c>
      <c r="F85" s="348">
        <f t="shared" si="28"/>
        <v>90</v>
      </c>
      <c r="G85" s="349"/>
      <c r="H85" s="336">
        <v>0</v>
      </c>
      <c r="I85" s="337"/>
      <c r="J85" s="27" t="s">
        <v>25</v>
      </c>
      <c r="K85" s="15">
        <f t="shared" si="29"/>
        <v>22.5</v>
      </c>
      <c r="L85" s="3">
        <f>SUM(F85:K85)</f>
        <v>112.5</v>
      </c>
      <c r="M85" s="26" t="s">
        <v>25</v>
      </c>
      <c r="N85" s="15">
        <f>L85*$M$83</f>
        <v>56.25</v>
      </c>
      <c r="O85" s="3">
        <f>SUM(N85+L85)</f>
        <v>168.75</v>
      </c>
      <c r="P85" s="80">
        <f t="shared" si="30"/>
        <v>168.75</v>
      </c>
    </row>
    <row r="86" spans="1:16" x14ac:dyDescent="0.2">
      <c r="A86" s="9"/>
      <c r="B86" s="94" t="s">
        <v>91</v>
      </c>
      <c r="C86" s="85">
        <v>1</v>
      </c>
      <c r="D86" s="52">
        <v>1</v>
      </c>
      <c r="E86" s="45">
        <v>20</v>
      </c>
      <c r="F86" s="348">
        <f t="shared" si="28"/>
        <v>20</v>
      </c>
      <c r="G86" s="349"/>
      <c r="H86" s="336">
        <v>0</v>
      </c>
      <c r="I86" s="337"/>
      <c r="J86" s="27" t="s">
        <v>25</v>
      </c>
      <c r="K86" s="15">
        <f t="shared" si="29"/>
        <v>5</v>
      </c>
      <c r="L86" s="3">
        <f>SUM(F86:K86)</f>
        <v>25</v>
      </c>
      <c r="M86" s="26" t="s">
        <v>25</v>
      </c>
      <c r="N86" s="15">
        <f>L86*$M$83</f>
        <v>12.5</v>
      </c>
      <c r="O86" s="3">
        <f>SUM(N86+L86)</f>
        <v>37.5</v>
      </c>
      <c r="P86" s="80">
        <f t="shared" si="30"/>
        <v>37.5</v>
      </c>
    </row>
    <row r="87" spans="1:16" x14ac:dyDescent="0.2">
      <c r="A87" s="165" t="s">
        <v>68</v>
      </c>
      <c r="B87" s="94" t="s">
        <v>92</v>
      </c>
      <c r="C87" s="85">
        <v>1</v>
      </c>
      <c r="D87" s="52">
        <v>1</v>
      </c>
      <c r="E87" s="45">
        <v>400</v>
      </c>
      <c r="F87" s="348">
        <f t="shared" si="28"/>
        <v>400</v>
      </c>
      <c r="G87" s="349"/>
      <c r="H87" s="336">
        <v>12</v>
      </c>
      <c r="I87" s="337"/>
      <c r="J87" s="27" t="s">
        <v>25</v>
      </c>
      <c r="K87" s="15">
        <f t="shared" si="29"/>
        <v>100</v>
      </c>
      <c r="L87" s="3">
        <f>SUM(F87:K87)</f>
        <v>512</v>
      </c>
      <c r="M87" s="26" t="s">
        <v>25</v>
      </c>
      <c r="N87" s="15">
        <f>L87*$M$83</f>
        <v>256</v>
      </c>
      <c r="O87" s="3">
        <f>SUM(N87+L87)</f>
        <v>768</v>
      </c>
      <c r="P87" s="80">
        <f t="shared" si="30"/>
        <v>768</v>
      </c>
    </row>
    <row r="88" spans="1:16" x14ac:dyDescent="0.2">
      <c r="A88" s="9"/>
      <c r="B88" s="94" t="s">
        <v>93</v>
      </c>
      <c r="C88" s="85">
        <v>1</v>
      </c>
      <c r="D88" s="52">
        <v>2</v>
      </c>
      <c r="E88" s="45">
        <v>100</v>
      </c>
      <c r="F88" s="348">
        <f t="shared" si="28"/>
        <v>200</v>
      </c>
      <c r="G88" s="349"/>
      <c r="H88" s="336">
        <v>0</v>
      </c>
      <c r="I88" s="337"/>
      <c r="J88" s="27" t="s">
        <v>25</v>
      </c>
      <c r="K88" s="15">
        <f t="shared" si="29"/>
        <v>50</v>
      </c>
      <c r="L88" s="3">
        <f>SUM(F88:K88)</f>
        <v>250</v>
      </c>
      <c r="M88" s="26" t="s">
        <v>25</v>
      </c>
      <c r="N88" s="15">
        <f>L88*$M$83</f>
        <v>125</v>
      </c>
      <c r="O88" s="3">
        <f>SUM(N88+L88)</f>
        <v>375</v>
      </c>
      <c r="P88" s="80">
        <f t="shared" si="30"/>
        <v>375</v>
      </c>
    </row>
    <row r="89" spans="1:16" ht="13.5" thickBot="1" x14ac:dyDescent="0.25">
      <c r="A89" s="9"/>
      <c r="B89" s="94" t="s">
        <v>105</v>
      </c>
      <c r="C89" s="87">
        <v>1</v>
      </c>
      <c r="D89" s="52">
        <v>4</v>
      </c>
      <c r="E89" s="44">
        <v>100</v>
      </c>
      <c r="F89" s="348">
        <f t="shared" si="28"/>
        <v>400</v>
      </c>
      <c r="G89" s="349"/>
      <c r="H89" s="336"/>
      <c r="I89" s="337"/>
      <c r="J89" s="27"/>
      <c r="K89" s="15">
        <f t="shared" si="29"/>
        <v>100</v>
      </c>
      <c r="L89" s="3"/>
      <c r="M89" s="26"/>
      <c r="N89" s="15"/>
      <c r="O89" s="3"/>
      <c r="P89" s="80">
        <f t="shared" si="30"/>
        <v>0</v>
      </c>
    </row>
    <row r="90" spans="1:16" ht="16.5" thickBot="1" x14ac:dyDescent="0.3">
      <c r="A90" s="9"/>
      <c r="B90" s="13"/>
      <c r="C90" s="326" t="s">
        <v>4</v>
      </c>
      <c r="D90" s="339"/>
      <c r="E90" s="34"/>
      <c r="F90" s="328">
        <f>SUM(F84:G89)</f>
        <v>1135</v>
      </c>
      <c r="G90" s="329"/>
      <c r="H90" s="328">
        <f>SUM(H84:I89)</f>
        <v>15</v>
      </c>
      <c r="I90" s="329"/>
      <c r="J90" s="328">
        <f>SUM(J84:K89)</f>
        <v>283.75</v>
      </c>
      <c r="K90" s="329"/>
      <c r="L90" s="31">
        <f>SUM(L84:L89)</f>
        <v>933.75</v>
      </c>
      <c r="M90" s="328">
        <f>SUM(M84:N89)</f>
        <v>466.875</v>
      </c>
      <c r="N90" s="329"/>
      <c r="O90" s="31">
        <f>SUM(O84:O89)</f>
        <v>1400.625</v>
      </c>
      <c r="P90" s="80">
        <f t="shared" si="30"/>
        <v>1400.625</v>
      </c>
    </row>
    <row r="91" spans="1:16" x14ac:dyDescent="0.2">
      <c r="A91" s="9"/>
      <c r="B91" s="1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4"/>
    </row>
    <row r="92" spans="1:16" ht="13.5" thickBot="1" x14ac:dyDescent="0.25">
      <c r="A92" s="9"/>
      <c r="B92" s="1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"/>
      <c r="O92" s="10"/>
      <c r="P92" s="80">
        <f>SUM(O92)</f>
        <v>0</v>
      </c>
    </row>
    <row r="93" spans="1:16" ht="21" thickBot="1" x14ac:dyDescent="0.35">
      <c r="A93" s="9"/>
      <c r="B93" s="13"/>
      <c r="C93" s="350" t="s">
        <v>15</v>
      </c>
      <c r="D93" s="351"/>
      <c r="E93" s="37"/>
      <c r="F93" s="37"/>
      <c r="G93" s="37"/>
      <c r="H93" s="37"/>
      <c r="I93" s="37"/>
      <c r="J93" s="37"/>
      <c r="K93" s="37"/>
      <c r="L93" s="202">
        <f>SUM(L45,L68,L80,L90)</f>
        <v>14913.997770833334</v>
      </c>
      <c r="M93" s="37"/>
      <c r="N93" s="38"/>
      <c r="O93" s="202">
        <f>SUM(O29,O43,O68,O80,O90)</f>
        <v>22370.996656249998</v>
      </c>
      <c r="P93" s="80">
        <f>SUM(O93)</f>
        <v>22370.996656249998</v>
      </c>
    </row>
  </sheetData>
  <mergeCells count="122">
    <mergeCell ref="A1:A19"/>
    <mergeCell ref="B1:D2"/>
    <mergeCell ref="E1:F1"/>
    <mergeCell ref="N1:O1"/>
    <mergeCell ref="E2:G3"/>
    <mergeCell ref="C4:E6"/>
    <mergeCell ref="F4:F18"/>
    <mergeCell ref="G4:I4"/>
    <mergeCell ref="J4:J18"/>
    <mergeCell ref="H5:I5"/>
    <mergeCell ref="C9:E9"/>
    <mergeCell ref="H9:I9"/>
    <mergeCell ref="C10:E10"/>
    <mergeCell ref="G10:I10"/>
    <mergeCell ref="K10:L10"/>
    <mergeCell ref="C11:E11"/>
    <mergeCell ref="H11:I11"/>
    <mergeCell ref="G6:I6"/>
    <mergeCell ref="C7:E7"/>
    <mergeCell ref="H7:I7"/>
    <mergeCell ref="K7:L7"/>
    <mergeCell ref="C8:E8"/>
    <mergeCell ref="H8:I8"/>
    <mergeCell ref="K8:L8"/>
    <mergeCell ref="C46:P46"/>
    <mergeCell ref="C47:P47"/>
    <mergeCell ref="F49:G49"/>
    <mergeCell ref="F50:G50"/>
    <mergeCell ref="H50:I50"/>
    <mergeCell ref="F51:G51"/>
    <mergeCell ref="H51:I51"/>
    <mergeCell ref="G12:I12"/>
    <mergeCell ref="H13:I13"/>
    <mergeCell ref="H14:I14"/>
    <mergeCell ref="K14:P17"/>
    <mergeCell ref="H15:I15"/>
    <mergeCell ref="C45:D45"/>
    <mergeCell ref="F45:G45"/>
    <mergeCell ref="H45:I45"/>
    <mergeCell ref="J45:K45"/>
    <mergeCell ref="M45:N45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61:G61"/>
    <mergeCell ref="H61:I61"/>
    <mergeCell ref="F62:G62"/>
    <mergeCell ref="H62:I62"/>
    <mergeCell ref="F63:G63"/>
    <mergeCell ref="H63:I63"/>
    <mergeCell ref="F58:G58"/>
    <mergeCell ref="H58:I58"/>
    <mergeCell ref="F59:G59"/>
    <mergeCell ref="H59:I59"/>
    <mergeCell ref="F60:G60"/>
    <mergeCell ref="H60:I60"/>
    <mergeCell ref="F67:G67"/>
    <mergeCell ref="H67:I67"/>
    <mergeCell ref="C68:D68"/>
    <mergeCell ref="F68:G68"/>
    <mergeCell ref="H68:I68"/>
    <mergeCell ref="J68:K68"/>
    <mergeCell ref="F64:G64"/>
    <mergeCell ref="H64:I64"/>
    <mergeCell ref="F65:G65"/>
    <mergeCell ref="H65:I65"/>
    <mergeCell ref="F66:G66"/>
    <mergeCell ref="H66:I66"/>
    <mergeCell ref="F74:G74"/>
    <mergeCell ref="H74:I74"/>
    <mergeCell ref="F75:G75"/>
    <mergeCell ref="H75:I75"/>
    <mergeCell ref="F76:G76"/>
    <mergeCell ref="H76:I76"/>
    <mergeCell ref="M68:N68"/>
    <mergeCell ref="C69:P69"/>
    <mergeCell ref="F71:G71"/>
    <mergeCell ref="F72:G72"/>
    <mergeCell ref="H72:I72"/>
    <mergeCell ref="F73:G73"/>
    <mergeCell ref="H73:I73"/>
    <mergeCell ref="J80:K80"/>
    <mergeCell ref="M80:N80"/>
    <mergeCell ref="F83:G83"/>
    <mergeCell ref="H83:I83"/>
    <mergeCell ref="F77:G77"/>
    <mergeCell ref="H77:I77"/>
    <mergeCell ref="F78:G78"/>
    <mergeCell ref="H78:I78"/>
    <mergeCell ref="F79:G79"/>
    <mergeCell ref="H79:I79"/>
    <mergeCell ref="F84:G84"/>
    <mergeCell ref="H84:I84"/>
    <mergeCell ref="F85:G85"/>
    <mergeCell ref="H85:I85"/>
    <mergeCell ref="F86:G86"/>
    <mergeCell ref="H86:I86"/>
    <mergeCell ref="C80:D80"/>
    <mergeCell ref="F80:G80"/>
    <mergeCell ref="H80:I80"/>
    <mergeCell ref="C93:D93"/>
    <mergeCell ref="C90:D90"/>
    <mergeCell ref="F90:G90"/>
    <mergeCell ref="H90:I90"/>
    <mergeCell ref="J90:K90"/>
    <mergeCell ref="M90:N90"/>
    <mergeCell ref="C91:P91"/>
    <mergeCell ref="F87:G87"/>
    <mergeCell ref="H87:I87"/>
    <mergeCell ref="F88:G88"/>
    <mergeCell ref="H88:I88"/>
    <mergeCell ref="F89:G89"/>
    <mergeCell ref="H89:I8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SQUARE FOOT AND PRICE</vt:lpstr>
      <vt:lpstr>8X10 bid sheet</vt:lpstr>
      <vt:lpstr>concrete 8X10</vt:lpstr>
      <vt:lpstr>10x10 bid sheet</vt:lpstr>
      <vt:lpstr>Concrete 10by10</vt:lpstr>
      <vt:lpstr>12X12 Bid Sheet</vt:lpstr>
      <vt:lpstr>12X12 Concrete</vt:lpstr>
      <vt:lpstr>Bonding</vt:lpstr>
      <vt:lpstr>14x14 BID SHEET</vt:lpstr>
      <vt:lpstr>14x14 CONCRETE</vt:lpstr>
      <vt:lpstr>16X16 Bid Sheet</vt:lpstr>
      <vt:lpstr>Concrete 16X16 </vt:lpstr>
      <vt:lpstr>18X18 Bid Sheet</vt:lpstr>
      <vt:lpstr>18X18 Concrete</vt:lpstr>
      <vt:lpstr>20X20 Bid Sheet</vt:lpstr>
      <vt:lpstr>20X20 Concrete</vt:lpstr>
      <vt:lpstr>21x20 Bid Sheet</vt:lpstr>
      <vt:lpstr>Concrete 21x20</vt:lpstr>
      <vt:lpstr>20x16 bid sheet</vt:lpstr>
      <vt:lpstr>Concrete 20x16</vt:lpstr>
      <vt:lpstr>16x32 bid sheet</vt:lpstr>
      <vt:lpstr>Concrete 16x32</vt:lpstr>
      <vt:lpstr>20X40 Bid Sheet</vt:lpstr>
      <vt:lpstr>20X40 Concrete</vt:lpstr>
      <vt:lpstr>'10x10 bid sheet'!Print_Area</vt:lpstr>
    </vt:vector>
  </TitlesOfParts>
  <Company>J A Manning Construction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Caudle</dc:creator>
  <cp:lastModifiedBy>vmbeas</cp:lastModifiedBy>
  <cp:lastPrinted>2017-04-15T20:13:15Z</cp:lastPrinted>
  <dcterms:created xsi:type="dcterms:W3CDTF">2007-10-26T21:54:24Z</dcterms:created>
  <dcterms:modified xsi:type="dcterms:W3CDTF">2017-04-18T19:56:49Z</dcterms:modified>
</cp:coreProperties>
</file>