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2" yWindow="6360" windowWidth="23076" windowHeight="3276" tabRatio="669" firstSheet="1" activeTab="7"/>
  </bookViews>
  <sheets>
    <sheet name="BOM " sheetId="1" r:id="rId1"/>
    <sheet name="BOM EQUATION" sheetId="2" r:id="rId2"/>
    <sheet name="BOM EQUATION coeffs" sheetId="3" r:id="rId3"/>
    <sheet name="Vessel Info" sheetId="4" r:id="rId4"/>
    <sheet name="Well OperatingPressure" sheetId="5" r:id="rId5"/>
    <sheet name="ChemistryData" sheetId="6" r:id="rId6"/>
    <sheet name="Sheet1" sheetId="7" r:id="rId7"/>
    <sheet name="pipe" sheetId="8" r:id="rId8"/>
    <sheet name="node" sheetId="9" r:id="rId9"/>
    <sheet name="Network" sheetId="10" r:id="rId10"/>
    <sheet name="Sheet3" sheetId="11" r:id="rId11"/>
    <sheet name="Sheet4" sheetId="12" r:id="rId12"/>
  </sheets>
  <definedNames>
    <definedName name="_xlnm.Print_Area" localSheetId="0">'BOM '!$A$1:$P$51</definedName>
  </definedNames>
  <calcPr calcId="125725" calcOnSave="0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24"/>
  <c r="F25"/>
  <c r="F26"/>
  <c r="F27"/>
  <c r="F28"/>
  <c r="E15"/>
  <c r="E16"/>
  <c r="E17"/>
  <c r="E18"/>
  <c r="E19"/>
  <c r="E20"/>
  <c r="E21"/>
  <c r="E22"/>
  <c r="E23"/>
  <c r="E24"/>
  <c r="E25"/>
  <c r="E26"/>
  <c r="E27"/>
  <c r="E28"/>
  <c r="Q28"/>
  <c r="Q27"/>
  <c r="Q26"/>
  <c r="Q25"/>
  <c r="Q24"/>
  <c r="Q23"/>
  <c r="Q22"/>
  <c r="Q21"/>
  <c r="Q20"/>
  <c r="Q19"/>
  <c r="Q18"/>
  <c r="Q17"/>
  <c r="Q16"/>
  <c r="Q15"/>
  <c r="C28"/>
  <c r="C27"/>
  <c r="C26"/>
  <c r="C25"/>
  <c r="C24"/>
  <c r="C23"/>
  <c r="C22"/>
  <c r="C21"/>
  <c r="C20"/>
  <c r="C19"/>
  <c r="C18"/>
  <c r="C17"/>
  <c r="C16"/>
  <c r="C15"/>
  <c r="Q8"/>
  <c r="Q7"/>
  <c r="Q6"/>
  <c r="Q5"/>
  <c r="Q4"/>
  <c r="Q3"/>
  <c r="Q2"/>
  <c r="Q9" l="1"/>
  <c r="Q10"/>
  <c r="Q11"/>
  <c r="Q12"/>
  <c r="Q13"/>
  <c r="Q14"/>
  <c r="F3"/>
  <c r="F4"/>
  <c r="F5"/>
  <c r="F6"/>
  <c r="F7"/>
  <c r="F8"/>
  <c r="F9"/>
  <c r="F10"/>
  <c r="F11"/>
  <c r="F12"/>
  <c r="F13"/>
  <c r="F14"/>
  <c r="F2"/>
  <c r="E3"/>
  <c r="E4"/>
  <c r="E5"/>
  <c r="E6"/>
  <c r="E7"/>
  <c r="E8"/>
  <c r="E9"/>
  <c r="E10"/>
  <c r="E11"/>
  <c r="E12"/>
  <c r="E13"/>
  <c r="E14"/>
  <c r="E2"/>
  <c r="C10"/>
  <c r="C11"/>
  <c r="C12"/>
  <c r="C13"/>
  <c r="C14"/>
  <c r="C9"/>
  <c r="C3"/>
  <c r="C4"/>
  <c r="C5"/>
  <c r="C6"/>
  <c r="C7"/>
  <c r="C8"/>
  <c r="C2"/>
  <c r="B2" i="5"/>
  <c r="B18"/>
  <c r="B24"/>
  <c r="B3" i="6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E2"/>
  <c r="D2"/>
  <c r="C2"/>
  <c r="B2"/>
  <c r="B3" i="5"/>
  <c r="B4"/>
  <c r="B5"/>
  <c r="B6"/>
  <c r="B7"/>
  <c r="B8"/>
  <c r="B9"/>
  <c r="B10"/>
  <c r="B11"/>
  <c r="B12"/>
  <c r="B13"/>
  <c r="B14"/>
  <c r="B15"/>
  <c r="B16"/>
  <c r="B17"/>
  <c r="B19"/>
  <c r="B20"/>
  <c r="B21"/>
  <c r="B22"/>
  <c r="B23"/>
  <c r="V2" i="3"/>
  <c r="D17"/>
  <c r="C17"/>
  <c r="D16"/>
  <c r="C16"/>
  <c r="D15"/>
  <c r="C15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  <c r="K31" i="1"/>
  <c r="L31"/>
  <c r="D26"/>
  <c r="F13"/>
  <c r="E13"/>
  <c r="F38"/>
  <c r="E38"/>
  <c r="F20"/>
  <c r="E20"/>
  <c r="E31"/>
  <c r="F31"/>
  <c r="D31"/>
  <c r="F27"/>
  <c r="E27"/>
  <c r="G8"/>
  <c r="G18"/>
  <c r="F10"/>
  <c r="I8"/>
  <c r="H18"/>
  <c r="I18"/>
  <c r="I33"/>
  <c r="H33"/>
  <c r="I32"/>
  <c r="H32"/>
  <c r="H8"/>
  <c r="G27"/>
  <c r="H27"/>
  <c r="I27"/>
  <c r="E17" i="2"/>
  <c r="D17"/>
  <c r="E16"/>
  <c r="D16"/>
  <c r="D25" i="1"/>
  <c r="G25"/>
  <c r="I25"/>
  <c r="D27"/>
  <c r="D28"/>
  <c r="E13" i="2"/>
  <c r="D13"/>
  <c r="G20" i="1"/>
  <c r="H20"/>
  <c r="D20"/>
  <c r="I36"/>
  <c r="H36"/>
  <c r="D36"/>
  <c r="I38"/>
  <c r="H38"/>
  <c r="D38"/>
  <c r="D22"/>
  <c r="I37"/>
  <c r="H37"/>
  <c r="D37"/>
  <c r="F37"/>
  <c r="E18" i="2"/>
  <c r="D18"/>
  <c r="E14"/>
  <c r="D14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33" i="1"/>
  <c r="D32"/>
  <c r="I31"/>
  <c r="H31"/>
  <c r="D10"/>
  <c r="G9"/>
  <c r="D9"/>
  <c r="G13"/>
  <c r="H13"/>
  <c r="D13"/>
  <c r="D21"/>
  <c r="D8"/>
  <c r="D6"/>
  <c r="G19"/>
  <c r="I19"/>
  <c r="D19"/>
  <c r="D18"/>
  <c r="G17"/>
  <c r="I17"/>
  <c r="D17"/>
  <c r="G14"/>
  <c r="H14"/>
  <c r="D14"/>
  <c r="F14"/>
  <c r="G7"/>
  <c r="D7"/>
  <c r="I6"/>
  <c r="H6"/>
  <c r="F22"/>
  <c r="E22"/>
  <c r="K22"/>
  <c r="F21"/>
  <c r="E21"/>
  <c r="E26"/>
  <c r="F26"/>
  <c r="E25"/>
  <c r="F25"/>
  <c r="F33"/>
  <c r="J33"/>
  <c r="E33"/>
  <c r="F32"/>
  <c r="J32"/>
  <c r="E32"/>
  <c r="E36"/>
  <c r="F36"/>
  <c r="J36"/>
  <c r="K36"/>
  <c r="M36"/>
  <c r="E17"/>
  <c r="F17"/>
  <c r="J37"/>
  <c r="E37"/>
  <c r="E19"/>
  <c r="F19"/>
  <c r="E28"/>
  <c r="F28"/>
  <c r="E7"/>
  <c r="F7"/>
  <c r="E9"/>
  <c r="F9"/>
  <c r="E14"/>
  <c r="G21"/>
  <c r="H21"/>
  <c r="G10"/>
  <c r="G26"/>
  <c r="I9"/>
  <c r="G28"/>
  <c r="F18"/>
  <c r="J18"/>
  <c r="E18"/>
  <c r="E8"/>
  <c r="F8"/>
  <c r="E10"/>
  <c r="J27"/>
  <c r="J31"/>
  <c r="I13"/>
  <c r="E6"/>
  <c r="F6"/>
  <c r="J6"/>
  <c r="J38"/>
  <c r="I14"/>
  <c r="I7"/>
  <c r="I20"/>
  <c r="H7"/>
  <c r="H19"/>
  <c r="H17"/>
  <c r="H25"/>
  <c r="H9"/>
  <c r="I21"/>
  <c r="K32"/>
  <c r="L32"/>
  <c r="L22"/>
  <c r="I28"/>
  <c r="H28"/>
  <c r="J28"/>
  <c r="K28"/>
  <c r="K27"/>
  <c r="L27"/>
  <c r="I10"/>
  <c r="H10"/>
  <c r="H26"/>
  <c r="I26"/>
  <c r="K33"/>
  <c r="L33"/>
  <c r="K18"/>
  <c r="L18"/>
  <c r="M31"/>
  <c r="N31"/>
  <c r="K38"/>
  <c r="M38"/>
  <c r="N38"/>
  <c r="E34"/>
  <c r="F34"/>
  <c r="J21"/>
  <c r="K21"/>
  <c r="L21"/>
  <c r="M27"/>
  <c r="N27"/>
  <c r="J13"/>
  <c r="K13"/>
  <c r="L36"/>
  <c r="J19"/>
  <c r="K19"/>
  <c r="L19"/>
  <c r="J20"/>
  <c r="J17"/>
  <c r="K17"/>
  <c r="M17"/>
  <c r="E29"/>
  <c r="F29"/>
  <c r="J25"/>
  <c r="K25"/>
  <c r="L25"/>
  <c r="M18"/>
  <c r="J14"/>
  <c r="K14"/>
  <c r="M14"/>
  <c r="J7"/>
  <c r="K7"/>
  <c r="M7"/>
  <c r="K6"/>
  <c r="M6"/>
  <c r="E15"/>
  <c r="F15"/>
  <c r="K37"/>
  <c r="E39"/>
  <c r="F39"/>
  <c r="N36"/>
  <c r="E23"/>
  <c r="F23"/>
  <c r="J9"/>
  <c r="K9"/>
  <c r="L9"/>
  <c r="M32"/>
  <c r="N32"/>
  <c r="M37"/>
  <c r="M39"/>
  <c r="J26"/>
  <c r="K26"/>
  <c r="L26"/>
  <c r="L28"/>
  <c r="M28"/>
  <c r="N28"/>
  <c r="M25"/>
  <c r="J10"/>
  <c r="K10"/>
  <c r="L10"/>
  <c r="M9"/>
  <c r="N9"/>
  <c r="K20"/>
  <c r="L20"/>
  <c r="M22"/>
  <c r="N22"/>
  <c r="L38"/>
  <c r="M21"/>
  <c r="N21"/>
  <c r="M33"/>
  <c r="N33"/>
  <c r="M13"/>
  <c r="N13"/>
  <c r="L13"/>
  <c r="K34"/>
  <c r="O34"/>
  <c r="M19"/>
  <c r="N19"/>
  <c r="K39"/>
  <c r="O39"/>
  <c r="L17"/>
  <c r="L7"/>
  <c r="N7"/>
  <c r="N18"/>
  <c r="L37"/>
  <c r="K15"/>
  <c r="O15"/>
  <c r="L6"/>
  <c r="N14"/>
  <c r="L14"/>
  <c r="N25"/>
  <c r="N17"/>
  <c r="N34"/>
  <c r="M10"/>
  <c r="N10"/>
  <c r="M26"/>
  <c r="N26"/>
  <c r="N29"/>
  <c r="K29"/>
  <c r="O29"/>
  <c r="M20"/>
  <c r="N20"/>
  <c r="N23"/>
  <c r="K23"/>
  <c r="O23"/>
  <c r="L39"/>
  <c r="L15"/>
  <c r="M34"/>
  <c r="L34"/>
  <c r="M15"/>
  <c r="L29"/>
  <c r="L23"/>
  <c r="N15"/>
  <c r="N6"/>
  <c r="N37"/>
  <c r="N39"/>
  <c r="M29"/>
  <c r="M23"/>
  <c r="J8"/>
  <c r="K8"/>
  <c r="L8"/>
  <c r="L11"/>
  <c r="L40"/>
  <c r="K48"/>
  <c r="E11"/>
  <c r="E40"/>
  <c r="F40"/>
  <c r="M8"/>
  <c r="K11"/>
  <c r="O11"/>
  <c r="F11"/>
  <c r="N8"/>
  <c r="N11"/>
  <c r="N40"/>
  <c r="M11"/>
  <c r="M40"/>
  <c r="K40"/>
  <c r="O40"/>
  <c r="K44"/>
  <c r="K45"/>
  <c r="L45"/>
  <c r="K41"/>
  <c r="N41"/>
  <c r="N42"/>
  <c r="L44"/>
  <c r="M44"/>
  <c r="M45"/>
</calcChain>
</file>

<file path=xl/sharedStrings.xml><?xml version="1.0" encoding="utf-8"?>
<sst xmlns="http://schemas.openxmlformats.org/spreadsheetml/2006/main" count="590" uniqueCount="255">
  <si>
    <t>OP WHP</t>
  </si>
  <si>
    <t>MF</t>
  </si>
  <si>
    <t>H</t>
  </si>
  <si>
    <t>Sep. Pres.</t>
  </si>
  <si>
    <t>Hf</t>
  </si>
  <si>
    <t>Hfg</t>
  </si>
  <si>
    <t>x</t>
  </si>
  <si>
    <t>SF</t>
  </si>
  <si>
    <t>WF</t>
  </si>
  <si>
    <t>DATE</t>
  </si>
  <si>
    <t>WELL</t>
  </si>
  <si>
    <t xml:space="preserve">kscg </t>
  </si>
  <si>
    <t>MPag</t>
  </si>
  <si>
    <t xml:space="preserve"> (kg/s)</t>
  </si>
  <si>
    <t>(kJ/kg)</t>
  </si>
  <si>
    <t>MPaa</t>
  </si>
  <si>
    <t>(kg/s)</t>
  </si>
  <si>
    <t xml:space="preserve"> SECTOR    1</t>
  </si>
  <si>
    <t>PAL-12D</t>
  </si>
  <si>
    <t>PAL-14D</t>
  </si>
  <si>
    <t>PAL-18D</t>
  </si>
  <si>
    <t>PAL-19</t>
  </si>
  <si>
    <t xml:space="preserve"> total/ave. :</t>
  </si>
  <si>
    <t xml:space="preserve"> SECTOR    2</t>
  </si>
  <si>
    <t>PAL-8D</t>
  </si>
  <si>
    <t>PAL-20D</t>
  </si>
  <si>
    <t xml:space="preserve"> SECTOR    3</t>
  </si>
  <si>
    <t>PAL-10D</t>
  </si>
  <si>
    <t>PAL-11D</t>
  </si>
  <si>
    <t>PAL-13D</t>
  </si>
  <si>
    <t>PAL-15D</t>
  </si>
  <si>
    <t xml:space="preserve"> SECTOR   4</t>
  </si>
  <si>
    <t>PAL-3D</t>
  </si>
  <si>
    <t>PAL-4D</t>
  </si>
  <si>
    <t>PAL-9D</t>
  </si>
  <si>
    <t>PAL-21</t>
  </si>
  <si>
    <t xml:space="preserve"> TOTAL/AVERAGE :</t>
  </si>
  <si>
    <t xml:space="preserve"> </t>
  </si>
  <si>
    <t>PAL-22D</t>
  </si>
  <si>
    <t>PAL-23D</t>
  </si>
  <si>
    <t>WHP, Mpag</t>
  </si>
  <si>
    <t>PAL-2D</t>
  </si>
  <si>
    <t>PAL-24D</t>
  </si>
  <si>
    <t>PAL-28D</t>
  </si>
  <si>
    <t xml:space="preserve">  PAD C</t>
  </si>
  <si>
    <t>MTD data (Oct11)</t>
  </si>
  <si>
    <t>-6.6*whp+32.1</t>
  </si>
  <si>
    <t>-25*whp+1629</t>
  </si>
  <si>
    <t xml:space="preserve">  PAD F</t>
  </si>
  <si>
    <t>PAL-27D</t>
  </si>
  <si>
    <t>(Wellhead)</t>
  </si>
  <si>
    <t>I/F</t>
  </si>
  <si>
    <t>PAL-25D</t>
  </si>
  <si>
    <t xml:space="preserve">NCG (% w/w) </t>
  </si>
  <si>
    <t>PAL-30D</t>
  </si>
  <si>
    <t>SP=0.88 MPaa (PAD E/H/F)</t>
  </si>
  <si>
    <t>SP=0.78 MPaa (PAD C)</t>
  </si>
  <si>
    <t>PAL-26D</t>
  </si>
  <si>
    <t>RMD-RSG-OP-5.02-R1</t>
  </si>
  <si>
    <t xml:space="preserve"> BACMAN 1 (PALAYAN) STEAM AVAILABILITY</t>
  </si>
  <si>
    <t>Line Losses at 3%</t>
  </si>
  <si>
    <t xml:space="preserve">APPROVED BY: </t>
  </si>
  <si>
    <t>Mwe @ SR:</t>
  </si>
  <si>
    <t>E.T. ALEMAN</t>
  </si>
  <si>
    <t>1569.78 - 129.69 * WHP + 114.83 * WHP^2 - 60.74 * WHP^3</t>
  </si>
  <si>
    <t>*same MF</t>
  </si>
  <si>
    <t>1292.8 - 304.05 * WHP + 301.84 * WHP^2</t>
  </si>
  <si>
    <t>24.39 - 8.21 * WHP + 16.38 * WHP^2 - 11.21 * WHP^3</t>
  </si>
  <si>
    <t>OCTOBER 2015</t>
  </si>
  <si>
    <t>-1.46 * WHP + 1202</t>
  </si>
  <si>
    <t>14.87 + 69.71 * WHP - 93.59 * WHP^2 + 53.18 * WHP^3 - 12.04 * WHP^4</t>
  </si>
  <si>
    <t>25.95 - 25.56 * WHP + 44.46 * WHP^2 - 25.26 * WHP^3</t>
  </si>
  <si>
    <t>3.37 * WHP + 1352</t>
  </si>
  <si>
    <t>14.43 * WHP + 2481</t>
  </si>
  <si>
    <t>9.35 + 11.85 * WHP - 10.86 * WHP^2</t>
  </si>
  <si>
    <t>40.42 + 17.96 * WHP - 12.78 * WHP^2 + 0.92 * WHP^3</t>
  </si>
  <si>
    <t>55.49 + 11.24 * WHP + 2.97 * WHP^2 - 9.03 * WHP^3</t>
  </si>
  <si>
    <t>35.35 + 48.67 * WHP - 35.78 * WHP^2</t>
  </si>
  <si>
    <t>-12.17 * WHP + 1346.78</t>
  </si>
  <si>
    <t>35.41 + 21.09 * WHP - 23.50 * WHP^2</t>
  </si>
  <si>
    <t>-8.17 * WHP + 1397.57</t>
  </si>
  <si>
    <t>40.36 + 18.85 * WHP - 19.00 * WHP^2</t>
  </si>
  <si>
    <t>-8.64 * WHP + 1355.15</t>
  </si>
  <si>
    <t>-2.30 * WHP + 1281.46</t>
  </si>
  <si>
    <t>35.52 + 7.28 * WHP + 4.74 * WHP^2 - 14.79 * WHP^3</t>
  </si>
  <si>
    <t>-102.4 * WHP + 1474.39</t>
  </si>
  <si>
    <t>25.48 + 16.84 * WHP - 18.82 * WHP^2</t>
  </si>
  <si>
    <t>39.56 + 18.35 * WHP - 18.05 * WHP^2</t>
  </si>
  <si>
    <t>1197.63 + 169.54 * WHP - 148.59 * WHP^2</t>
  </si>
  <si>
    <t>3.43 + 83.28 * WHP - 58.30 * WHP^2</t>
  </si>
  <si>
    <t>-25.03 * WHP + 1189.37</t>
  </si>
  <si>
    <t>-2.84 * WHP + 1169.67</t>
  </si>
  <si>
    <t>18.76 + 27.39 * WHP - 28.93 * WHP^2</t>
  </si>
  <si>
    <t xml:space="preserve"> -153.59 * WHP + 1243.42</t>
  </si>
  <si>
    <t>114.33 - 688.68 * WHP + 1920.33 * WHP^2 - 2600.92 * WHP^3 + 1716.36 * WHP^4 - 444.96 * WHP^5</t>
  </si>
  <si>
    <t>121.70 * WHP + 1864.32</t>
  </si>
  <si>
    <t xml:space="preserve"> -8.75 * WHP + 43.44</t>
  </si>
  <si>
    <t>34.55 + 40.33 * WHP - 24.68 * WHP^2</t>
  </si>
  <si>
    <t>74.72 * WHP + 1245.94</t>
  </si>
  <si>
    <t>41.96 + 19.86 * WHP - 10.58 * WHP^2</t>
  </si>
  <si>
    <t>-32.86 * WHP + 1355.61</t>
  </si>
  <si>
    <t>40.37 - 3.85 * WHP + 7.27 * WHP^2 - 3.95 * WHP^3</t>
  </si>
  <si>
    <t>-109.33 * WHP + 1742.49</t>
  </si>
  <si>
    <t>29.2 + 126.62 * WHP - 63.35 * WHP^2</t>
  </si>
  <si>
    <t>-8.16 * WHP + 1201.51</t>
  </si>
  <si>
    <t>48.93 + 37.32 * WHP - 16.85 * WHP^2</t>
  </si>
  <si>
    <t>-25.14 * WHP + 1808.22</t>
  </si>
  <si>
    <t>1315.39 - 8.01 * WHP - 7.21 * WHP^2</t>
  </si>
  <si>
    <t>45.42 + 3.51 * X - 4.8 * WHP^2 + 1.5 * WHP^3 - 0.2 * WHP^4</t>
  </si>
  <si>
    <t>1420.08 + 271.35 * WHP - 270.78 *WHP^2 + 121.27 * WHP^3 - 22.37 *WHP^4</t>
  </si>
  <si>
    <t>SR=2.2 kg/s-Mwe</t>
  </si>
  <si>
    <t>Mwe @ 2.2 SR</t>
  </si>
  <si>
    <r>
      <t xml:space="preserve">PREPARED BY:  </t>
    </r>
    <r>
      <rPr>
        <u/>
        <sz val="11"/>
        <color indexed="8"/>
        <rFont val="Calibri"/>
        <family val="2"/>
      </rPr>
      <t>D.B. Gamez/ V.M. Callos</t>
    </r>
  </si>
  <si>
    <t>mf1</t>
  </si>
  <si>
    <t>mf2</t>
  </si>
  <si>
    <t>mf3</t>
  </si>
  <si>
    <t>mf4</t>
  </si>
  <si>
    <t>mf5</t>
  </si>
  <si>
    <t>h1</t>
  </si>
  <si>
    <t>h2</t>
  </si>
  <si>
    <t>h3</t>
  </si>
  <si>
    <t>h4</t>
  </si>
  <si>
    <t>mf6</t>
  </si>
  <si>
    <t>h5</t>
  </si>
  <si>
    <t>wellname</t>
  </si>
  <si>
    <t>PAL12D</t>
  </si>
  <si>
    <t>PAL14D</t>
  </si>
  <si>
    <t>PAL18D</t>
  </si>
  <si>
    <t>PAL19</t>
  </si>
  <si>
    <t>PAL23D</t>
  </si>
  <si>
    <t>PAL8D</t>
  </si>
  <si>
    <t>PAL20D</t>
  </si>
  <si>
    <t>PAL10D</t>
  </si>
  <si>
    <t>PAL11D</t>
  </si>
  <si>
    <t>PAL13D</t>
  </si>
  <si>
    <t>PAL15D</t>
  </si>
  <si>
    <t>PAL22D</t>
  </si>
  <si>
    <t>PAL25D</t>
  </si>
  <si>
    <t>PAL3D</t>
  </si>
  <si>
    <t>PAL4D</t>
  </si>
  <si>
    <t>PAL9D</t>
  </si>
  <si>
    <t>PAL21</t>
  </si>
  <si>
    <t>PAL2D</t>
  </si>
  <si>
    <t>PAL24D</t>
  </si>
  <si>
    <t>PAL28D</t>
  </si>
  <si>
    <t>PAL26D</t>
  </si>
  <si>
    <t>PAL27D</t>
  </si>
  <si>
    <t>PAL30D</t>
  </si>
  <si>
    <t>whp</t>
  </si>
  <si>
    <t>sepp</t>
  </si>
  <si>
    <t>vessel</t>
  </si>
  <si>
    <t>sv3056</t>
  </si>
  <si>
    <t>sv3012</t>
  </si>
  <si>
    <t>sv3034</t>
  </si>
  <si>
    <t>sv4012</t>
  </si>
  <si>
    <t>sv4034</t>
  </si>
  <si>
    <t>sv5080</t>
  </si>
  <si>
    <t>sv4050</t>
  </si>
  <si>
    <t>vessel name</t>
  </si>
  <si>
    <t>separator pressure</t>
  </si>
  <si>
    <t>ok</t>
  </si>
  <si>
    <t>massflow</t>
  </si>
  <si>
    <t>enthalpy</t>
  </si>
  <si>
    <t>Cl(td)</t>
  </si>
  <si>
    <t>SiO2(td)</t>
  </si>
  <si>
    <t>CO2 (td)</t>
  </si>
  <si>
    <t>H2S(td)</t>
  </si>
  <si>
    <t>Well</t>
  </si>
  <si>
    <t>WHP</t>
  </si>
  <si>
    <t>Total</t>
  </si>
  <si>
    <t>Lines From SV 301 AND SV 302</t>
  </si>
  <si>
    <t>Lines From SV 303 AND SV 304</t>
  </si>
  <si>
    <t>Lines From SV 401 AND SV 402</t>
  </si>
  <si>
    <t>Lines from SV 403 and SV 404</t>
  </si>
  <si>
    <t>Lines from SV 406</t>
  </si>
  <si>
    <t>Lines from SV 506</t>
  </si>
  <si>
    <t>Power</t>
  </si>
  <si>
    <t>PAL29</t>
  </si>
  <si>
    <t>lineID</t>
  </si>
  <si>
    <t xml:space="preserve"> length</t>
  </si>
  <si>
    <t xml:space="preserve"> in_dia</t>
  </si>
  <si>
    <t xml:space="preserve"> roughness</t>
  </si>
  <si>
    <t xml:space="preserve"> pipe_t</t>
  </si>
  <si>
    <t xml:space="preserve"> insul_t</t>
  </si>
  <si>
    <t xml:space="preserve"> pipe_k</t>
  </si>
  <si>
    <t xml:space="preserve"> insul_k</t>
  </si>
  <si>
    <t xml:space="preserve"> n_elbow45</t>
  </si>
  <si>
    <t xml:space="preserve"> n_elbow90</t>
  </si>
  <si>
    <t xml:space="preserve"> n_tee</t>
  </si>
  <si>
    <t xml:space="preserve"> n_coupling</t>
  </si>
  <si>
    <t xml:space="preserve"> n_union</t>
  </si>
  <si>
    <t xml:space="preserve"> n_gatefull</t>
  </si>
  <si>
    <t xml:space="preserve"> n_gatehalf</t>
  </si>
  <si>
    <t xml:space="preserve"> out_dia</t>
  </si>
  <si>
    <t>n_rbend</t>
  </si>
  <si>
    <t>nodeID</t>
  </si>
  <si>
    <t xml:space="preserve"> P</t>
  </si>
  <si>
    <t xml:space="preserve"> mf</t>
  </si>
  <si>
    <t xml:space="preserve"> z</t>
  </si>
  <si>
    <t>STL501</t>
  </si>
  <si>
    <t>STL502</t>
  </si>
  <si>
    <t>STL503</t>
  </si>
  <si>
    <t>STL504</t>
  </si>
  <si>
    <t>STL505</t>
  </si>
  <si>
    <t>STL506</t>
  </si>
  <si>
    <t>STL508</t>
  </si>
  <si>
    <t>503 504  X  702</t>
  </si>
  <si>
    <t>501 502 503  X  701</t>
  </si>
  <si>
    <t>Length</t>
  </si>
  <si>
    <t>#Expansion Loops</t>
  </si>
  <si>
    <t>#elbow_45</t>
  </si>
  <si>
    <t>#elbow_90</t>
  </si>
  <si>
    <t>#gate_valve</t>
  </si>
  <si>
    <t>Pad F - Pad C</t>
  </si>
  <si>
    <t>PRS - 506 (Pad F)</t>
  </si>
  <si>
    <t>Pad C - IF</t>
  </si>
  <si>
    <t>LineID</t>
  </si>
  <si>
    <t>Inlet</t>
  </si>
  <si>
    <t>Outlet</t>
  </si>
  <si>
    <t>p_flow</t>
  </si>
  <si>
    <t>501X</t>
  </si>
  <si>
    <t>502X</t>
  </si>
  <si>
    <t>503X</t>
  </si>
  <si>
    <t>504X</t>
  </si>
  <si>
    <t>505X</t>
  </si>
  <si>
    <t>506X</t>
  </si>
  <si>
    <t>508X</t>
  </si>
  <si>
    <t>STL501X70A1</t>
  </si>
  <si>
    <t>STL501X70A2</t>
  </si>
  <si>
    <t>STL502X70A1</t>
  </si>
  <si>
    <t>STL503X70A1</t>
  </si>
  <si>
    <t>STL504X70A1</t>
  </si>
  <si>
    <t>STL505X70A1</t>
  </si>
  <si>
    <t>STL506X70B1</t>
  </si>
  <si>
    <t>STL508X70C1</t>
  </si>
  <si>
    <t>70A1</t>
  </si>
  <si>
    <t>70A2</t>
  </si>
  <si>
    <t>70B1</t>
  </si>
  <si>
    <t>70B2</t>
  </si>
  <si>
    <t>70C1</t>
  </si>
  <si>
    <t>70C2</t>
  </si>
  <si>
    <t>STL502X70A2</t>
  </si>
  <si>
    <t>STL503X70A2</t>
  </si>
  <si>
    <t>STL504X70A2</t>
  </si>
  <si>
    <t>STL505X70A2</t>
  </si>
  <si>
    <t>STL506X70B2</t>
  </si>
  <si>
    <t>STL508X70C2</t>
  </si>
  <si>
    <t>STL70A2</t>
  </si>
  <si>
    <t>STL70A1</t>
  </si>
  <si>
    <t>STL70B2</t>
  </si>
  <si>
    <t>STL70B1</t>
  </si>
  <si>
    <t>70IF2</t>
  </si>
  <si>
    <t>70IF1</t>
  </si>
  <si>
    <t>STL70IF1</t>
  </si>
  <si>
    <t>STL70IF2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</si>
</sst>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.0"/>
    <numFmt numFmtId="165" formatCode="[$-409]dd\-mmm\-yy;@"/>
    <numFmt numFmtId="166" formatCode="#,##0.00;[Red]#,##0.00"/>
    <numFmt numFmtId="167" formatCode="0.0\ \ "/>
    <numFmt numFmtId="168" formatCode="[$-409]d\-mmm\-yy;@"/>
    <numFmt numFmtId="169" formatCode="0.00000"/>
  </numFmts>
  <fonts count="3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"/>
      <family val="2"/>
    </font>
    <font>
      <b/>
      <sz val="14"/>
      <name val="AvantGarde-Book"/>
    </font>
    <font>
      <sz val="14"/>
      <name val="AvantGarde-Book"/>
    </font>
    <font>
      <sz val="14"/>
      <name val="Arial"/>
      <family val="2"/>
    </font>
    <font>
      <sz val="20"/>
      <name val="Arial"/>
      <family val="2"/>
    </font>
    <font>
      <b/>
      <sz val="14"/>
      <color indexed="10"/>
      <name val="Arial"/>
      <family val="2"/>
    </font>
    <font>
      <sz val="11"/>
      <name val="Arial"/>
      <family val="2"/>
    </font>
    <font>
      <sz val="18"/>
      <name val="Arial"/>
      <family val="2"/>
    </font>
    <font>
      <b/>
      <i/>
      <sz val="14"/>
      <name val="AvantGarde-Book"/>
    </font>
    <font>
      <i/>
      <sz val="14"/>
      <name val="AvantGarde-Book"/>
    </font>
    <font>
      <i/>
      <sz val="8"/>
      <name val="Arial"/>
      <family val="2"/>
    </font>
    <font>
      <u/>
      <sz val="11"/>
      <color indexed="8"/>
      <name val="Calibri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name val="AvantGarde-Book"/>
    </font>
    <font>
      <b/>
      <sz val="12"/>
      <name val="Arial"/>
      <family val="2"/>
    </font>
    <font>
      <sz val="12"/>
      <name val="AvantGarde-Book"/>
    </font>
    <font>
      <b/>
      <sz val="12"/>
      <color indexed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rgb="FF00FF0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4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">
        <color rgb="FF00FF00"/>
      </top>
      <bottom style="thin">
        <color indexed="64"/>
      </bottom>
      <diagonal/>
    </border>
    <border>
      <left/>
      <right/>
      <top style="dashDot">
        <color rgb="FF00FF00"/>
      </top>
      <bottom/>
      <diagonal/>
    </border>
    <border>
      <left/>
      <right/>
      <top/>
      <bottom style="dashDot">
        <color rgb="FF00FF00"/>
      </bottom>
      <diagonal/>
    </border>
  </borders>
  <cellStyleXfs count="6">
    <xf numFmtId="0" fontId="0" fillId="0" borderId="0"/>
    <xf numFmtId="43" fontId="21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0" fontId="1" fillId="0" borderId="0"/>
  </cellStyleXfs>
  <cellXfs count="226">
    <xf numFmtId="0" fontId="0" fillId="0" borderId="0" xfId="0"/>
    <xf numFmtId="164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Fill="1" applyAlignment="1">
      <alignment horizontal="right"/>
    </xf>
    <xf numFmtId="164" fontId="0" fillId="0" borderId="0" xfId="0" applyNumberFormat="1" applyFill="1"/>
    <xf numFmtId="164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23" fillId="0" borderId="0" xfId="0" applyFont="1" applyFill="1"/>
    <xf numFmtId="2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4" fillId="0" borderId="0" xfId="0" applyFont="1" applyFill="1"/>
    <xf numFmtId="0" fontId="5" fillId="0" borderId="0" xfId="0" applyFont="1" applyFill="1" applyAlignment="1">
      <alignment horizontal="center"/>
    </xf>
    <xf numFmtId="166" fontId="0" fillId="0" borderId="0" xfId="0" applyNumberFormat="1" applyFill="1"/>
    <xf numFmtId="0" fontId="23" fillId="0" borderId="0" xfId="0" applyFont="1" applyFill="1" applyAlignment="1">
      <alignment horizontal="center"/>
    </xf>
    <xf numFmtId="2" fontId="0" fillId="0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22" fillId="0" borderId="0" xfId="0" applyNumberFormat="1" applyFont="1" applyFill="1"/>
    <xf numFmtId="0" fontId="25" fillId="0" borderId="0" xfId="0" applyFont="1" applyFill="1"/>
    <xf numFmtId="0" fontId="0" fillId="0" borderId="0" xfId="0" applyFill="1" applyAlignment="1">
      <alignment horizontal="center"/>
    </xf>
    <xf numFmtId="0" fontId="26" fillId="0" borderId="0" xfId="0" applyFont="1" applyFill="1"/>
    <xf numFmtId="0" fontId="26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4" borderId="1" xfId="0" quotePrefix="1" applyNumberFormat="1" applyFont="1" applyFill="1" applyBorder="1" applyAlignment="1">
      <alignment horizontal="center" vertical="center"/>
    </xf>
    <xf numFmtId="167" fontId="0" fillId="0" borderId="0" xfId="0" applyNumberFormat="1" applyFill="1"/>
    <xf numFmtId="1" fontId="5" fillId="0" borderId="1" xfId="0" quotePrefix="1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/>
    <xf numFmtId="0" fontId="27" fillId="4" borderId="1" xfId="0" applyFont="1" applyFill="1" applyBorder="1" applyAlignment="1">
      <alignment horizontal="center"/>
    </xf>
    <xf numFmtId="0" fontId="27" fillId="4" borderId="1" xfId="0" quotePrefix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top"/>
    </xf>
    <xf numFmtId="2" fontId="18" fillId="0" borderId="1" xfId="0" applyNumberFormat="1" applyFont="1" applyFill="1" applyBorder="1" applyAlignment="1">
      <alignment horizontal="center" vertical="top"/>
    </xf>
    <xf numFmtId="164" fontId="18" fillId="0" borderId="1" xfId="0" applyNumberFormat="1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0" fontId="16" fillId="0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Continuous" vertical="center"/>
    </xf>
    <xf numFmtId="164" fontId="3" fillId="0" borderId="1" xfId="0" applyNumberFormat="1" applyFont="1" applyFill="1" applyBorder="1" applyAlignment="1">
      <alignment horizontal="centerContinuous" vertical="center"/>
    </xf>
    <xf numFmtId="2" fontId="3" fillId="0" borderId="1" xfId="0" applyNumberFormat="1" applyFont="1" applyFill="1" applyBorder="1" applyAlignment="1">
      <alignment horizontal="centerContinuous" vertical="center"/>
    </xf>
    <xf numFmtId="166" fontId="3" fillId="0" borderId="1" xfId="0" applyNumberFormat="1" applyFont="1" applyFill="1" applyBorder="1" applyAlignment="1">
      <alignment horizontal="centerContinuous" vertical="center"/>
    </xf>
    <xf numFmtId="0" fontId="14" fillId="7" borderId="1" xfId="0" applyFont="1" applyFill="1" applyBorder="1" applyAlignment="1">
      <alignment horizontal="center" vertical="center"/>
    </xf>
    <xf numFmtId="2" fontId="15" fillId="7" borderId="1" xfId="0" quotePrefix="1" applyNumberFormat="1" applyFont="1" applyFill="1" applyBorder="1" applyAlignment="1">
      <alignment horizontal="center" vertical="center"/>
    </xf>
    <xf numFmtId="2" fontId="14" fillId="7" borderId="1" xfId="0" quotePrefix="1" applyNumberFormat="1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2" fontId="14" fillId="7" borderId="1" xfId="0" applyNumberFormat="1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left" vertical="center"/>
    </xf>
    <xf numFmtId="2" fontId="14" fillId="7" borderId="1" xfId="0" applyNumberFormat="1" applyFont="1" applyFill="1" applyBorder="1" applyAlignment="1">
      <alignment horizontal="centerContinuous" vertical="center"/>
    </xf>
    <xf numFmtId="164" fontId="14" fillId="8" borderId="1" xfId="0" applyNumberFormat="1" applyFont="1" applyFill="1" applyBorder="1" applyAlignment="1">
      <alignment horizontal="center" vertical="center"/>
    </xf>
    <xf numFmtId="166" fontId="14" fillId="8" borderId="1" xfId="0" applyNumberFormat="1" applyFont="1" applyFill="1" applyBorder="1" applyAlignment="1">
      <alignment horizontal="center" vertical="center"/>
    </xf>
    <xf numFmtId="165" fontId="14" fillId="7" borderId="1" xfId="0" quotePrefix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2" fontId="15" fillId="4" borderId="1" xfId="0" quotePrefix="1" applyNumberFormat="1" applyFont="1" applyFill="1" applyBorder="1" applyAlignment="1">
      <alignment horizontal="center" vertical="center"/>
    </xf>
    <xf numFmtId="2" fontId="14" fillId="4" borderId="1" xfId="0" quotePrefix="1" applyNumberFormat="1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 vertical="center"/>
    </xf>
    <xf numFmtId="1" fontId="14" fillId="4" borderId="1" xfId="0" quotePrefix="1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left" vertical="center"/>
    </xf>
    <xf numFmtId="2" fontId="14" fillId="4" borderId="1" xfId="0" applyNumberFormat="1" applyFont="1" applyFill="1" applyBorder="1" applyAlignment="1">
      <alignment horizontal="centerContinuous" vertical="center"/>
    </xf>
    <xf numFmtId="166" fontId="14" fillId="4" borderId="1" xfId="0" applyNumberFormat="1" applyFont="1" applyFill="1" applyBorder="1" applyAlignment="1">
      <alignment horizontal="center" vertical="center"/>
    </xf>
    <xf numFmtId="165" fontId="14" fillId="4" borderId="1" xfId="0" quotePrefix="1" applyNumberFormat="1" applyFont="1" applyFill="1" applyBorder="1" applyAlignment="1">
      <alignment horizontal="center" vertical="center"/>
    </xf>
    <xf numFmtId="1" fontId="14" fillId="7" borderId="1" xfId="0" quotePrefix="1" applyNumberFormat="1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left" vertical="center"/>
    </xf>
    <xf numFmtId="0" fontId="19" fillId="0" borderId="1" xfId="0" quotePrefix="1" applyFont="1" applyFill="1" applyBorder="1" applyAlignment="1">
      <alignment horizontal="left" vertical="center"/>
    </xf>
    <xf numFmtId="164" fontId="17" fillId="0" borderId="1" xfId="0" applyNumberFormat="1" applyFont="1" applyFill="1" applyBorder="1" applyAlignment="1">
      <alignment horizontal="centerContinuous" vertical="center"/>
    </xf>
    <xf numFmtId="1" fontId="17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7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Continuous" vertical="center"/>
    </xf>
    <xf numFmtId="164" fontId="2" fillId="0" borderId="1" xfId="0" applyNumberFormat="1" applyFont="1" applyFill="1" applyBorder="1" applyAlignment="1">
      <alignment horizontal="centerContinuous" vertical="center"/>
    </xf>
    <xf numFmtId="2" fontId="2" fillId="0" borderId="1" xfId="0" applyNumberFormat="1" applyFont="1" applyFill="1" applyBorder="1" applyAlignment="1">
      <alignment horizontal="centerContinuous" vertical="center"/>
    </xf>
    <xf numFmtId="166" fontId="2" fillId="0" borderId="1" xfId="0" applyNumberFormat="1" applyFont="1" applyFill="1" applyBorder="1" applyAlignment="1">
      <alignment vertical="center"/>
    </xf>
    <xf numFmtId="1" fontId="14" fillId="4" borderId="1" xfId="0" applyNumberFormat="1" applyFont="1" applyFill="1" applyBorder="1" applyAlignment="1">
      <alignment horizontal="center" vertical="center"/>
    </xf>
    <xf numFmtId="15" fontId="17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Continuous" vertical="center"/>
    </xf>
    <xf numFmtId="15" fontId="2" fillId="0" borderId="1" xfId="0" applyNumberFormat="1" applyFont="1" applyFill="1" applyBorder="1" applyAlignment="1">
      <alignment horizontal="centerContinuous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2" fontId="15" fillId="0" borderId="1" xfId="0" quotePrefix="1" applyNumberFormat="1" applyFont="1" applyFill="1" applyBorder="1" applyAlignment="1">
      <alignment horizontal="center" vertical="center"/>
    </xf>
    <xf numFmtId="2" fontId="14" fillId="0" borderId="1" xfId="0" quotePrefix="1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left"/>
    </xf>
    <xf numFmtId="164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2" fontId="17" fillId="0" borderId="1" xfId="0" applyNumberFormat="1" applyFont="1" applyFill="1" applyBorder="1" applyAlignment="1">
      <alignment horizontal="center"/>
    </xf>
    <xf numFmtId="166" fontId="17" fillId="0" borderId="1" xfId="0" applyNumberFormat="1" applyFont="1" applyFill="1" applyBorder="1" applyAlignment="1">
      <alignment horizontal="center"/>
    </xf>
    <xf numFmtId="0" fontId="14" fillId="0" borderId="1" xfId="0" applyFont="1" applyFill="1" applyBorder="1"/>
    <xf numFmtId="2" fontId="14" fillId="0" borderId="1" xfId="0" applyNumberFormat="1" applyFont="1" applyFill="1" applyBorder="1"/>
    <xf numFmtId="0" fontId="14" fillId="0" borderId="1" xfId="0" applyFont="1" applyFill="1" applyBorder="1" applyAlignment="1">
      <alignment horizontal="right" vertical="top"/>
    </xf>
    <xf numFmtId="0" fontId="14" fillId="0" borderId="1" xfId="0" applyFont="1" applyFill="1" applyBorder="1" applyAlignment="1">
      <alignment vertical="top"/>
    </xf>
    <xf numFmtId="164" fontId="14" fillId="0" borderId="1" xfId="0" applyNumberFormat="1" applyFont="1" applyFill="1" applyBorder="1" applyAlignment="1">
      <alignment vertical="top"/>
    </xf>
    <xf numFmtId="164" fontId="14" fillId="0" borderId="1" xfId="0" quotePrefix="1" applyNumberFormat="1" applyFont="1" applyFill="1" applyBorder="1" applyAlignment="1">
      <alignment horizontal="left" vertical="top"/>
    </xf>
    <xf numFmtId="2" fontId="14" fillId="0" borderId="1" xfId="0" quotePrefix="1" applyNumberFormat="1" applyFont="1" applyFill="1" applyBorder="1" applyAlignment="1">
      <alignment horizontal="left" vertical="top"/>
    </xf>
    <xf numFmtId="164" fontId="17" fillId="0" borderId="1" xfId="0" applyNumberFormat="1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left" vertical="top"/>
    </xf>
    <xf numFmtId="166" fontId="17" fillId="0" borderId="1" xfId="0" applyNumberFormat="1" applyFont="1" applyFill="1" applyBorder="1" applyAlignment="1">
      <alignment horizontal="left" vertical="top"/>
    </xf>
    <xf numFmtId="0" fontId="17" fillId="0" borderId="1" xfId="0" quotePrefix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/>
    <xf numFmtId="2" fontId="9" fillId="0" borderId="1" xfId="0" applyNumberFormat="1" applyFont="1" applyFill="1" applyBorder="1"/>
    <xf numFmtId="164" fontId="9" fillId="0" borderId="1" xfId="0" applyNumberFormat="1" applyFont="1" applyFill="1" applyBorder="1"/>
    <xf numFmtId="0" fontId="8" fillId="0" borderId="1" xfId="0" applyFont="1" applyFill="1" applyBorder="1"/>
    <xf numFmtId="2" fontId="2" fillId="0" borderId="1" xfId="0" applyNumberFormat="1" applyFont="1" applyFill="1" applyBorder="1" applyAlignment="1">
      <alignment horizontal="center"/>
    </xf>
    <xf numFmtId="166" fontId="9" fillId="0" borderId="1" xfId="0" applyNumberFormat="1" applyFont="1" applyFill="1" applyBorder="1"/>
    <xf numFmtId="0" fontId="12" fillId="0" borderId="1" xfId="0" applyFont="1" applyFill="1" applyBorder="1" applyAlignment="1">
      <alignment horizontal="right"/>
    </xf>
    <xf numFmtId="0" fontId="23" fillId="0" borderId="0" xfId="0" applyFont="1" applyFill="1" applyAlignment="1">
      <alignment horizontal="right"/>
    </xf>
    <xf numFmtId="0" fontId="23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23" fillId="0" borderId="0" xfId="0" applyFont="1" applyFill="1" applyAlignment="1">
      <alignment horizontal="center"/>
    </xf>
    <xf numFmtId="2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4" borderId="1" xfId="0" quotePrefix="1" applyNumberFormat="1" applyFont="1" applyFill="1" applyBorder="1" applyAlignment="1">
      <alignment horizontal="center" vertical="center"/>
    </xf>
    <xf numFmtId="167" fontId="0" fillId="0" borderId="0" xfId="0" applyNumberFormat="1" applyFill="1"/>
    <xf numFmtId="0" fontId="27" fillId="0" borderId="1" xfId="0" applyFont="1" applyFill="1" applyBorder="1" applyAlignment="1">
      <alignment horizontal="center" wrapText="1"/>
    </xf>
    <xf numFmtId="2" fontId="5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/>
    <xf numFmtId="0" fontId="27" fillId="4" borderId="1" xfId="0" applyFont="1" applyFill="1" applyBorder="1" applyAlignment="1">
      <alignment horizontal="center"/>
    </xf>
    <xf numFmtId="0" fontId="27" fillId="4" borderId="1" xfId="0" quotePrefix="1" applyFont="1" applyFill="1" applyBorder="1" applyAlignment="1">
      <alignment horizontal="center"/>
    </xf>
    <xf numFmtId="0" fontId="23" fillId="0" borderId="1" xfId="0" applyFont="1" applyFill="1" applyBorder="1" applyAlignment="1">
      <alignment horizontal="right"/>
    </xf>
    <xf numFmtId="0" fontId="17" fillId="0" borderId="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28" fillId="9" borderId="0" xfId="0" applyNumberFormat="1" applyFont="1" applyFill="1" applyAlignment="1">
      <alignment horizontal="center"/>
    </xf>
    <xf numFmtId="0" fontId="0" fillId="0" borderId="0" xfId="0"/>
    <xf numFmtId="0" fontId="29" fillId="9" borderId="0" xfId="0" applyFont="1" applyFill="1"/>
    <xf numFmtId="0" fontId="28" fillId="9" borderId="0" xfId="0" applyNumberFormat="1" applyFont="1" applyFill="1" applyAlignment="1">
      <alignment horizontal="center"/>
    </xf>
    <xf numFmtId="0" fontId="28" fillId="9" borderId="0" xfId="0" applyNumberFormat="1" applyFont="1" applyFill="1" applyAlignment="1">
      <alignment horizontal="center" vertical="center"/>
    </xf>
    <xf numFmtId="0" fontId="29" fillId="9" borderId="0" xfId="0" applyNumberFormat="1" applyFont="1" applyFill="1" applyBorder="1" applyAlignment="1">
      <alignment vertical="center"/>
    </xf>
    <xf numFmtId="0" fontId="29" fillId="9" borderId="0" xfId="0" applyFont="1" applyFill="1" applyAlignment="1">
      <alignment vertical="center"/>
    </xf>
    <xf numFmtId="0" fontId="28" fillId="9" borderId="0" xfId="0" applyFont="1" applyFill="1" applyAlignment="1">
      <alignment horizontal="center" vertical="center"/>
    </xf>
    <xf numFmtId="169" fontId="29" fillId="9" borderId="0" xfId="0" applyNumberFormat="1" applyFont="1" applyFill="1"/>
    <xf numFmtId="169" fontId="28" fillId="9" borderId="0" xfId="0" applyNumberFormat="1" applyFont="1" applyFill="1" applyAlignment="1">
      <alignment horizontal="center" vertical="center"/>
    </xf>
    <xf numFmtId="2" fontId="29" fillId="9" borderId="0" xfId="0" applyNumberFormat="1" applyFont="1" applyFill="1" applyAlignment="1">
      <alignment horizontal="center" vertical="center"/>
    </xf>
    <xf numFmtId="0" fontId="29" fillId="9" borderId="6" xfId="0" applyFont="1" applyFill="1" applyBorder="1" applyAlignment="1">
      <alignment vertical="center"/>
    </xf>
    <xf numFmtId="0" fontId="29" fillId="9" borderId="6" xfId="0" applyFont="1" applyFill="1" applyBorder="1" applyAlignment="1">
      <alignment horizontal="center" vertical="center"/>
    </xf>
    <xf numFmtId="0" fontId="29" fillId="9" borderId="7" xfId="0" applyFont="1" applyFill="1" applyBorder="1" applyAlignment="1">
      <alignment vertical="center"/>
    </xf>
    <xf numFmtId="0" fontId="29" fillId="9" borderId="7" xfId="0" applyFont="1" applyFill="1" applyBorder="1" applyAlignment="1">
      <alignment horizontal="center" vertical="center"/>
    </xf>
    <xf numFmtId="2" fontId="29" fillId="9" borderId="0" xfId="0" applyNumberFormat="1" applyFont="1" applyFill="1" applyBorder="1" applyAlignment="1">
      <alignment horizontal="center" vertical="center"/>
    </xf>
    <xf numFmtId="164" fontId="29" fillId="9" borderId="0" xfId="0" applyNumberFormat="1" applyFont="1" applyFill="1" applyBorder="1" applyAlignment="1">
      <alignment horizontal="center" vertical="center"/>
    </xf>
    <xf numFmtId="0" fontId="30" fillId="9" borderId="0" xfId="0" applyFont="1" applyFill="1" applyAlignment="1">
      <alignment vertical="center"/>
    </xf>
    <xf numFmtId="164" fontId="30" fillId="9" borderId="0" xfId="0" applyNumberFormat="1" applyFont="1" applyFill="1" applyBorder="1" applyAlignment="1">
      <alignment horizontal="center" vertical="center"/>
    </xf>
    <xf numFmtId="2" fontId="30" fillId="9" borderId="0" xfId="0" applyNumberFormat="1" applyFont="1" applyFill="1" applyAlignment="1">
      <alignment horizontal="center" vertical="center"/>
    </xf>
    <xf numFmtId="0" fontId="30" fillId="9" borderId="0" xfId="0" applyNumberFormat="1" applyFont="1" applyFill="1" applyBorder="1" applyAlignment="1">
      <alignment vertical="center"/>
    </xf>
    <xf numFmtId="2" fontId="29" fillId="9" borderId="6" xfId="0" applyNumberFormat="1" applyFont="1" applyFill="1" applyBorder="1" applyAlignment="1">
      <alignment horizontal="center" vertical="center"/>
    </xf>
    <xf numFmtId="164" fontId="29" fillId="9" borderId="6" xfId="0" applyNumberFormat="1" applyFont="1" applyFill="1" applyBorder="1" applyAlignment="1">
      <alignment horizontal="center" vertical="center"/>
    </xf>
    <xf numFmtId="1" fontId="29" fillId="9" borderId="6" xfId="0" applyNumberFormat="1" applyFont="1" applyFill="1" applyBorder="1" applyAlignment="1">
      <alignment horizontal="center" vertical="center"/>
    </xf>
    <xf numFmtId="2" fontId="29" fillId="9" borderId="8" xfId="0" applyNumberFormat="1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2" fontId="29" fillId="9" borderId="7" xfId="0" applyNumberFormat="1" applyFont="1" applyFill="1" applyBorder="1" applyAlignment="1">
      <alignment horizontal="center" vertical="center"/>
    </xf>
    <xf numFmtId="1" fontId="29" fillId="9" borderId="7" xfId="0" applyNumberFormat="1" applyFont="1" applyFill="1" applyBorder="1" applyAlignment="1">
      <alignment horizontal="center" vertical="center"/>
    </xf>
    <xf numFmtId="1" fontId="30" fillId="9" borderId="7" xfId="0" applyNumberFormat="1" applyFont="1" applyFill="1" applyBorder="1" applyAlignment="1">
      <alignment horizontal="center" vertical="center"/>
    </xf>
    <xf numFmtId="2" fontId="30" fillId="9" borderId="7" xfId="0" applyNumberFormat="1" applyFont="1" applyFill="1" applyBorder="1" applyAlignment="1">
      <alignment horizontal="center" vertical="center"/>
    </xf>
    <xf numFmtId="164" fontId="30" fillId="9" borderId="7" xfId="0" applyNumberFormat="1" applyFont="1" applyFill="1" applyBorder="1" applyAlignment="1">
      <alignment horizontal="center" vertical="center"/>
    </xf>
    <xf numFmtId="164" fontId="29" fillId="9" borderId="5" xfId="0" applyNumberFormat="1" applyFont="1" applyFill="1" applyBorder="1" applyAlignment="1">
      <alignment horizontal="center" vertical="center"/>
    </xf>
    <xf numFmtId="164" fontId="29" fillId="9" borderId="8" xfId="0" applyNumberFormat="1" applyFont="1" applyFill="1" applyBorder="1" applyAlignment="1">
      <alignment horizontal="center" vertical="center"/>
    </xf>
    <xf numFmtId="0" fontId="29" fillId="10" borderId="0" xfId="0" applyFont="1" applyFill="1" applyAlignment="1">
      <alignment horizontal="center" vertical="center"/>
    </xf>
    <xf numFmtId="164" fontId="29" fillId="10" borderId="0" xfId="0" applyNumberFormat="1" applyFont="1" applyFill="1" applyAlignment="1">
      <alignment horizontal="center" vertical="center"/>
    </xf>
    <xf numFmtId="0" fontId="29" fillId="10" borderId="8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0" fillId="0" borderId="0" xfId="0"/>
    <xf numFmtId="0" fontId="29" fillId="9" borderId="0" xfId="0" applyFont="1" applyFill="1"/>
    <xf numFmtId="0" fontId="28" fillId="9" borderId="0" xfId="0" applyNumberFormat="1" applyFont="1" applyFill="1" applyAlignment="1">
      <alignment horizontal="center"/>
    </xf>
    <xf numFmtId="0" fontId="28" fillId="9" borderId="0" xfId="0" applyNumberFormat="1" applyFont="1" applyFill="1" applyAlignment="1">
      <alignment horizontal="center" vertical="center"/>
    </xf>
    <xf numFmtId="168" fontId="28" fillId="9" borderId="0" xfId="0" applyNumberFormat="1" applyFont="1" applyFill="1" applyAlignment="1">
      <alignment horizontal="center"/>
    </xf>
    <xf numFmtId="0" fontId="29" fillId="9" borderId="0" xfId="0" applyFont="1" applyFill="1" applyAlignment="1">
      <alignment vertical="center"/>
    </xf>
    <xf numFmtId="0" fontId="29" fillId="9" borderId="0" xfId="0" applyFont="1" applyFill="1" applyAlignment="1">
      <alignment horizontal="center" vertical="center"/>
    </xf>
    <xf numFmtId="169" fontId="29" fillId="9" borderId="0" xfId="0" applyNumberFormat="1" applyFont="1" applyFill="1"/>
    <xf numFmtId="169" fontId="28" fillId="9" borderId="0" xfId="0" applyNumberFormat="1" applyFont="1" applyFill="1" applyAlignment="1">
      <alignment horizontal="center" vertical="center"/>
    </xf>
    <xf numFmtId="2" fontId="29" fillId="9" borderId="0" xfId="0" applyNumberFormat="1" applyFont="1" applyFill="1" applyAlignment="1">
      <alignment horizontal="center" vertical="center"/>
    </xf>
    <xf numFmtId="0" fontId="29" fillId="9" borderId="7" xfId="0" applyFont="1" applyFill="1" applyBorder="1" applyAlignment="1">
      <alignment vertical="center"/>
    </xf>
    <xf numFmtId="0" fontId="29" fillId="9" borderId="7" xfId="0" applyFont="1" applyFill="1" applyBorder="1" applyAlignment="1">
      <alignment horizontal="center" vertical="center"/>
    </xf>
    <xf numFmtId="164" fontId="29" fillId="9" borderId="0" xfId="0" applyNumberFormat="1" applyFont="1" applyFill="1" applyBorder="1" applyAlignment="1">
      <alignment horizontal="center" vertical="center"/>
    </xf>
    <xf numFmtId="0" fontId="30" fillId="9" borderId="0" xfId="0" applyFont="1" applyFill="1" applyAlignment="1">
      <alignment vertical="center"/>
    </xf>
    <xf numFmtId="0" fontId="30" fillId="9" borderId="0" xfId="0" applyFont="1" applyFill="1" applyAlignment="1">
      <alignment horizontal="center" vertical="center"/>
    </xf>
    <xf numFmtId="164" fontId="30" fillId="9" borderId="0" xfId="0" applyNumberFormat="1" applyFont="1" applyFill="1" applyBorder="1" applyAlignment="1">
      <alignment horizontal="center" vertical="center"/>
    </xf>
    <xf numFmtId="2" fontId="30" fillId="9" borderId="0" xfId="0" applyNumberFormat="1" applyFont="1" applyFill="1" applyAlignment="1">
      <alignment horizontal="center" vertical="center"/>
    </xf>
    <xf numFmtId="2" fontId="30" fillId="9" borderId="7" xfId="0" applyNumberFormat="1" applyFont="1" applyFill="1" applyBorder="1" applyAlignment="1">
      <alignment horizontal="center" vertical="center"/>
    </xf>
    <xf numFmtId="164" fontId="30" fillId="9" borderId="7" xfId="0" applyNumberFormat="1" applyFont="1" applyFill="1" applyBorder="1" applyAlignment="1">
      <alignment horizontal="center" vertical="center"/>
    </xf>
    <xf numFmtId="1" fontId="30" fillId="9" borderId="6" xfId="0" applyNumberFormat="1" applyFont="1" applyFill="1" applyBorder="1" applyAlignment="1">
      <alignment horizontal="center" vertical="center"/>
    </xf>
    <xf numFmtId="0" fontId="30" fillId="9" borderId="7" xfId="0" applyFont="1" applyFill="1" applyBorder="1" applyAlignment="1">
      <alignment horizontal="center" vertical="center"/>
    </xf>
    <xf numFmtId="0" fontId="29" fillId="10" borderId="0" xfId="0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Fill="1" applyAlignment="1">
      <alignment horizontal="center"/>
    </xf>
    <xf numFmtId="0" fontId="31" fillId="0" borderId="0" xfId="0" quotePrefix="1" applyFont="1" applyFill="1" applyAlignment="1">
      <alignment horizontal="center"/>
    </xf>
    <xf numFmtId="166" fontId="17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 applyProtection="1">
      <alignment horizontal="center" vertical="top"/>
    </xf>
    <xf numFmtId="0" fontId="33" fillId="0" borderId="0" xfId="0" applyFont="1" applyFill="1" applyBorder="1" applyAlignment="1" applyProtection="1"/>
    <xf numFmtId="43" fontId="0" fillId="0" borderId="0" xfId="1" applyFont="1"/>
  </cellXfs>
  <cellStyles count="6">
    <cellStyle name="Comma" xfId="1" builtinId="3"/>
    <cellStyle name="Normal" xfId="0" builtinId="0"/>
    <cellStyle name="Normal 73" xfId="2"/>
    <cellStyle name="Normal 74" xfId="3"/>
    <cellStyle name="Normal 82" xfId="4"/>
    <cellStyle name="Normal 8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472440</xdr:colOff>
      <xdr:row>37</xdr:row>
      <xdr:rowOff>167640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2880"/>
          <a:ext cx="10226040" cy="67513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22</xdr:col>
      <xdr:colOff>281940</xdr:colOff>
      <xdr:row>70</xdr:row>
      <xdr:rowOff>15240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7315200"/>
          <a:ext cx="13083540" cy="5501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B51"/>
  <sheetViews>
    <sheetView showGridLines="0" topLeftCell="A3" zoomScale="115" zoomScaleNormal="115" workbookViewId="0">
      <pane xSplit="2" ySplit="2" topLeftCell="C20" activePane="bottomRight" state="frozen"/>
      <selection activeCell="A3" sqref="A3"/>
      <selection pane="topRight" activeCell="C3" sqref="C3"/>
      <selection pane="bottomLeft" activeCell="A5" sqref="A5"/>
      <selection pane="bottomRight" activeCell="K34" sqref="K34"/>
    </sheetView>
  </sheetViews>
  <sheetFormatPr defaultColWidth="9.109375" defaultRowHeight="14.4"/>
  <cols>
    <col min="1" max="1" width="4" style="2" customWidth="1"/>
    <col min="2" max="2" width="15.6640625" style="2" customWidth="1"/>
    <col min="3" max="3" width="13.6640625" style="2" customWidth="1"/>
    <col min="4" max="4" width="13.5546875" style="2" customWidth="1"/>
    <col min="5" max="5" width="13.33203125" style="2" customWidth="1"/>
    <col min="6" max="6" width="12.6640625" style="2" customWidth="1"/>
    <col min="7" max="7" width="14.88671875" style="2" customWidth="1"/>
    <col min="8" max="8" width="10" style="4" customWidth="1"/>
    <col min="9" max="9" width="10.88671875" style="4" customWidth="1"/>
    <col min="10" max="10" width="6.6640625" style="2" customWidth="1"/>
    <col min="11" max="11" width="12.44140625" style="2" customWidth="1"/>
    <col min="12" max="12" width="14.6640625" style="2" customWidth="1"/>
    <col min="13" max="13" width="16.109375" style="2" bestFit="1" customWidth="1"/>
    <col min="14" max="14" width="14" style="2" customWidth="1"/>
    <col min="15" max="15" width="14" style="18" customWidth="1"/>
    <col min="16" max="16" width="24.109375" style="2" customWidth="1"/>
    <col min="17" max="17" width="7.33203125" style="2" customWidth="1"/>
    <col min="18" max="18" width="14" style="2" customWidth="1"/>
    <col min="19" max="16384" width="9.109375" style="2"/>
  </cols>
  <sheetData>
    <row r="1" spans="1:28" ht="17.399999999999999">
      <c r="B1" s="218" t="s">
        <v>59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28" ht="17.399999999999999">
      <c r="B2" s="219" t="s">
        <v>68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</row>
    <row r="3" spans="1:28" ht="15.6">
      <c r="B3" s="46"/>
      <c r="C3" s="46" t="s">
        <v>0</v>
      </c>
      <c r="D3" s="46" t="s">
        <v>0</v>
      </c>
      <c r="E3" s="47" t="s">
        <v>1</v>
      </c>
      <c r="F3" s="46" t="s">
        <v>2</v>
      </c>
      <c r="G3" s="46" t="s">
        <v>3</v>
      </c>
      <c r="H3" s="48" t="s">
        <v>4</v>
      </c>
      <c r="I3" s="48" t="s">
        <v>5</v>
      </c>
      <c r="J3" s="47" t="s">
        <v>6</v>
      </c>
      <c r="K3" s="46" t="s">
        <v>7</v>
      </c>
      <c r="L3" s="46" t="s">
        <v>8</v>
      </c>
      <c r="M3" s="49" t="s">
        <v>62</v>
      </c>
      <c r="N3" s="50">
        <v>2.2000000000000002</v>
      </c>
      <c r="O3" s="220" t="s">
        <v>53</v>
      </c>
      <c r="P3" s="221" t="s">
        <v>9</v>
      </c>
    </row>
    <row r="4" spans="1:28" ht="15.6">
      <c r="B4" s="46" t="s">
        <v>10</v>
      </c>
      <c r="C4" s="51" t="s">
        <v>11</v>
      </c>
      <c r="D4" s="51" t="s">
        <v>12</v>
      </c>
      <c r="E4" s="52" t="s">
        <v>13</v>
      </c>
      <c r="F4" s="51" t="s">
        <v>14</v>
      </c>
      <c r="G4" s="51" t="s">
        <v>15</v>
      </c>
      <c r="H4" s="53"/>
      <c r="I4" s="53"/>
      <c r="J4" s="52"/>
      <c r="K4" s="51" t="s">
        <v>16</v>
      </c>
      <c r="L4" s="51" t="s">
        <v>13</v>
      </c>
      <c r="M4" s="54" t="s">
        <v>50</v>
      </c>
      <c r="N4" s="54" t="s">
        <v>51</v>
      </c>
      <c r="O4" s="220"/>
      <c r="P4" s="222"/>
    </row>
    <row r="5" spans="1:28" ht="17.399999999999999">
      <c r="B5" s="55" t="s">
        <v>17</v>
      </c>
      <c r="C5" s="56"/>
      <c r="D5" s="56"/>
      <c r="E5" s="57"/>
      <c r="F5" s="58"/>
      <c r="G5" s="58"/>
      <c r="H5" s="59"/>
      <c r="I5" s="59"/>
      <c r="J5" s="60"/>
      <c r="K5" s="58"/>
      <c r="L5" s="58"/>
      <c r="M5" s="58"/>
      <c r="N5" s="58"/>
      <c r="O5" s="61"/>
      <c r="P5" s="58"/>
    </row>
    <row r="6" spans="1:28" ht="15">
      <c r="B6" s="62" t="s">
        <v>125</v>
      </c>
      <c r="C6" s="63">
        <v>10.4</v>
      </c>
      <c r="D6" s="64">
        <f>C6*0.0980665</f>
        <v>1.0198916</v>
      </c>
      <c r="E6" s="65">
        <f>24.39 - 8.21 * D6 + 16.38 * D6^2 - 11.21 * D6^3</f>
        <v>21.162470635610493</v>
      </c>
      <c r="F6" s="66">
        <f>1292.8 - 304.05 * D6 + 301.84 * D6^2</f>
        <v>1296.669550876549</v>
      </c>
      <c r="G6" s="67">
        <v>0.88</v>
      </c>
      <c r="H6" s="68">
        <f>353.25 + 216.02*LOG(+G6/0.1)+61.189*(+G6/0.1)^0.5+0.0000109995*(+G6/0.1)^3</f>
        <v>738.80055037990201</v>
      </c>
      <c r="I6" s="68">
        <f>2317.1-101.44*LOG(+G6/0.1)-57.211*(+G6/0.1)^0.5-1.9433*(+G6/0.1)-0.000030737*(+G6/0.1)^3</f>
        <v>2034.4544386741309</v>
      </c>
      <c r="J6" s="69">
        <f>+(F6-H6)/I6</f>
        <v>0.27421061385882617</v>
      </c>
      <c r="K6" s="65">
        <f>+E6*J6</f>
        <v>5.8029740637601366</v>
      </c>
      <c r="L6" s="70">
        <f>+E6-K6</f>
        <v>15.359496571850357</v>
      </c>
      <c r="M6" s="70">
        <f>+K6/N$3</f>
        <v>2.6377154835273346</v>
      </c>
      <c r="N6" s="70">
        <f>M6*0.97</f>
        <v>2.5585840190215143</v>
      </c>
      <c r="O6" s="71">
        <v>0.83</v>
      </c>
      <c r="P6" s="72">
        <v>42235</v>
      </c>
      <c r="Q6" s="138" t="s">
        <v>160</v>
      </c>
    </row>
    <row r="7" spans="1:28" ht="15">
      <c r="B7" s="73" t="s">
        <v>126</v>
      </c>
      <c r="C7" s="74">
        <v>11</v>
      </c>
      <c r="D7" s="75">
        <f>C7*0.0980665</f>
        <v>1.0787315</v>
      </c>
      <c r="E7" s="76">
        <f>35.35 + 48.67 * D7 - 35.78 * D7^2</f>
        <v>46.216048300479301</v>
      </c>
      <c r="F7" s="77">
        <f>-12.17 * D7 + 1346.78</f>
        <v>1333.6518376449999</v>
      </c>
      <c r="G7" s="78">
        <f>G6</f>
        <v>0.88</v>
      </c>
      <c r="H7" s="79">
        <f>353.25 + 216.02*LOG(+G7/0.1)+61.189*(+G7/0.1)^0.5+0.0000109995*(+G7/0.1)^3</f>
        <v>738.80055037990201</v>
      </c>
      <c r="I7" s="79">
        <f>2317.1-101.44*LOG(+G7/0.1)-57.211*(+G7/0.1)^0.5-1.9433*(+G7/0.1)-0.000030737*(+G7/0.1)^3</f>
        <v>2034.4544386741309</v>
      </c>
      <c r="J7" s="80">
        <f>+(F7-H7)/I7</f>
        <v>0.29238860107025394</v>
      </c>
      <c r="K7" s="76">
        <f>+E7*J7</f>
        <v>13.513045709572429</v>
      </c>
      <c r="L7" s="76">
        <f>+E7-K7</f>
        <v>32.70300259090687</v>
      </c>
      <c r="M7" s="76">
        <f>+K7/N$3</f>
        <v>6.1422935043511036</v>
      </c>
      <c r="N7" s="76">
        <f>M7*0.97</f>
        <v>5.9580246992205703</v>
      </c>
      <c r="O7" s="81">
        <v>0.74</v>
      </c>
      <c r="P7" s="82">
        <v>42580</v>
      </c>
    </row>
    <row r="8" spans="1:28" ht="15">
      <c r="B8" s="62" t="s">
        <v>127</v>
      </c>
      <c r="C8" s="63">
        <v>8.1</v>
      </c>
      <c r="D8" s="64">
        <f>C8*0.0980665</f>
        <v>0.79433864999999992</v>
      </c>
      <c r="E8" s="65">
        <f>25.95 - 25.56 * D8 + 44.46 * D8^2 - 25.26 * D8^3</f>
        <v>21.039315771293001</v>
      </c>
      <c r="F8" s="83">
        <f>3.37 * D8 + 1352</f>
        <v>1354.6769212505001</v>
      </c>
      <c r="G8" s="67">
        <f>G6</f>
        <v>0.88</v>
      </c>
      <c r="H8" s="68">
        <f>353.25 + 216.02*LOG(+G8/0.1)+61.189*(+G8/0.1)^0.5+0.0000109995*(+G8/0.1)^3</f>
        <v>738.80055037990201</v>
      </c>
      <c r="I8" s="68">
        <f>2317.1-101.44*LOG(+G8/0.1)-57.211*(+G8/0.1)^0.5-1.9433*(+G8/0.1)-0.000030737*(+G8/0.1)^3</f>
        <v>2034.4544386741309</v>
      </c>
      <c r="J8" s="69">
        <f>+(F8-H8)/I8</f>
        <v>0.30272310805444691</v>
      </c>
      <c r="K8" s="65">
        <f>+E8*J8</f>
        <v>6.3690870616247599</v>
      </c>
      <c r="L8" s="70">
        <f>+E8-K8</f>
        <v>14.67022870966824</v>
      </c>
      <c r="M8" s="70">
        <f>+K8/N$3</f>
        <v>2.8950395734657999</v>
      </c>
      <c r="N8" s="70">
        <f>M8*0.97</f>
        <v>2.808188386261826</v>
      </c>
      <c r="O8" s="71">
        <v>4.1500000000000004</v>
      </c>
      <c r="P8" s="72">
        <v>42407</v>
      </c>
      <c r="Q8" s="144" t="s">
        <v>160</v>
      </c>
      <c r="R8" s="34"/>
      <c r="S8" s="34"/>
      <c r="T8" s="34"/>
      <c r="U8" s="34"/>
      <c r="V8" s="34"/>
      <c r="X8" s="34"/>
      <c r="Y8" s="34"/>
    </row>
    <row r="9" spans="1:28" ht="18" customHeight="1">
      <c r="A9" s="3"/>
      <c r="B9" s="73" t="s">
        <v>128</v>
      </c>
      <c r="C9" s="74">
        <v>10</v>
      </c>
      <c r="D9" s="75">
        <f>C9*0.0980665</f>
        <v>0.98066500000000001</v>
      </c>
      <c r="E9" s="76">
        <f>55.49 + 11.24 *D9 + 2.97 * D9^2 - 9.03 * D9^3</f>
        <v>60.852658046534955</v>
      </c>
      <c r="F9" s="77">
        <f>1569.78 - 129.69 *D9 + 114.83 * D9^2 - 60.74 *D9^3</f>
        <v>1495.7455495657196</v>
      </c>
      <c r="G9" s="78">
        <f>G6</f>
        <v>0.88</v>
      </c>
      <c r="H9" s="79">
        <f>353.25 + 216.02*LOG(+G9/0.1)+61.189*(+G9/0.1)^0.5+0.0000109995*(+G9/0.1)^3</f>
        <v>738.80055037990201</v>
      </c>
      <c r="I9" s="79">
        <f>2317.1-101.44*LOG(+G9/0.1)-57.211*(+G9/0.1)^0.5-1.9433*(+G9/0.1)-0.000030737*(+G9/0.1)^3</f>
        <v>2034.4544386741309</v>
      </c>
      <c r="J9" s="80">
        <f>+(F9-H9)/I9</f>
        <v>0.3720628905698789</v>
      </c>
      <c r="K9" s="76">
        <f>+E9*J9</f>
        <v>22.641015851654196</v>
      </c>
      <c r="L9" s="76">
        <f>+E9-K9</f>
        <v>38.21164219488076</v>
      </c>
      <c r="M9" s="76">
        <f>+K9/N$3</f>
        <v>10.291370841660997</v>
      </c>
      <c r="N9" s="76">
        <f>M9*0.97</f>
        <v>9.9826297164111679</v>
      </c>
      <c r="O9" s="81">
        <v>1.0900000000000001</v>
      </c>
      <c r="P9" s="82">
        <v>42580</v>
      </c>
      <c r="R9" s="4"/>
      <c r="U9" s="4"/>
      <c r="X9" s="4"/>
    </row>
    <row r="10" spans="1:28" ht="18" customHeight="1">
      <c r="A10" s="3"/>
      <c r="B10" s="62" t="s">
        <v>129</v>
      </c>
      <c r="C10" s="63">
        <v>8.6</v>
      </c>
      <c r="D10" s="64">
        <f>C10*0.0980665</f>
        <v>0.84337189999999995</v>
      </c>
      <c r="E10" s="65">
        <f>14.87 + 69.71 * D9 - 93.59 * D9^2 + 53.18 * D9^3 - 12.04 * D9^4</f>
        <v>32.24536071395643</v>
      </c>
      <c r="F10" s="83">
        <f>-1.46 * C10 + 1202</f>
        <v>1189.444</v>
      </c>
      <c r="G10" s="67">
        <f>G7</f>
        <v>0.88</v>
      </c>
      <c r="H10" s="68">
        <f>353.25 + 216.02*LOG(+G10/0.1)+61.189*(+G10/0.1)^0.5+0.0000109995*(+G10/0.1)^3</f>
        <v>738.80055037990201</v>
      </c>
      <c r="I10" s="68">
        <f>2317.1-101.44*LOG(+G10/0.1)-57.211*(+G10/0.1)^0.5-1.9433*(+G10/0.1)-0.000030737*(+G10/0.1)^3</f>
        <v>2034.4544386741309</v>
      </c>
      <c r="J10" s="69">
        <f>+(F10-H10)/I10</f>
        <v>0.22150579587999308</v>
      </c>
      <c r="K10" s="65">
        <f>+E10*J10</f>
        <v>7.1425342883823806</v>
      </c>
      <c r="L10" s="70">
        <f>+E10-K10</f>
        <v>25.102826425574051</v>
      </c>
      <c r="M10" s="70">
        <f>+K10/N$3</f>
        <v>3.2466064947192637</v>
      </c>
      <c r="N10" s="70">
        <f>M10*0.97</f>
        <v>3.1492082998776856</v>
      </c>
      <c r="O10" s="71">
        <v>1.66</v>
      </c>
      <c r="P10" s="72">
        <v>42407</v>
      </c>
      <c r="U10" s="20"/>
      <c r="V10" s="34"/>
    </row>
    <row r="11" spans="1:28" ht="18.75" customHeight="1">
      <c r="A11" s="3"/>
      <c r="B11" s="84" t="s">
        <v>22</v>
      </c>
      <c r="C11" s="85"/>
      <c r="D11" s="84"/>
      <c r="E11" s="86">
        <f>SUM(E6:E10)-0.1</f>
        <v>181.4158534678742</v>
      </c>
      <c r="F11" s="87">
        <f>((E6*F6)+(E7*F7)+(E8*F8)+(E9*F9)+(E10*F10))/E11</f>
        <v>1361.2507568339033</v>
      </c>
      <c r="G11" s="87"/>
      <c r="H11" s="88"/>
      <c r="I11" s="88"/>
      <c r="J11" s="89"/>
      <c r="K11" s="86">
        <f>SUM(K6:K10)</f>
        <v>55.468656974993905</v>
      </c>
      <c r="L11" s="88">
        <f>SUM(L6:L10)</f>
        <v>126.04719649288029</v>
      </c>
      <c r="M11" s="88">
        <f>SUM(M6:M10)</f>
        <v>25.213025897724499</v>
      </c>
      <c r="N11" s="88">
        <f>SUM(N6:N10)</f>
        <v>24.456635120792761</v>
      </c>
      <c r="O11" s="90">
        <f>((K6*O6)+(K7*O7)+(K8*O8)+(K9*O9)+(K10*O10))/(K11)</f>
        <v>1.4022900867390911</v>
      </c>
      <c r="P11" s="91"/>
      <c r="U11" s="20"/>
      <c r="V11" s="34"/>
    </row>
    <row r="12" spans="1:28" ht="16.5" customHeight="1">
      <c r="A12" s="3"/>
      <c r="B12" s="84" t="s">
        <v>23</v>
      </c>
      <c r="C12" s="92"/>
      <c r="D12" s="93"/>
      <c r="E12" s="94"/>
      <c r="F12" s="95"/>
      <c r="G12" s="95"/>
      <c r="H12" s="96"/>
      <c r="I12" s="96"/>
      <c r="J12" s="97"/>
      <c r="K12" s="96"/>
      <c r="L12" s="94"/>
      <c r="M12" s="94"/>
      <c r="N12" s="94"/>
      <c r="O12" s="98"/>
      <c r="P12" s="96"/>
      <c r="U12" s="20"/>
      <c r="V12" s="34"/>
    </row>
    <row r="13" spans="1:28" ht="18" customHeight="1">
      <c r="A13" s="3"/>
      <c r="B13" s="73" t="s">
        <v>130</v>
      </c>
      <c r="C13" s="74">
        <v>10.5</v>
      </c>
      <c r="D13" s="75">
        <f>C13*0.0980665</f>
        <v>1.02969825</v>
      </c>
      <c r="E13" s="76">
        <f>48.93 + 37.32 * D13 - 16.85 *D13^2</f>
        <v>69.492646200005908</v>
      </c>
      <c r="F13" s="99">
        <f>1420.08 + 271.35 * D13 - 270.78 *D13^2 + 121.27 * D13^3 - 22.37 *D13^4</f>
        <v>1519.6368430723955</v>
      </c>
      <c r="G13" s="78">
        <f>G6</f>
        <v>0.88</v>
      </c>
      <c r="H13" s="79">
        <f>353.25 + 216.02*LOG(+G13/0.1)+61.189*(+G13/0.1)^0.5+0.0000109995*(+G13/0.1)^3</f>
        <v>738.80055037990201</v>
      </c>
      <c r="I13" s="79">
        <f>2317.1-101.44*LOG(+G13/0.1)-57.211*(+G13/0.1)^0.5-1.9433*(+G13/0.1)-0.000030737*(+G13/0.1)^3</f>
        <v>2034.4544386741309</v>
      </c>
      <c r="J13" s="80">
        <f>+(F13-H13)/I13</f>
        <v>0.38380623220118432</v>
      </c>
      <c r="K13" s="76">
        <f>+E13*J13</f>
        <v>26.671710703714215</v>
      </c>
      <c r="L13" s="76">
        <f>+E13-K13</f>
        <v>42.820935496291696</v>
      </c>
      <c r="M13" s="76">
        <f>+K13/N$3</f>
        <v>12.123504865324643</v>
      </c>
      <c r="N13" s="76">
        <f>M13*0.97</f>
        <v>11.759799719364903</v>
      </c>
      <c r="O13" s="81">
        <v>2.17</v>
      </c>
      <c r="P13" s="82">
        <v>42587</v>
      </c>
      <c r="U13" s="20"/>
      <c r="V13" s="34"/>
    </row>
    <row r="14" spans="1:28" ht="15">
      <c r="B14" s="73" t="s">
        <v>131</v>
      </c>
      <c r="C14" s="74">
        <v>10</v>
      </c>
      <c r="D14" s="75">
        <f>C14*0.0980665</f>
        <v>0.98066500000000001</v>
      </c>
      <c r="E14" s="76">
        <f>40.42 + 17.96 * D14 - 12.78 * D14^2 + 0.92 * D14^3</f>
        <v>46.609828850925233</v>
      </c>
      <c r="F14" s="99">
        <f>-25.14 * D14 + 1808.22</f>
        <v>1783.5660819</v>
      </c>
      <c r="G14" s="75">
        <f>G6</f>
        <v>0.88</v>
      </c>
      <c r="H14" s="79">
        <f>353.25 + 216.02*LOG(+G14/0.1)+61.189*(+G14/0.1)^0.5+0.0000109995*(+G14/0.1)^3</f>
        <v>738.80055037990201</v>
      </c>
      <c r="I14" s="79">
        <f>2317.1-101.44*LOG(+G14/0.1)-57.211*(+G14/0.1)^0.5-1.9433*(+G14/0.1)-0.000030737*(+G14/0.1)^3</f>
        <v>2034.4544386741309</v>
      </c>
      <c r="J14" s="80">
        <f>+(F14-H14)/I14</f>
        <v>0.51353596898487408</v>
      </c>
      <c r="K14" s="76">
        <f>+E14*J14</f>
        <v>23.935823623179029</v>
      </c>
      <c r="L14" s="76">
        <f>+E14-K14</f>
        <v>22.674005227746203</v>
      </c>
      <c r="M14" s="76">
        <f>+K14/N$3</f>
        <v>10.879919828717739</v>
      </c>
      <c r="N14" s="76">
        <f>M14*0.97</f>
        <v>10.553522233856206</v>
      </c>
      <c r="O14" s="81">
        <v>3.43</v>
      </c>
      <c r="P14" s="82">
        <v>42587</v>
      </c>
      <c r="T14" s="4"/>
      <c r="U14" s="20"/>
      <c r="X14" s="4"/>
      <c r="AB14" s="4"/>
    </row>
    <row r="15" spans="1:28" s="24" customFormat="1" ht="15.6">
      <c r="B15" s="84" t="s">
        <v>22</v>
      </c>
      <c r="C15" s="85"/>
      <c r="D15" s="84"/>
      <c r="E15" s="88">
        <f>SUM(E13:E14)</f>
        <v>116.10247505093113</v>
      </c>
      <c r="F15" s="87">
        <f>((E13*F13)+(E14*F14))/E15</f>
        <v>1625.5923504387385</v>
      </c>
      <c r="G15" s="87"/>
      <c r="H15" s="88"/>
      <c r="I15" s="88"/>
      <c r="J15" s="89"/>
      <c r="K15" s="86">
        <f>SUM(K13:K14)</f>
        <v>50.607534326893244</v>
      </c>
      <c r="L15" s="88">
        <f>SUM(L13:L14)</f>
        <v>65.494940724037903</v>
      </c>
      <c r="M15" s="88">
        <f>+M13+M14</f>
        <v>23.00342469404238</v>
      </c>
      <c r="N15" s="88">
        <f>SUM(N13:N14)</f>
        <v>22.313321953221109</v>
      </c>
      <c r="O15" s="90">
        <f>((K13*O13)+(K14*O14))/(K15)</f>
        <v>2.7659416550586378</v>
      </c>
      <c r="P15" s="100"/>
      <c r="R15" s="2"/>
      <c r="S15" s="2"/>
      <c r="T15" s="4"/>
      <c r="U15" s="20"/>
      <c r="V15" s="2"/>
      <c r="W15" s="2"/>
      <c r="X15" s="4"/>
      <c r="Z15" s="2"/>
      <c r="AA15" s="2"/>
      <c r="AB15" s="4"/>
    </row>
    <row r="16" spans="1:28" ht="17.399999999999999">
      <c r="B16" s="84" t="s">
        <v>26</v>
      </c>
      <c r="C16" s="92"/>
      <c r="D16" s="93"/>
      <c r="E16" s="94"/>
      <c r="F16" s="95"/>
      <c r="G16" s="95"/>
      <c r="H16" s="96"/>
      <c r="I16" s="96"/>
      <c r="J16" s="97"/>
      <c r="K16" s="96"/>
      <c r="L16" s="96"/>
      <c r="M16" s="96"/>
      <c r="N16" s="96"/>
      <c r="O16" s="101"/>
      <c r="P16" s="102"/>
      <c r="T16" s="4"/>
      <c r="U16" s="20"/>
      <c r="X16" s="4"/>
      <c r="AB16" s="4"/>
    </row>
    <row r="17" spans="2:28" ht="15">
      <c r="B17" s="73" t="s">
        <v>132</v>
      </c>
      <c r="C17" s="74">
        <v>10.4</v>
      </c>
      <c r="D17" s="75">
        <f t="shared" ref="D17:D22" si="0">C17*0.0980665</f>
        <v>1.0198916</v>
      </c>
      <c r="E17" s="76">
        <f xml:space="preserve"> -8.75 * D17 + 43.44</f>
        <v>34.515948499999993</v>
      </c>
      <c r="F17" s="77">
        <f>121.7 * D17 + 1864.32</f>
        <v>1988.4408077199998</v>
      </c>
      <c r="G17" s="78">
        <f>G6</f>
        <v>0.88</v>
      </c>
      <c r="H17" s="79">
        <f>353.25 + 216.02*LOG(+G17/0.1)+61.189*(+G17/0.1)^0.5+0.0000109995*(+G17/0.1)^3</f>
        <v>738.80055037990201</v>
      </c>
      <c r="I17" s="79">
        <f>2317.1-101.44*LOG(+G17/0.1)-57.211*(+G17/0.1)^0.5-1.9433*(+G17/0.1)-0.000030737*(+G17/0.1)^3</f>
        <v>2034.4544386741309</v>
      </c>
      <c r="J17" s="80">
        <f>+(F17-H17)/I17</f>
        <v>0.61423850718156048</v>
      </c>
      <c r="K17" s="76">
        <f t="shared" ref="K17:K22" si="1">+E17*J17</f>
        <v>21.201024680595616</v>
      </c>
      <c r="L17" s="76">
        <f t="shared" ref="L17:L22" si="2">+E17-K17</f>
        <v>13.314923819404378</v>
      </c>
      <c r="M17" s="76">
        <f t="shared" ref="M17:M22" si="3">+K17/N$3</f>
        <v>9.6368294002707344</v>
      </c>
      <c r="N17" s="76">
        <f t="shared" ref="N17:N22" si="4">M17*0.97</f>
        <v>9.3477245182626127</v>
      </c>
      <c r="O17" s="81">
        <v>3.28</v>
      </c>
      <c r="P17" s="82">
        <v>42587</v>
      </c>
      <c r="R17" s="34"/>
      <c r="T17" s="4"/>
      <c r="U17" s="20"/>
      <c r="X17" s="4"/>
      <c r="AB17" s="4"/>
    </row>
    <row r="18" spans="2:28" ht="15">
      <c r="B18" s="62" t="s">
        <v>133</v>
      </c>
      <c r="C18" s="63">
        <v>8.1</v>
      </c>
      <c r="D18" s="64">
        <f t="shared" si="0"/>
        <v>0.79433864999999992</v>
      </c>
      <c r="E18" s="65">
        <f>9.35 + 11.85 * D18 - 10.86 * D18^2</f>
        <v>11.910536547501689</v>
      </c>
      <c r="F18" s="83">
        <f>14.43 * D18 + 2481</f>
        <v>2492.4623067194998</v>
      </c>
      <c r="G18" s="67">
        <f>G6</f>
        <v>0.88</v>
      </c>
      <c r="H18" s="68">
        <f>353.25 + 216.02*LOG(+G18/0.1)+61.189*(+G18/0.1)^0.5+0.0000109995*(+G18/0.1)^3</f>
        <v>738.80055037990201</v>
      </c>
      <c r="I18" s="68">
        <f>2317.1-101.44*LOG(+G18/0.1)-57.211*(+G18/0.1)^0.5-1.9433*(+G18/0.1)-0.000030737*(+G18/0.1)^3</f>
        <v>2034.4544386741309</v>
      </c>
      <c r="J18" s="69">
        <f>+(F18-H18)/I18</f>
        <v>0.86198133661939969</v>
      </c>
      <c r="K18" s="65">
        <f t="shared" si="1"/>
        <v>10.266660213069716</v>
      </c>
      <c r="L18" s="70">
        <f t="shared" si="2"/>
        <v>1.6438763344319725</v>
      </c>
      <c r="M18" s="70">
        <f t="shared" si="3"/>
        <v>4.6666637332135075</v>
      </c>
      <c r="N18" s="70">
        <f t="shared" si="4"/>
        <v>4.5266638212171024</v>
      </c>
      <c r="O18" s="71">
        <v>3.59</v>
      </c>
      <c r="P18" s="72">
        <v>42407</v>
      </c>
      <c r="R18" s="4"/>
      <c r="T18" s="4"/>
      <c r="U18" s="20"/>
      <c r="X18" s="4"/>
      <c r="AB18" s="4"/>
    </row>
    <row r="19" spans="2:28" ht="15">
      <c r="B19" s="73" t="s">
        <v>134</v>
      </c>
      <c r="C19" s="74">
        <v>10.4</v>
      </c>
      <c r="D19" s="75">
        <f t="shared" si="0"/>
        <v>1.0198916</v>
      </c>
      <c r="E19" s="76">
        <f>34.55 + 40.33 *D19 - 24.68 * D19^2</f>
        <v>50.010613574476167</v>
      </c>
      <c r="F19" s="77">
        <f>74.72 * D19 + 1245.94</f>
        <v>1322.146300352</v>
      </c>
      <c r="G19" s="78">
        <f>G6</f>
        <v>0.88</v>
      </c>
      <c r="H19" s="79">
        <f>353.25 + 216.02*LOG(+G19/0.1)+61.189*(+G19/0.1)^0.5+0.0000109995*(+G19/0.1)^3</f>
        <v>738.80055037990201</v>
      </c>
      <c r="I19" s="79">
        <f>2317.1-101.44*LOG(+G19/0.1)-57.211*(+G19/0.1)^0.5-1.9433*(+G19/0.1)-0.000030737*(+G19/0.1)^3</f>
        <v>2034.4544386741309</v>
      </c>
      <c r="J19" s="80">
        <f>+(F19-H19)/I19</f>
        <v>0.28673325825486107</v>
      </c>
      <c r="K19" s="76">
        <f t="shared" si="1"/>
        <v>14.339706177534335</v>
      </c>
      <c r="L19" s="76">
        <f t="shared" si="2"/>
        <v>35.670907396941828</v>
      </c>
      <c r="M19" s="76">
        <f t="shared" si="3"/>
        <v>6.518048262515606</v>
      </c>
      <c r="N19" s="76">
        <f t="shared" si="4"/>
        <v>6.3225068146401373</v>
      </c>
      <c r="O19" s="81">
        <v>1.02</v>
      </c>
      <c r="P19" s="82">
        <v>42587</v>
      </c>
      <c r="T19" s="4"/>
      <c r="U19" s="20"/>
      <c r="X19" s="4"/>
      <c r="AB19" s="4"/>
    </row>
    <row r="20" spans="2:28" ht="15">
      <c r="B20" s="73" t="s">
        <v>135</v>
      </c>
      <c r="C20" s="74">
        <v>10</v>
      </c>
      <c r="D20" s="75">
        <f t="shared" si="0"/>
        <v>0.98066500000000001</v>
      </c>
      <c r="E20" s="76">
        <f>41.96 + 19.86 *D20- 10.58 *D20^2</f>
        <v>51.261180249259496</v>
      </c>
      <c r="F20" s="77">
        <f>-32.86 * D20 + 1355.61</f>
        <v>1323.3853480999999</v>
      </c>
      <c r="G20" s="78">
        <f>G6</f>
        <v>0.88</v>
      </c>
      <c r="H20" s="79">
        <f>353.25 + 216.02*LOG(+G20/0.1)+61.189*(+G20/0.1)^0.5+0.0000109995*(+G20/0.1)^3</f>
        <v>738.80055037990201</v>
      </c>
      <c r="I20" s="79">
        <f>2317.1-101.44*LOG(+G20/0.1)-57.211*(+G20/0.1)^0.5-1.9433*(+G20/0.1)-0.000030737*(+G20/0.1)^3</f>
        <v>2034.4544386741309</v>
      </c>
      <c r="J20" s="80">
        <f>+(F20-H20)/I20</f>
        <v>0.28734229020192564</v>
      </c>
      <c r="K20" s="76">
        <f t="shared" si="1"/>
        <v>14.729504931275942</v>
      </c>
      <c r="L20" s="76">
        <f t="shared" si="2"/>
        <v>36.531675317983556</v>
      </c>
      <c r="M20" s="76">
        <f t="shared" si="3"/>
        <v>6.6952295142163365</v>
      </c>
      <c r="N20" s="76">
        <f t="shared" si="4"/>
        <v>6.4943726287898462</v>
      </c>
      <c r="O20" s="81">
        <v>1.61</v>
      </c>
      <c r="P20" s="82">
        <v>42587</v>
      </c>
      <c r="T20" s="4"/>
      <c r="U20" s="20"/>
      <c r="X20" s="4"/>
      <c r="AB20" s="4"/>
    </row>
    <row r="21" spans="2:28" ht="15">
      <c r="B21" s="73" t="s">
        <v>136</v>
      </c>
      <c r="C21" s="74">
        <v>10.3</v>
      </c>
      <c r="D21" s="75">
        <f t="shared" si="0"/>
        <v>1.01008495</v>
      </c>
      <c r="E21" s="76">
        <f>114.33 - 688.68 * D21 + 1920.33 * D21^2 - 2600.92 * D21^3 + 1716.36 * D21^4 - 444.96 * D21^5</f>
        <v>16.354098674700822</v>
      </c>
      <c r="F21" s="77">
        <f>-153.59 * D21 + 1243.42</f>
        <v>1088.2810525295001</v>
      </c>
      <c r="G21" s="78">
        <f>G7</f>
        <v>0.88</v>
      </c>
      <c r="H21" s="79">
        <f>353.25 + 216.02*LOG(+G21/0.1)+61.189*(+G21/0.1)^0.5+0.0000109995*(+G21/0.1)^3</f>
        <v>738.80055037990201</v>
      </c>
      <c r="I21" s="79">
        <f>2317.1-101.44*LOG(+G21/0.1)-57.211*(+G21/0.1)^0.5-1.9433*(+G21/0.1)-0.000030737*(+G21/0.1)^3</f>
        <v>2034.4544386741309</v>
      </c>
      <c r="J21" s="80">
        <f>+(F21-H21)/I21</f>
        <v>0.17178094309025527</v>
      </c>
      <c r="K21" s="76">
        <f t="shared" si="1"/>
        <v>2.8093224937312011</v>
      </c>
      <c r="L21" s="76">
        <f t="shared" si="2"/>
        <v>13.54477618096962</v>
      </c>
      <c r="M21" s="76">
        <f t="shared" si="3"/>
        <v>1.2769647698778186</v>
      </c>
      <c r="N21" s="76">
        <f t="shared" si="4"/>
        <v>1.238655826781484</v>
      </c>
      <c r="O21" s="81">
        <v>0.42</v>
      </c>
      <c r="P21" s="82">
        <v>42532</v>
      </c>
      <c r="T21" s="4"/>
      <c r="U21" s="20"/>
      <c r="X21" s="4"/>
      <c r="AB21" s="4"/>
    </row>
    <row r="22" spans="2:28" ht="15">
      <c r="B22" s="73" t="s">
        <v>137</v>
      </c>
      <c r="C22" s="74">
        <v>9.6999999999999993</v>
      </c>
      <c r="D22" s="75">
        <f t="shared" si="0"/>
        <v>0.95124504999999993</v>
      </c>
      <c r="E22" s="76">
        <f xml:space="preserve"> 3.43 + 83.28 * D22 - 58.3 * D22^2</f>
        <v>29.895933201784018</v>
      </c>
      <c r="F22" s="77">
        <f>-25.03 * D22 + 1189.37</f>
        <v>1165.5603363984999</v>
      </c>
      <c r="G22" s="78">
        <v>0.88</v>
      </c>
      <c r="H22" s="79">
        <v>738.80055037990201</v>
      </c>
      <c r="I22" s="79">
        <v>2034.4544386741309</v>
      </c>
      <c r="J22" s="80">
        <v>0.16997062928794648</v>
      </c>
      <c r="K22" s="76">
        <f t="shared" si="1"/>
        <v>5.081430579457642</v>
      </c>
      <c r="L22" s="76">
        <f t="shared" si="2"/>
        <v>24.814502622326376</v>
      </c>
      <c r="M22" s="76">
        <f t="shared" si="3"/>
        <v>2.309741172480746</v>
      </c>
      <c r="N22" s="76">
        <f t="shared" si="4"/>
        <v>2.2404489373063234</v>
      </c>
      <c r="O22" s="81">
        <v>0.69</v>
      </c>
      <c r="P22" s="82">
        <v>42581</v>
      </c>
      <c r="T22" s="4"/>
      <c r="U22" s="20"/>
      <c r="X22" s="4"/>
      <c r="AB22" s="4"/>
    </row>
    <row r="23" spans="2:28" ht="14.25" customHeight="1">
      <c r="B23" s="84" t="s">
        <v>22</v>
      </c>
      <c r="C23" s="85"/>
      <c r="D23" s="84"/>
      <c r="E23" s="88">
        <f>SUM(E17:E22)</f>
        <v>193.94831074772219</v>
      </c>
      <c r="F23" s="87">
        <f>((E17*F17)+(E18*F18)+(E19*F19)+(E20*F20)+(E21*F21)+(E22*F22))/E23</f>
        <v>1469.0640773104265</v>
      </c>
      <c r="G23" s="87"/>
      <c r="H23" s="88"/>
      <c r="I23" s="88"/>
      <c r="J23" s="89"/>
      <c r="K23" s="88">
        <f>SUM(K17:K22)</f>
        <v>68.427649075664448</v>
      </c>
      <c r="L23" s="88">
        <f>SUM(L17:L22)</f>
        <v>125.52066167205773</v>
      </c>
      <c r="M23" s="88">
        <f>SUM(M17:M22)</f>
        <v>31.103476852574747</v>
      </c>
      <c r="N23" s="88">
        <f>SUM(N17:N22)</f>
        <v>30.170372546997505</v>
      </c>
      <c r="O23" s="90">
        <f>((K17*O17)+(K18*O18)+(K19*O19)+(K20*O20)+(K21*O21)+(K22*O22))/(K23)</f>
        <v>2.1836754429438234</v>
      </c>
      <c r="P23" s="100"/>
      <c r="Q23" s="1"/>
      <c r="T23" s="4"/>
      <c r="U23" s="20"/>
      <c r="X23" s="4"/>
      <c r="AB23" s="4"/>
    </row>
    <row r="24" spans="2:28" ht="14.25" customHeight="1">
      <c r="B24" s="84" t="s">
        <v>31</v>
      </c>
      <c r="C24" s="92"/>
      <c r="D24" s="93"/>
      <c r="E24" s="103"/>
      <c r="F24" s="15"/>
      <c r="G24" s="15"/>
      <c r="H24" s="103"/>
      <c r="I24" s="103"/>
      <c r="J24" s="104"/>
      <c r="K24" s="103"/>
      <c r="L24" s="103"/>
      <c r="M24" s="103"/>
      <c r="N24" s="103"/>
      <c r="O24" s="105"/>
      <c r="P24" s="102"/>
      <c r="T24" s="4"/>
      <c r="U24" s="20"/>
      <c r="X24" s="4"/>
      <c r="AB24" s="4"/>
    </row>
    <row r="25" spans="2:28" ht="15">
      <c r="B25" s="73" t="s">
        <v>138</v>
      </c>
      <c r="C25" s="74">
        <v>9.1999999999999993</v>
      </c>
      <c r="D25" s="75">
        <f>C25*0.0980665</f>
        <v>0.9022117999999999</v>
      </c>
      <c r="E25" s="76">
        <f>35.52 + 7.28 * D25 + 4.74 *D25^2 - 14.79 * D25^3</f>
        <v>35.084799226867588</v>
      </c>
      <c r="F25" s="77">
        <f>-2.3 * D25 + 1281.46</f>
        <v>1279.38491286</v>
      </c>
      <c r="G25" s="78">
        <f>G6</f>
        <v>0.88</v>
      </c>
      <c r="H25" s="79">
        <f t="shared" ref="H25:H33" si="5">353.25 + 216.02*LOG(+G25/0.1)+61.189*(+G25/0.1)^0.5+0.0000109995*(+G25/0.1)^3</f>
        <v>738.80055037990201</v>
      </c>
      <c r="I25" s="79">
        <f t="shared" ref="I25:I33" si="6">2317.1-101.44*LOG(+G25/0.1)-57.211*(+G25/0.1)^0.5-1.9433*(+G25/0.1)-0.000030737*(+G25/0.1)^3</f>
        <v>2034.4544386741309</v>
      </c>
      <c r="J25" s="80">
        <f t="shared" ref="J25:J33" si="7">+(F25-H25)/I25</f>
        <v>0.26571465657024046</v>
      </c>
      <c r="K25" s="76">
        <f>+E25*J25</f>
        <v>9.3225453774029585</v>
      </c>
      <c r="L25" s="76">
        <f>+E25-K25</f>
        <v>25.762253849464628</v>
      </c>
      <c r="M25" s="76">
        <f>+K25/N$3</f>
        <v>4.2375206260922536</v>
      </c>
      <c r="N25" s="76">
        <f>M25*0.97</f>
        <v>4.1103950073094859</v>
      </c>
      <c r="O25" s="81">
        <v>0.52</v>
      </c>
      <c r="P25" s="82">
        <v>42580</v>
      </c>
      <c r="Q25" s="34"/>
      <c r="R25" s="34"/>
      <c r="T25" s="4"/>
      <c r="U25" s="20"/>
      <c r="X25" s="4"/>
      <c r="AB25" s="4"/>
    </row>
    <row r="26" spans="2:28" ht="15">
      <c r="B26" s="73" t="s">
        <v>139</v>
      </c>
      <c r="C26" s="74">
        <v>9.8000000000000007</v>
      </c>
      <c r="D26" s="75">
        <f>C26*0.0980665</f>
        <v>0.96105170000000006</v>
      </c>
      <c r="E26" s="76">
        <f>25.48 + 16.84 *D26- 18.82 * D26^2</f>
        <v>24.281575263228213</v>
      </c>
      <c r="F26" s="77">
        <f>-102.4 *D26+ 1474.39</f>
        <v>1375.9783059200001</v>
      </c>
      <c r="G26" s="78">
        <f>G7</f>
        <v>0.88</v>
      </c>
      <c r="H26" s="79">
        <f>353.25 + 216.02*LOG(+G26/0.1)+61.189*(+G26/0.1)^0.5+0.0000109995*(+G26/0.1)^3</f>
        <v>738.80055037990201</v>
      </c>
      <c r="I26" s="79">
        <f>2317.1-101.44*LOG(+G26/0.1)-57.211*(+G26/0.1)^0.5-1.9433*(+G26/0.1)-0.000030737*(+G26/0.1)^3</f>
        <v>2034.4544386741309</v>
      </c>
      <c r="J26" s="80">
        <f>+(F26-H26)/I26</f>
        <v>0.31319342592668314</v>
      </c>
      <c r="K26" s="76">
        <f>+E26*J26</f>
        <v>7.6048297435870467</v>
      </c>
      <c r="L26" s="76">
        <f>+E26-K26</f>
        <v>16.676745519641166</v>
      </c>
      <c r="M26" s="76">
        <f>+K26/N$3</f>
        <v>3.4567407925395663</v>
      </c>
      <c r="N26" s="76">
        <f>M26*0.97</f>
        <v>3.3530385687633792</v>
      </c>
      <c r="O26" s="81">
        <v>0.72</v>
      </c>
      <c r="P26" s="82">
        <v>42580</v>
      </c>
      <c r="Q26" s="34"/>
      <c r="R26" s="34"/>
      <c r="S26" s="34"/>
      <c r="T26" s="34"/>
      <c r="U26" s="34"/>
      <c r="V26" s="34"/>
    </row>
    <row r="27" spans="2:28" ht="15">
      <c r="B27" s="73" t="s">
        <v>140</v>
      </c>
      <c r="C27" s="74">
        <v>9.5</v>
      </c>
      <c r="D27" s="75">
        <f>C27*0.0980665</f>
        <v>0.93163174999999998</v>
      </c>
      <c r="E27" s="76">
        <f>40.36 + 18.85 * D27 - 19 *D27^2</f>
        <v>41.430441852946814</v>
      </c>
      <c r="F27" s="77">
        <f>-8.64 * D27 + 1355.15</f>
        <v>1347.1007016800002</v>
      </c>
      <c r="G27" s="78">
        <f>G8</f>
        <v>0.88</v>
      </c>
      <c r="H27" s="79">
        <f>353.25 + 216.02*LOG(+G27/0.1)+61.189*(+G27/0.1)^0.5+0.0000109995*(+G27/0.1)^3</f>
        <v>738.80055037990201</v>
      </c>
      <c r="I27" s="79">
        <f>2317.1-101.44*LOG(+G27/0.1)-57.211*(+G27/0.1)^0.5-1.9433*(+G27/0.1)-0.000030737*(+G27/0.1)^3</f>
        <v>2034.4544386741309</v>
      </c>
      <c r="J27" s="80">
        <f>+(F27-H27)/I27</f>
        <v>0.29899915168241953</v>
      </c>
      <c r="K27" s="76">
        <f>+E27*J27</f>
        <v>12.387666967858907</v>
      </c>
      <c r="L27" s="76">
        <f>+E27-K27</f>
        <v>29.042774885087908</v>
      </c>
      <c r="M27" s="76">
        <f>+K27/N$3</f>
        <v>5.6307577126631392</v>
      </c>
      <c r="N27" s="76">
        <f>M27*0.97</f>
        <v>5.4618349812832445</v>
      </c>
      <c r="O27" s="81">
        <v>0.7</v>
      </c>
      <c r="P27" s="82">
        <v>42581</v>
      </c>
      <c r="Q27" s="34"/>
      <c r="R27" s="34"/>
      <c r="S27" s="34"/>
      <c r="T27" s="34"/>
      <c r="U27" s="34"/>
      <c r="V27" s="34"/>
    </row>
    <row r="28" spans="2:28" ht="15">
      <c r="B28" s="73" t="s">
        <v>141</v>
      </c>
      <c r="C28" s="74">
        <v>9.4</v>
      </c>
      <c r="D28" s="75">
        <f>C28*0.0980665</f>
        <v>0.92182510000000006</v>
      </c>
      <c r="E28" s="76">
        <f>18.76 + 27.39 *D28 - 28.93 * D28^2</f>
        <v>19.425188860339016</v>
      </c>
      <c r="F28" s="77">
        <f>-2.84 * D28 + 1169.67</f>
        <v>1167.052016716</v>
      </c>
      <c r="G28" s="78">
        <f>G9</f>
        <v>0.88</v>
      </c>
      <c r="H28" s="79">
        <f>353.25 + 216.02*LOG(+G28/0.1)+61.189*(+G28/0.1)^0.5+0.0000109995*(+G28/0.1)^3</f>
        <v>738.80055037990201</v>
      </c>
      <c r="I28" s="79">
        <f>2317.1-101.44*LOG(+G28/0.1)-57.211*(+G28/0.1)^0.5-1.9433*(+G28/0.1)-0.000030737*(+G28/0.1)^3</f>
        <v>2034.4544386741309</v>
      </c>
      <c r="J28" s="80">
        <f>+(F28-H28)/I28</f>
        <v>0.21049941359964428</v>
      </c>
      <c r="K28" s="76">
        <f>+E28*J28</f>
        <v>4.0889908641637049</v>
      </c>
      <c r="L28" s="76">
        <f>+E28-K28</f>
        <v>15.336197996175311</v>
      </c>
      <c r="M28" s="76">
        <f>+K28/N$3</f>
        <v>1.8586322109835021</v>
      </c>
      <c r="N28" s="76">
        <f>M28*0.97</f>
        <v>1.802873244653997</v>
      </c>
      <c r="O28" s="81">
        <v>0.56999999999999995</v>
      </c>
      <c r="P28" s="82">
        <v>42581</v>
      </c>
      <c r="Q28" s="34"/>
      <c r="R28" s="34"/>
      <c r="S28" s="34"/>
      <c r="T28" s="34"/>
      <c r="U28" s="34"/>
      <c r="V28" s="34"/>
    </row>
    <row r="29" spans="2:28" ht="15.6">
      <c r="B29" s="84" t="s">
        <v>22</v>
      </c>
      <c r="C29" s="85"/>
      <c r="D29" s="84"/>
      <c r="E29" s="88">
        <f>SUM(E25:E28)+0.1</f>
        <v>120.32200520338164</v>
      </c>
      <c r="F29" s="87">
        <f>((E25*F25)+(E26*F26)+(E27*F27)+(E28*F28))/E29</f>
        <v>1302.9957941434056</v>
      </c>
      <c r="G29" s="87"/>
      <c r="H29" s="88"/>
      <c r="I29" s="88"/>
      <c r="J29" s="89"/>
      <c r="K29" s="88">
        <f>SUM(K25:K28)</f>
        <v>33.404032953012617</v>
      </c>
      <c r="L29" s="88">
        <f>SUM(L25:L28)</f>
        <v>86.817972250369024</v>
      </c>
      <c r="M29" s="88">
        <f>SUM(M25:M28)</f>
        <v>15.183651342278461</v>
      </c>
      <c r="N29" s="88">
        <f>SUM(N25:N28)</f>
        <v>14.728141802010105</v>
      </c>
      <c r="O29" s="90">
        <f>((K25*O25)+(K26*O26)+(K27*O27)+(K28*O28))/(K29)</f>
        <v>0.63840473130007169</v>
      </c>
      <c r="P29" s="100"/>
      <c r="Q29" s="34"/>
      <c r="R29" s="34"/>
      <c r="S29" s="34"/>
      <c r="T29" s="34"/>
      <c r="U29" s="34"/>
    </row>
    <row r="30" spans="2:28" ht="15.6">
      <c r="B30" s="154" t="s">
        <v>44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6"/>
      <c r="Q30" s="34"/>
      <c r="R30" s="34"/>
      <c r="S30" s="34"/>
      <c r="T30" s="34"/>
      <c r="U30" s="34"/>
    </row>
    <row r="31" spans="2:28" ht="15">
      <c r="B31" s="62" t="s">
        <v>142</v>
      </c>
      <c r="C31" s="63">
        <v>9</v>
      </c>
      <c r="D31" s="64">
        <f>C31*0.0980665</f>
        <v>0.88259850000000006</v>
      </c>
      <c r="E31" s="65">
        <f>-6.6*D31+32.1</f>
        <v>26.2748499</v>
      </c>
      <c r="F31" s="83">
        <f>-25*D31+1629</f>
        <v>1606.9350374999999</v>
      </c>
      <c r="G31" s="67">
        <v>0.78</v>
      </c>
      <c r="H31" s="68">
        <f t="shared" si="5"/>
        <v>716.85707271555714</v>
      </c>
      <c r="I31" s="68">
        <f t="shared" si="6"/>
        <v>2051.6519697694403</v>
      </c>
      <c r="J31" s="69">
        <f t="shared" si="7"/>
        <v>0.43383477212485877</v>
      </c>
      <c r="K31" s="65">
        <f>+E31*J31</f>
        <v>11.398943518981367</v>
      </c>
      <c r="L31" s="70">
        <f>+E31-K31</f>
        <v>14.875906381018632</v>
      </c>
      <c r="M31" s="70">
        <f>+K31/N$3</f>
        <v>5.1813379631733483</v>
      </c>
      <c r="N31" s="70">
        <f>M31*0.97</f>
        <v>5.0258978242781476</v>
      </c>
      <c r="O31" s="71">
        <v>2.94</v>
      </c>
      <c r="P31" s="72" t="s">
        <v>45</v>
      </c>
      <c r="Q31" s="34"/>
      <c r="R31" s="34"/>
      <c r="S31" s="34"/>
      <c r="T31" s="34"/>
      <c r="U31" s="34"/>
    </row>
    <row r="32" spans="2:28" ht="15">
      <c r="B32" s="73" t="s">
        <v>143</v>
      </c>
      <c r="C32" s="74">
        <v>9.5</v>
      </c>
      <c r="D32" s="75">
        <f>C32*0.0980665</f>
        <v>0.93163174999999998</v>
      </c>
      <c r="E32" s="76">
        <f>35.41 + 21.09 * D32 - 23.5 * D32^2</f>
        <v>34.661577243710525</v>
      </c>
      <c r="F32" s="77">
        <f>-8.17 * D32 + 1397.57</f>
        <v>1389.9585686025</v>
      </c>
      <c r="G32" s="78">
        <v>0.78</v>
      </c>
      <c r="H32" s="79">
        <f t="shared" si="5"/>
        <v>716.85707271555714</v>
      </c>
      <c r="I32" s="79">
        <f t="shared" si="6"/>
        <v>2051.6519697694403</v>
      </c>
      <c r="J32" s="80">
        <f t="shared" si="7"/>
        <v>0.32807781524591834</v>
      </c>
      <c r="K32" s="76">
        <f>+E32*J32</f>
        <v>11.371694535094189</v>
      </c>
      <c r="L32" s="76">
        <f>+E32-K32</f>
        <v>23.289882708616336</v>
      </c>
      <c r="M32" s="76">
        <f>+K32/N$3</f>
        <v>5.1689520614064488</v>
      </c>
      <c r="N32" s="76">
        <f>M32*0.97</f>
        <v>5.0138834995642556</v>
      </c>
      <c r="O32" s="81">
        <v>0.77</v>
      </c>
      <c r="P32" s="82">
        <v>42580</v>
      </c>
      <c r="Q32" s="34"/>
      <c r="R32" s="34"/>
      <c r="S32" s="34"/>
      <c r="T32" s="34"/>
      <c r="U32" s="34"/>
      <c r="V32" s="34"/>
    </row>
    <row r="33" spans="2:22" ht="15">
      <c r="B33" s="73" t="s">
        <v>144</v>
      </c>
      <c r="C33" s="74">
        <v>8.5</v>
      </c>
      <c r="D33" s="75">
        <f>C33*0.0980665</f>
        <v>0.83356525000000004</v>
      </c>
      <c r="E33" s="76">
        <f>39.56 + 18.35 *D33 - 18.05 * D33^2</f>
        <v>42.3142223180635</v>
      </c>
      <c r="F33" s="77">
        <f>1197.63 + 169.54 * D33 - 148.59 * D33^2</f>
        <v>1235.7077103305364</v>
      </c>
      <c r="G33" s="78">
        <v>0.78</v>
      </c>
      <c r="H33" s="79">
        <f t="shared" si="5"/>
        <v>716.85707271555714</v>
      </c>
      <c r="I33" s="79">
        <f t="shared" si="6"/>
        <v>2051.6519697694403</v>
      </c>
      <c r="J33" s="80">
        <f t="shared" si="7"/>
        <v>0.25289408011695397</v>
      </c>
      <c r="K33" s="76">
        <f>+E33*J33</f>
        <v>10.701016328990953</v>
      </c>
      <c r="L33" s="76">
        <f>+E33-K33</f>
        <v>31.613205989072547</v>
      </c>
      <c r="M33" s="76">
        <f>+K33/N$3</f>
        <v>4.8640983313595232</v>
      </c>
      <c r="N33" s="76">
        <f>M33*0.97</f>
        <v>4.718175381418737</v>
      </c>
      <c r="O33" s="81">
        <v>0.4</v>
      </c>
      <c r="P33" s="82">
        <v>42581</v>
      </c>
      <c r="Q33" s="34"/>
      <c r="R33" s="34"/>
      <c r="S33" s="34"/>
      <c r="T33" s="34"/>
      <c r="U33" s="34"/>
      <c r="V33" s="34"/>
    </row>
    <row r="34" spans="2:22" ht="15.6">
      <c r="B34" s="106"/>
      <c r="C34" s="107"/>
      <c r="D34" s="108"/>
      <c r="E34" s="88">
        <f>SUM(E31:E33)</f>
        <v>103.25064946177403</v>
      </c>
      <c r="F34" s="87">
        <f>((E31*F31)+(E32*F32)+(E33*F33))/E34</f>
        <v>1381.9588033529462</v>
      </c>
      <c r="G34" s="87"/>
      <c r="H34" s="88"/>
      <c r="I34" s="88"/>
      <c r="J34" s="89"/>
      <c r="K34" s="88">
        <f>SUM(K31:K33)</f>
        <v>33.471654383066507</v>
      </c>
      <c r="L34" s="88">
        <f>SUM(L31:L33)</f>
        <v>69.77899507870751</v>
      </c>
      <c r="M34" s="88">
        <f>SUM(M31:M33)</f>
        <v>15.21438835593932</v>
      </c>
      <c r="N34" s="88">
        <f>SUM(N31:N33)</f>
        <v>14.75795670526114</v>
      </c>
      <c r="O34" s="90">
        <f>((K31*O31)+(K32*O32)+(K33*O33))/(K34)</f>
        <v>1.3907142066145908</v>
      </c>
      <c r="P34" s="109"/>
    </row>
    <row r="35" spans="2:22" ht="15.6">
      <c r="B35" s="154" t="s">
        <v>48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6"/>
    </row>
    <row r="36" spans="2:22" ht="15">
      <c r="B36" s="73" t="s">
        <v>145</v>
      </c>
      <c r="C36" s="74">
        <v>11</v>
      </c>
      <c r="D36" s="75">
        <f>C36*0.0980665</f>
        <v>1.0787315</v>
      </c>
      <c r="E36" s="76">
        <f>45.42 + 3.51 * D36 - 4.8 *D36^2 + 1.5 * D36^3 - 0.2 * D36^4</f>
        <v>45.232867676970223</v>
      </c>
      <c r="F36" s="77">
        <f>1315.39 - 8.01 * D36 - 7.21 * D36^2</f>
        <v>1298.3593601950449</v>
      </c>
      <c r="G36" s="78">
        <v>0.88</v>
      </c>
      <c r="H36" s="79">
        <f>353.25 + 216.02*LOG(+G36/0.1)+61.189*(+G36/0.1)^0.5+0.0000109995*(+G36/0.1)^3</f>
        <v>738.80055037990201</v>
      </c>
      <c r="I36" s="79">
        <f>2317.1-101.44*LOG(+G36/0.1)-57.211*(+G36/0.1)^0.5-1.9433*(+G36/0.1)-0.000030737*(+G36/0.1)^3</f>
        <v>2034.4544386741309</v>
      </c>
      <c r="J36" s="80">
        <f>+(F36-H36)/I36</f>
        <v>0.27504120966199253</v>
      </c>
      <c r="K36" s="76">
        <f>+E36*J36</f>
        <v>12.440902642354732</v>
      </c>
      <c r="L36" s="76">
        <f>+E36-K36</f>
        <v>32.791965034615487</v>
      </c>
      <c r="M36" s="76">
        <f>+K36/N$3</f>
        <v>5.6549557465248776</v>
      </c>
      <c r="N36" s="76">
        <f>M36*0.97</f>
        <v>5.485307074129131</v>
      </c>
      <c r="O36" s="81">
        <v>3.51</v>
      </c>
      <c r="P36" s="110">
        <v>42587</v>
      </c>
    </row>
    <row r="37" spans="2:22" ht="15">
      <c r="B37" s="73" t="s">
        <v>146</v>
      </c>
      <c r="C37" s="74">
        <v>11.8</v>
      </c>
      <c r="D37" s="75">
        <f>C37*0.0980665</f>
        <v>1.1571847000000002</v>
      </c>
      <c r="E37" s="76">
        <f>40.37 - 3.85 *D37 + 7.27 * D37^2 - 3.95 * D37^3</f>
        <v>39.529167461007958</v>
      </c>
      <c r="F37" s="77">
        <f>-109.33 * D37 + 1742.49</f>
        <v>1615.974996749</v>
      </c>
      <c r="G37" s="78">
        <v>0.88</v>
      </c>
      <c r="H37" s="79">
        <f>353.25 + 216.02*LOG(+G37/0.1)+61.189*(+G37/0.1)^0.5+0.0000109995*(+G37/0.1)^3</f>
        <v>738.80055037990201</v>
      </c>
      <c r="I37" s="79">
        <f>2317.1-101.44*LOG(+G37/0.1)-57.211*(+G37/0.1)^0.5-1.9433*(+G37/0.1)-0.000030737*(+G37/0.1)^3</f>
        <v>2034.4544386741309</v>
      </c>
      <c r="J37" s="80">
        <f>+(F37-H37)/I37</f>
        <v>0.43115954316517358</v>
      </c>
      <c r="K37" s="76">
        <f>+E37*J37</f>
        <v>17.043377784187836</v>
      </c>
      <c r="L37" s="76">
        <f>+E37-K37</f>
        <v>22.485789676820122</v>
      </c>
      <c r="M37" s="76">
        <f>+K37/N$3</f>
        <v>7.7469899019035608</v>
      </c>
      <c r="N37" s="76">
        <f>M37*0.97</f>
        <v>7.5145802048464541</v>
      </c>
      <c r="O37" s="81">
        <v>1.76</v>
      </c>
      <c r="P37" s="110">
        <v>42582</v>
      </c>
    </row>
    <row r="38" spans="2:22" ht="15">
      <c r="B38" s="73" t="s">
        <v>147</v>
      </c>
      <c r="C38" s="74">
        <v>11.6</v>
      </c>
      <c r="D38" s="75">
        <f>C38*0.0980665</f>
        <v>1.1375713999999999</v>
      </c>
      <c r="E38" s="76">
        <f>29.2 + 126.62 *D38 - 63.35 * D38^2</f>
        <v>91.260039150294219</v>
      </c>
      <c r="F38" s="77">
        <f>-8.16 * D38 + 1201.51</f>
        <v>1192.2274173759999</v>
      </c>
      <c r="G38" s="78">
        <v>0.88</v>
      </c>
      <c r="H38" s="79">
        <f>353.25 + 216.02*LOG(+G38/0.1)+61.189*(+G38/0.1)^0.5+0.0000109995*(+G38/0.1)^3</f>
        <v>738.80055037990201</v>
      </c>
      <c r="I38" s="79">
        <f>2317.1-101.44*LOG(+G38/0.1)-57.211*(+G38/0.1)^0.5-1.9433*(+G38/0.1)-0.000030737*(+G38/0.1)^3</f>
        <v>2034.4544386741309</v>
      </c>
      <c r="J38" s="80">
        <f>+(F38-H38)/I38</f>
        <v>0.22287393532961083</v>
      </c>
      <c r="K38" s="76">
        <f>+E38*J38</f>
        <v>20.339484063760427</v>
      </c>
      <c r="L38" s="76">
        <f>+E38-K38</f>
        <v>70.920555086533795</v>
      </c>
      <c r="M38" s="76">
        <f>+K38/N$3</f>
        <v>9.2452200289820112</v>
      </c>
      <c r="N38" s="76">
        <f>M38*0.97</f>
        <v>8.9678634281125511</v>
      </c>
      <c r="O38" s="81">
        <v>0.82</v>
      </c>
      <c r="P38" s="110">
        <v>42582</v>
      </c>
    </row>
    <row r="39" spans="2:22" ht="15.6">
      <c r="B39" s="106"/>
      <c r="C39" s="107"/>
      <c r="D39" s="108"/>
      <c r="E39" s="88">
        <f>SUM(E36:E38)</f>
        <v>176.02207428827239</v>
      </c>
      <c r="F39" s="87">
        <f>((E37*F37)+(E38*F38)+(E36*F36))/E39</f>
        <v>1314.6611589348652</v>
      </c>
      <c r="G39" s="87"/>
      <c r="H39" s="88"/>
      <c r="I39" s="88"/>
      <c r="J39" s="89"/>
      <c r="K39" s="88">
        <f>SUM(K36:K38)</f>
        <v>49.823764490302992</v>
      </c>
      <c r="L39" s="88">
        <f>SUM(L36:L38)</f>
        <v>126.1983097979694</v>
      </c>
      <c r="M39" s="88">
        <f>SUM(M36:M38)</f>
        <v>22.647165677410449</v>
      </c>
      <c r="N39" s="88">
        <f>SUM(N36:N38)</f>
        <v>21.967750707088136</v>
      </c>
      <c r="O39" s="90">
        <f>((K37*O37)+(K36*O36)+(K38*O38))/(K39)</f>
        <v>1.8132369368577566</v>
      </c>
      <c r="P39" s="109"/>
    </row>
    <row r="40" spans="2:22" ht="15.6">
      <c r="B40" s="111" t="s">
        <v>36</v>
      </c>
      <c r="C40" s="111"/>
      <c r="D40" s="111"/>
      <c r="E40" s="112">
        <f>+E11+E15+E23+E29+E34+E39</f>
        <v>891.06136821995563</v>
      </c>
      <c r="F40" s="113">
        <f>+((E6*F6)+(E7*F7)+(E8*F8)+(E9*F9)+(E10*F10)+(E13*F13)+(E14*F14)+(E17*F17)+(E18*F18)+(E19*F19)+(E20*F20)+(E21*F21)+(E22*F22)+(E25*F25)+(E26*F26)+(E27*F27)+(E28*F28)+(E31*F31)+(E32*F32)+(E33*F33)+(E36*F36)+(E37*F37)+(E38*F38))/E40</f>
        <v>1404.4900820912453</v>
      </c>
      <c r="G40" s="113"/>
      <c r="H40" s="112"/>
      <c r="I40" s="112"/>
      <c r="J40" s="114"/>
      <c r="K40" s="112">
        <f>+K11+K15+K23+K29+K34+K39</f>
        <v>291.2032922039337</v>
      </c>
      <c r="L40" s="112">
        <f>+L11+L15+L23+L29+L34+L39</f>
        <v>599.85807601602187</v>
      </c>
      <c r="M40" s="112">
        <f>+M11+M15+M23+M29+M34+M39</f>
        <v>132.36513281996986</v>
      </c>
      <c r="N40" s="112">
        <f>N11+N15+N23+N29+N34+N39</f>
        <v>128.39417883537075</v>
      </c>
      <c r="O40" s="115">
        <f>((K11*O11)+(K15*O15)+(K23*O23)+(K29*O29)+(K34*O34)+(K39*O39))/(K40)</f>
        <v>1.8042429947891496</v>
      </c>
      <c r="P40" s="112"/>
    </row>
    <row r="41" spans="2:22" ht="15.6">
      <c r="B41" s="116"/>
      <c r="C41" s="116"/>
      <c r="D41" s="116"/>
      <c r="E41" s="117"/>
      <c r="F41" s="118"/>
      <c r="G41" s="119"/>
      <c r="H41" s="120"/>
      <c r="I41" s="121"/>
      <c r="J41" s="122"/>
      <c r="K41" s="123">
        <f>+K40*3.6</f>
        <v>1048.3318519341613</v>
      </c>
      <c r="L41" s="124"/>
      <c r="M41" s="124" t="s">
        <v>37</v>
      </c>
      <c r="N41" s="123">
        <f>K41*0.97</f>
        <v>1016.8818963761364</v>
      </c>
      <c r="O41" s="125"/>
      <c r="P41" s="126"/>
    </row>
    <row r="42" spans="2:22" ht="18" customHeight="1">
      <c r="B42" s="127" t="s">
        <v>110</v>
      </c>
      <c r="C42" s="128"/>
      <c r="D42" s="127" t="s">
        <v>55</v>
      </c>
      <c r="E42" s="129"/>
      <c r="F42" s="128"/>
      <c r="G42" s="128"/>
      <c r="H42" s="130"/>
      <c r="I42" s="130"/>
      <c r="J42" s="129"/>
      <c r="K42" s="127" t="s">
        <v>56</v>
      </c>
      <c r="L42" s="128"/>
      <c r="M42" s="131" t="s">
        <v>111</v>
      </c>
      <c r="N42" s="132">
        <f>N41/2.38/3.6</f>
        <v>118.68369472177129</v>
      </c>
      <c r="O42" s="133"/>
      <c r="P42" s="134" t="s">
        <v>58</v>
      </c>
    </row>
    <row r="43" spans="2:22">
      <c r="B43" s="2" t="s">
        <v>60</v>
      </c>
      <c r="K43" s="4"/>
    </row>
    <row r="44" spans="2:22" hidden="1">
      <c r="K44" s="22">
        <f>K40-K36-K31-K17</f>
        <v>246.16242136200199</v>
      </c>
      <c r="L44" s="20">
        <f>K44*3.6</f>
        <v>886.18471690320723</v>
      </c>
      <c r="M44" s="2">
        <f>K44/2.3</f>
        <v>107.02713972260958</v>
      </c>
      <c r="N44" s="4"/>
      <c r="P44" s="2">
        <v>3</v>
      </c>
    </row>
    <row r="45" spans="2:22" hidden="1">
      <c r="K45" s="23">
        <f>K40-K44</f>
        <v>45.040870841931707</v>
      </c>
      <c r="L45" s="2">
        <f>K45/2.3</f>
        <v>19.582987322579005</v>
      </c>
      <c r="M45" s="2">
        <f>M44+L45</f>
        <v>126.61012704518858</v>
      </c>
      <c r="N45" s="4"/>
    </row>
    <row r="46" spans="2:22" hidden="1">
      <c r="K46" s="4"/>
      <c r="M46" s="4"/>
    </row>
    <row r="47" spans="2:22" hidden="1"/>
    <row r="48" spans="2:22" hidden="1">
      <c r="K48" s="21">
        <f>L40-L36-L31-L17</f>
        <v>538.87528078098342</v>
      </c>
      <c r="L48" s="4"/>
    </row>
    <row r="50" spans="3:14">
      <c r="C50" t="s">
        <v>112</v>
      </c>
      <c r="D50" s="26"/>
      <c r="E50"/>
      <c r="F50"/>
      <c r="G50"/>
      <c r="H50"/>
      <c r="I50"/>
      <c r="J50"/>
      <c r="K50" s="28"/>
      <c r="L50"/>
      <c r="M50" t="s">
        <v>61</v>
      </c>
      <c r="N50" s="27" t="s">
        <v>63</v>
      </c>
    </row>
    <row r="51" spans="3:14">
      <c r="D51"/>
      <c r="K51" s="25"/>
    </row>
  </sheetData>
  <mergeCells count="4">
    <mergeCell ref="B1:P1"/>
    <mergeCell ref="B2:P2"/>
    <mergeCell ref="O3:O4"/>
    <mergeCell ref="P3:P4"/>
  </mergeCells>
  <printOptions horizontalCentered="1"/>
  <pageMargins left="0.56999999999999995" right="0.12" top="0.25" bottom="0.33" header="0.3" footer="0.3"/>
  <pageSetup paperSize="9" scale="78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D30"/>
  <sheetViews>
    <sheetView workbookViewId="0">
      <selection activeCell="I22" sqref="I22"/>
    </sheetView>
  </sheetViews>
  <sheetFormatPr defaultRowHeight="14.4"/>
  <cols>
    <col min="1" max="1" width="13.77734375" customWidth="1"/>
  </cols>
  <sheetData>
    <row r="1" spans="1:4">
      <c r="A1" s="194" t="s">
        <v>216</v>
      </c>
      <c r="B1" s="194" t="s">
        <v>217</v>
      </c>
      <c r="C1" s="194" t="s">
        <v>218</v>
      </c>
      <c r="D1" s="194" t="s">
        <v>219</v>
      </c>
    </row>
    <row r="2" spans="1:4">
      <c r="A2" s="194" t="s">
        <v>199</v>
      </c>
      <c r="B2">
        <v>501</v>
      </c>
      <c r="C2" s="194" t="s">
        <v>220</v>
      </c>
      <c r="D2">
        <v>1</v>
      </c>
    </row>
    <row r="3" spans="1:4">
      <c r="A3" s="194" t="s">
        <v>227</v>
      </c>
      <c r="B3" s="194" t="s">
        <v>220</v>
      </c>
      <c r="C3" s="194" t="s">
        <v>235</v>
      </c>
      <c r="D3">
        <v>0</v>
      </c>
    </row>
    <row r="4" spans="1:4">
      <c r="A4" s="194" t="s">
        <v>228</v>
      </c>
      <c r="B4" s="194" t="s">
        <v>220</v>
      </c>
      <c r="C4" s="194" t="s">
        <v>236</v>
      </c>
      <c r="D4">
        <v>1</v>
      </c>
    </row>
    <row r="5" spans="1:4">
      <c r="A5" s="194" t="s">
        <v>200</v>
      </c>
      <c r="B5">
        <v>502</v>
      </c>
      <c r="C5" s="194" t="s">
        <v>221</v>
      </c>
      <c r="D5">
        <v>1</v>
      </c>
    </row>
    <row r="6" spans="1:4">
      <c r="A6" s="194" t="s">
        <v>229</v>
      </c>
      <c r="B6" s="194" t="s">
        <v>221</v>
      </c>
      <c r="C6" s="194" t="s">
        <v>235</v>
      </c>
      <c r="D6">
        <v>0</v>
      </c>
    </row>
    <row r="7" spans="1:4">
      <c r="A7" s="194" t="s">
        <v>241</v>
      </c>
      <c r="B7" s="194" t="s">
        <v>221</v>
      </c>
      <c r="C7" s="194" t="s">
        <v>236</v>
      </c>
      <c r="D7">
        <v>1</v>
      </c>
    </row>
    <row r="8" spans="1:4">
      <c r="A8" s="194" t="s">
        <v>201</v>
      </c>
      <c r="B8" s="194">
        <v>503</v>
      </c>
      <c r="C8" s="194" t="s">
        <v>222</v>
      </c>
      <c r="D8">
        <v>1</v>
      </c>
    </row>
    <row r="9" spans="1:4">
      <c r="A9" s="194" t="s">
        <v>230</v>
      </c>
      <c r="B9" s="194" t="s">
        <v>222</v>
      </c>
      <c r="C9" s="194" t="s">
        <v>235</v>
      </c>
      <c r="D9">
        <v>0</v>
      </c>
    </row>
    <row r="10" spans="1:4">
      <c r="A10" s="194" t="s">
        <v>242</v>
      </c>
      <c r="B10" s="194" t="s">
        <v>222</v>
      </c>
      <c r="C10" s="194" t="s">
        <v>236</v>
      </c>
      <c r="D10">
        <v>1</v>
      </c>
    </row>
    <row r="11" spans="1:4">
      <c r="A11" s="194" t="s">
        <v>202</v>
      </c>
      <c r="B11" s="194">
        <v>504</v>
      </c>
      <c r="C11" s="194" t="s">
        <v>223</v>
      </c>
      <c r="D11">
        <v>1</v>
      </c>
    </row>
    <row r="12" spans="1:4">
      <c r="A12" s="194" t="s">
        <v>231</v>
      </c>
      <c r="B12" s="194" t="s">
        <v>223</v>
      </c>
      <c r="C12" s="194" t="s">
        <v>235</v>
      </c>
      <c r="D12">
        <v>1</v>
      </c>
    </row>
    <row r="13" spans="1:4">
      <c r="A13" s="194" t="s">
        <v>243</v>
      </c>
      <c r="B13" s="194" t="s">
        <v>223</v>
      </c>
      <c r="C13" s="194" t="s">
        <v>236</v>
      </c>
      <c r="D13">
        <v>0</v>
      </c>
    </row>
    <row r="14" spans="1:4">
      <c r="A14" s="194" t="s">
        <v>203</v>
      </c>
      <c r="B14" s="194">
        <v>505</v>
      </c>
      <c r="C14" s="194" t="s">
        <v>224</v>
      </c>
      <c r="D14">
        <v>1</v>
      </c>
    </row>
    <row r="15" spans="1:4">
      <c r="A15" s="194" t="s">
        <v>232</v>
      </c>
      <c r="B15" s="194" t="s">
        <v>224</v>
      </c>
      <c r="C15" s="194" t="s">
        <v>235</v>
      </c>
      <c r="D15">
        <v>1</v>
      </c>
    </row>
    <row r="16" spans="1:4">
      <c r="A16" s="194" t="s">
        <v>244</v>
      </c>
      <c r="B16" s="194" t="s">
        <v>224</v>
      </c>
      <c r="C16" s="194" t="s">
        <v>236</v>
      </c>
      <c r="D16">
        <v>0</v>
      </c>
    </row>
    <row r="17" spans="1:4">
      <c r="A17" s="194" t="s">
        <v>204</v>
      </c>
      <c r="B17" s="194">
        <v>506</v>
      </c>
      <c r="C17" s="194" t="s">
        <v>225</v>
      </c>
      <c r="D17">
        <v>1</v>
      </c>
    </row>
    <row r="18" spans="1:4">
      <c r="A18" s="194" t="s">
        <v>233</v>
      </c>
      <c r="B18" s="194" t="s">
        <v>225</v>
      </c>
      <c r="C18" s="194" t="s">
        <v>237</v>
      </c>
      <c r="D18">
        <v>1</v>
      </c>
    </row>
    <row r="19" spans="1:4">
      <c r="A19" s="194" t="s">
        <v>245</v>
      </c>
      <c r="B19" s="194" t="s">
        <v>225</v>
      </c>
      <c r="C19" s="194" t="s">
        <v>238</v>
      </c>
      <c r="D19">
        <v>0</v>
      </c>
    </row>
    <row r="20" spans="1:4">
      <c r="A20" s="194" t="s">
        <v>205</v>
      </c>
      <c r="B20" s="194">
        <v>508</v>
      </c>
      <c r="C20" s="194" t="s">
        <v>226</v>
      </c>
      <c r="D20">
        <v>1</v>
      </c>
    </row>
    <row r="21" spans="1:4">
      <c r="A21" s="194" t="s">
        <v>234</v>
      </c>
      <c r="B21" s="194" t="s">
        <v>226</v>
      </c>
      <c r="C21" s="194" t="s">
        <v>239</v>
      </c>
      <c r="D21">
        <v>0</v>
      </c>
    </row>
    <row r="22" spans="1:4">
      <c r="A22" s="194" t="s">
        <v>246</v>
      </c>
      <c r="B22" s="194" t="s">
        <v>226</v>
      </c>
      <c r="C22" s="194" t="s">
        <v>240</v>
      </c>
      <c r="D22">
        <v>1</v>
      </c>
    </row>
    <row r="23" spans="1:4">
      <c r="A23" s="194" t="s">
        <v>247</v>
      </c>
      <c r="B23" s="194" t="s">
        <v>236</v>
      </c>
      <c r="C23" s="194" t="s">
        <v>238</v>
      </c>
      <c r="D23">
        <v>1</v>
      </c>
    </row>
    <row r="24" spans="1:4">
      <c r="A24" s="194" t="s">
        <v>248</v>
      </c>
      <c r="B24" s="194" t="s">
        <v>235</v>
      </c>
      <c r="C24" s="194" t="s">
        <v>237</v>
      </c>
      <c r="D24">
        <v>1</v>
      </c>
    </row>
    <row r="25" spans="1:4">
      <c r="A25" s="194" t="s">
        <v>249</v>
      </c>
      <c r="B25" s="194" t="s">
        <v>238</v>
      </c>
      <c r="C25" s="194" t="s">
        <v>240</v>
      </c>
      <c r="D25">
        <v>1</v>
      </c>
    </row>
    <row r="26" spans="1:4">
      <c r="A26" s="194" t="s">
        <v>250</v>
      </c>
      <c r="B26" s="194" t="s">
        <v>237</v>
      </c>
      <c r="C26" s="194" t="s">
        <v>239</v>
      </c>
      <c r="D26">
        <v>1</v>
      </c>
    </row>
    <row r="27" spans="1:4">
      <c r="A27" s="194" t="s">
        <v>254</v>
      </c>
      <c r="B27" s="194" t="s">
        <v>240</v>
      </c>
      <c r="C27" s="194" t="s">
        <v>251</v>
      </c>
      <c r="D27">
        <v>1</v>
      </c>
    </row>
    <row r="28" spans="1:4">
      <c r="A28" s="194" t="s">
        <v>253</v>
      </c>
      <c r="B28" s="194" t="s">
        <v>239</v>
      </c>
      <c r="C28" s="194" t="s">
        <v>252</v>
      </c>
      <c r="D28">
        <v>1</v>
      </c>
    </row>
    <row r="29" spans="1:4">
      <c r="A29" s="194"/>
      <c r="B29" s="194"/>
      <c r="C29" s="194"/>
    </row>
    <row r="30" spans="1:4">
      <c r="A30" s="194"/>
      <c r="B30" s="194"/>
      <c r="C30" s="19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topLeftCell="A28" workbookViewId="0">
      <selection activeCell="T37" sqref="T37"/>
    </sheetView>
  </sheetViews>
  <sheetFormatPr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J31"/>
  <sheetViews>
    <sheetView workbookViewId="0">
      <selection activeCell="E15" sqref="E15"/>
    </sheetView>
  </sheetViews>
  <sheetFormatPr defaultRowHeight="14.4"/>
  <cols>
    <col min="1" max="1" width="17.109375" customWidth="1"/>
    <col min="2" max="5" width="17.88671875" customWidth="1"/>
    <col min="6" max="6" width="10.77734375" customWidth="1"/>
    <col min="7" max="7" width="17.21875" customWidth="1"/>
    <col min="8" max="10" width="12.33203125" customWidth="1"/>
  </cols>
  <sheetData>
    <row r="1" spans="1:10">
      <c r="F1" s="194" t="s">
        <v>208</v>
      </c>
      <c r="G1" s="194" t="s">
        <v>209</v>
      </c>
      <c r="H1" s="194" t="s">
        <v>210</v>
      </c>
      <c r="I1" s="194" t="s">
        <v>211</v>
      </c>
      <c r="J1" s="194" t="s">
        <v>212</v>
      </c>
    </row>
    <row r="2" spans="1:10">
      <c r="A2" s="194">
        <v>502</v>
      </c>
      <c r="B2" s="225">
        <v>123.94007000000001</v>
      </c>
      <c r="C2" s="225">
        <v>13.04914</v>
      </c>
      <c r="D2" s="225">
        <v>601811.85699999996</v>
      </c>
      <c r="E2" s="225">
        <v>1443321.3370000001</v>
      </c>
      <c r="F2" s="194">
        <v>592</v>
      </c>
      <c r="G2" s="194">
        <v>4</v>
      </c>
      <c r="H2" s="194">
        <v>3</v>
      </c>
      <c r="I2" s="194">
        <v>20</v>
      </c>
      <c r="J2" s="194"/>
    </row>
    <row r="3" spans="1:10">
      <c r="A3">
        <v>501</v>
      </c>
      <c r="B3" s="225">
        <v>123.94006</v>
      </c>
      <c r="C3" s="225">
        <v>13.04913</v>
      </c>
      <c r="D3" s="225">
        <v>601811.39399999997</v>
      </c>
      <c r="E3" s="225">
        <v>1443320.334</v>
      </c>
      <c r="F3" s="194"/>
      <c r="G3" s="194"/>
      <c r="H3" s="194"/>
      <c r="I3" s="194"/>
      <c r="J3" s="194"/>
    </row>
    <row r="4" spans="1:10">
      <c r="A4">
        <v>503</v>
      </c>
      <c r="B4" s="225">
        <v>123.94006</v>
      </c>
      <c r="C4" s="225">
        <v>13.04912</v>
      </c>
      <c r="D4" s="225">
        <v>601810.69999999995</v>
      </c>
      <c r="E4" s="225">
        <v>1443319.0220000001</v>
      </c>
      <c r="F4" s="194"/>
      <c r="G4" s="194"/>
      <c r="H4" s="194"/>
      <c r="I4" s="194"/>
      <c r="J4" s="194"/>
    </row>
    <row r="5" spans="1:10">
      <c r="A5">
        <v>504</v>
      </c>
      <c r="B5" s="225">
        <v>123.94002999999999</v>
      </c>
      <c r="C5" s="225">
        <v>13.04907</v>
      </c>
      <c r="D5" s="225">
        <v>601807.92200000002</v>
      </c>
      <c r="E5" s="225">
        <v>1443314.237</v>
      </c>
      <c r="F5" s="194">
        <v>455</v>
      </c>
      <c r="G5" s="225">
        <v>2</v>
      </c>
      <c r="H5" s="225">
        <v>2</v>
      </c>
      <c r="I5" s="225">
        <v>16</v>
      </c>
      <c r="J5" s="194"/>
    </row>
    <row r="6" spans="1:10">
      <c r="A6">
        <v>505</v>
      </c>
      <c r="B6" s="225">
        <v>123.94002999999999</v>
      </c>
      <c r="C6" s="225">
        <v>13.049060000000001</v>
      </c>
      <c r="D6" s="225">
        <v>601807.304</v>
      </c>
      <c r="E6" s="225">
        <v>1443313.1569999999</v>
      </c>
      <c r="F6" s="194">
        <v>455</v>
      </c>
      <c r="G6" s="225">
        <v>2</v>
      </c>
      <c r="H6" s="225">
        <v>2</v>
      </c>
      <c r="I6" s="225">
        <v>16</v>
      </c>
      <c r="J6" s="194"/>
    </row>
    <row r="7" spans="1:10">
      <c r="A7" s="194" t="s">
        <v>206</v>
      </c>
      <c r="B7" s="225">
        <v>123.93988</v>
      </c>
      <c r="C7" s="225">
        <v>13.04921</v>
      </c>
      <c r="D7" s="225">
        <v>601790.98199999996</v>
      </c>
      <c r="E7" s="225">
        <v>1443329.15</v>
      </c>
      <c r="F7" s="194"/>
      <c r="G7" s="194"/>
      <c r="H7" s="194"/>
      <c r="I7" s="194"/>
      <c r="J7" s="194"/>
    </row>
    <row r="8" spans="1:10">
      <c r="A8" s="194" t="s">
        <v>207</v>
      </c>
      <c r="B8" s="225">
        <v>123.93986</v>
      </c>
      <c r="C8" s="225">
        <v>13.049149999999999</v>
      </c>
      <c r="D8" s="225">
        <v>601789.4</v>
      </c>
      <c r="E8" s="225">
        <v>1443322.629</v>
      </c>
      <c r="F8" s="194"/>
      <c r="G8" s="194"/>
      <c r="H8" s="194"/>
      <c r="I8" s="194"/>
      <c r="J8" s="194"/>
    </row>
    <row r="9" spans="1:10">
      <c r="A9">
        <v>506</v>
      </c>
      <c r="B9" s="225"/>
      <c r="C9" s="225"/>
      <c r="D9" s="225"/>
      <c r="E9" s="225"/>
      <c r="F9">
        <v>536</v>
      </c>
      <c r="G9">
        <v>2</v>
      </c>
      <c r="H9">
        <v>2</v>
      </c>
      <c r="I9">
        <v>15</v>
      </c>
      <c r="J9">
        <v>0</v>
      </c>
    </row>
    <row r="10" spans="1:10">
      <c r="A10">
        <v>508</v>
      </c>
      <c r="B10" s="225"/>
      <c r="C10" s="225"/>
      <c r="D10" s="225"/>
      <c r="E10" s="225"/>
      <c r="F10">
        <v>37</v>
      </c>
      <c r="G10">
        <v>0</v>
      </c>
      <c r="H10">
        <v>0</v>
      </c>
      <c r="I10">
        <v>2</v>
      </c>
    </row>
    <row r="11" spans="1:10">
      <c r="A11" s="194" t="s">
        <v>214</v>
      </c>
      <c r="B11" s="225"/>
      <c r="C11" s="225"/>
      <c r="D11" s="225"/>
      <c r="E11" s="225"/>
      <c r="F11">
        <v>55</v>
      </c>
      <c r="G11">
        <v>1</v>
      </c>
      <c r="H11">
        <v>0</v>
      </c>
      <c r="I11">
        <v>4</v>
      </c>
    </row>
    <row r="12" spans="1:10">
      <c r="A12" s="194" t="s">
        <v>213</v>
      </c>
      <c r="B12" s="225"/>
      <c r="C12" s="225"/>
      <c r="D12" s="225"/>
      <c r="E12" s="225"/>
      <c r="F12">
        <v>257</v>
      </c>
      <c r="G12">
        <v>0</v>
      </c>
      <c r="H12">
        <v>0</v>
      </c>
      <c r="I12">
        <v>2</v>
      </c>
    </row>
    <row r="13" spans="1:10">
      <c r="A13" s="194" t="s">
        <v>215</v>
      </c>
      <c r="B13" s="225"/>
      <c r="C13" s="225"/>
      <c r="D13" s="225"/>
      <c r="E13" s="225"/>
      <c r="F13">
        <v>1811</v>
      </c>
      <c r="G13">
        <v>8</v>
      </c>
      <c r="H13">
        <v>4</v>
      </c>
      <c r="I13">
        <v>41</v>
      </c>
    </row>
    <row r="14" spans="1:10">
      <c r="B14" s="225"/>
      <c r="C14" s="225"/>
      <c r="D14" s="225"/>
      <c r="E14" s="225"/>
    </row>
    <row r="15" spans="1:10">
      <c r="B15" s="225"/>
      <c r="C15" s="225"/>
      <c r="D15" s="225"/>
      <c r="E15" s="225"/>
    </row>
    <row r="16" spans="1:10">
      <c r="B16" s="225"/>
      <c r="C16" s="225"/>
      <c r="D16" s="225"/>
      <c r="E16" s="225"/>
    </row>
    <row r="17" spans="2:5">
      <c r="B17" s="225"/>
      <c r="C17" s="225"/>
      <c r="D17" s="225"/>
      <c r="E17" s="225"/>
    </row>
    <row r="18" spans="2:5">
      <c r="B18" s="225"/>
      <c r="C18" s="225"/>
      <c r="D18" s="225"/>
      <c r="E18" s="225"/>
    </row>
    <row r="19" spans="2:5">
      <c r="B19" s="225"/>
      <c r="C19" s="225"/>
      <c r="D19" s="225"/>
      <c r="E19" s="225"/>
    </row>
    <row r="20" spans="2:5">
      <c r="B20" s="225"/>
      <c r="C20" s="225"/>
      <c r="D20" s="225"/>
      <c r="E20" s="225"/>
    </row>
    <row r="21" spans="2:5">
      <c r="B21" s="225"/>
      <c r="C21" s="225"/>
      <c r="D21" s="225"/>
      <c r="E21" s="225"/>
    </row>
    <row r="22" spans="2:5">
      <c r="B22" s="225"/>
      <c r="C22" s="225"/>
      <c r="D22" s="225"/>
      <c r="E22" s="225"/>
    </row>
    <row r="23" spans="2:5">
      <c r="B23" s="225"/>
      <c r="C23" s="225"/>
      <c r="D23" s="225"/>
      <c r="E23" s="225"/>
    </row>
    <row r="24" spans="2:5">
      <c r="B24" s="225"/>
      <c r="C24" s="225"/>
      <c r="D24" s="225"/>
      <c r="E24" s="225"/>
    </row>
    <row r="25" spans="2:5">
      <c r="B25" s="225"/>
      <c r="C25" s="225"/>
      <c r="D25" s="225"/>
      <c r="E25" s="225"/>
    </row>
    <row r="26" spans="2:5">
      <c r="B26" s="225"/>
      <c r="C26" s="225"/>
      <c r="D26" s="225"/>
      <c r="E26" s="225"/>
    </row>
    <row r="27" spans="2:5">
      <c r="B27" s="225"/>
      <c r="C27" s="225"/>
      <c r="D27" s="225"/>
      <c r="E27" s="225"/>
    </row>
    <row r="28" spans="2:5">
      <c r="B28" s="225"/>
      <c r="C28" s="225"/>
      <c r="D28" s="225"/>
      <c r="E28" s="225"/>
    </row>
    <row r="29" spans="2:5">
      <c r="B29" s="225"/>
      <c r="C29" s="225"/>
      <c r="D29" s="225"/>
      <c r="E29" s="225"/>
    </row>
    <row r="30" spans="2:5">
      <c r="B30" s="225"/>
      <c r="C30" s="225"/>
      <c r="D30" s="225"/>
      <c r="E30" s="225"/>
    </row>
    <row r="31" spans="2:5">
      <c r="B31" s="225"/>
      <c r="C31" s="225"/>
      <c r="D31" s="225"/>
      <c r="E31" s="2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I26"/>
  <sheetViews>
    <sheetView showGridLines="0" zoomScaleNormal="100" workbookViewId="0">
      <selection activeCell="F30" sqref="F30"/>
    </sheetView>
  </sheetViews>
  <sheetFormatPr defaultColWidth="9.109375" defaultRowHeight="14.4"/>
  <cols>
    <col min="1" max="1" width="2" style="7" customWidth="1"/>
    <col min="2" max="2" width="18.6640625" style="16" customWidth="1"/>
    <col min="3" max="3" width="17.44140625" style="7" hidden="1" customWidth="1"/>
    <col min="4" max="4" width="19.5546875" style="7" hidden="1" customWidth="1"/>
    <col min="5" max="5" width="20.109375" style="7" hidden="1" customWidth="1"/>
    <col min="6" max="6" width="101.6640625" style="7" customWidth="1"/>
    <col min="7" max="7" width="104.33203125" style="7" customWidth="1"/>
    <col min="8" max="16384" width="9.109375" style="7"/>
  </cols>
  <sheetData>
    <row r="2" spans="1:9" ht="18">
      <c r="B2" s="14"/>
      <c r="C2" s="10" t="s">
        <v>40</v>
      </c>
      <c r="D2" s="11" t="s">
        <v>1</v>
      </c>
      <c r="E2" s="12" t="s">
        <v>2</v>
      </c>
      <c r="F2" s="8" t="s">
        <v>1</v>
      </c>
      <c r="G2" s="9" t="s">
        <v>2</v>
      </c>
    </row>
    <row r="3" spans="1:9" ht="17.399999999999999">
      <c r="B3" s="15" t="s">
        <v>18</v>
      </c>
      <c r="C3" s="13">
        <v>0.93163174999999998</v>
      </c>
      <c r="D3" s="5">
        <f>33.46-11.19*C3+1.81*C3^2-4.48*C3^3</f>
        <v>20.983487446707596</v>
      </c>
      <c r="E3" s="35">
        <f>981.91+166.56*C3+64.99*C3^2+19.46*C3^3</f>
        <v>1209.2251801415091</v>
      </c>
      <c r="F3" s="5" t="s">
        <v>67</v>
      </c>
      <c r="G3" s="36" t="s">
        <v>66</v>
      </c>
    </row>
    <row r="4" spans="1:9" ht="17.399999999999999">
      <c r="B4" s="29" t="s">
        <v>19</v>
      </c>
      <c r="C4" s="30">
        <v>1.08</v>
      </c>
      <c r="D4" s="31">
        <f>69.1+19.49*C4-19.99*C4^2</f>
        <v>66.832864000000001</v>
      </c>
      <c r="E4" s="33">
        <f>912.27+309.14*C4</f>
        <v>1246.1412</v>
      </c>
      <c r="F4" s="31" t="s">
        <v>77</v>
      </c>
      <c r="G4" s="33" t="s">
        <v>78</v>
      </c>
    </row>
    <row r="5" spans="1:9" ht="17.399999999999999">
      <c r="B5" s="15" t="s">
        <v>20</v>
      </c>
      <c r="C5" s="13">
        <v>0.93163174999999998</v>
      </c>
      <c r="D5" s="5">
        <f>-443.86+2086.89*C5-3353.73*(C5^2)+2369.33*(C5^3)-627.64*C5^4</f>
        <v>32.549333591307914</v>
      </c>
      <c r="E5" s="35">
        <f>1013+193.53*C5</f>
        <v>1193.2986925774999</v>
      </c>
      <c r="F5" s="5" t="s">
        <v>71</v>
      </c>
      <c r="G5" s="6" t="s">
        <v>72</v>
      </c>
    </row>
    <row r="6" spans="1:9" ht="18" customHeight="1">
      <c r="A6" s="3"/>
      <c r="B6" s="29" t="s">
        <v>21</v>
      </c>
      <c r="C6" s="30">
        <v>1.1277647500000001</v>
      </c>
      <c r="D6" s="31">
        <f>69.8 - 3.2 * C6 + 12.4 * C6^2 - 9.3 * C6^3</f>
        <v>68.622666514046401</v>
      </c>
      <c r="E6" s="33">
        <f>1220 - 25.7 * C6 + 66.2 * C6^2 - 2.9 * C6^3</f>
        <v>1271.0535175325288</v>
      </c>
      <c r="F6" s="31" t="s">
        <v>76</v>
      </c>
      <c r="G6" s="32" t="s">
        <v>64</v>
      </c>
      <c r="I6" s="7" t="s">
        <v>65</v>
      </c>
    </row>
    <row r="7" spans="1:9" ht="17.25" customHeight="1">
      <c r="A7" s="3"/>
      <c r="B7" s="15" t="s">
        <v>39</v>
      </c>
      <c r="C7" s="13">
        <v>0.93163174999999998</v>
      </c>
      <c r="D7" s="5">
        <f>25.33+81.05*C7 - 107.88 *C7^2+60.08*C7^3-12.93*C7^4</f>
        <v>46.045845963802478</v>
      </c>
      <c r="E7" s="35">
        <f>-49.2*C7+1351</f>
        <v>1305.1637178999999</v>
      </c>
      <c r="F7" s="5" t="s">
        <v>70</v>
      </c>
      <c r="G7" s="6" t="s">
        <v>69</v>
      </c>
    </row>
    <row r="8" spans="1:9" ht="18" customHeight="1">
      <c r="A8" s="3"/>
      <c r="B8" s="29" t="s">
        <v>24</v>
      </c>
      <c r="C8" s="30">
        <v>1.08</v>
      </c>
      <c r="D8" s="31">
        <f>46.91+29.44*C8-10.23*C8^2</f>
        <v>66.772928000000007</v>
      </c>
      <c r="E8" s="33">
        <f>1526.35+16.67 * C8 + 13.1 * C8^2</f>
        <v>1559.6334399999998</v>
      </c>
      <c r="F8" s="31" t="s">
        <v>105</v>
      </c>
      <c r="G8" s="32" t="s">
        <v>109</v>
      </c>
    </row>
    <row r="9" spans="1:9" ht="17.399999999999999">
      <c r="B9" s="29" t="s">
        <v>25</v>
      </c>
      <c r="C9" s="30">
        <v>1.0689248500000001</v>
      </c>
      <c r="D9" s="31">
        <f>58.21+19.3*C9-9.42*C9^2+0.62*C9^3</f>
        <v>68.834193862613446</v>
      </c>
      <c r="E9" s="33">
        <f>86.28*C9+1360</f>
        <v>1452.2268360580001</v>
      </c>
      <c r="F9" s="31" t="s">
        <v>75</v>
      </c>
      <c r="G9" s="33" t="s">
        <v>106</v>
      </c>
    </row>
    <row r="10" spans="1:9" s="17" customFormat="1" ht="17.399999999999999">
      <c r="B10" s="15" t="s">
        <v>27</v>
      </c>
      <c r="C10" s="13">
        <v>0.98066500000000001</v>
      </c>
      <c r="D10" s="5">
        <f>41.08+19.65*C10-16.13*(C10^2)+1.76*(C10^3)</f>
        <v>46.497656640157366</v>
      </c>
      <c r="E10" s="35">
        <f>93.95*C10+1495</f>
        <v>1587.13347675</v>
      </c>
      <c r="F10" s="5" t="s">
        <v>96</v>
      </c>
      <c r="G10" s="6" t="s">
        <v>95</v>
      </c>
    </row>
    <row r="11" spans="1:9" s="17" customFormat="1" ht="17.399999999999999">
      <c r="B11" s="15" t="s">
        <v>28</v>
      </c>
      <c r="C11" s="13">
        <v>0.86298520000000012</v>
      </c>
      <c r="D11" s="5">
        <f>16.5+13.4*C11-9.6*(C11^2)-0.5*(C11^3)</f>
        <v>20.593113218065472</v>
      </c>
      <c r="E11" s="35">
        <f>2212-21.1*C11+136.5*(C11^2)-5.2*(C11^3)</f>
        <v>2292.1064405296165</v>
      </c>
      <c r="F11" s="5" t="s">
        <v>74</v>
      </c>
      <c r="G11" s="6" t="s">
        <v>73</v>
      </c>
    </row>
    <row r="12" spans="1:9" ht="17.399999999999999">
      <c r="B12" s="37" t="s">
        <v>29</v>
      </c>
      <c r="C12" s="38">
        <v>1.0983448</v>
      </c>
      <c r="D12" s="39">
        <f>76.9+26.8*C12-32.1*(C12^2)+1.4*(C12^3)</f>
        <v>69.466443844651522</v>
      </c>
      <c r="E12" s="40">
        <f>212.8*C12+1001</f>
        <v>1234.72777344</v>
      </c>
      <c r="F12" s="39" t="s">
        <v>97</v>
      </c>
      <c r="G12" s="41" t="s">
        <v>98</v>
      </c>
    </row>
    <row r="13" spans="1:9" ht="17.399999999999999">
      <c r="B13" s="15" t="s">
        <v>30</v>
      </c>
      <c r="C13" s="13">
        <v>1.0591182000000001</v>
      </c>
      <c r="D13" s="5">
        <f>60.2+29.6*C13-26.1*C13^2+2.9*C13^3</f>
        <v>65.718043874588204</v>
      </c>
      <c r="E13" s="35">
        <f>20.82*C13+1261</f>
        <v>1283.0508409240001</v>
      </c>
      <c r="F13" s="5" t="s">
        <v>99</v>
      </c>
      <c r="G13" s="35" t="s">
        <v>100</v>
      </c>
    </row>
    <row r="14" spans="1:9" ht="34.950000000000003" customHeight="1">
      <c r="B14" s="15" t="s">
        <v>38</v>
      </c>
      <c r="C14" s="13">
        <v>0.85317854999999998</v>
      </c>
      <c r="D14" s="5">
        <f>52.13-12.74*C14-23.6*C14^2-3.57*C14^3</f>
        <v>21.864629532568213</v>
      </c>
      <c r="E14" s="35">
        <f>119.7*C14+1082</f>
        <v>1184.1254724350001</v>
      </c>
      <c r="F14" s="42" t="s">
        <v>94</v>
      </c>
      <c r="G14" s="35" t="s">
        <v>93</v>
      </c>
    </row>
    <row r="15" spans="1:9" ht="17.399999999999999">
      <c r="B15" s="29" t="s">
        <v>52</v>
      </c>
      <c r="C15" s="30"/>
      <c r="D15" s="31"/>
      <c r="E15" s="33"/>
      <c r="F15" s="31" t="s">
        <v>89</v>
      </c>
      <c r="G15" s="33" t="s">
        <v>90</v>
      </c>
    </row>
    <row r="16" spans="1:9" ht="17.399999999999999">
      <c r="B16" s="29" t="s">
        <v>32</v>
      </c>
      <c r="C16" s="30">
        <v>0.93163174999999998</v>
      </c>
      <c r="D16" s="31">
        <f>49.15+8.77*C16-18.59*C16^2+1.09*C16^3</f>
        <v>42.06682046203948</v>
      </c>
      <c r="E16" s="33">
        <f>-43.61*C16+1262</f>
        <v>1221.3715393825</v>
      </c>
      <c r="F16" s="31" t="s">
        <v>84</v>
      </c>
      <c r="G16" s="33" t="s">
        <v>83</v>
      </c>
    </row>
    <row r="17" spans="2:7" s="17" customFormat="1" ht="17.399999999999999">
      <c r="B17" s="29" t="s">
        <v>33</v>
      </c>
      <c r="C17" s="30">
        <v>0.86298520000000012</v>
      </c>
      <c r="D17" s="31">
        <f>27.36-10.7*C17-2.33*C17^2-2.45*C17^3</f>
        <v>14.816184788306078</v>
      </c>
      <c r="E17" s="33">
        <f>-52.86*C17+1542</f>
        <v>1496.3826023280001</v>
      </c>
      <c r="F17" s="31" t="s">
        <v>86</v>
      </c>
      <c r="G17" s="33" t="s">
        <v>85</v>
      </c>
    </row>
    <row r="18" spans="2:7" ht="17.399999999999999">
      <c r="B18" s="29" t="s">
        <v>34</v>
      </c>
      <c r="C18" s="30">
        <v>0.98066500000000001</v>
      </c>
      <c r="D18" s="31">
        <f>43.8 + 2.2 * C18 + 7.6 * C18^2 - 10.8 * C18^3</f>
        <v>43.080831777805734</v>
      </c>
      <c r="E18" s="33">
        <f xml:space="preserve"> 1269 - 76.3 * C18 + 84.7 * C18^2 - 1.3 * C18^3</f>
        <v>1274.4055338484911</v>
      </c>
      <c r="F18" s="31" t="s">
        <v>81</v>
      </c>
      <c r="G18" s="33" t="s">
        <v>82</v>
      </c>
    </row>
    <row r="19" spans="2:7" ht="17.399999999999999">
      <c r="B19" s="29" t="s">
        <v>35</v>
      </c>
      <c r="C19" s="30">
        <v>0.98066500000000001</v>
      </c>
      <c r="D19" s="31">
        <v>54.6</v>
      </c>
      <c r="E19" s="33">
        <v>1189</v>
      </c>
      <c r="F19" s="31" t="s">
        <v>92</v>
      </c>
      <c r="G19" s="33" t="s">
        <v>91</v>
      </c>
    </row>
    <row r="20" spans="2:7" s="17" customFormat="1" ht="18" customHeight="1">
      <c r="B20" s="15" t="s">
        <v>41</v>
      </c>
      <c r="C20" s="13"/>
      <c r="D20" s="5"/>
      <c r="E20" s="35"/>
      <c r="F20" s="5" t="s">
        <v>46</v>
      </c>
      <c r="G20" s="6" t="s">
        <v>47</v>
      </c>
    </row>
    <row r="21" spans="2:7" s="17" customFormat="1" ht="18" customHeight="1">
      <c r="B21" s="29" t="s">
        <v>42</v>
      </c>
      <c r="C21" s="30"/>
      <c r="D21" s="31"/>
      <c r="E21" s="33"/>
      <c r="F21" s="31" t="s">
        <v>79</v>
      </c>
      <c r="G21" s="33" t="s">
        <v>80</v>
      </c>
    </row>
    <row r="22" spans="2:7" s="17" customFormat="1" ht="18" customHeight="1">
      <c r="B22" s="29" t="s">
        <v>43</v>
      </c>
      <c r="C22" s="30"/>
      <c r="D22" s="31"/>
      <c r="E22" s="33"/>
      <c r="F22" s="31" t="s">
        <v>87</v>
      </c>
      <c r="G22" s="32" t="s">
        <v>88</v>
      </c>
    </row>
    <row r="23" spans="2:7" s="17" customFormat="1" ht="18" customHeight="1">
      <c r="B23" s="15" t="s">
        <v>57</v>
      </c>
      <c r="C23" s="13"/>
      <c r="D23" s="5"/>
      <c r="E23" s="35"/>
      <c r="F23" s="5" t="s">
        <v>108</v>
      </c>
      <c r="G23" s="6" t="s">
        <v>107</v>
      </c>
    </row>
    <row r="24" spans="2:7" ht="17.399999999999999">
      <c r="B24" s="29" t="s">
        <v>49</v>
      </c>
      <c r="C24" s="30"/>
      <c r="D24" s="31"/>
      <c r="E24" s="33"/>
      <c r="F24" s="31" t="s">
        <v>101</v>
      </c>
      <c r="G24" s="33" t="s">
        <v>102</v>
      </c>
    </row>
    <row r="25" spans="2:7" ht="17.399999999999999">
      <c r="B25" s="29" t="s">
        <v>54</v>
      </c>
      <c r="C25" s="43"/>
      <c r="D25" s="43"/>
      <c r="E25" s="43"/>
      <c r="F25" s="44" t="s">
        <v>103</v>
      </c>
      <c r="G25" s="45" t="s">
        <v>104</v>
      </c>
    </row>
    <row r="26" spans="2:7">
      <c r="F26" s="19"/>
    </row>
  </sheetData>
  <printOptions horizontalCentered="1"/>
  <pageMargins left="0.12" right="0.59" top="0.75" bottom="0.75" header="0.3" footer="0.3"/>
  <pageSetup paperSize="9" scale="66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V25"/>
  <sheetViews>
    <sheetView showGridLines="0" zoomScaleNormal="100" workbookViewId="0">
      <selection activeCell="V13" sqref="V13"/>
    </sheetView>
  </sheetViews>
  <sheetFormatPr defaultColWidth="9.109375" defaultRowHeight="14.4"/>
  <cols>
    <col min="1" max="1" width="15.44140625" style="135" bestFit="1" customWidth="1"/>
    <col min="2" max="2" width="17.44140625" style="7" hidden="1" customWidth="1"/>
    <col min="3" max="3" width="19.5546875" style="7" hidden="1" customWidth="1"/>
    <col min="4" max="4" width="20.109375" style="7" hidden="1" customWidth="1"/>
    <col min="5" max="5" width="101.6640625" style="7" hidden="1" customWidth="1"/>
    <col min="6" max="6" width="104.33203125" style="7" hidden="1" customWidth="1"/>
    <col min="7" max="7" width="9.109375" style="135" hidden="1" customWidth="1"/>
    <col min="8" max="13" width="9.109375" style="135" customWidth="1"/>
    <col min="14" max="18" width="9.109375" style="135"/>
    <col min="19" max="19" width="9.109375" style="135" customWidth="1"/>
    <col min="20" max="20" width="9.109375" style="135"/>
    <col min="21" max="16384" width="9.109375" style="7"/>
  </cols>
  <sheetData>
    <row r="1" spans="1:22" s="139" customFormat="1" ht="18">
      <c r="A1" s="136" t="s">
        <v>124</v>
      </c>
      <c r="B1" s="10" t="s">
        <v>40</v>
      </c>
      <c r="C1" s="11" t="s">
        <v>1</v>
      </c>
      <c r="D1" s="12" t="s">
        <v>2</v>
      </c>
      <c r="E1" s="8" t="s">
        <v>1</v>
      </c>
      <c r="F1" s="9" t="s">
        <v>2</v>
      </c>
      <c r="G1" s="136" t="s">
        <v>148</v>
      </c>
      <c r="H1" s="136" t="s">
        <v>113</v>
      </c>
      <c r="I1" s="136" t="s">
        <v>114</v>
      </c>
      <c r="J1" s="136" t="s">
        <v>115</v>
      </c>
      <c r="K1" s="136" t="s">
        <v>116</v>
      </c>
      <c r="L1" s="136" t="s">
        <v>117</v>
      </c>
      <c r="M1" s="136" t="s">
        <v>122</v>
      </c>
      <c r="N1" s="136" t="s">
        <v>118</v>
      </c>
      <c r="O1" s="136" t="s">
        <v>119</v>
      </c>
      <c r="P1" s="136" t="s">
        <v>120</v>
      </c>
      <c r="Q1" s="136" t="s">
        <v>121</v>
      </c>
      <c r="R1" s="136" t="s">
        <v>123</v>
      </c>
      <c r="S1" s="136" t="s">
        <v>149</v>
      </c>
      <c r="T1" s="153" t="s">
        <v>150</v>
      </c>
      <c r="U1" s="139" t="s">
        <v>161</v>
      </c>
      <c r="V1" s="139" t="s">
        <v>162</v>
      </c>
    </row>
    <row r="2" spans="1:22" ht="17.399999999999999">
      <c r="A2" s="153" t="s">
        <v>125</v>
      </c>
      <c r="B2" s="13">
        <v>0.93163174999999998</v>
      </c>
      <c r="C2" s="5">
        <f>33.46-11.19*B2+1.81*B2^2-4.48*B2^3</f>
        <v>20.983487446707596</v>
      </c>
      <c r="D2" s="35">
        <f>981.91+166.56*B2+64.99*B2^2+19.46*B2^3</f>
        <v>1209.2251801415091</v>
      </c>
      <c r="E2" s="5" t="s">
        <v>67</v>
      </c>
      <c r="F2" s="145" t="s">
        <v>66</v>
      </c>
      <c r="G2" s="153">
        <v>1.0198916</v>
      </c>
      <c r="H2" s="153">
        <v>24.39</v>
      </c>
      <c r="I2" s="153">
        <v>-8.2100000000000009</v>
      </c>
      <c r="J2" s="153">
        <v>16.38</v>
      </c>
      <c r="K2" s="153">
        <v>-11.21</v>
      </c>
      <c r="L2" s="153">
        <v>0</v>
      </c>
      <c r="M2" s="153">
        <v>0</v>
      </c>
      <c r="N2" s="153">
        <v>1292.8</v>
      </c>
      <c r="O2" s="153">
        <v>-304.05</v>
      </c>
      <c r="P2" s="153">
        <v>301.83999999999997</v>
      </c>
      <c r="Q2" s="153">
        <v>0</v>
      </c>
      <c r="R2" s="153">
        <v>0</v>
      </c>
      <c r="S2" s="153">
        <v>0.88</v>
      </c>
      <c r="T2" s="153" t="s">
        <v>153</v>
      </c>
      <c r="V2" s="7">
        <f>N2+(O2*G2)+(P2*G2^2)+(Q2*G2^3)+(R2*G2^4)</f>
        <v>1296.669550876549</v>
      </c>
    </row>
    <row r="3" spans="1:22" ht="17.399999999999999">
      <c r="A3" s="153" t="s">
        <v>126</v>
      </c>
      <c r="B3" s="140">
        <v>1.08</v>
      </c>
      <c r="C3" s="141">
        <f>69.1+19.49*B3-19.99*B3^2</f>
        <v>66.832864000000001</v>
      </c>
      <c r="D3" s="143">
        <f>912.27+309.14*B3</f>
        <v>1246.1412</v>
      </c>
      <c r="E3" s="141" t="s">
        <v>77</v>
      </c>
      <c r="F3" s="143" t="s">
        <v>78</v>
      </c>
      <c r="G3" s="153">
        <v>1.0787315</v>
      </c>
      <c r="H3" s="153">
        <v>35.35</v>
      </c>
      <c r="I3" s="153">
        <v>48.67</v>
      </c>
      <c r="J3" s="153">
        <v>-35.78</v>
      </c>
      <c r="K3" s="153">
        <v>0</v>
      </c>
      <c r="L3" s="153">
        <v>0</v>
      </c>
      <c r="M3" s="153">
        <v>0</v>
      </c>
      <c r="N3" s="153">
        <v>1346.78</v>
      </c>
      <c r="O3" s="153">
        <v>-12.17</v>
      </c>
      <c r="P3" s="153">
        <v>0</v>
      </c>
      <c r="Q3" s="153">
        <v>0</v>
      </c>
      <c r="R3" s="153">
        <v>0</v>
      </c>
      <c r="S3" s="153">
        <v>0.88</v>
      </c>
      <c r="T3" s="153" t="s">
        <v>153</v>
      </c>
    </row>
    <row r="4" spans="1:22" ht="17.399999999999999">
      <c r="A4" s="153" t="s">
        <v>127</v>
      </c>
      <c r="B4" s="13">
        <v>0.93163174999999998</v>
      </c>
      <c r="C4" s="5">
        <f>-443.86+2086.89*B4-3353.73*(B4^2)+2369.33*(B4^3)-627.64*B4^4</f>
        <v>32.549333591307914</v>
      </c>
      <c r="D4" s="35">
        <f>1013+193.53*B4</f>
        <v>1193.2986925774999</v>
      </c>
      <c r="E4" s="5" t="s">
        <v>71</v>
      </c>
      <c r="F4" s="6" t="s">
        <v>72</v>
      </c>
      <c r="G4" s="153">
        <v>0.79433864999999992</v>
      </c>
      <c r="H4" s="153">
        <v>25.95</v>
      </c>
      <c r="I4" s="153">
        <v>-25.56</v>
      </c>
      <c r="J4" s="153">
        <v>44.46</v>
      </c>
      <c r="K4" s="153">
        <v>-25.26</v>
      </c>
      <c r="L4" s="153">
        <v>0</v>
      </c>
      <c r="M4" s="153">
        <v>0</v>
      </c>
      <c r="N4" s="153">
        <v>1352</v>
      </c>
      <c r="O4" s="153">
        <v>3.37</v>
      </c>
      <c r="P4" s="153">
        <v>0</v>
      </c>
      <c r="Q4" s="153">
        <v>0</v>
      </c>
      <c r="R4" s="153">
        <v>0</v>
      </c>
      <c r="S4" s="153">
        <v>0.88</v>
      </c>
      <c r="T4" s="153" t="s">
        <v>151</v>
      </c>
    </row>
    <row r="5" spans="1:22" ht="18" customHeight="1">
      <c r="A5" s="153" t="s">
        <v>128</v>
      </c>
      <c r="B5" s="140">
        <v>1.1277647500000001</v>
      </c>
      <c r="C5" s="141">
        <f>69.8 - 3.2 * B5 + 12.4 * B5^2 - 9.3 * B5^3</f>
        <v>68.622666514046401</v>
      </c>
      <c r="D5" s="143">
        <f>1220 - 25.7 * B5 + 66.2 * B5^2 - 2.9 * B5^3</f>
        <v>1271.0535175325288</v>
      </c>
      <c r="E5" s="141" t="s">
        <v>76</v>
      </c>
      <c r="F5" s="142" t="s">
        <v>64</v>
      </c>
      <c r="G5" s="153">
        <v>0.98066500000000001</v>
      </c>
      <c r="H5" s="153">
        <v>55.49</v>
      </c>
      <c r="I5" s="153">
        <v>11.24</v>
      </c>
      <c r="J5" s="153">
        <v>2.97</v>
      </c>
      <c r="K5" s="153">
        <v>-9.0299999999999994</v>
      </c>
      <c r="L5" s="153">
        <v>0</v>
      </c>
      <c r="M5" s="153">
        <v>0</v>
      </c>
      <c r="N5" s="153">
        <v>1569.78</v>
      </c>
      <c r="O5" s="153">
        <v>-129.69</v>
      </c>
      <c r="P5" s="153">
        <v>114.83</v>
      </c>
      <c r="Q5" s="153">
        <v>-60.74</v>
      </c>
      <c r="R5" s="153">
        <v>0</v>
      </c>
      <c r="S5" s="153">
        <v>0.88</v>
      </c>
      <c r="T5" s="153" t="s">
        <v>151</v>
      </c>
    </row>
    <row r="6" spans="1:22" ht="17.25" customHeight="1">
      <c r="A6" s="153" t="s">
        <v>129</v>
      </c>
      <c r="B6" s="13">
        <v>0.93163174999999998</v>
      </c>
      <c r="C6" s="5">
        <f>25.33+81.05*B6 - 107.88 *B6^2+60.08*B6^3-12.93*B6^4</f>
        <v>46.045845963802478</v>
      </c>
      <c r="D6" s="35">
        <f>-49.2*B6+1351</f>
        <v>1305.1637178999999</v>
      </c>
      <c r="E6" s="5" t="s">
        <v>70</v>
      </c>
      <c r="F6" s="6" t="s">
        <v>69</v>
      </c>
      <c r="G6" s="153">
        <v>0.84337189999999995</v>
      </c>
      <c r="H6" s="153">
        <v>14.87</v>
      </c>
      <c r="I6" s="153">
        <v>69.709999999999994</v>
      </c>
      <c r="J6" s="153">
        <v>-93.59</v>
      </c>
      <c r="K6" s="153">
        <v>53.18</v>
      </c>
      <c r="L6" s="153">
        <v>-12.04</v>
      </c>
      <c r="M6" s="153">
        <v>0</v>
      </c>
      <c r="N6" s="153">
        <v>1202</v>
      </c>
      <c r="O6" s="153">
        <v>-1.46</v>
      </c>
      <c r="P6" s="153">
        <v>0</v>
      </c>
      <c r="Q6" s="153">
        <v>0</v>
      </c>
      <c r="R6" s="153">
        <v>0</v>
      </c>
      <c r="S6" s="153">
        <v>0.88</v>
      </c>
      <c r="T6" s="153" t="s">
        <v>153</v>
      </c>
    </row>
    <row r="7" spans="1:22" ht="18" customHeight="1">
      <c r="A7" s="153" t="s">
        <v>130</v>
      </c>
      <c r="B7" s="140">
        <v>1.08</v>
      </c>
      <c r="C7" s="141">
        <f>46.91+29.44*B7-10.23*B7^2</f>
        <v>66.772928000000007</v>
      </c>
      <c r="D7" s="143">
        <f>1526.35+16.67 * B7 + 13.1 * B7^2</f>
        <v>1559.6334399999998</v>
      </c>
      <c r="E7" s="141" t="s">
        <v>105</v>
      </c>
      <c r="F7" s="142" t="s">
        <v>109</v>
      </c>
      <c r="G7" s="153">
        <v>1.02969825</v>
      </c>
      <c r="H7" s="153">
        <v>48.93</v>
      </c>
      <c r="I7" s="153">
        <v>37.32</v>
      </c>
      <c r="J7" s="153">
        <v>-16.850000000000001</v>
      </c>
      <c r="K7" s="153">
        <v>0</v>
      </c>
      <c r="L7" s="153">
        <v>0</v>
      </c>
      <c r="M7" s="153">
        <v>0</v>
      </c>
      <c r="N7" s="153">
        <v>1420.08</v>
      </c>
      <c r="O7" s="153">
        <v>271.35000000000002</v>
      </c>
      <c r="P7" s="153">
        <v>-270.77999999999997</v>
      </c>
      <c r="Q7" s="153">
        <v>121.27</v>
      </c>
      <c r="R7" s="153">
        <v>-22.37</v>
      </c>
      <c r="S7" s="153">
        <v>0.88</v>
      </c>
      <c r="T7" s="153" t="s">
        <v>152</v>
      </c>
    </row>
    <row r="8" spans="1:22" ht="17.399999999999999">
      <c r="A8" s="153" t="s">
        <v>131</v>
      </c>
      <c r="B8" s="140">
        <v>1.0689248500000001</v>
      </c>
      <c r="C8" s="141">
        <f>58.21+19.3*B8-9.42*B8^2+0.62*B8^3</f>
        <v>68.834193862613446</v>
      </c>
      <c r="D8" s="143">
        <f>86.28*B8+1360</f>
        <v>1452.2268360580001</v>
      </c>
      <c r="E8" s="141" t="s">
        <v>75</v>
      </c>
      <c r="F8" s="143" t="s">
        <v>106</v>
      </c>
      <c r="G8" s="153">
        <v>0.98066500000000001</v>
      </c>
      <c r="H8" s="153">
        <v>40.42</v>
      </c>
      <c r="I8" s="153">
        <v>17.96</v>
      </c>
      <c r="J8" s="153">
        <v>-12.78</v>
      </c>
      <c r="K8" s="153">
        <v>0.92</v>
      </c>
      <c r="L8" s="153">
        <v>0</v>
      </c>
      <c r="M8" s="153">
        <v>0</v>
      </c>
      <c r="N8" s="153">
        <v>1808.22</v>
      </c>
      <c r="O8" s="153">
        <v>-25.14</v>
      </c>
      <c r="P8" s="153">
        <v>0</v>
      </c>
      <c r="Q8" s="153">
        <v>0</v>
      </c>
      <c r="R8" s="153">
        <v>0</v>
      </c>
      <c r="S8" s="153">
        <v>0.88</v>
      </c>
      <c r="T8" s="153" t="s">
        <v>152</v>
      </c>
    </row>
    <row r="9" spans="1:22" s="17" customFormat="1" ht="17.399999999999999">
      <c r="A9" s="153" t="s">
        <v>132</v>
      </c>
      <c r="B9" s="13">
        <v>0.98066500000000001</v>
      </c>
      <c r="C9" s="5">
        <f>41.08+19.65*B9-16.13*(B9^2)+1.76*(B9^3)</f>
        <v>46.497656640157366</v>
      </c>
      <c r="D9" s="35">
        <f>93.95*B9+1495</f>
        <v>1587.13347675</v>
      </c>
      <c r="E9" s="5" t="s">
        <v>96</v>
      </c>
      <c r="F9" s="6" t="s">
        <v>95</v>
      </c>
      <c r="G9" s="153">
        <v>1.0198916</v>
      </c>
      <c r="H9" s="153">
        <v>-8.75</v>
      </c>
      <c r="I9" s="153">
        <v>43.44</v>
      </c>
      <c r="J9" s="153">
        <v>0</v>
      </c>
      <c r="K9" s="153">
        <v>0</v>
      </c>
      <c r="L9" s="153">
        <v>0</v>
      </c>
      <c r="M9" s="153">
        <v>0</v>
      </c>
      <c r="N9" s="153">
        <v>1864.32</v>
      </c>
      <c r="O9" s="153">
        <v>121.7</v>
      </c>
      <c r="P9" s="153">
        <v>0</v>
      </c>
      <c r="Q9" s="153">
        <v>0</v>
      </c>
      <c r="R9" s="153">
        <v>0</v>
      </c>
      <c r="S9" s="153">
        <v>0.88</v>
      </c>
      <c r="T9" s="153" t="s">
        <v>155</v>
      </c>
    </row>
    <row r="10" spans="1:22" s="17" customFormat="1" ht="17.399999999999999">
      <c r="A10" s="153" t="s">
        <v>133</v>
      </c>
      <c r="B10" s="13">
        <v>0.86298520000000012</v>
      </c>
      <c r="C10" s="5">
        <f>16.5+13.4*B10-9.6*(B10^2)-0.5*(B10^3)</f>
        <v>20.593113218065472</v>
      </c>
      <c r="D10" s="35">
        <f>2212-21.1*B10+136.5*(B10^2)-5.2*(B10^3)</f>
        <v>2292.1064405296165</v>
      </c>
      <c r="E10" s="5" t="s">
        <v>74</v>
      </c>
      <c r="F10" s="6" t="s">
        <v>73</v>
      </c>
      <c r="G10" s="153">
        <v>0.79433864999999992</v>
      </c>
      <c r="H10" s="153">
        <v>9.35</v>
      </c>
      <c r="I10" s="153">
        <v>11.85</v>
      </c>
      <c r="J10" s="153">
        <v>-10.86</v>
      </c>
      <c r="K10" s="153">
        <v>0</v>
      </c>
      <c r="L10" s="153">
        <v>0</v>
      </c>
      <c r="M10" s="153">
        <v>0</v>
      </c>
      <c r="N10" s="153">
        <v>2481</v>
      </c>
      <c r="O10" s="153">
        <v>14.43</v>
      </c>
      <c r="P10" s="153">
        <v>0</v>
      </c>
      <c r="Q10" s="153">
        <v>0</v>
      </c>
      <c r="R10" s="153">
        <v>0</v>
      </c>
      <c r="S10" s="153">
        <v>0.88</v>
      </c>
      <c r="T10" s="153" t="s">
        <v>151</v>
      </c>
    </row>
    <row r="11" spans="1:22" ht="17.399999999999999">
      <c r="A11" s="153" t="s">
        <v>134</v>
      </c>
      <c r="B11" s="146">
        <v>1.0983448</v>
      </c>
      <c r="C11" s="147">
        <f>76.9+26.8*B11-32.1*(B11^2)+1.4*(B11^3)</f>
        <v>69.466443844651522</v>
      </c>
      <c r="D11" s="148">
        <f>212.8*B11+1001</f>
        <v>1234.72777344</v>
      </c>
      <c r="E11" s="147" t="s">
        <v>97</v>
      </c>
      <c r="F11" s="149" t="s">
        <v>98</v>
      </c>
      <c r="G11" s="153">
        <v>1.0198916</v>
      </c>
      <c r="H11" s="153">
        <v>34.549999999999997</v>
      </c>
      <c r="I11" s="153">
        <v>40.33</v>
      </c>
      <c r="J11" s="153">
        <v>-24.68</v>
      </c>
      <c r="K11" s="153">
        <v>0</v>
      </c>
      <c r="L11" s="153">
        <v>0</v>
      </c>
      <c r="M11" s="153">
        <v>0</v>
      </c>
      <c r="N11" s="153">
        <v>1245.94</v>
      </c>
      <c r="O11" s="153">
        <v>74.72</v>
      </c>
      <c r="P11" s="153">
        <v>0</v>
      </c>
      <c r="Q11" s="153">
        <v>0</v>
      </c>
      <c r="R11" s="153">
        <v>0</v>
      </c>
      <c r="S11" s="153">
        <v>0.88</v>
      </c>
      <c r="T11" s="153" t="s">
        <v>154</v>
      </c>
    </row>
    <row r="12" spans="1:22" ht="17.399999999999999">
      <c r="A12" s="153" t="s">
        <v>135</v>
      </c>
      <c r="B12" s="13">
        <v>1.0591182000000001</v>
      </c>
      <c r="C12" s="5">
        <f>60.2+29.6*B12-26.1*B12^2+2.9*B12^3</f>
        <v>65.718043874588204</v>
      </c>
      <c r="D12" s="35">
        <f>20.82*B12+1261</f>
        <v>1283.0508409240001</v>
      </c>
      <c r="E12" s="5" t="s">
        <v>99</v>
      </c>
      <c r="F12" s="35" t="s">
        <v>100</v>
      </c>
      <c r="G12" s="153">
        <v>0.98066500000000001</v>
      </c>
      <c r="H12" s="153">
        <v>41.96</v>
      </c>
      <c r="I12" s="153">
        <v>19.86</v>
      </c>
      <c r="J12" s="153">
        <v>-10.58</v>
      </c>
      <c r="K12" s="153">
        <v>0</v>
      </c>
      <c r="L12" s="153">
        <v>0</v>
      </c>
      <c r="M12" s="153">
        <v>0</v>
      </c>
      <c r="N12" s="153">
        <v>1355.61</v>
      </c>
      <c r="O12" s="153">
        <v>-32.86</v>
      </c>
      <c r="P12" s="153">
        <v>0</v>
      </c>
      <c r="Q12" s="153">
        <v>0</v>
      </c>
      <c r="R12" s="153">
        <v>0</v>
      </c>
      <c r="S12" s="153">
        <v>0.88</v>
      </c>
      <c r="T12" s="153" t="s">
        <v>154</v>
      </c>
    </row>
    <row r="13" spans="1:22" ht="34.950000000000003" customHeight="1">
      <c r="A13" s="153" t="s">
        <v>136</v>
      </c>
      <c r="B13" s="13">
        <v>0.85317854999999998</v>
      </c>
      <c r="C13" s="5">
        <f>52.13-12.74*B13-23.6*B13^2-3.57*B13^3</f>
        <v>21.864629532568213</v>
      </c>
      <c r="D13" s="35">
        <f>119.7*B13+1082</f>
        <v>1184.1254724350001</v>
      </c>
      <c r="E13" s="42" t="s">
        <v>94</v>
      </c>
      <c r="F13" s="35" t="s">
        <v>93</v>
      </c>
      <c r="G13" s="153">
        <v>1.01008495</v>
      </c>
      <c r="H13" s="153">
        <v>114.33</v>
      </c>
      <c r="I13" s="153">
        <v>-688.68</v>
      </c>
      <c r="J13" s="153">
        <v>1920.33</v>
      </c>
      <c r="K13" s="153">
        <v>-2600.92</v>
      </c>
      <c r="L13" s="153">
        <v>1716.36</v>
      </c>
      <c r="M13" s="153">
        <v>-444.96</v>
      </c>
      <c r="N13" s="153">
        <v>1243.42</v>
      </c>
      <c r="O13" s="153">
        <v>-153.59</v>
      </c>
      <c r="P13" s="153">
        <v>0</v>
      </c>
      <c r="Q13" s="153">
        <v>0</v>
      </c>
      <c r="R13" s="153">
        <v>0</v>
      </c>
      <c r="S13" s="153">
        <v>0.88</v>
      </c>
      <c r="T13" s="153" t="s">
        <v>154</v>
      </c>
    </row>
    <row r="14" spans="1:22" ht="17.399999999999999">
      <c r="A14" s="153" t="s">
        <v>137</v>
      </c>
      <c r="B14" s="140"/>
      <c r="C14" s="141"/>
      <c r="D14" s="143"/>
      <c r="E14" s="141" t="s">
        <v>89</v>
      </c>
      <c r="F14" s="143" t="s">
        <v>90</v>
      </c>
      <c r="G14" s="153">
        <v>0.95124504999999993</v>
      </c>
      <c r="H14" s="153">
        <v>3.43</v>
      </c>
      <c r="I14" s="153">
        <v>83.28</v>
      </c>
      <c r="J14" s="153">
        <v>-58.3</v>
      </c>
      <c r="K14" s="153">
        <v>0</v>
      </c>
      <c r="L14" s="153">
        <v>0</v>
      </c>
      <c r="M14" s="153">
        <v>0</v>
      </c>
      <c r="N14" s="153">
        <v>1189.3699999999999</v>
      </c>
      <c r="O14" s="153">
        <v>-25.03</v>
      </c>
      <c r="P14" s="153">
        <v>0</v>
      </c>
      <c r="Q14" s="153">
        <v>0</v>
      </c>
      <c r="R14" s="153">
        <v>0</v>
      </c>
      <c r="S14" s="153">
        <v>0.88</v>
      </c>
      <c r="T14" s="153" t="s">
        <v>154</v>
      </c>
    </row>
    <row r="15" spans="1:22" ht="17.399999999999999">
      <c r="A15" s="153" t="s">
        <v>138</v>
      </c>
      <c r="B15" s="140">
        <v>0.93163174999999998</v>
      </c>
      <c r="C15" s="141">
        <f>49.15+8.77*B15-18.59*B15^2+1.09*B15^3</f>
        <v>42.06682046203948</v>
      </c>
      <c r="D15" s="143">
        <f>-43.61*B15+1262</f>
        <v>1221.3715393825</v>
      </c>
      <c r="E15" s="141" t="s">
        <v>84</v>
      </c>
      <c r="F15" s="143" t="s">
        <v>83</v>
      </c>
      <c r="G15" s="153">
        <v>0.9022117999999999</v>
      </c>
      <c r="H15" s="153">
        <v>35.520000000000003</v>
      </c>
      <c r="I15" s="153">
        <v>7.28</v>
      </c>
      <c r="J15" s="153">
        <v>4.74</v>
      </c>
      <c r="K15" s="153">
        <v>-14.79</v>
      </c>
      <c r="L15" s="153">
        <v>0</v>
      </c>
      <c r="M15" s="153">
        <v>0</v>
      </c>
      <c r="N15" s="153">
        <v>1281.46</v>
      </c>
      <c r="O15" s="153">
        <v>-2.2999999999999998</v>
      </c>
      <c r="P15" s="153">
        <v>0</v>
      </c>
      <c r="Q15" s="153">
        <v>0</v>
      </c>
      <c r="R15" s="153">
        <v>0</v>
      </c>
      <c r="S15" s="153">
        <v>0.88</v>
      </c>
      <c r="T15" s="153" t="s">
        <v>155</v>
      </c>
    </row>
    <row r="16" spans="1:22" s="17" customFormat="1" ht="17.399999999999999">
      <c r="A16" s="153" t="s">
        <v>139</v>
      </c>
      <c r="B16" s="140">
        <v>0.86298520000000012</v>
      </c>
      <c r="C16" s="141">
        <f>27.36-10.7*B16-2.33*B16^2-2.45*B16^3</f>
        <v>14.816184788306078</v>
      </c>
      <c r="D16" s="143">
        <f>-52.86*B16+1542</f>
        <v>1496.3826023280001</v>
      </c>
      <c r="E16" s="141" t="s">
        <v>86</v>
      </c>
      <c r="F16" s="143" t="s">
        <v>85</v>
      </c>
      <c r="G16" s="153">
        <v>0.96105170000000006</v>
      </c>
      <c r="H16" s="153">
        <v>25.48</v>
      </c>
      <c r="I16" s="153">
        <v>16.84</v>
      </c>
      <c r="J16" s="153">
        <v>-18.82</v>
      </c>
      <c r="K16" s="153">
        <v>0</v>
      </c>
      <c r="L16" s="153">
        <v>0</v>
      </c>
      <c r="M16" s="153">
        <v>0</v>
      </c>
      <c r="N16" s="153">
        <v>1474.39</v>
      </c>
      <c r="O16" s="153">
        <v>-102.4</v>
      </c>
      <c r="P16" s="153">
        <v>0</v>
      </c>
      <c r="Q16" s="153">
        <v>0</v>
      </c>
      <c r="R16" s="153">
        <v>0</v>
      </c>
      <c r="S16" s="153">
        <v>0.88</v>
      </c>
      <c r="T16" s="153" t="s">
        <v>155</v>
      </c>
    </row>
    <row r="17" spans="1:20" ht="17.399999999999999">
      <c r="A17" s="153" t="s">
        <v>140</v>
      </c>
      <c r="B17" s="140">
        <v>0.98066500000000001</v>
      </c>
      <c r="C17" s="141">
        <f>43.8 + 2.2 * B17 + 7.6 * B17^2 - 10.8 * B17^3</f>
        <v>43.080831777805734</v>
      </c>
      <c r="D17" s="143">
        <f xml:space="preserve"> 1269 - 76.3 * B17 + 84.7 * B17^2 - 1.3 * B17^3</f>
        <v>1274.4055338484911</v>
      </c>
      <c r="E17" s="141" t="s">
        <v>81</v>
      </c>
      <c r="F17" s="143" t="s">
        <v>82</v>
      </c>
      <c r="G17" s="153">
        <v>0.93163174999999998</v>
      </c>
      <c r="H17" s="153">
        <v>40.36</v>
      </c>
      <c r="I17" s="153">
        <v>18.850000000000001</v>
      </c>
      <c r="J17" s="153">
        <v>-19</v>
      </c>
      <c r="K17" s="153">
        <v>0</v>
      </c>
      <c r="L17" s="153">
        <v>0</v>
      </c>
      <c r="M17" s="153">
        <v>0</v>
      </c>
      <c r="N17" s="153">
        <v>1355.15</v>
      </c>
      <c r="O17" s="153">
        <v>-8.64</v>
      </c>
      <c r="P17" s="153">
        <v>0</v>
      </c>
      <c r="Q17" s="153">
        <v>0</v>
      </c>
      <c r="R17" s="153">
        <v>0</v>
      </c>
      <c r="S17" s="153">
        <v>0.88</v>
      </c>
      <c r="T17" s="153" t="s">
        <v>155</v>
      </c>
    </row>
    <row r="18" spans="1:20" ht="17.399999999999999">
      <c r="A18" s="153" t="s">
        <v>141</v>
      </c>
      <c r="B18" s="140">
        <v>0.98066500000000001</v>
      </c>
      <c r="C18" s="141">
        <v>54.6</v>
      </c>
      <c r="D18" s="143">
        <v>1189</v>
      </c>
      <c r="E18" s="141" t="s">
        <v>92</v>
      </c>
      <c r="F18" s="143" t="s">
        <v>91</v>
      </c>
      <c r="G18" s="153">
        <v>0.92182510000000006</v>
      </c>
      <c r="H18" s="153">
        <v>18.760000000000002</v>
      </c>
      <c r="I18" s="153">
        <v>27.39</v>
      </c>
      <c r="J18" s="153">
        <v>-28.93</v>
      </c>
      <c r="K18" s="153">
        <v>0</v>
      </c>
      <c r="L18" s="153">
        <v>0</v>
      </c>
      <c r="M18" s="153">
        <v>0</v>
      </c>
      <c r="N18" s="153">
        <v>1169.67</v>
      </c>
      <c r="O18" s="153">
        <v>-2.84</v>
      </c>
      <c r="P18" s="153">
        <v>0</v>
      </c>
      <c r="Q18" s="153">
        <v>0</v>
      </c>
      <c r="R18" s="153">
        <v>0</v>
      </c>
      <c r="S18" s="153">
        <v>0.78</v>
      </c>
      <c r="T18" s="153" t="s">
        <v>154</v>
      </c>
    </row>
    <row r="19" spans="1:20" s="17" customFormat="1" ht="18" customHeight="1">
      <c r="A19" s="153" t="s">
        <v>142</v>
      </c>
      <c r="B19" s="13"/>
      <c r="C19" s="5"/>
      <c r="D19" s="35"/>
      <c r="E19" s="5" t="s">
        <v>46</v>
      </c>
      <c r="F19" s="6" t="s">
        <v>47</v>
      </c>
      <c r="G19" s="153">
        <v>0.88259850000000006</v>
      </c>
      <c r="H19" s="153">
        <v>32.1</v>
      </c>
      <c r="I19" s="153">
        <v>-6.6</v>
      </c>
      <c r="J19" s="153">
        <v>0</v>
      </c>
      <c r="K19" s="153">
        <v>0</v>
      </c>
      <c r="L19" s="153">
        <v>0</v>
      </c>
      <c r="M19" s="153">
        <v>0</v>
      </c>
      <c r="N19" s="153">
        <v>1629</v>
      </c>
      <c r="O19" s="153">
        <v>-25</v>
      </c>
      <c r="P19" s="153">
        <v>0</v>
      </c>
      <c r="Q19" s="153">
        <v>0</v>
      </c>
      <c r="R19" s="153">
        <v>0</v>
      </c>
      <c r="S19" s="153">
        <v>0.78</v>
      </c>
      <c r="T19" s="153" t="s">
        <v>156</v>
      </c>
    </row>
    <row r="20" spans="1:20" s="17" customFormat="1" ht="18" customHeight="1">
      <c r="A20" s="153" t="s">
        <v>143</v>
      </c>
      <c r="B20" s="140"/>
      <c r="C20" s="141"/>
      <c r="D20" s="143"/>
      <c r="E20" s="141" t="s">
        <v>79</v>
      </c>
      <c r="F20" s="143" t="s">
        <v>80</v>
      </c>
      <c r="G20" s="153">
        <v>0.93163174999999998</v>
      </c>
      <c r="H20" s="153">
        <v>35.409999999999997</v>
      </c>
      <c r="I20" s="153">
        <v>21.09</v>
      </c>
      <c r="J20" s="153">
        <v>-23.5</v>
      </c>
      <c r="K20" s="153">
        <v>0</v>
      </c>
      <c r="L20" s="153">
        <v>0</v>
      </c>
      <c r="M20" s="153">
        <v>0</v>
      </c>
      <c r="N20" s="153">
        <v>1397.57</v>
      </c>
      <c r="O20" s="153">
        <v>-8.17</v>
      </c>
      <c r="P20" s="153">
        <v>0</v>
      </c>
      <c r="Q20" s="153">
        <v>0</v>
      </c>
      <c r="R20" s="153">
        <v>0</v>
      </c>
      <c r="S20" s="153">
        <v>0.78</v>
      </c>
      <c r="T20" s="153" t="s">
        <v>156</v>
      </c>
    </row>
    <row r="21" spans="1:20" s="17" customFormat="1" ht="18" customHeight="1">
      <c r="A21" s="153" t="s">
        <v>144</v>
      </c>
      <c r="B21" s="140"/>
      <c r="C21" s="141"/>
      <c r="D21" s="143"/>
      <c r="E21" s="141" t="s">
        <v>87</v>
      </c>
      <c r="F21" s="142" t="s">
        <v>88</v>
      </c>
      <c r="G21" s="153">
        <v>0.83356525000000004</v>
      </c>
      <c r="H21" s="153">
        <v>39.56</v>
      </c>
      <c r="I21" s="153">
        <v>18.350000000000001</v>
      </c>
      <c r="J21" s="153">
        <v>-18.05</v>
      </c>
      <c r="K21" s="153">
        <v>0</v>
      </c>
      <c r="L21" s="153">
        <v>0</v>
      </c>
      <c r="M21" s="153">
        <v>0</v>
      </c>
      <c r="N21" s="153">
        <v>1197.6300000000001</v>
      </c>
      <c r="O21" s="153">
        <v>169.54</v>
      </c>
      <c r="P21" s="153">
        <v>-148.59</v>
      </c>
      <c r="Q21" s="153">
        <v>0</v>
      </c>
      <c r="R21" s="153">
        <v>0</v>
      </c>
      <c r="S21" s="153">
        <v>0.88</v>
      </c>
      <c r="T21" s="153" t="s">
        <v>156</v>
      </c>
    </row>
    <row r="22" spans="1:20" s="17" customFormat="1" ht="18" customHeight="1">
      <c r="A22" s="153" t="s">
        <v>145</v>
      </c>
      <c r="B22" s="13"/>
      <c r="C22" s="5"/>
      <c r="D22" s="35"/>
      <c r="E22" s="5" t="s">
        <v>108</v>
      </c>
      <c r="F22" s="6" t="s">
        <v>107</v>
      </c>
      <c r="G22" s="153">
        <v>1.0787315</v>
      </c>
      <c r="H22" s="153">
        <v>45.42</v>
      </c>
      <c r="I22" s="153">
        <v>3.51</v>
      </c>
      <c r="J22" s="153">
        <v>-4.8</v>
      </c>
      <c r="K22" s="153">
        <v>1.5</v>
      </c>
      <c r="L22" s="153">
        <v>-0.2</v>
      </c>
      <c r="M22" s="153">
        <v>0</v>
      </c>
      <c r="N22" s="153">
        <v>1315.39</v>
      </c>
      <c r="O22" s="153">
        <v>-8.01</v>
      </c>
      <c r="P22" s="153">
        <v>-7.21</v>
      </c>
      <c r="Q22" s="153">
        <v>0</v>
      </c>
      <c r="R22" s="153">
        <v>0</v>
      </c>
      <c r="S22" s="153">
        <v>0.88</v>
      </c>
      <c r="T22" s="153" t="s">
        <v>157</v>
      </c>
    </row>
    <row r="23" spans="1:20" ht="17.399999999999999">
      <c r="A23" s="153" t="s">
        <v>146</v>
      </c>
      <c r="B23" s="140"/>
      <c r="C23" s="141"/>
      <c r="D23" s="143"/>
      <c r="E23" s="141" t="s">
        <v>101</v>
      </c>
      <c r="F23" s="143" t="s">
        <v>102</v>
      </c>
      <c r="G23" s="153">
        <v>1.1571847000000002</v>
      </c>
      <c r="H23" s="153">
        <v>40.369999999999997</v>
      </c>
      <c r="I23" s="153">
        <v>-3.85</v>
      </c>
      <c r="J23" s="153">
        <v>7.27</v>
      </c>
      <c r="K23" s="153">
        <v>-3.95</v>
      </c>
      <c r="L23" s="153">
        <v>0</v>
      </c>
      <c r="M23" s="153">
        <v>0</v>
      </c>
      <c r="N23" s="153">
        <v>1742.49</v>
      </c>
      <c r="O23" s="153">
        <v>-109.33</v>
      </c>
      <c r="P23" s="153">
        <v>0</v>
      </c>
      <c r="Q23" s="153">
        <v>0</v>
      </c>
      <c r="R23" s="153">
        <v>0</v>
      </c>
      <c r="S23" s="153">
        <v>0.88</v>
      </c>
      <c r="T23" s="153" t="s">
        <v>157</v>
      </c>
    </row>
    <row r="24" spans="1:20" ht="17.399999999999999">
      <c r="A24" s="153" t="s">
        <v>147</v>
      </c>
      <c r="B24" s="150"/>
      <c r="C24" s="150"/>
      <c r="D24" s="150"/>
      <c r="E24" s="151" t="s">
        <v>103</v>
      </c>
      <c r="F24" s="152" t="s">
        <v>104</v>
      </c>
      <c r="G24" s="153">
        <v>1.1375713999999999</v>
      </c>
      <c r="H24" s="153">
        <v>29.2</v>
      </c>
      <c r="I24" s="153">
        <v>126.62</v>
      </c>
      <c r="J24" s="153">
        <v>-63.35</v>
      </c>
      <c r="K24" s="153">
        <v>0</v>
      </c>
      <c r="L24" s="153">
        <v>0</v>
      </c>
      <c r="M24" s="153">
        <v>0</v>
      </c>
      <c r="N24" s="153">
        <v>1201.51</v>
      </c>
      <c r="O24" s="153">
        <v>-8.16</v>
      </c>
      <c r="P24" s="153">
        <v>0</v>
      </c>
      <c r="Q24" s="153">
        <v>0</v>
      </c>
      <c r="R24" s="153">
        <v>0</v>
      </c>
      <c r="S24" s="153">
        <v>0.88</v>
      </c>
      <c r="T24" s="153" t="s">
        <v>157</v>
      </c>
    </row>
    <row r="25" spans="1:20">
      <c r="E25" s="19"/>
    </row>
  </sheetData>
  <printOptions horizontalCentered="1"/>
  <pageMargins left="0.12" right="0.59" top="0.75" bottom="0.75" header="0.3" footer="0.3"/>
  <pageSetup paperSize="9" scale="6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B8"/>
  <sheetViews>
    <sheetView workbookViewId="0">
      <selection activeCell="E25" sqref="E25"/>
    </sheetView>
  </sheetViews>
  <sheetFormatPr defaultRowHeight="14.4"/>
  <cols>
    <col min="1" max="1" width="12" bestFit="1" customWidth="1"/>
    <col min="2" max="2" width="17.88671875" bestFit="1" customWidth="1"/>
  </cols>
  <sheetData>
    <row r="1" spans="1:2">
      <c r="A1" s="137" t="s">
        <v>158</v>
      </c>
      <c r="B1" s="137" t="s">
        <v>159</v>
      </c>
    </row>
    <row r="2" spans="1:2">
      <c r="A2" s="153" t="s">
        <v>153</v>
      </c>
      <c r="B2" s="153">
        <v>0.88</v>
      </c>
    </row>
    <row r="3" spans="1:2">
      <c r="A3" s="153" t="s">
        <v>151</v>
      </c>
      <c r="B3" s="153">
        <v>0.88</v>
      </c>
    </row>
    <row r="4" spans="1:2">
      <c r="A4" s="153" t="s">
        <v>152</v>
      </c>
      <c r="B4" s="153">
        <v>0.88</v>
      </c>
    </row>
    <row r="5" spans="1:2">
      <c r="A5" s="153" t="s">
        <v>155</v>
      </c>
      <c r="B5" s="153">
        <v>0.88</v>
      </c>
    </row>
    <row r="6" spans="1:2">
      <c r="A6" s="153" t="s">
        <v>154</v>
      </c>
      <c r="B6" s="153">
        <v>0.88</v>
      </c>
    </row>
    <row r="7" spans="1:2">
      <c r="A7" s="153" t="s">
        <v>156</v>
      </c>
      <c r="B7" s="153">
        <v>0.78</v>
      </c>
    </row>
    <row r="8" spans="1:2">
      <c r="A8" s="153" t="s">
        <v>157</v>
      </c>
      <c r="B8" s="153">
        <v>0.88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FF0000"/>
  </sheetPr>
  <dimension ref="A1:B24"/>
  <sheetViews>
    <sheetView workbookViewId="0">
      <selection activeCell="C24" sqref="C24"/>
    </sheetView>
  </sheetViews>
  <sheetFormatPr defaultRowHeight="14.4"/>
  <cols>
    <col min="1" max="1" width="9.88671875" bestFit="1" customWidth="1"/>
    <col min="2" max="2" width="11" bestFit="1" customWidth="1"/>
  </cols>
  <sheetData>
    <row r="1" spans="1:2">
      <c r="A1" s="136" t="s">
        <v>124</v>
      </c>
      <c r="B1" s="136" t="s">
        <v>148</v>
      </c>
    </row>
    <row r="2" spans="1:2">
      <c r="A2" s="153" t="s">
        <v>125</v>
      </c>
      <c r="B2" s="153">
        <f>VLOOKUP(A2,'BOM '!$B$6:$D$38,3,FALSE)</f>
        <v>1.0198916</v>
      </c>
    </row>
    <row r="3" spans="1:2">
      <c r="A3" s="153" t="s">
        <v>126</v>
      </c>
      <c r="B3" s="153">
        <f>VLOOKUP(A3,'BOM '!$B$6:$D$38,3,FALSE)</f>
        <v>1.0787315</v>
      </c>
    </row>
    <row r="4" spans="1:2">
      <c r="A4" s="153" t="s">
        <v>127</v>
      </c>
      <c r="B4" s="153">
        <f>VLOOKUP(A4,'BOM '!$B$6:$D$38,3,FALSE)</f>
        <v>0.79433864999999992</v>
      </c>
    </row>
    <row r="5" spans="1:2">
      <c r="A5" s="153" t="s">
        <v>128</v>
      </c>
      <c r="B5" s="153">
        <f>VLOOKUP(A5,'BOM '!$B$6:$D$38,3,FALSE)</f>
        <v>0.98066500000000001</v>
      </c>
    </row>
    <row r="6" spans="1:2">
      <c r="A6" s="153" t="s">
        <v>129</v>
      </c>
      <c r="B6" s="153">
        <f>VLOOKUP(A6,'BOM '!$B$6:$D$38,3,FALSE)</f>
        <v>0.84337189999999995</v>
      </c>
    </row>
    <row r="7" spans="1:2">
      <c r="A7" s="153" t="s">
        <v>130</v>
      </c>
      <c r="B7" s="153">
        <f>VLOOKUP(A7,'BOM '!$B$6:$D$38,3,FALSE)</f>
        <v>1.02969825</v>
      </c>
    </row>
    <row r="8" spans="1:2">
      <c r="A8" s="153" t="s">
        <v>131</v>
      </c>
      <c r="B8" s="153">
        <f>VLOOKUP(A8,'BOM '!$B$6:$D$38,3,FALSE)</f>
        <v>0.98066500000000001</v>
      </c>
    </row>
    <row r="9" spans="1:2">
      <c r="A9" s="153" t="s">
        <v>132</v>
      </c>
      <c r="B9" s="153">
        <f>VLOOKUP(A9,'BOM '!$B$6:$D$38,3,FALSE)</f>
        <v>1.0198916</v>
      </c>
    </row>
    <row r="10" spans="1:2">
      <c r="A10" s="153" t="s">
        <v>133</v>
      </c>
      <c r="B10" s="153">
        <f>VLOOKUP(A10,'BOM '!$B$6:$D$38,3,FALSE)</f>
        <v>0.79433864999999992</v>
      </c>
    </row>
    <row r="11" spans="1:2">
      <c r="A11" s="153" t="s">
        <v>134</v>
      </c>
      <c r="B11" s="153">
        <f>VLOOKUP(A11,'BOM '!$B$6:$D$38,3,FALSE)</f>
        <v>1.0198916</v>
      </c>
    </row>
    <row r="12" spans="1:2">
      <c r="A12" s="153" t="s">
        <v>135</v>
      </c>
      <c r="B12" s="153">
        <f>VLOOKUP(A12,'BOM '!$B$6:$D$38,3,FALSE)</f>
        <v>0.98066500000000001</v>
      </c>
    </row>
    <row r="13" spans="1:2">
      <c r="A13" s="153" t="s">
        <v>136</v>
      </c>
      <c r="B13" s="153">
        <f>VLOOKUP(A13,'BOM '!$B$6:$D$38,3,FALSE)</f>
        <v>1.01008495</v>
      </c>
    </row>
    <row r="14" spans="1:2">
      <c r="A14" s="153" t="s">
        <v>137</v>
      </c>
      <c r="B14" s="153">
        <f>VLOOKUP(A14,'BOM '!$B$6:$D$38,3,FALSE)</f>
        <v>0.95124504999999993</v>
      </c>
    </row>
    <row r="15" spans="1:2">
      <c r="A15" s="153" t="s">
        <v>138</v>
      </c>
      <c r="B15" s="153">
        <f>VLOOKUP(A15,'BOM '!$B$6:$D$38,3,FALSE)</f>
        <v>0.9022117999999999</v>
      </c>
    </row>
    <row r="16" spans="1:2">
      <c r="A16" s="153" t="s">
        <v>139</v>
      </c>
      <c r="B16" s="153">
        <f>VLOOKUP(A16,'BOM '!$B$6:$D$38,3,FALSE)</f>
        <v>0.96105170000000006</v>
      </c>
    </row>
    <row r="17" spans="1:2">
      <c r="A17" s="153" t="s">
        <v>140</v>
      </c>
      <c r="B17" s="153">
        <f>VLOOKUP(A17,'BOM '!$B$6:$D$38,3,FALSE)</f>
        <v>0.93163174999999998</v>
      </c>
    </row>
    <row r="18" spans="1:2">
      <c r="A18" s="153" t="s">
        <v>141</v>
      </c>
      <c r="B18" s="153">
        <f>VLOOKUP(A18,'BOM '!$B$6:$D$38,3,FALSE)</f>
        <v>0.92182510000000006</v>
      </c>
    </row>
    <row r="19" spans="1:2">
      <c r="A19" s="153" t="s">
        <v>142</v>
      </c>
      <c r="B19" s="153">
        <f>VLOOKUP(A19,'BOM '!$B$6:$D$38,3,FALSE)</f>
        <v>0.88259850000000006</v>
      </c>
    </row>
    <row r="20" spans="1:2">
      <c r="A20" s="153" t="s">
        <v>143</v>
      </c>
      <c r="B20" s="153">
        <f>VLOOKUP(A20,'BOM '!$B$6:$D$38,3,FALSE)</f>
        <v>0.93163174999999998</v>
      </c>
    </row>
    <row r="21" spans="1:2">
      <c r="A21" s="153" t="s">
        <v>144</v>
      </c>
      <c r="B21" s="153">
        <f>VLOOKUP(A21,'BOM '!$B$6:$D$38,3,FALSE)</f>
        <v>0.83356525000000004</v>
      </c>
    </row>
    <row r="22" spans="1:2">
      <c r="A22" s="153" t="s">
        <v>145</v>
      </c>
      <c r="B22" s="153">
        <f>VLOOKUP(A22,'BOM '!$B$6:$D$38,3,FALSE)</f>
        <v>1.0787315</v>
      </c>
    </row>
    <row r="23" spans="1:2">
      <c r="A23" s="153" t="s">
        <v>146</v>
      </c>
      <c r="B23" s="153">
        <f>VLOOKUP(A23,'BOM '!$B$6:$D$38,3,FALSE)</f>
        <v>1.1571847000000002</v>
      </c>
    </row>
    <row r="24" spans="1:2">
      <c r="A24" s="153" t="s">
        <v>147</v>
      </c>
      <c r="B24" s="153">
        <f>VLOOKUP(A24,'BOM '!$B$6:$D$38,3,FALSE)</f>
        <v>1.1375713999999999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rgb="FFFF0000"/>
  </sheetPr>
  <dimension ref="A1:K24"/>
  <sheetViews>
    <sheetView zoomScale="145" zoomScaleNormal="145" workbookViewId="0">
      <selection activeCell="K17" sqref="K17"/>
    </sheetView>
  </sheetViews>
  <sheetFormatPr defaultRowHeight="14.4"/>
  <cols>
    <col min="10" max="10" width="10.44140625" bestFit="1" customWidth="1"/>
  </cols>
  <sheetData>
    <row r="1" spans="1:11">
      <c r="A1" s="136" t="s">
        <v>124</v>
      </c>
      <c r="B1" s="157" t="s">
        <v>163</v>
      </c>
      <c r="C1" s="157" t="s">
        <v>164</v>
      </c>
      <c r="D1" s="157" t="s">
        <v>165</v>
      </c>
      <c r="E1" s="157" t="s">
        <v>166</v>
      </c>
      <c r="J1" s="137"/>
    </row>
    <row r="2" spans="1:11">
      <c r="A2" s="153" t="s">
        <v>125</v>
      </c>
      <c r="B2">
        <f>VLOOKUP($A2,Sheet1!$A$2:$K$49,8,FALSE)</f>
        <v>7674.42</v>
      </c>
      <c r="C2" s="158">
        <f>VLOOKUP($A2,Sheet1!$A$2:$K$49,9,FALSE)</f>
        <v>506.16</v>
      </c>
      <c r="D2" s="158">
        <f>VLOOKUP($A2,Sheet1!$A$2:$K$49,10,FALSE)</f>
        <v>121.8</v>
      </c>
      <c r="E2" s="158">
        <f>VLOOKUP($A2,Sheet1!$A$2:$K$49,11,FALSE)</f>
        <v>3.14</v>
      </c>
      <c r="J2" s="137"/>
    </row>
    <row r="3" spans="1:11">
      <c r="A3" s="153" t="s">
        <v>126</v>
      </c>
      <c r="B3" s="194">
        <f>VLOOKUP($A3,Sheet1!$A$2:$K$49,8,FALSE)</f>
        <v>7570.36</v>
      </c>
      <c r="C3" s="194">
        <f>VLOOKUP($A3,Sheet1!$A$2:$K$49,9,FALSE)</f>
        <v>518.74</v>
      </c>
      <c r="D3" s="194">
        <f>VLOOKUP($A3,Sheet1!$A$2:$K$49,10,FALSE)</f>
        <v>367.01</v>
      </c>
      <c r="E3" s="194">
        <f>VLOOKUP($A3,Sheet1!$A$2:$K$49,11,FALSE)</f>
        <v>11.87</v>
      </c>
      <c r="J3" s="137"/>
      <c r="K3" s="137"/>
    </row>
    <row r="4" spans="1:11">
      <c r="A4" s="153" t="s">
        <v>127</v>
      </c>
      <c r="B4" s="194">
        <f>VLOOKUP($A4,Sheet1!$A$2:$K$49,8,FALSE)</f>
        <v>6354.5</v>
      </c>
      <c r="C4" s="194">
        <f>VLOOKUP($A4,Sheet1!$A$2:$K$49,9,FALSE)</f>
        <v>433.3</v>
      </c>
      <c r="D4" s="194">
        <f>VLOOKUP($A4,Sheet1!$A$2:$K$49,10,FALSE)</f>
        <v>298.43</v>
      </c>
      <c r="E4" s="194">
        <f>VLOOKUP($A4,Sheet1!$A$2:$K$49,11,FALSE)</f>
        <v>5.96</v>
      </c>
      <c r="J4" s="137"/>
      <c r="K4" s="137"/>
    </row>
    <row r="5" spans="1:11">
      <c r="A5" s="153" t="s">
        <v>128</v>
      </c>
      <c r="B5" s="194">
        <f>VLOOKUP($A5,Sheet1!$A$2:$K$49,8,FALSE)</f>
        <v>6760.62</v>
      </c>
      <c r="C5" s="194">
        <f>VLOOKUP($A5,Sheet1!$A$2:$K$49,9,FALSE)</f>
        <v>482.56</v>
      </c>
      <c r="D5" s="194">
        <f>VLOOKUP($A5,Sheet1!$A$2:$K$49,10,FALSE)</f>
        <v>88.71</v>
      </c>
      <c r="E5" s="194">
        <f>VLOOKUP($A5,Sheet1!$A$2:$K$49,11,FALSE)</f>
        <v>4.82</v>
      </c>
      <c r="J5" s="137"/>
      <c r="K5" s="137"/>
    </row>
    <row r="6" spans="1:11">
      <c r="A6" s="153" t="s">
        <v>129</v>
      </c>
      <c r="B6" s="194">
        <f>VLOOKUP($A6,Sheet1!$A$2:$K$49,8,FALSE)</f>
        <v>7309.44</v>
      </c>
      <c r="C6" s="194">
        <f>VLOOKUP($A6,Sheet1!$A$2:$K$49,9,FALSE)</f>
        <v>588.12</v>
      </c>
      <c r="D6" s="194">
        <f>VLOOKUP($A6,Sheet1!$A$2:$K$49,10,FALSE)</f>
        <v>195.81</v>
      </c>
      <c r="E6" s="194">
        <f>VLOOKUP($A6,Sheet1!$A$2:$K$49,11,FALSE)</f>
        <v>5.62</v>
      </c>
      <c r="J6" s="137"/>
      <c r="K6" s="137"/>
    </row>
    <row r="7" spans="1:11">
      <c r="A7" s="153" t="s">
        <v>130</v>
      </c>
      <c r="B7" s="194">
        <f>VLOOKUP($A7,Sheet1!$A$2:$K$49,8,FALSE)</f>
        <v>6654.72</v>
      </c>
      <c r="C7" s="194">
        <f>VLOOKUP($A7,Sheet1!$A$2:$K$49,9,FALSE)</f>
        <v>429.52</v>
      </c>
      <c r="D7" s="194">
        <f>VLOOKUP($A7,Sheet1!$A$2:$K$49,10,FALSE)</f>
        <v>376</v>
      </c>
      <c r="E7" s="194">
        <f>VLOOKUP($A7,Sheet1!$A$2:$K$49,11,FALSE)</f>
        <v>10.93</v>
      </c>
      <c r="J7" s="137"/>
      <c r="K7" s="137"/>
    </row>
    <row r="8" spans="1:11">
      <c r="A8" s="153" t="s">
        <v>131</v>
      </c>
      <c r="B8" s="194">
        <f>VLOOKUP($A8,Sheet1!$A$2:$K$49,8,FALSE)</f>
        <v>5681.5</v>
      </c>
      <c r="C8" s="194">
        <f>VLOOKUP($A8,Sheet1!$A$2:$K$49,9,FALSE)</f>
        <v>415.26</v>
      </c>
      <c r="D8" s="194">
        <f>VLOOKUP($A8,Sheet1!$A$2:$K$49,10,FALSE)</f>
        <v>724.48</v>
      </c>
      <c r="E8" s="194">
        <f>VLOOKUP($A8,Sheet1!$A$2:$K$49,11,FALSE)</f>
        <v>23.38</v>
      </c>
      <c r="J8" s="137"/>
      <c r="K8" s="137"/>
    </row>
    <row r="9" spans="1:11">
      <c r="A9" s="153" t="s">
        <v>132</v>
      </c>
      <c r="B9" s="194">
        <f>VLOOKUP($A9,Sheet1!$A$2:$K$49,8,FALSE)</f>
        <v>5953.15</v>
      </c>
      <c r="C9" s="194">
        <f>VLOOKUP($A9,Sheet1!$A$2:$K$49,9,FALSE)</f>
        <v>261.58999999999997</v>
      </c>
      <c r="D9" s="194">
        <f>VLOOKUP($A9,Sheet1!$A$2:$K$49,10,FALSE)</f>
        <v>378.99</v>
      </c>
      <c r="E9" s="194">
        <f>VLOOKUP($A9,Sheet1!$A$2:$K$49,11,FALSE)</f>
        <v>16.62</v>
      </c>
      <c r="J9" s="137"/>
      <c r="K9" s="137"/>
    </row>
    <row r="10" spans="1:11">
      <c r="A10" s="153" t="s">
        <v>133</v>
      </c>
      <c r="B10" s="194">
        <f>VLOOKUP($A10,Sheet1!$A$2:$K$49,8,FALSE)</f>
        <v>0</v>
      </c>
      <c r="C10" s="194">
        <f>VLOOKUP($A10,Sheet1!$A$2:$K$49,9,FALSE)</f>
        <v>57.12</v>
      </c>
      <c r="D10" s="194">
        <f>VLOOKUP($A10,Sheet1!$A$2:$K$49,10,FALSE)</f>
        <v>1575.03</v>
      </c>
      <c r="E10" s="194">
        <f>VLOOKUP($A10,Sheet1!$A$2:$K$49,11,FALSE)</f>
        <v>25.36</v>
      </c>
      <c r="J10" s="137"/>
      <c r="K10" s="137"/>
    </row>
    <row r="11" spans="1:11">
      <c r="A11" s="153" t="s">
        <v>134</v>
      </c>
      <c r="B11" s="194">
        <f>VLOOKUP($A11,Sheet1!$A$2:$K$49,8,FALSE)</f>
        <v>5666.56</v>
      </c>
      <c r="C11" s="194">
        <f>VLOOKUP($A11,Sheet1!$A$2:$K$49,9,FALSE)</f>
        <v>395.08</v>
      </c>
      <c r="D11" s="194">
        <f>VLOOKUP($A11,Sheet1!$A$2:$K$49,10,FALSE)</f>
        <v>101.11</v>
      </c>
      <c r="E11" s="194">
        <f>VLOOKUP($A11,Sheet1!$A$2:$K$49,11,FALSE)</f>
        <v>5.52</v>
      </c>
      <c r="J11" s="137"/>
      <c r="K11" s="137"/>
    </row>
    <row r="12" spans="1:11">
      <c r="A12" s="153" t="s">
        <v>135</v>
      </c>
      <c r="B12" s="194">
        <f>VLOOKUP($A12,Sheet1!$A$2:$K$49,8,FALSE)</f>
        <v>6403.74</v>
      </c>
      <c r="C12" s="194">
        <f>VLOOKUP($A12,Sheet1!$A$2:$K$49,9,FALSE)</f>
        <v>426.56</v>
      </c>
      <c r="D12" s="194">
        <f>VLOOKUP($A12,Sheet1!$A$2:$K$49,10,FALSE)</f>
        <v>160.21</v>
      </c>
      <c r="E12" s="194">
        <f>VLOOKUP($A12,Sheet1!$A$2:$K$49,11,FALSE)</f>
        <v>6.76</v>
      </c>
      <c r="J12" s="137"/>
      <c r="K12" s="137"/>
    </row>
    <row r="13" spans="1:11">
      <c r="A13" s="153" t="s">
        <v>136</v>
      </c>
      <c r="B13" s="194">
        <f>VLOOKUP($A13,Sheet1!$A$2:$K$49,8,FALSE)</f>
        <v>4466</v>
      </c>
      <c r="C13" s="194">
        <f>VLOOKUP($A13,Sheet1!$A$2:$K$49,9,FALSE)</f>
        <v>447.75</v>
      </c>
      <c r="D13" s="194">
        <f>VLOOKUP($A13,Sheet1!$A$2:$K$49,10,FALSE)</f>
        <v>222.98</v>
      </c>
      <c r="E13" s="194">
        <f>VLOOKUP($A13,Sheet1!$A$2:$K$49,11,FALSE)</f>
        <v>9.4700000000000006</v>
      </c>
      <c r="J13" s="137"/>
      <c r="K13" s="137"/>
    </row>
    <row r="14" spans="1:11">
      <c r="A14" s="153" t="s">
        <v>137</v>
      </c>
      <c r="B14" s="194">
        <f>VLOOKUP($A14,Sheet1!$A$2:$K$49,8,FALSE)</f>
        <v>5733.52</v>
      </c>
      <c r="C14" s="194">
        <f>VLOOKUP($A14,Sheet1!$A$2:$K$49,9,FALSE)</f>
        <v>551.04</v>
      </c>
      <c r="D14" s="194">
        <f>VLOOKUP($A14,Sheet1!$A$2:$K$49,10,FALSE)</f>
        <v>49.61</v>
      </c>
      <c r="E14" s="194">
        <f>VLOOKUP($A14,Sheet1!$A$2:$K$49,11,FALSE)</f>
        <v>6.95</v>
      </c>
      <c r="J14" s="137"/>
      <c r="K14" s="137"/>
    </row>
    <row r="15" spans="1:11">
      <c r="A15" s="153" t="s">
        <v>138</v>
      </c>
      <c r="B15" s="194">
        <f>VLOOKUP($A15,Sheet1!$A$2:$K$49,8,FALSE)</f>
        <v>5145.5600000000004</v>
      </c>
      <c r="C15" s="194">
        <f>VLOOKUP($A15,Sheet1!$A$2:$K$49,9,FALSE)</f>
        <v>496.08</v>
      </c>
      <c r="D15" s="194">
        <f>VLOOKUP($A15,Sheet1!$A$2:$K$49,10,FALSE)</f>
        <v>65.61</v>
      </c>
      <c r="E15" s="194">
        <f>VLOOKUP($A15,Sheet1!$A$2:$K$49,11,FALSE)</f>
        <v>4.18</v>
      </c>
      <c r="J15" s="137"/>
      <c r="K15" s="137"/>
    </row>
    <row r="16" spans="1:11">
      <c r="A16" s="153" t="s">
        <v>139</v>
      </c>
      <c r="B16" s="194">
        <f>VLOOKUP($A16,Sheet1!$A$2:$K$49,8,FALSE)</f>
        <v>5420.28</v>
      </c>
      <c r="C16" s="194">
        <f>VLOOKUP($A16,Sheet1!$A$2:$K$49,9,FALSE)</f>
        <v>490.32</v>
      </c>
      <c r="D16" s="194">
        <f>VLOOKUP($A16,Sheet1!$A$2:$K$49,10,FALSE)</f>
        <v>50.07</v>
      </c>
      <c r="E16" s="194">
        <f>VLOOKUP($A16,Sheet1!$A$2:$K$49,11,FALSE)</f>
        <v>5.4</v>
      </c>
      <c r="J16" s="137"/>
      <c r="K16" s="137"/>
    </row>
    <row r="17" spans="1:11">
      <c r="A17" s="153" t="s">
        <v>140</v>
      </c>
      <c r="B17" s="194">
        <f>VLOOKUP($A17,Sheet1!$A$2:$K$49,8,FALSE)</f>
        <v>4587.05</v>
      </c>
      <c r="C17" s="194">
        <f>VLOOKUP($A17,Sheet1!$A$2:$K$49,9,FALSE)</f>
        <v>514.08000000000004</v>
      </c>
      <c r="D17" s="194">
        <f>VLOOKUP($A17,Sheet1!$A$2:$K$49,10,FALSE)</f>
        <v>80.88</v>
      </c>
      <c r="E17" s="194">
        <f>VLOOKUP($A17,Sheet1!$A$2:$K$49,11,FALSE)</f>
        <v>4.4000000000000004</v>
      </c>
      <c r="J17" s="137"/>
      <c r="K17" s="137"/>
    </row>
    <row r="18" spans="1:11">
      <c r="A18" s="153" t="s">
        <v>141</v>
      </c>
      <c r="B18" s="194">
        <f>VLOOKUP($A18,Sheet1!$A$2:$K$49,8,FALSE)</f>
        <v>5005.26</v>
      </c>
      <c r="C18" s="194">
        <f>VLOOKUP($A18,Sheet1!$A$2:$K$49,9,FALSE)</f>
        <v>505.68</v>
      </c>
      <c r="D18" s="194">
        <f>VLOOKUP($A18,Sheet1!$A$2:$K$49,10,FALSE)</f>
        <v>30.62</v>
      </c>
      <c r="E18" s="194">
        <f>VLOOKUP($A18,Sheet1!$A$2:$K$49,11,FALSE)</f>
        <v>2.5299999999999998</v>
      </c>
      <c r="J18" s="137"/>
      <c r="K18" s="137"/>
    </row>
    <row r="19" spans="1:11">
      <c r="A19" s="153" t="s">
        <v>142</v>
      </c>
      <c r="B19" s="194">
        <f>VLOOKUP($A19,Sheet1!$A$2:$K$49,8,FALSE)</f>
        <v>4903.71</v>
      </c>
      <c r="C19" s="194">
        <f>VLOOKUP($A19,Sheet1!$A$2:$K$49,9,FALSE)</f>
        <v>323.64</v>
      </c>
      <c r="D19" s="194">
        <f>VLOOKUP($A19,Sheet1!$A$2:$K$49,10,FALSE)</f>
        <v>310.60000000000002</v>
      </c>
      <c r="E19" s="194">
        <f>VLOOKUP($A19,Sheet1!$A$2:$K$49,11,FALSE)</f>
        <v>7.94</v>
      </c>
      <c r="J19" s="137"/>
      <c r="K19" s="137"/>
    </row>
    <row r="20" spans="1:11">
      <c r="A20" s="153" t="s">
        <v>143</v>
      </c>
      <c r="B20" s="194">
        <f>VLOOKUP($A20,Sheet1!$A$2:$K$49,8,FALSE)</f>
        <v>6443</v>
      </c>
      <c r="C20" s="194">
        <f>VLOOKUP($A20,Sheet1!$A$2:$K$49,9,FALSE)</f>
        <v>480.26</v>
      </c>
      <c r="D20" s="194">
        <f>VLOOKUP($A20,Sheet1!$A$2:$K$49,10,FALSE)</f>
        <v>84.35</v>
      </c>
      <c r="E20" s="194">
        <f>VLOOKUP($A20,Sheet1!$A$2:$K$49,11,FALSE)</f>
        <v>3.25</v>
      </c>
    </row>
    <row r="21" spans="1:11">
      <c r="A21" s="153" t="s">
        <v>144</v>
      </c>
      <c r="B21" s="194">
        <f>VLOOKUP($A21,Sheet1!$A$2:$K$49,8,FALSE)</f>
        <v>5995.2</v>
      </c>
      <c r="C21" s="194">
        <f>VLOOKUP($A21,Sheet1!$A$2:$K$49,9,FALSE)</f>
        <v>533.6</v>
      </c>
      <c r="D21" s="194">
        <f>VLOOKUP($A21,Sheet1!$A$2:$K$49,10,FALSE)</f>
        <v>173.65</v>
      </c>
      <c r="E21" s="194">
        <f>VLOOKUP($A21,Sheet1!$A$2:$K$49,11,FALSE)</f>
        <v>1.84</v>
      </c>
    </row>
    <row r="22" spans="1:11">
      <c r="A22" s="153" t="s">
        <v>145</v>
      </c>
      <c r="B22" s="194">
        <f>VLOOKUP($A22,Sheet1!$A$2:$K$49,8,FALSE)</f>
        <v>6810.7</v>
      </c>
      <c r="C22" s="194">
        <f>VLOOKUP($A22,Sheet1!$A$2:$K$49,9,FALSE)</f>
        <v>673.35</v>
      </c>
      <c r="D22" s="194">
        <f>VLOOKUP($A22,Sheet1!$A$2:$K$49,10,FALSE)</f>
        <v>256.5</v>
      </c>
      <c r="E22" s="194">
        <f>VLOOKUP($A22,Sheet1!$A$2:$K$49,11,FALSE)</f>
        <v>9.65</v>
      </c>
    </row>
    <row r="23" spans="1:11">
      <c r="A23" s="153" t="s">
        <v>146</v>
      </c>
      <c r="B23" s="194">
        <f>VLOOKUP($A23,Sheet1!$A$2:$K$49,8,FALSE)</f>
        <v>5298.15</v>
      </c>
      <c r="C23" s="194">
        <f>VLOOKUP($A23,Sheet1!$A$2:$K$49,9,FALSE)</f>
        <v>518.04999999999995</v>
      </c>
      <c r="D23" s="194">
        <f>VLOOKUP($A23,Sheet1!$A$2:$K$49,10,FALSE)</f>
        <v>343.11</v>
      </c>
      <c r="E23" s="194">
        <f>VLOOKUP($A23,Sheet1!$A$2:$K$49,11,FALSE)</f>
        <v>18.03</v>
      </c>
    </row>
    <row r="24" spans="1:11">
      <c r="A24" s="153" t="s">
        <v>147</v>
      </c>
      <c r="B24" s="194">
        <f>VLOOKUP($A24,Sheet1!$A$2:$K$49,8,FALSE)</f>
        <v>5373.83</v>
      </c>
      <c r="C24" s="194">
        <f>VLOOKUP($A24,Sheet1!$A$2:$K$49,9,FALSE)</f>
        <v>575.96</v>
      </c>
      <c r="D24" s="194">
        <f>VLOOKUP($A24,Sheet1!$A$2:$K$49,10,FALSE)</f>
        <v>96.76</v>
      </c>
      <c r="E24" s="194">
        <f>VLOOKUP($A24,Sheet1!$A$2:$K$49,11,FALSE)</f>
        <v>3.55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O50"/>
  <sheetViews>
    <sheetView zoomScale="115" zoomScaleNormal="115" workbookViewId="0">
      <selection activeCell="N17" sqref="N17"/>
    </sheetView>
  </sheetViews>
  <sheetFormatPr defaultRowHeight="14.4"/>
  <sheetData>
    <row r="1" spans="1:15">
      <c r="A1" s="160" t="s">
        <v>167</v>
      </c>
      <c r="B1" s="161" t="s">
        <v>168</v>
      </c>
      <c r="C1" s="160" t="s">
        <v>2</v>
      </c>
      <c r="D1" s="160" t="s">
        <v>1</v>
      </c>
      <c r="E1" s="160" t="s">
        <v>7</v>
      </c>
      <c r="F1" s="160" t="s">
        <v>8</v>
      </c>
      <c r="G1" s="164" t="s">
        <v>6</v>
      </c>
      <c r="H1" s="160" t="s">
        <v>163</v>
      </c>
      <c r="I1" s="160" t="s">
        <v>164</v>
      </c>
      <c r="J1" s="160" t="s">
        <v>165</v>
      </c>
      <c r="K1" s="160" t="s">
        <v>166</v>
      </c>
      <c r="N1" s="194" t="s">
        <v>196</v>
      </c>
      <c r="O1" s="194" t="s">
        <v>197</v>
      </c>
    </row>
    <row r="2" spans="1:15">
      <c r="A2" s="162" t="s">
        <v>133</v>
      </c>
      <c r="B2" s="190">
        <v>0.87</v>
      </c>
      <c r="C2" s="190">
        <v>2494</v>
      </c>
      <c r="D2" s="191">
        <v>11.4</v>
      </c>
      <c r="E2" s="173">
        <v>9.8348329121406426</v>
      </c>
      <c r="F2" s="173">
        <v>1.565167087859358</v>
      </c>
      <c r="G2" s="167">
        <v>0.8627046414158458</v>
      </c>
      <c r="H2" s="190"/>
      <c r="I2" s="190">
        <v>57.12</v>
      </c>
      <c r="J2" s="190">
        <v>1575.03</v>
      </c>
      <c r="K2" s="190">
        <v>25.36</v>
      </c>
      <c r="N2" s="224">
        <v>0.88</v>
      </c>
      <c r="O2" s="224">
        <v>50.643663932310723</v>
      </c>
    </row>
    <row r="3" spans="1:15">
      <c r="A3" s="162" t="s">
        <v>127</v>
      </c>
      <c r="B3" s="190">
        <v>0.87</v>
      </c>
      <c r="C3" s="190">
        <v>1355</v>
      </c>
      <c r="D3" s="190">
        <v>20.7</v>
      </c>
      <c r="E3" s="173">
        <v>6.2692211575419279</v>
      </c>
      <c r="F3" s="173">
        <v>14.430778842458071</v>
      </c>
      <c r="G3" s="167">
        <v>0.30286092548511728</v>
      </c>
      <c r="H3" s="190">
        <v>6354.5</v>
      </c>
      <c r="I3" s="190">
        <v>433.3</v>
      </c>
      <c r="J3" s="190">
        <v>298.43</v>
      </c>
      <c r="K3" s="190">
        <v>5.96</v>
      </c>
      <c r="N3" s="224">
        <v>0.88</v>
      </c>
      <c r="O3" s="224">
        <v>26.81158408030182</v>
      </c>
    </row>
    <row r="4" spans="1:15">
      <c r="A4" s="162" t="s">
        <v>128</v>
      </c>
      <c r="B4" s="190">
        <v>0.98</v>
      </c>
      <c r="C4" s="190">
        <v>1496</v>
      </c>
      <c r="D4" s="190">
        <v>66.7</v>
      </c>
      <c r="E4" s="173">
        <v>24.82344198728816</v>
      </c>
      <c r="F4" s="189">
        <v>41.87655801271184</v>
      </c>
      <c r="G4" s="181">
        <v>0.37216554703580446</v>
      </c>
      <c r="H4" s="192">
        <v>6760.62</v>
      </c>
      <c r="I4" s="190">
        <v>482.56</v>
      </c>
      <c r="J4" s="190">
        <v>88.71</v>
      </c>
      <c r="K4" s="190">
        <v>4.82</v>
      </c>
      <c r="N4" s="224">
        <v>0.88</v>
      </c>
      <c r="O4" s="224">
        <v>39.305286683780075</v>
      </c>
    </row>
    <row r="5" spans="1:15">
      <c r="A5" s="168" t="s">
        <v>169</v>
      </c>
      <c r="B5" s="169"/>
      <c r="C5" s="180">
        <v>1581.6123481781374</v>
      </c>
      <c r="D5" s="178">
        <v>98.800000000000011</v>
      </c>
      <c r="E5" s="178">
        <v>40.927496056970718</v>
      </c>
      <c r="F5" s="188">
        <v>57.872503943029272</v>
      </c>
      <c r="G5" s="172">
        <v>0.41424591150780077</v>
      </c>
      <c r="H5" s="182"/>
      <c r="I5" s="169"/>
      <c r="J5" s="169"/>
      <c r="K5" s="169"/>
      <c r="N5" s="224">
        <v>0.88</v>
      </c>
      <c r="O5" s="224">
        <v>42.277995894078465</v>
      </c>
    </row>
    <row r="6" spans="1:15">
      <c r="A6" s="163"/>
      <c r="B6" s="159"/>
      <c r="C6" s="159"/>
      <c r="D6" s="159"/>
      <c r="E6" s="159"/>
      <c r="F6" s="159"/>
      <c r="G6" s="159"/>
      <c r="H6" s="159"/>
      <c r="I6" s="159"/>
      <c r="J6" s="159"/>
      <c r="K6" s="159"/>
      <c r="N6" s="224">
        <v>0.88</v>
      </c>
      <c r="O6" s="224">
        <v>51.192737605342757</v>
      </c>
    </row>
    <row r="7" spans="1:15">
      <c r="A7" s="163" t="s">
        <v>170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N7" s="224">
        <v>0.88</v>
      </c>
      <c r="O7" s="224">
        <v>49.86740570754867</v>
      </c>
    </row>
    <row r="8" spans="1:15">
      <c r="A8" s="161" t="s">
        <v>167</v>
      </c>
      <c r="B8" s="161" t="s">
        <v>168</v>
      </c>
      <c r="C8" s="160" t="s">
        <v>2</v>
      </c>
      <c r="D8" s="160" t="s">
        <v>1</v>
      </c>
      <c r="E8" s="160" t="s">
        <v>7</v>
      </c>
      <c r="F8" s="160" t="s">
        <v>8</v>
      </c>
      <c r="G8" s="164" t="s">
        <v>6</v>
      </c>
      <c r="H8" s="160" t="s">
        <v>163</v>
      </c>
      <c r="I8" s="160" t="s">
        <v>164</v>
      </c>
      <c r="J8" s="160" t="s">
        <v>165</v>
      </c>
      <c r="K8" s="160" t="s">
        <v>166</v>
      </c>
      <c r="N8" s="224">
        <v>0.78</v>
      </c>
      <c r="O8" s="224">
        <v>33.506430763776635</v>
      </c>
    </row>
    <row r="9" spans="1:15">
      <c r="A9" s="162" t="s">
        <v>130</v>
      </c>
      <c r="B9" s="190">
        <v>1.18</v>
      </c>
      <c r="C9" s="190">
        <v>1588</v>
      </c>
      <c r="D9" s="190">
        <v>71.099999999999994</v>
      </c>
      <c r="E9" s="173">
        <v>29.676115007631193</v>
      </c>
      <c r="F9" s="173">
        <v>41.423884992368798</v>
      </c>
      <c r="G9" s="167">
        <v>0.41738558379228125</v>
      </c>
      <c r="H9" s="190">
        <v>6654.72</v>
      </c>
      <c r="I9" s="190">
        <v>429.52</v>
      </c>
      <c r="J9" s="190">
        <v>376</v>
      </c>
      <c r="K9" s="190">
        <v>10.93</v>
      </c>
    </row>
    <row r="10" spans="1:15">
      <c r="A10" s="162" t="s">
        <v>131</v>
      </c>
      <c r="B10" s="190">
        <v>0.98</v>
      </c>
      <c r="C10" s="190">
        <v>1707</v>
      </c>
      <c r="D10" s="190">
        <v>53.6</v>
      </c>
      <c r="E10" s="173">
        <v>25.506992100478353</v>
      </c>
      <c r="F10" s="189">
        <v>28.093007899521648</v>
      </c>
      <c r="G10" s="181">
        <v>0.47587671829250661</v>
      </c>
      <c r="H10" s="190">
        <v>5681.5</v>
      </c>
      <c r="I10" s="190">
        <v>415.26</v>
      </c>
      <c r="J10" s="190">
        <v>724.48</v>
      </c>
      <c r="K10" s="190">
        <v>23.38</v>
      </c>
    </row>
    <row r="11" spans="1:15">
      <c r="A11" s="170" t="s">
        <v>169</v>
      </c>
      <c r="B11" s="171"/>
      <c r="C11" s="184">
        <v>1639.1499599037693</v>
      </c>
      <c r="D11" s="179">
        <v>124.69999999999999</v>
      </c>
      <c r="E11" s="178">
        <v>55.18310710810956</v>
      </c>
      <c r="F11" s="188">
        <v>69.51689289189045</v>
      </c>
      <c r="G11" s="167">
        <v>0.44252692147641992</v>
      </c>
      <c r="H11" s="171"/>
      <c r="I11" s="171"/>
      <c r="J11" s="171"/>
      <c r="K11" s="171"/>
    </row>
    <row r="12" spans="1:15">
      <c r="A12" s="163"/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  <row r="13" spans="1:15">
      <c r="A13" s="163" t="s">
        <v>171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5">
      <c r="A14" s="161" t="s">
        <v>167</v>
      </c>
      <c r="B14" s="161" t="s">
        <v>168</v>
      </c>
      <c r="C14" s="160" t="s">
        <v>2</v>
      </c>
      <c r="D14" s="160" t="s">
        <v>1</v>
      </c>
      <c r="E14" s="160" t="s">
        <v>7</v>
      </c>
      <c r="F14" s="160" t="s">
        <v>8</v>
      </c>
      <c r="G14" s="164" t="s">
        <v>6</v>
      </c>
      <c r="H14" s="160" t="s">
        <v>163</v>
      </c>
      <c r="I14" s="160" t="s">
        <v>164</v>
      </c>
      <c r="J14" s="160" t="s">
        <v>165</v>
      </c>
      <c r="K14" s="160" t="s">
        <v>166</v>
      </c>
    </row>
    <row r="15" spans="1:15">
      <c r="A15" s="162" t="s">
        <v>125</v>
      </c>
      <c r="B15" s="190">
        <v>1.04</v>
      </c>
      <c r="C15" s="190">
        <v>1303</v>
      </c>
      <c r="D15" s="190">
        <v>21</v>
      </c>
      <c r="E15" s="173">
        <v>5.8233372597736306</v>
      </c>
      <c r="F15" s="173">
        <v>15.176662740226368</v>
      </c>
      <c r="G15" s="167">
        <v>0.2773017742749348</v>
      </c>
      <c r="H15" s="190">
        <v>7674.42</v>
      </c>
      <c r="I15" s="190">
        <v>506.16</v>
      </c>
      <c r="J15" s="190">
        <v>121.8</v>
      </c>
      <c r="K15" s="190">
        <v>3.14</v>
      </c>
    </row>
    <row r="16" spans="1:15">
      <c r="A16" s="162" t="s">
        <v>126</v>
      </c>
      <c r="B16" s="190">
        <v>0.92</v>
      </c>
      <c r="C16" s="190">
        <v>1282</v>
      </c>
      <c r="D16" s="190">
        <v>56.8</v>
      </c>
      <c r="E16" s="173">
        <v>15.164453171825802</v>
      </c>
      <c r="F16" s="173">
        <v>41.635546828174192</v>
      </c>
      <c r="G16" s="167">
        <v>0.26697980936313032</v>
      </c>
      <c r="H16" s="190">
        <v>7570.36</v>
      </c>
      <c r="I16" s="190">
        <v>518.74</v>
      </c>
      <c r="J16" s="190">
        <v>367.01</v>
      </c>
      <c r="K16" s="190">
        <v>11.87</v>
      </c>
    </row>
    <row r="17" spans="1:11">
      <c r="A17" s="162" t="s">
        <v>129</v>
      </c>
      <c r="B17" s="190">
        <v>0.84</v>
      </c>
      <c r="C17" s="190">
        <v>1189</v>
      </c>
      <c r="D17" s="190">
        <v>32.200000000000003</v>
      </c>
      <c r="E17" s="173">
        <v>7.124837665069478</v>
      </c>
      <c r="F17" s="173">
        <v>25.075162334930525</v>
      </c>
      <c r="G17" s="167">
        <v>0.2212682504679962</v>
      </c>
      <c r="H17" s="190">
        <v>7309.44</v>
      </c>
      <c r="I17" s="190">
        <v>588.12</v>
      </c>
      <c r="J17" s="190">
        <v>195.81</v>
      </c>
      <c r="K17" s="190">
        <v>5.62</v>
      </c>
    </row>
    <row r="18" spans="1:11">
      <c r="A18" s="170" t="s">
        <v>169</v>
      </c>
      <c r="B18" s="171"/>
      <c r="C18" s="180">
        <v>1258.7854545454545</v>
      </c>
      <c r="D18" s="179">
        <v>110</v>
      </c>
      <c r="E18" s="178">
        <v>28.112628096668907</v>
      </c>
      <c r="F18" s="179">
        <v>81.887371903331086</v>
      </c>
      <c r="G18" s="183">
        <v>0.25556934633335371</v>
      </c>
      <c r="H18" s="171"/>
      <c r="I18" s="171"/>
      <c r="J18" s="171"/>
      <c r="K18" s="171"/>
    </row>
    <row r="19" spans="1:11">
      <c r="A19" s="163"/>
      <c r="B19" s="159"/>
      <c r="C19" s="159"/>
      <c r="D19" s="159"/>
      <c r="E19" s="159"/>
      <c r="F19" s="159"/>
      <c r="G19" s="159"/>
      <c r="H19" s="159"/>
      <c r="I19" s="159"/>
      <c r="J19" s="159"/>
      <c r="K19" s="159"/>
    </row>
    <row r="20" spans="1:11">
      <c r="A20" s="163" t="s">
        <v>172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</row>
    <row r="21" spans="1:11">
      <c r="A21" s="161" t="s">
        <v>167</v>
      </c>
      <c r="B21" s="161" t="s">
        <v>168</v>
      </c>
      <c r="C21" s="160" t="s">
        <v>2</v>
      </c>
      <c r="D21" s="160" t="s">
        <v>1</v>
      </c>
      <c r="E21" s="160" t="s">
        <v>7</v>
      </c>
      <c r="F21" s="160" t="s">
        <v>8</v>
      </c>
      <c r="G21" s="164" t="s">
        <v>6</v>
      </c>
      <c r="H21" s="160" t="s">
        <v>163</v>
      </c>
      <c r="I21" s="160" t="s">
        <v>164</v>
      </c>
      <c r="J21" s="160" t="s">
        <v>165</v>
      </c>
      <c r="K21" s="160" t="s">
        <v>166</v>
      </c>
    </row>
    <row r="22" spans="1:11">
      <c r="A22" s="177" t="s">
        <v>135</v>
      </c>
      <c r="B22" s="193">
        <v>0.98</v>
      </c>
      <c r="C22" s="193">
        <v>1523</v>
      </c>
      <c r="D22" s="193">
        <v>51.3</v>
      </c>
      <c r="E22" s="175">
        <v>19.772899877191072</v>
      </c>
      <c r="F22" s="175">
        <v>31.527100122808925</v>
      </c>
      <c r="G22" s="176">
        <v>0.38543664477955308</v>
      </c>
      <c r="H22" s="193">
        <v>6403.74</v>
      </c>
      <c r="I22" s="193">
        <v>426.56</v>
      </c>
      <c r="J22" s="193">
        <v>160.21</v>
      </c>
      <c r="K22" s="193">
        <v>6.76</v>
      </c>
    </row>
    <row r="23" spans="1:11">
      <c r="A23" s="177" t="s">
        <v>134</v>
      </c>
      <c r="B23" s="193">
        <v>0.95</v>
      </c>
      <c r="C23" s="193">
        <v>1407</v>
      </c>
      <c r="D23" s="193">
        <v>54</v>
      </c>
      <c r="E23" s="175">
        <v>17.734684141546186</v>
      </c>
      <c r="F23" s="175">
        <v>36.26531585845381</v>
      </c>
      <c r="G23" s="176">
        <v>0.32842007669529977</v>
      </c>
      <c r="H23" s="193">
        <v>5666.56</v>
      </c>
      <c r="I23" s="193">
        <v>395.08</v>
      </c>
      <c r="J23" s="193">
        <v>101.11</v>
      </c>
      <c r="K23" s="193">
        <v>5.52</v>
      </c>
    </row>
    <row r="24" spans="1:11">
      <c r="A24" s="177" t="s">
        <v>141</v>
      </c>
      <c r="B24" s="193">
        <v>0.9</v>
      </c>
      <c r="C24" s="193">
        <v>1093</v>
      </c>
      <c r="D24" s="193">
        <v>20.9</v>
      </c>
      <c r="E24" s="175">
        <v>3.6383164157790007</v>
      </c>
      <c r="F24" s="175">
        <v>17.261683584220997</v>
      </c>
      <c r="G24" s="176">
        <v>0.17408212515689001</v>
      </c>
      <c r="H24" s="193">
        <v>5005.26</v>
      </c>
      <c r="I24" s="193">
        <v>505.68</v>
      </c>
      <c r="J24" s="193">
        <v>30.62</v>
      </c>
      <c r="K24" s="193">
        <v>2.5299999999999998</v>
      </c>
    </row>
    <row r="25" spans="1:11">
      <c r="A25" s="170" t="s">
        <v>169</v>
      </c>
      <c r="B25" s="171"/>
      <c r="C25" s="185">
        <v>1402.1521394611727</v>
      </c>
      <c r="D25" s="187">
        <v>126.19999999999999</v>
      </c>
      <c r="E25" s="187">
        <v>41.145900434516264</v>
      </c>
      <c r="F25" s="187">
        <v>85.054099565483739</v>
      </c>
      <c r="G25" s="186">
        <v>0.32603724591534283</v>
      </c>
      <c r="H25" s="171"/>
      <c r="I25" s="171"/>
      <c r="J25" s="171"/>
      <c r="K25" s="171"/>
    </row>
    <row r="26" spans="1:11">
      <c r="A26" s="163"/>
      <c r="B26" s="159"/>
      <c r="C26" s="159"/>
      <c r="D26" s="159"/>
      <c r="E26" s="159"/>
      <c r="F26" s="159"/>
      <c r="G26" s="159"/>
      <c r="H26" s="159"/>
      <c r="I26" s="159"/>
      <c r="J26" s="159"/>
      <c r="K26" s="159"/>
    </row>
    <row r="27" spans="1:11">
      <c r="A27" s="163" t="s">
        <v>173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</row>
    <row r="28" spans="1:11">
      <c r="A28" s="161" t="s">
        <v>167</v>
      </c>
      <c r="B28" s="161" t="s">
        <v>168</v>
      </c>
      <c r="C28" s="160" t="s">
        <v>2</v>
      </c>
      <c r="D28" s="160" t="s">
        <v>1</v>
      </c>
      <c r="E28" s="160" t="s">
        <v>7</v>
      </c>
      <c r="F28" s="160" t="s">
        <v>8</v>
      </c>
      <c r="G28" s="164" t="s">
        <v>6</v>
      </c>
      <c r="H28" s="160" t="s">
        <v>163</v>
      </c>
      <c r="I28" s="160" t="s">
        <v>164</v>
      </c>
      <c r="J28" s="160" t="s">
        <v>165</v>
      </c>
      <c r="K28" s="160" t="s">
        <v>166</v>
      </c>
    </row>
    <row r="29" spans="1:11">
      <c r="A29" s="174" t="s">
        <v>132</v>
      </c>
      <c r="B29" s="193">
        <v>0.94</v>
      </c>
      <c r="C29" s="193">
        <v>2023</v>
      </c>
      <c r="D29" s="193">
        <v>35</v>
      </c>
      <c r="E29" s="175">
        <v>22.091919993788089</v>
      </c>
      <c r="F29" s="175">
        <v>12.908080006211911</v>
      </c>
      <c r="G29" s="176">
        <v>0.63119771410823111</v>
      </c>
      <c r="H29" s="193">
        <v>5953.15</v>
      </c>
      <c r="I29" s="193">
        <v>261.58999999999997</v>
      </c>
      <c r="J29" s="193">
        <v>378.99</v>
      </c>
      <c r="K29" s="193">
        <v>16.62</v>
      </c>
    </row>
    <row r="30" spans="1:11">
      <c r="A30" s="174" t="s">
        <v>136</v>
      </c>
      <c r="B30" s="193">
        <v>1.02</v>
      </c>
      <c r="C30" s="193">
        <v>1244</v>
      </c>
      <c r="D30" s="193">
        <v>15.5</v>
      </c>
      <c r="E30" s="175">
        <v>3.8486805054593369</v>
      </c>
      <c r="F30" s="175">
        <v>11.651319494540664</v>
      </c>
      <c r="G30" s="176">
        <v>0.24830196809415078</v>
      </c>
      <c r="H30" s="193">
        <v>4466</v>
      </c>
      <c r="I30" s="193">
        <v>447.75</v>
      </c>
      <c r="J30" s="193">
        <v>222.98</v>
      </c>
      <c r="K30" s="193">
        <v>9.4700000000000006</v>
      </c>
    </row>
    <row r="31" spans="1:11">
      <c r="A31" s="174" t="s">
        <v>137</v>
      </c>
      <c r="B31" s="193">
        <v>0.92</v>
      </c>
      <c r="C31" s="193">
        <v>1085</v>
      </c>
      <c r="D31" s="193">
        <v>32.299999999999997</v>
      </c>
      <c r="E31" s="175">
        <v>5.4958433219384863</v>
      </c>
      <c r="F31" s="175">
        <v>26.80415667806151</v>
      </c>
      <c r="G31" s="176">
        <v>0.17014994804763117</v>
      </c>
      <c r="H31" s="193">
        <v>5733.52</v>
      </c>
      <c r="I31" s="193">
        <v>551.04</v>
      </c>
      <c r="J31" s="193">
        <v>49.61</v>
      </c>
      <c r="K31" s="193">
        <v>6.95</v>
      </c>
    </row>
    <row r="32" spans="1:11">
      <c r="A32" s="174" t="s">
        <v>140</v>
      </c>
      <c r="B32" s="193">
        <v>0.93</v>
      </c>
      <c r="C32" s="193">
        <v>1403</v>
      </c>
      <c r="D32" s="193">
        <v>40.200000000000003</v>
      </c>
      <c r="E32" s="175">
        <v>13.12345032325495</v>
      </c>
      <c r="F32" s="175">
        <v>27.076549676745053</v>
      </c>
      <c r="G32" s="176">
        <v>0.32645398814067039</v>
      </c>
      <c r="H32" s="193">
        <v>4587.05</v>
      </c>
      <c r="I32" s="193">
        <v>514.08000000000004</v>
      </c>
      <c r="J32" s="193">
        <v>80.88</v>
      </c>
      <c r="K32" s="193">
        <v>4.4000000000000004</v>
      </c>
    </row>
    <row r="33" spans="1:12">
      <c r="A33" s="174" t="s">
        <v>138</v>
      </c>
      <c r="B33" s="193">
        <v>0.87</v>
      </c>
      <c r="C33" s="193">
        <v>1189</v>
      </c>
      <c r="D33" s="193">
        <v>40.299999999999997</v>
      </c>
      <c r="E33" s="175">
        <v>8.9171104938602461</v>
      </c>
      <c r="F33" s="175">
        <v>31.382889506139755</v>
      </c>
      <c r="G33" s="176">
        <v>0.2212682504679962</v>
      </c>
      <c r="H33" s="193">
        <v>5145.5600000000004</v>
      </c>
      <c r="I33" s="193">
        <v>496.08</v>
      </c>
      <c r="J33" s="193">
        <v>65.61</v>
      </c>
      <c r="K33" s="193">
        <v>4.18</v>
      </c>
    </row>
    <row r="34" spans="1:12">
      <c r="A34" s="174" t="s">
        <v>139</v>
      </c>
      <c r="B34" s="193">
        <v>0.97</v>
      </c>
      <c r="C34" s="193">
        <v>1334</v>
      </c>
      <c r="D34" s="193">
        <v>25.7</v>
      </c>
      <c r="E34" s="175">
        <v>7.5182512867341389</v>
      </c>
      <c r="F34" s="175">
        <v>18.181748713265858</v>
      </c>
      <c r="G34" s="176">
        <v>0.2925389605733128</v>
      </c>
      <c r="H34" s="193">
        <v>5420.28</v>
      </c>
      <c r="I34" s="193">
        <v>490.32</v>
      </c>
      <c r="J34" s="193">
        <v>50.07</v>
      </c>
      <c r="K34" s="193">
        <v>5.4</v>
      </c>
    </row>
    <row r="35" spans="1:12">
      <c r="A35" s="170" t="s">
        <v>169</v>
      </c>
      <c r="B35" s="171"/>
      <c r="C35" s="185">
        <v>1395.4158730158729</v>
      </c>
      <c r="D35" s="186">
        <v>189</v>
      </c>
      <c r="E35" s="187">
        <v>60.995255925035231</v>
      </c>
      <c r="F35" s="187">
        <v>128.00474407496475</v>
      </c>
      <c r="G35" s="186">
        <v>0.32272622182558325</v>
      </c>
      <c r="H35" s="171"/>
      <c r="I35" s="171"/>
      <c r="J35" s="171"/>
      <c r="K35" s="171"/>
    </row>
    <row r="36" spans="1:12">
      <c r="A36" s="163"/>
      <c r="B36" s="159"/>
      <c r="C36" s="159"/>
      <c r="D36" s="159"/>
      <c r="E36" s="159"/>
      <c r="F36" s="159"/>
      <c r="G36" s="165"/>
      <c r="H36" s="159"/>
      <c r="I36" s="159"/>
      <c r="J36" s="159"/>
      <c r="K36" s="159"/>
    </row>
    <row r="37" spans="1:12">
      <c r="A37" s="163" t="s">
        <v>174</v>
      </c>
      <c r="B37" s="159"/>
      <c r="C37" s="159"/>
      <c r="D37" s="159"/>
      <c r="E37" s="159"/>
      <c r="F37" s="159"/>
      <c r="G37" s="165"/>
      <c r="H37" s="159"/>
      <c r="I37" s="159"/>
      <c r="J37" s="159"/>
      <c r="K37" s="159"/>
    </row>
    <row r="38" spans="1:12">
      <c r="A38" s="161" t="s">
        <v>167</v>
      </c>
      <c r="B38" s="161" t="s">
        <v>168</v>
      </c>
      <c r="C38" s="160" t="s">
        <v>2</v>
      </c>
      <c r="D38" s="160" t="s">
        <v>1</v>
      </c>
      <c r="E38" s="160" t="s">
        <v>7</v>
      </c>
      <c r="F38" s="160" t="s">
        <v>8</v>
      </c>
      <c r="G38" s="166" t="s">
        <v>6</v>
      </c>
      <c r="H38" s="160" t="s">
        <v>163</v>
      </c>
      <c r="I38" s="160" t="s">
        <v>164</v>
      </c>
      <c r="J38" s="160" t="s">
        <v>165</v>
      </c>
      <c r="K38" s="160" t="s">
        <v>166</v>
      </c>
    </row>
    <row r="39" spans="1:12">
      <c r="A39" s="163" t="s">
        <v>145</v>
      </c>
      <c r="B39" s="190">
        <v>1.04</v>
      </c>
      <c r="C39" s="190">
        <v>1446</v>
      </c>
      <c r="D39" s="190">
        <v>40.4</v>
      </c>
      <c r="E39" s="173">
        <v>14.042613380158642</v>
      </c>
      <c r="F39" s="173">
        <v>26.357386619841357</v>
      </c>
      <c r="G39" s="167">
        <v>0.34758944010293669</v>
      </c>
      <c r="H39" s="190">
        <v>6810.7</v>
      </c>
      <c r="I39" s="190">
        <v>673.35</v>
      </c>
      <c r="J39" s="190">
        <v>256.5</v>
      </c>
      <c r="K39" s="190">
        <v>9.65</v>
      </c>
    </row>
    <row r="40" spans="1:12">
      <c r="A40" s="163" t="s">
        <v>146</v>
      </c>
      <c r="B40" s="190">
        <v>1.17</v>
      </c>
      <c r="C40" s="190">
        <v>1479</v>
      </c>
      <c r="D40" s="190">
        <v>51.8</v>
      </c>
      <c r="E40" s="173">
        <v>18.845340941153001</v>
      </c>
      <c r="F40" s="173">
        <v>32.954659058847</v>
      </c>
      <c r="G40" s="167">
        <v>0.3638096706786294</v>
      </c>
      <c r="H40" s="190">
        <v>5298.15</v>
      </c>
      <c r="I40" s="190">
        <v>518.04999999999995</v>
      </c>
      <c r="J40" s="190">
        <v>343.11</v>
      </c>
      <c r="K40" s="190">
        <v>18.03</v>
      </c>
    </row>
    <row r="41" spans="1:12">
      <c r="A41" s="163" t="s">
        <v>147</v>
      </c>
      <c r="B41" s="190">
        <v>1.1100000000000001</v>
      </c>
      <c r="C41" s="190">
        <v>1241</v>
      </c>
      <c r="D41" s="190">
        <v>84.1</v>
      </c>
      <c r="E41" s="173">
        <v>20.75818448113483</v>
      </c>
      <c r="F41" s="173">
        <v>63.341815518865161</v>
      </c>
      <c r="G41" s="167">
        <v>0.24682740167817871</v>
      </c>
      <c r="H41" s="190">
        <v>5373.83</v>
      </c>
      <c r="I41" s="190">
        <v>575.96</v>
      </c>
      <c r="J41" s="190">
        <v>96.76</v>
      </c>
      <c r="K41" s="190">
        <v>3.55</v>
      </c>
    </row>
    <row r="42" spans="1:12" s="194" customFormat="1">
      <c r="A42" s="199"/>
      <c r="B42" s="215"/>
      <c r="C42" s="215"/>
      <c r="D42" s="215"/>
      <c r="E42" s="206"/>
      <c r="F42" s="206"/>
      <c r="G42" s="203"/>
      <c r="H42" s="215"/>
      <c r="I42" s="215"/>
      <c r="J42" s="215"/>
      <c r="K42" s="215"/>
    </row>
    <row r="43" spans="1:12">
      <c r="A43" s="199" t="s">
        <v>175</v>
      </c>
      <c r="B43" s="195"/>
      <c r="C43" s="195"/>
      <c r="D43" s="195"/>
      <c r="E43" s="195"/>
      <c r="F43" s="195"/>
      <c r="G43" s="201"/>
      <c r="H43" s="195"/>
      <c r="I43" s="195"/>
      <c r="J43" s="195"/>
      <c r="K43" s="195"/>
      <c r="L43" s="195"/>
    </row>
    <row r="44" spans="1:12">
      <c r="A44" s="197" t="s">
        <v>167</v>
      </c>
      <c r="B44" s="197" t="s">
        <v>168</v>
      </c>
      <c r="C44" s="196" t="s">
        <v>2</v>
      </c>
      <c r="D44" s="196" t="s">
        <v>1</v>
      </c>
      <c r="E44" s="196" t="s">
        <v>7</v>
      </c>
      <c r="F44" s="196" t="s">
        <v>8</v>
      </c>
      <c r="G44" s="202" t="s">
        <v>6</v>
      </c>
      <c r="H44" s="196" t="s">
        <v>163</v>
      </c>
      <c r="I44" s="196" t="s">
        <v>164</v>
      </c>
      <c r="J44" s="196" t="s">
        <v>165</v>
      </c>
      <c r="K44" s="196" t="s">
        <v>166</v>
      </c>
      <c r="L44" s="198" t="s">
        <v>176</v>
      </c>
    </row>
    <row r="45" spans="1:12">
      <c r="A45" s="207" t="s">
        <v>143</v>
      </c>
      <c r="B45" s="216">
        <v>0.77</v>
      </c>
      <c r="C45" s="216">
        <v>1253</v>
      </c>
      <c r="D45" s="216">
        <v>27.4</v>
      </c>
      <c r="E45" s="209">
        <v>6.9246832851726348</v>
      </c>
      <c r="F45" s="209">
        <v>20.475316714827361</v>
      </c>
      <c r="G45" s="210">
        <v>0.25272566734206697</v>
      </c>
      <c r="H45" s="216">
        <v>6443</v>
      </c>
      <c r="I45" s="216">
        <v>480.26</v>
      </c>
      <c r="J45" s="216">
        <v>84.35</v>
      </c>
      <c r="K45" s="216">
        <v>3.25</v>
      </c>
      <c r="L45" s="200"/>
    </row>
    <row r="46" spans="1:12">
      <c r="A46" s="207" t="s">
        <v>144</v>
      </c>
      <c r="B46" s="216">
        <v>0.84</v>
      </c>
      <c r="C46" s="216">
        <v>1049</v>
      </c>
      <c r="D46" s="216">
        <v>40</v>
      </c>
      <c r="E46" s="209">
        <v>6.0982060422386546</v>
      </c>
      <c r="F46" s="209">
        <v>33.901793957761342</v>
      </c>
      <c r="G46" s="210">
        <v>0.15245515105596635</v>
      </c>
      <c r="H46" s="216">
        <v>5995.2</v>
      </c>
      <c r="I46" s="216">
        <v>533.6</v>
      </c>
      <c r="J46" s="216">
        <v>173.65</v>
      </c>
      <c r="K46" s="216">
        <v>1.84</v>
      </c>
      <c r="L46" s="200"/>
    </row>
    <row r="47" spans="1:12">
      <c r="A47" s="207" t="s">
        <v>177</v>
      </c>
      <c r="B47" s="216"/>
      <c r="C47" s="216"/>
      <c r="D47" s="216"/>
      <c r="E47" s="209">
        <v>0</v>
      </c>
      <c r="F47" s="209">
        <v>0</v>
      </c>
      <c r="G47" s="210">
        <v>-0.36315157239560009</v>
      </c>
      <c r="H47" s="216"/>
      <c r="I47" s="216"/>
      <c r="J47" s="216"/>
      <c r="K47" s="216"/>
      <c r="L47" s="200"/>
    </row>
    <row r="48" spans="1:12">
      <c r="A48" s="207" t="s">
        <v>142</v>
      </c>
      <c r="B48" s="216">
        <v>0.88</v>
      </c>
      <c r="C48" s="216">
        <v>1606</v>
      </c>
      <c r="D48" s="216">
        <v>26.1</v>
      </c>
      <c r="E48" s="209">
        <v>11.124680837719767</v>
      </c>
      <c r="F48" s="209">
        <v>14.975319162280234</v>
      </c>
      <c r="G48" s="210">
        <v>0.42623298228811363</v>
      </c>
      <c r="H48" s="216">
        <v>4903.71</v>
      </c>
      <c r="I48" s="216">
        <v>323.64</v>
      </c>
      <c r="J48" s="216">
        <v>310.60000000000002</v>
      </c>
      <c r="K48" s="216">
        <v>7.94</v>
      </c>
      <c r="L48" s="208"/>
    </row>
    <row r="49" spans="1:12">
      <c r="A49" s="204" t="s">
        <v>169</v>
      </c>
      <c r="B49" s="205"/>
      <c r="C49" s="213">
        <v>1264.2652406417112</v>
      </c>
      <c r="D49" s="214">
        <v>93.5</v>
      </c>
      <c r="E49" s="212">
        <v>24.147570165131054</v>
      </c>
      <c r="F49" s="212">
        <v>69.352429834868929</v>
      </c>
      <c r="G49" s="211">
        <v>0.25826278251477064</v>
      </c>
      <c r="H49" s="214"/>
      <c r="I49" s="214"/>
      <c r="J49" s="214"/>
      <c r="K49" s="214"/>
      <c r="L49" s="214"/>
    </row>
    <row r="50" spans="1:12">
      <c r="A50" s="199"/>
      <c r="B50" s="195"/>
      <c r="C50" s="195"/>
      <c r="D50" s="195"/>
      <c r="E50" s="195"/>
      <c r="F50" s="195"/>
      <c r="G50" s="201"/>
      <c r="H50" s="195"/>
      <c r="I50" s="195"/>
      <c r="J50" s="195"/>
      <c r="K50" s="195"/>
      <c r="L50" s="1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Q28"/>
  <sheetViews>
    <sheetView tabSelected="1" workbookViewId="0">
      <selection activeCell="I12" sqref="I12"/>
    </sheetView>
  </sheetViews>
  <sheetFormatPr defaultRowHeight="14.4"/>
  <cols>
    <col min="1" max="1" width="11.77734375" customWidth="1"/>
    <col min="4" max="4" width="9" bestFit="1" customWidth="1"/>
    <col min="9" max="14" width="10.109375" customWidth="1"/>
    <col min="15" max="16" width="12.88671875" customWidth="1"/>
  </cols>
  <sheetData>
    <row r="1" spans="1:17">
      <c r="A1" s="194" t="s">
        <v>178</v>
      </c>
      <c r="B1" s="194" t="s">
        <v>179</v>
      </c>
      <c r="C1" s="194" t="s">
        <v>180</v>
      </c>
      <c r="D1" s="194" t="s">
        <v>181</v>
      </c>
      <c r="E1" s="194" t="s">
        <v>182</v>
      </c>
      <c r="F1" s="194" t="s">
        <v>183</v>
      </c>
      <c r="G1" s="194" t="s">
        <v>184</v>
      </c>
      <c r="H1" s="194" t="s">
        <v>185</v>
      </c>
      <c r="I1" s="194" t="s">
        <v>186</v>
      </c>
      <c r="J1" s="194" t="s">
        <v>187</v>
      </c>
      <c r="K1" s="194" t="s">
        <v>188</v>
      </c>
      <c r="L1" s="217" t="s">
        <v>194</v>
      </c>
      <c r="M1" s="217" t="s">
        <v>189</v>
      </c>
      <c r="N1" s="217" t="s">
        <v>190</v>
      </c>
      <c r="O1" s="217" t="s">
        <v>191</v>
      </c>
      <c r="P1" s="217" t="s">
        <v>192</v>
      </c>
      <c r="Q1" s="217" t="s">
        <v>193</v>
      </c>
    </row>
    <row r="2" spans="1:17">
      <c r="A2" s="194" t="s">
        <v>199</v>
      </c>
      <c r="B2" s="194">
        <v>592</v>
      </c>
      <c r="C2">
        <f>29*0.0254</f>
        <v>0.73659999999999992</v>
      </c>
      <c r="D2">
        <v>4.6E-5</v>
      </c>
      <c r="E2">
        <f>0.5*0.0254</f>
        <v>1.2699999999999999E-2</v>
      </c>
      <c r="F2">
        <f>2*0.0254</f>
        <v>5.0799999999999998E-2</v>
      </c>
      <c r="G2">
        <v>56</v>
      </c>
      <c r="H2">
        <v>0.05</v>
      </c>
      <c r="I2">
        <v>3</v>
      </c>
      <c r="J2">
        <v>20</v>
      </c>
      <c r="K2" s="194">
        <v>0</v>
      </c>
      <c r="L2" s="194">
        <v>0</v>
      </c>
      <c r="M2" s="194">
        <v>0</v>
      </c>
      <c r="N2" s="194">
        <v>0</v>
      </c>
      <c r="O2">
        <v>0</v>
      </c>
      <c r="P2" s="194">
        <v>0</v>
      </c>
      <c r="Q2" s="194">
        <f>29*0.0254</f>
        <v>0.73659999999999992</v>
      </c>
    </row>
    <row r="3" spans="1:17">
      <c r="A3" s="194" t="s">
        <v>200</v>
      </c>
      <c r="B3" s="194">
        <v>592</v>
      </c>
      <c r="C3" s="194">
        <f t="shared" ref="C3:C8" si="0">29*0.0254</f>
        <v>0.73659999999999992</v>
      </c>
      <c r="D3" s="194">
        <v>4.6E-5</v>
      </c>
      <c r="E3" s="194">
        <f t="shared" ref="E3:E28" si="1">0.5*0.0254</f>
        <v>1.2699999999999999E-2</v>
      </c>
      <c r="F3" s="194">
        <f t="shared" ref="F3:F28" si="2">2*0.0254</f>
        <v>5.0799999999999998E-2</v>
      </c>
      <c r="G3" s="194">
        <v>56</v>
      </c>
      <c r="H3" s="194">
        <v>0.05</v>
      </c>
      <c r="I3" s="194">
        <v>3</v>
      </c>
      <c r="J3" s="194">
        <v>20</v>
      </c>
      <c r="K3" s="194">
        <v>0</v>
      </c>
      <c r="L3" s="194">
        <v>0</v>
      </c>
      <c r="M3" s="194">
        <v>0</v>
      </c>
      <c r="N3" s="194">
        <v>0</v>
      </c>
      <c r="O3" s="194">
        <v>0</v>
      </c>
      <c r="P3" s="194">
        <v>0</v>
      </c>
      <c r="Q3" s="194">
        <f t="shared" ref="Q3:Q8" si="3">29*0.0254</f>
        <v>0.73659999999999992</v>
      </c>
    </row>
    <row r="4" spans="1:17">
      <c r="A4" s="194" t="s">
        <v>201</v>
      </c>
      <c r="B4" s="194">
        <v>592</v>
      </c>
      <c r="C4" s="194">
        <f t="shared" si="0"/>
        <v>0.73659999999999992</v>
      </c>
      <c r="D4" s="194">
        <v>4.6E-5</v>
      </c>
      <c r="E4" s="194">
        <f t="shared" si="1"/>
        <v>1.2699999999999999E-2</v>
      </c>
      <c r="F4" s="194">
        <f t="shared" si="2"/>
        <v>5.0799999999999998E-2</v>
      </c>
      <c r="G4" s="194">
        <v>56</v>
      </c>
      <c r="H4" s="194">
        <v>0.05</v>
      </c>
      <c r="I4" s="194">
        <v>3</v>
      </c>
      <c r="J4" s="194">
        <v>20</v>
      </c>
      <c r="K4" s="194">
        <v>0</v>
      </c>
      <c r="L4" s="194">
        <v>0</v>
      </c>
      <c r="M4" s="194">
        <v>0</v>
      </c>
      <c r="N4" s="194">
        <v>0</v>
      </c>
      <c r="O4" s="194">
        <v>0</v>
      </c>
      <c r="P4" s="194">
        <v>0</v>
      </c>
      <c r="Q4" s="194">
        <f t="shared" si="3"/>
        <v>0.73659999999999992</v>
      </c>
    </row>
    <row r="5" spans="1:17">
      <c r="A5" s="194" t="s">
        <v>202</v>
      </c>
      <c r="B5" s="194">
        <v>455</v>
      </c>
      <c r="C5" s="194">
        <f t="shared" si="0"/>
        <v>0.73659999999999992</v>
      </c>
      <c r="D5" s="194">
        <v>4.6E-5</v>
      </c>
      <c r="E5" s="194">
        <f t="shared" si="1"/>
        <v>1.2699999999999999E-2</v>
      </c>
      <c r="F5" s="194">
        <f t="shared" si="2"/>
        <v>5.0799999999999998E-2</v>
      </c>
      <c r="G5" s="194">
        <v>56</v>
      </c>
      <c r="H5" s="194">
        <v>0.05</v>
      </c>
      <c r="I5" s="194">
        <v>2</v>
      </c>
      <c r="J5" s="194">
        <v>16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f t="shared" si="3"/>
        <v>0.73659999999999992</v>
      </c>
    </row>
    <row r="6" spans="1:17">
      <c r="A6" s="194" t="s">
        <v>203</v>
      </c>
      <c r="B6" s="194">
        <v>455</v>
      </c>
      <c r="C6" s="194">
        <f t="shared" si="0"/>
        <v>0.73659999999999992</v>
      </c>
      <c r="D6" s="194">
        <v>4.6E-5</v>
      </c>
      <c r="E6" s="194">
        <f t="shared" si="1"/>
        <v>1.2699999999999999E-2</v>
      </c>
      <c r="F6" s="194">
        <f t="shared" si="2"/>
        <v>5.0799999999999998E-2</v>
      </c>
      <c r="G6" s="194">
        <v>56</v>
      </c>
      <c r="H6" s="194">
        <v>0.05</v>
      </c>
      <c r="I6" s="194">
        <v>2</v>
      </c>
      <c r="J6" s="194">
        <v>16</v>
      </c>
      <c r="K6" s="194">
        <v>0</v>
      </c>
      <c r="L6" s="194">
        <v>0</v>
      </c>
      <c r="M6" s="194">
        <v>0</v>
      </c>
      <c r="N6" s="194">
        <v>0</v>
      </c>
      <c r="O6" s="194">
        <v>0</v>
      </c>
      <c r="P6" s="194">
        <v>0</v>
      </c>
      <c r="Q6" s="194">
        <f t="shared" si="3"/>
        <v>0.73659999999999992</v>
      </c>
    </row>
    <row r="7" spans="1:17">
      <c r="A7" s="194" t="s">
        <v>204</v>
      </c>
      <c r="B7" s="194">
        <v>536</v>
      </c>
      <c r="C7" s="194">
        <f t="shared" si="0"/>
        <v>0.73659999999999992</v>
      </c>
      <c r="D7" s="194">
        <v>4.6E-5</v>
      </c>
      <c r="E7" s="194">
        <f t="shared" si="1"/>
        <v>1.2699999999999999E-2</v>
      </c>
      <c r="F7" s="194">
        <f t="shared" si="2"/>
        <v>5.0799999999999998E-2</v>
      </c>
      <c r="G7" s="194">
        <v>56</v>
      </c>
      <c r="H7" s="194">
        <v>0.05</v>
      </c>
      <c r="I7" s="194">
        <v>2</v>
      </c>
      <c r="J7" s="194">
        <v>15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f t="shared" si="3"/>
        <v>0.73659999999999992</v>
      </c>
    </row>
    <row r="8" spans="1:17">
      <c r="A8" s="194" t="s">
        <v>205</v>
      </c>
      <c r="B8">
        <v>37</v>
      </c>
      <c r="C8" s="194">
        <f t="shared" si="0"/>
        <v>0.73659999999999992</v>
      </c>
      <c r="D8" s="194">
        <v>4.6E-5</v>
      </c>
      <c r="E8" s="194">
        <f t="shared" si="1"/>
        <v>1.2699999999999999E-2</v>
      </c>
      <c r="F8" s="194">
        <f t="shared" si="2"/>
        <v>5.0799999999999998E-2</v>
      </c>
      <c r="G8" s="194">
        <v>56</v>
      </c>
      <c r="H8" s="194">
        <v>0.05</v>
      </c>
      <c r="I8" s="194">
        <v>0</v>
      </c>
      <c r="J8" s="194">
        <v>2</v>
      </c>
      <c r="K8" s="194">
        <v>0</v>
      </c>
      <c r="L8" s="194">
        <v>0</v>
      </c>
      <c r="M8" s="194">
        <v>0</v>
      </c>
      <c r="N8" s="194">
        <v>0</v>
      </c>
      <c r="O8" s="194">
        <v>0</v>
      </c>
      <c r="P8" s="194">
        <v>0</v>
      </c>
      <c r="Q8" s="194">
        <f t="shared" si="3"/>
        <v>0.73659999999999992</v>
      </c>
    </row>
    <row r="9" spans="1:17">
      <c r="A9" s="194" t="s">
        <v>248</v>
      </c>
      <c r="B9">
        <v>55</v>
      </c>
      <c r="C9" s="194">
        <f>41*0.0254</f>
        <v>1.0413999999999999</v>
      </c>
      <c r="D9" s="194">
        <v>4.6E-5</v>
      </c>
      <c r="E9" s="194">
        <f t="shared" si="1"/>
        <v>1.2699999999999999E-2</v>
      </c>
      <c r="F9" s="194">
        <f t="shared" si="2"/>
        <v>5.0799999999999998E-2</v>
      </c>
      <c r="G9" s="194">
        <v>56</v>
      </c>
      <c r="H9" s="194">
        <v>0.05</v>
      </c>
      <c r="I9" s="194">
        <v>1</v>
      </c>
      <c r="J9" s="194">
        <v>4</v>
      </c>
      <c r="K9" s="194">
        <v>0</v>
      </c>
      <c r="L9" s="194">
        <v>0</v>
      </c>
      <c r="M9" s="194">
        <v>0</v>
      </c>
      <c r="N9" s="194">
        <v>0</v>
      </c>
      <c r="O9" s="194">
        <v>0</v>
      </c>
      <c r="P9" s="194">
        <v>0</v>
      </c>
      <c r="Q9" s="194">
        <f t="shared" ref="Q9:Q28" si="4">41*0.0254</f>
        <v>1.0413999999999999</v>
      </c>
    </row>
    <row r="10" spans="1:17">
      <c r="A10" s="194" t="s">
        <v>250</v>
      </c>
      <c r="B10">
        <v>257</v>
      </c>
      <c r="C10" s="194">
        <f t="shared" ref="C10:C14" si="5">41*0.0254</f>
        <v>1.0413999999999999</v>
      </c>
      <c r="D10" s="194">
        <v>4.6E-5</v>
      </c>
      <c r="E10" s="194">
        <f t="shared" si="1"/>
        <v>1.2699999999999999E-2</v>
      </c>
      <c r="F10" s="194">
        <f t="shared" si="2"/>
        <v>5.0799999999999998E-2</v>
      </c>
      <c r="G10" s="194">
        <v>56</v>
      </c>
      <c r="H10" s="194">
        <v>0.05</v>
      </c>
      <c r="I10" s="194">
        <v>0</v>
      </c>
      <c r="J10" s="194">
        <v>2</v>
      </c>
      <c r="K10" s="194">
        <v>0</v>
      </c>
      <c r="L10" s="194">
        <v>0</v>
      </c>
      <c r="M10" s="194">
        <v>0</v>
      </c>
      <c r="N10" s="194">
        <v>0</v>
      </c>
      <c r="O10" s="194">
        <v>0</v>
      </c>
      <c r="P10" s="194">
        <v>0</v>
      </c>
      <c r="Q10" s="194">
        <f t="shared" si="4"/>
        <v>1.0413999999999999</v>
      </c>
    </row>
    <row r="11" spans="1:17">
      <c r="A11" s="194" t="s">
        <v>253</v>
      </c>
      <c r="B11">
        <v>1811</v>
      </c>
      <c r="C11" s="194">
        <f t="shared" si="5"/>
        <v>1.0413999999999999</v>
      </c>
      <c r="D11" s="194">
        <v>4.6E-5</v>
      </c>
      <c r="E11" s="194">
        <f t="shared" si="1"/>
        <v>1.2699999999999999E-2</v>
      </c>
      <c r="F11" s="194">
        <f t="shared" si="2"/>
        <v>5.0799999999999998E-2</v>
      </c>
      <c r="G11" s="194">
        <v>56</v>
      </c>
      <c r="H11" s="194">
        <v>0.05</v>
      </c>
      <c r="I11" s="194">
        <v>4</v>
      </c>
      <c r="J11" s="194">
        <v>41</v>
      </c>
      <c r="K11" s="194">
        <v>0</v>
      </c>
      <c r="L11" s="194">
        <v>0</v>
      </c>
      <c r="M11" s="194">
        <v>0</v>
      </c>
      <c r="N11" s="194">
        <v>0</v>
      </c>
      <c r="O11" s="194">
        <v>0</v>
      </c>
      <c r="P11" s="194">
        <v>0</v>
      </c>
      <c r="Q11" s="194">
        <f t="shared" si="4"/>
        <v>1.0413999999999999</v>
      </c>
    </row>
    <row r="12" spans="1:17">
      <c r="A12" s="194" t="s">
        <v>247</v>
      </c>
      <c r="B12" s="194">
        <v>55</v>
      </c>
      <c r="C12" s="194">
        <f t="shared" si="5"/>
        <v>1.0413999999999999</v>
      </c>
      <c r="D12" s="194">
        <v>4.6E-5</v>
      </c>
      <c r="E12" s="194">
        <f t="shared" si="1"/>
        <v>1.2699999999999999E-2</v>
      </c>
      <c r="F12" s="194">
        <f t="shared" si="2"/>
        <v>5.0799999999999998E-2</v>
      </c>
      <c r="G12" s="194">
        <v>56</v>
      </c>
      <c r="H12" s="194">
        <v>0.05</v>
      </c>
      <c r="I12" s="194">
        <v>1</v>
      </c>
      <c r="J12" s="194">
        <v>4</v>
      </c>
      <c r="K12" s="194">
        <v>0</v>
      </c>
      <c r="L12" s="194">
        <v>0</v>
      </c>
      <c r="M12" s="194">
        <v>0</v>
      </c>
      <c r="N12" s="194">
        <v>0</v>
      </c>
      <c r="O12" s="194">
        <v>0</v>
      </c>
      <c r="P12" s="194">
        <v>0</v>
      </c>
      <c r="Q12" s="194">
        <f t="shared" si="4"/>
        <v>1.0413999999999999</v>
      </c>
    </row>
    <row r="13" spans="1:17">
      <c r="A13" s="194" t="s">
        <v>249</v>
      </c>
      <c r="B13" s="194">
        <v>257</v>
      </c>
      <c r="C13" s="194">
        <f t="shared" si="5"/>
        <v>1.0413999999999999</v>
      </c>
      <c r="D13" s="194">
        <v>4.6E-5</v>
      </c>
      <c r="E13" s="194">
        <f t="shared" si="1"/>
        <v>1.2699999999999999E-2</v>
      </c>
      <c r="F13" s="194">
        <f t="shared" si="2"/>
        <v>5.0799999999999998E-2</v>
      </c>
      <c r="G13" s="194">
        <v>56</v>
      </c>
      <c r="H13" s="194">
        <v>0.05</v>
      </c>
      <c r="I13" s="194">
        <v>0</v>
      </c>
      <c r="J13" s="194">
        <v>2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f t="shared" si="4"/>
        <v>1.0413999999999999</v>
      </c>
    </row>
    <row r="14" spans="1:17">
      <c r="A14" s="194" t="s">
        <v>254</v>
      </c>
      <c r="B14" s="194">
        <v>1811</v>
      </c>
      <c r="C14" s="194">
        <f t="shared" si="5"/>
        <v>1.0413999999999999</v>
      </c>
      <c r="D14" s="194">
        <v>4.6E-5</v>
      </c>
      <c r="E14" s="194">
        <f t="shared" si="1"/>
        <v>1.2699999999999999E-2</v>
      </c>
      <c r="F14" s="194">
        <f t="shared" si="2"/>
        <v>5.0799999999999998E-2</v>
      </c>
      <c r="G14" s="194">
        <v>56</v>
      </c>
      <c r="H14" s="194">
        <v>0.05</v>
      </c>
      <c r="I14" s="194">
        <v>4</v>
      </c>
      <c r="J14" s="194">
        <v>41</v>
      </c>
      <c r="K14" s="194">
        <v>0</v>
      </c>
      <c r="L14" s="194">
        <v>0</v>
      </c>
      <c r="M14" s="194">
        <v>0</v>
      </c>
      <c r="N14" s="194">
        <v>0</v>
      </c>
      <c r="O14" s="194">
        <v>0</v>
      </c>
      <c r="P14" s="194">
        <v>0</v>
      </c>
      <c r="Q14" s="194">
        <f t="shared" si="4"/>
        <v>1.0413999999999999</v>
      </c>
    </row>
    <row r="15" spans="1:17">
      <c r="A15" s="194" t="s">
        <v>227</v>
      </c>
      <c r="B15">
        <v>12</v>
      </c>
      <c r="C15" s="194">
        <f t="shared" ref="C15:C28" si="6">29*0.0254</f>
        <v>0.73659999999999992</v>
      </c>
      <c r="D15" s="194">
        <v>4.6E-5</v>
      </c>
      <c r="E15" s="194">
        <f t="shared" si="1"/>
        <v>1.2699999999999999E-2</v>
      </c>
      <c r="F15" s="194">
        <f t="shared" si="2"/>
        <v>5.0799999999999998E-2</v>
      </c>
      <c r="G15" s="194">
        <v>56</v>
      </c>
      <c r="H15" s="194">
        <v>0.05</v>
      </c>
      <c r="I15">
        <v>0</v>
      </c>
      <c r="J15">
        <v>2</v>
      </c>
      <c r="K15">
        <v>1</v>
      </c>
      <c r="L15" s="194">
        <v>0</v>
      </c>
      <c r="M15" s="194">
        <v>0</v>
      </c>
      <c r="N15" s="194">
        <v>0</v>
      </c>
      <c r="O15" s="194">
        <v>1</v>
      </c>
      <c r="P15" s="194">
        <v>0</v>
      </c>
      <c r="Q15" s="194">
        <f t="shared" si="4"/>
        <v>1.0413999999999999</v>
      </c>
    </row>
    <row r="16" spans="1:17">
      <c r="A16" s="194" t="s">
        <v>228</v>
      </c>
      <c r="B16" s="194">
        <v>12</v>
      </c>
      <c r="C16" s="194">
        <f t="shared" si="6"/>
        <v>0.73659999999999992</v>
      </c>
      <c r="D16" s="194">
        <v>4.6E-5</v>
      </c>
      <c r="E16" s="194">
        <f t="shared" si="1"/>
        <v>1.2699999999999999E-2</v>
      </c>
      <c r="F16" s="194">
        <f t="shared" si="2"/>
        <v>5.0799999999999998E-2</v>
      </c>
      <c r="G16" s="194">
        <v>56</v>
      </c>
      <c r="H16" s="194">
        <v>0.05</v>
      </c>
      <c r="I16" s="194">
        <v>0</v>
      </c>
      <c r="J16">
        <v>0</v>
      </c>
      <c r="K16" s="194">
        <v>1</v>
      </c>
      <c r="L16" s="194">
        <v>0</v>
      </c>
      <c r="M16" s="194">
        <v>0</v>
      </c>
      <c r="N16" s="194">
        <v>0</v>
      </c>
      <c r="O16" s="194">
        <v>1</v>
      </c>
      <c r="P16" s="194">
        <v>0</v>
      </c>
      <c r="Q16" s="194">
        <f t="shared" si="4"/>
        <v>1.0413999999999999</v>
      </c>
    </row>
    <row r="17" spans="1:17">
      <c r="A17" s="194" t="s">
        <v>229</v>
      </c>
      <c r="B17" s="194">
        <v>12</v>
      </c>
      <c r="C17" s="194">
        <f t="shared" si="6"/>
        <v>0.73659999999999992</v>
      </c>
      <c r="D17" s="194">
        <v>4.6E-5</v>
      </c>
      <c r="E17" s="194">
        <f t="shared" si="1"/>
        <v>1.2699999999999999E-2</v>
      </c>
      <c r="F17" s="194">
        <f t="shared" si="2"/>
        <v>5.0799999999999998E-2</v>
      </c>
      <c r="G17" s="194">
        <v>56</v>
      </c>
      <c r="H17" s="194">
        <v>0.05</v>
      </c>
      <c r="I17" s="194">
        <v>0</v>
      </c>
      <c r="J17" s="194">
        <v>2</v>
      </c>
      <c r="K17" s="194">
        <v>1</v>
      </c>
      <c r="L17" s="194">
        <v>0</v>
      </c>
      <c r="M17" s="194">
        <v>0</v>
      </c>
      <c r="N17" s="194">
        <v>0</v>
      </c>
      <c r="O17" s="194">
        <v>1</v>
      </c>
      <c r="P17" s="194">
        <v>0</v>
      </c>
      <c r="Q17" s="194">
        <f t="shared" si="4"/>
        <v>1.0413999999999999</v>
      </c>
    </row>
    <row r="18" spans="1:17">
      <c r="A18" s="194" t="s">
        <v>241</v>
      </c>
      <c r="B18" s="194">
        <v>12</v>
      </c>
      <c r="C18" s="194">
        <f t="shared" si="6"/>
        <v>0.73659999999999992</v>
      </c>
      <c r="D18" s="194">
        <v>4.6E-5</v>
      </c>
      <c r="E18" s="194">
        <f t="shared" si="1"/>
        <v>1.2699999999999999E-2</v>
      </c>
      <c r="F18" s="194">
        <f t="shared" si="2"/>
        <v>5.0799999999999998E-2</v>
      </c>
      <c r="G18" s="194">
        <v>56</v>
      </c>
      <c r="H18" s="194">
        <v>0.05</v>
      </c>
      <c r="I18" s="194">
        <v>0</v>
      </c>
      <c r="J18" s="194">
        <v>0</v>
      </c>
      <c r="K18" s="194">
        <v>1</v>
      </c>
      <c r="L18" s="194">
        <v>0</v>
      </c>
      <c r="M18" s="194">
        <v>0</v>
      </c>
      <c r="N18" s="194">
        <v>0</v>
      </c>
      <c r="O18" s="194">
        <v>1</v>
      </c>
      <c r="P18" s="194">
        <v>0</v>
      </c>
      <c r="Q18" s="194">
        <f t="shared" si="4"/>
        <v>1.0413999999999999</v>
      </c>
    </row>
    <row r="19" spans="1:17">
      <c r="A19" s="194" t="s">
        <v>230</v>
      </c>
      <c r="B19" s="194">
        <v>12</v>
      </c>
      <c r="C19" s="194">
        <f t="shared" si="6"/>
        <v>0.73659999999999992</v>
      </c>
      <c r="D19" s="194">
        <v>4.6E-5</v>
      </c>
      <c r="E19" s="194">
        <f t="shared" si="1"/>
        <v>1.2699999999999999E-2</v>
      </c>
      <c r="F19" s="194">
        <f t="shared" si="2"/>
        <v>5.0799999999999998E-2</v>
      </c>
      <c r="G19" s="194">
        <v>56</v>
      </c>
      <c r="H19" s="194">
        <v>0.05</v>
      </c>
      <c r="I19" s="194">
        <v>0</v>
      </c>
      <c r="J19" s="194">
        <v>2</v>
      </c>
      <c r="K19" s="194">
        <v>1</v>
      </c>
      <c r="L19" s="194">
        <v>0</v>
      </c>
      <c r="M19" s="194">
        <v>0</v>
      </c>
      <c r="N19" s="194">
        <v>0</v>
      </c>
      <c r="O19" s="194">
        <v>1</v>
      </c>
      <c r="P19" s="194">
        <v>0</v>
      </c>
      <c r="Q19" s="194">
        <f t="shared" si="4"/>
        <v>1.0413999999999999</v>
      </c>
    </row>
    <row r="20" spans="1:17">
      <c r="A20" s="194" t="s">
        <v>242</v>
      </c>
      <c r="B20" s="194">
        <v>12</v>
      </c>
      <c r="C20" s="194">
        <f t="shared" si="6"/>
        <v>0.73659999999999992</v>
      </c>
      <c r="D20" s="194">
        <v>4.6E-5</v>
      </c>
      <c r="E20" s="194">
        <f t="shared" si="1"/>
        <v>1.2699999999999999E-2</v>
      </c>
      <c r="F20" s="194">
        <f t="shared" si="2"/>
        <v>5.0799999999999998E-2</v>
      </c>
      <c r="G20" s="194">
        <v>56</v>
      </c>
      <c r="H20" s="194">
        <v>0.05</v>
      </c>
      <c r="I20" s="194">
        <v>0</v>
      </c>
      <c r="J20" s="194">
        <v>0</v>
      </c>
      <c r="K20" s="194">
        <v>1</v>
      </c>
      <c r="L20" s="194">
        <v>0</v>
      </c>
      <c r="M20" s="194">
        <v>0</v>
      </c>
      <c r="N20" s="194">
        <v>0</v>
      </c>
      <c r="O20" s="194">
        <v>1</v>
      </c>
      <c r="P20" s="194">
        <v>0</v>
      </c>
      <c r="Q20" s="194">
        <f t="shared" si="4"/>
        <v>1.0413999999999999</v>
      </c>
    </row>
    <row r="21" spans="1:17">
      <c r="A21" s="194" t="s">
        <v>231</v>
      </c>
      <c r="B21" s="194">
        <v>18</v>
      </c>
      <c r="C21" s="194">
        <f t="shared" si="6"/>
        <v>0.73659999999999992</v>
      </c>
      <c r="D21" s="194">
        <v>4.6E-5</v>
      </c>
      <c r="E21" s="194">
        <f t="shared" si="1"/>
        <v>1.2699999999999999E-2</v>
      </c>
      <c r="F21" s="194">
        <f t="shared" si="2"/>
        <v>5.0799999999999998E-2</v>
      </c>
      <c r="G21" s="194">
        <v>56</v>
      </c>
      <c r="H21" s="194">
        <v>0.05</v>
      </c>
      <c r="I21" s="194">
        <v>0</v>
      </c>
      <c r="J21" s="194">
        <v>0</v>
      </c>
      <c r="K21" s="194">
        <v>1</v>
      </c>
      <c r="L21" s="194">
        <v>0</v>
      </c>
      <c r="M21" s="194">
        <v>0</v>
      </c>
      <c r="N21" s="194">
        <v>0</v>
      </c>
      <c r="O21" s="194">
        <v>1</v>
      </c>
      <c r="P21" s="194">
        <v>0</v>
      </c>
      <c r="Q21" s="194">
        <f t="shared" si="4"/>
        <v>1.0413999999999999</v>
      </c>
    </row>
    <row r="22" spans="1:17">
      <c r="A22" s="194" t="s">
        <v>243</v>
      </c>
      <c r="B22" s="194">
        <v>18</v>
      </c>
      <c r="C22" s="194">
        <f t="shared" si="6"/>
        <v>0.73659999999999992</v>
      </c>
      <c r="D22" s="194">
        <v>4.6E-5</v>
      </c>
      <c r="E22" s="194">
        <f t="shared" si="1"/>
        <v>1.2699999999999999E-2</v>
      </c>
      <c r="F22" s="194">
        <f t="shared" si="2"/>
        <v>5.0799999999999998E-2</v>
      </c>
      <c r="G22" s="194">
        <v>56</v>
      </c>
      <c r="H22" s="194">
        <v>0.05</v>
      </c>
      <c r="I22" s="194">
        <v>0</v>
      </c>
      <c r="J22" s="194">
        <v>2</v>
      </c>
      <c r="K22" s="194">
        <v>1</v>
      </c>
      <c r="L22" s="194">
        <v>0</v>
      </c>
      <c r="M22" s="194">
        <v>0</v>
      </c>
      <c r="N22" s="194">
        <v>0</v>
      </c>
      <c r="O22" s="194">
        <v>1</v>
      </c>
      <c r="P22" s="194">
        <v>0</v>
      </c>
      <c r="Q22" s="194">
        <f t="shared" si="4"/>
        <v>1.0413999999999999</v>
      </c>
    </row>
    <row r="23" spans="1:17">
      <c r="A23" s="194" t="s">
        <v>232</v>
      </c>
      <c r="B23" s="194">
        <v>18</v>
      </c>
      <c r="C23" s="194">
        <f t="shared" si="6"/>
        <v>0.73659999999999992</v>
      </c>
      <c r="D23" s="194">
        <v>4.6E-5</v>
      </c>
      <c r="E23" s="194">
        <f t="shared" si="1"/>
        <v>1.2699999999999999E-2</v>
      </c>
      <c r="F23" s="194">
        <f t="shared" si="2"/>
        <v>5.0799999999999998E-2</v>
      </c>
      <c r="G23" s="194">
        <v>56</v>
      </c>
      <c r="H23" s="194">
        <v>0.05</v>
      </c>
      <c r="I23" s="194">
        <v>0</v>
      </c>
      <c r="J23" s="194">
        <v>0</v>
      </c>
      <c r="K23" s="194">
        <v>1</v>
      </c>
      <c r="L23" s="194">
        <v>0</v>
      </c>
      <c r="M23" s="194">
        <v>0</v>
      </c>
      <c r="N23" s="194">
        <v>0</v>
      </c>
      <c r="O23" s="194">
        <v>1</v>
      </c>
      <c r="P23" s="194">
        <v>0</v>
      </c>
      <c r="Q23" s="194">
        <f t="shared" si="4"/>
        <v>1.0413999999999999</v>
      </c>
    </row>
    <row r="24" spans="1:17">
      <c r="A24" s="194" t="s">
        <v>244</v>
      </c>
      <c r="B24" s="194">
        <v>18</v>
      </c>
      <c r="C24" s="194">
        <f t="shared" si="6"/>
        <v>0.73659999999999992</v>
      </c>
      <c r="D24" s="194">
        <v>4.6E-5</v>
      </c>
      <c r="E24" s="194">
        <f t="shared" si="1"/>
        <v>1.2699999999999999E-2</v>
      </c>
      <c r="F24" s="194">
        <f t="shared" si="2"/>
        <v>5.0799999999999998E-2</v>
      </c>
      <c r="G24" s="194">
        <v>56</v>
      </c>
      <c r="H24" s="194">
        <v>0.05</v>
      </c>
      <c r="I24" s="194">
        <v>0</v>
      </c>
      <c r="J24" s="194">
        <v>2</v>
      </c>
      <c r="K24" s="194">
        <v>1</v>
      </c>
      <c r="L24" s="194">
        <v>0</v>
      </c>
      <c r="M24" s="194">
        <v>0</v>
      </c>
      <c r="N24" s="194">
        <v>0</v>
      </c>
      <c r="O24" s="194">
        <v>1</v>
      </c>
      <c r="P24" s="194">
        <v>0</v>
      </c>
      <c r="Q24" s="194">
        <f t="shared" si="4"/>
        <v>1.0413999999999999</v>
      </c>
    </row>
    <row r="25" spans="1:17">
      <c r="A25" s="194" t="s">
        <v>233</v>
      </c>
      <c r="B25">
        <v>14</v>
      </c>
      <c r="C25" s="194">
        <f t="shared" si="6"/>
        <v>0.73659999999999992</v>
      </c>
      <c r="D25" s="194">
        <v>4.6E-5</v>
      </c>
      <c r="E25" s="194">
        <f t="shared" si="1"/>
        <v>1.2699999999999999E-2</v>
      </c>
      <c r="F25" s="194">
        <f t="shared" si="2"/>
        <v>5.0799999999999998E-2</v>
      </c>
      <c r="G25" s="194">
        <v>56</v>
      </c>
      <c r="H25" s="194">
        <v>0.05</v>
      </c>
      <c r="I25" s="194">
        <v>0</v>
      </c>
      <c r="J25" s="194">
        <v>1</v>
      </c>
      <c r="K25">
        <v>1</v>
      </c>
      <c r="L25" s="194">
        <v>0</v>
      </c>
      <c r="M25" s="194">
        <v>0</v>
      </c>
      <c r="N25" s="194">
        <v>0</v>
      </c>
      <c r="O25" s="194">
        <v>1</v>
      </c>
      <c r="P25" s="194">
        <v>0</v>
      </c>
      <c r="Q25" s="194">
        <f t="shared" si="4"/>
        <v>1.0413999999999999</v>
      </c>
    </row>
    <row r="26" spans="1:17">
      <c r="A26" s="194" t="s">
        <v>245</v>
      </c>
      <c r="B26">
        <v>14</v>
      </c>
      <c r="C26" s="194">
        <f t="shared" si="6"/>
        <v>0.73659999999999992</v>
      </c>
      <c r="D26" s="194">
        <v>4.6E-5</v>
      </c>
      <c r="E26" s="194">
        <f t="shared" si="1"/>
        <v>1.2699999999999999E-2</v>
      </c>
      <c r="F26" s="194">
        <f t="shared" si="2"/>
        <v>5.0799999999999998E-2</v>
      </c>
      <c r="G26" s="194">
        <v>56</v>
      </c>
      <c r="H26" s="194">
        <v>0.05</v>
      </c>
      <c r="I26" s="194">
        <v>0</v>
      </c>
      <c r="J26" s="194">
        <v>2</v>
      </c>
      <c r="K26">
        <v>1</v>
      </c>
      <c r="L26" s="194">
        <v>0</v>
      </c>
      <c r="M26" s="194">
        <v>0</v>
      </c>
      <c r="N26" s="194">
        <v>0</v>
      </c>
      <c r="O26" s="194">
        <v>1</v>
      </c>
      <c r="P26" s="194">
        <v>0</v>
      </c>
      <c r="Q26" s="194">
        <f t="shared" si="4"/>
        <v>1.0413999999999999</v>
      </c>
    </row>
    <row r="27" spans="1:17">
      <c r="A27" s="194" t="s">
        <v>234</v>
      </c>
      <c r="B27">
        <v>9</v>
      </c>
      <c r="C27" s="194">
        <f t="shared" si="6"/>
        <v>0.73659999999999992</v>
      </c>
      <c r="D27" s="194">
        <v>4.6E-5</v>
      </c>
      <c r="E27" s="194">
        <f t="shared" si="1"/>
        <v>1.2699999999999999E-2</v>
      </c>
      <c r="F27" s="194">
        <f t="shared" si="2"/>
        <v>5.0799999999999998E-2</v>
      </c>
      <c r="G27" s="194">
        <v>56</v>
      </c>
      <c r="H27" s="194">
        <v>0.05</v>
      </c>
      <c r="I27" s="194">
        <v>0</v>
      </c>
      <c r="J27">
        <v>2</v>
      </c>
      <c r="K27" s="194">
        <v>1</v>
      </c>
      <c r="L27" s="194">
        <v>0</v>
      </c>
      <c r="M27" s="194">
        <v>0</v>
      </c>
      <c r="N27" s="194">
        <v>0</v>
      </c>
      <c r="O27" s="194">
        <v>1</v>
      </c>
      <c r="P27" s="194">
        <v>0</v>
      </c>
      <c r="Q27" s="194">
        <f t="shared" si="4"/>
        <v>1.0413999999999999</v>
      </c>
    </row>
    <row r="28" spans="1:17">
      <c r="A28" s="194" t="s">
        <v>246</v>
      </c>
      <c r="B28">
        <v>9</v>
      </c>
      <c r="C28" s="194">
        <f t="shared" si="6"/>
        <v>0.73659999999999992</v>
      </c>
      <c r="D28" s="194">
        <v>4.6E-5</v>
      </c>
      <c r="E28" s="194">
        <f t="shared" si="1"/>
        <v>1.2699999999999999E-2</v>
      </c>
      <c r="F28" s="194">
        <f t="shared" si="2"/>
        <v>5.0799999999999998E-2</v>
      </c>
      <c r="G28" s="194">
        <v>56</v>
      </c>
      <c r="H28" s="194">
        <v>0.05</v>
      </c>
      <c r="I28" s="194">
        <v>0</v>
      </c>
      <c r="J28">
        <v>2</v>
      </c>
      <c r="K28" s="194">
        <v>1</v>
      </c>
      <c r="L28" s="194">
        <v>0</v>
      </c>
      <c r="M28" s="194">
        <v>0</v>
      </c>
      <c r="N28" s="194">
        <v>0</v>
      </c>
      <c r="O28" s="194">
        <v>1</v>
      </c>
      <c r="P28" s="194">
        <v>0</v>
      </c>
      <c r="Q28" s="194">
        <f t="shared" si="4"/>
        <v>1.0413999999999999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D24"/>
  <sheetViews>
    <sheetView workbookViewId="0">
      <selection activeCell="I25" sqref="I25"/>
    </sheetView>
  </sheetViews>
  <sheetFormatPr defaultRowHeight="14.4"/>
  <cols>
    <col min="1" max="18" width="10.21875" customWidth="1"/>
  </cols>
  <sheetData>
    <row r="1" spans="1:4">
      <c r="A1" t="s">
        <v>195</v>
      </c>
      <c r="B1" t="s">
        <v>196</v>
      </c>
      <c r="C1" t="s">
        <v>197</v>
      </c>
      <c r="D1" t="s">
        <v>198</v>
      </c>
    </row>
    <row r="2" spans="1:4">
      <c r="A2" s="223">
        <v>501</v>
      </c>
      <c r="B2" s="224">
        <v>0</v>
      </c>
      <c r="C2" s="224">
        <v>0</v>
      </c>
      <c r="D2">
        <v>655</v>
      </c>
    </row>
    <row r="3" spans="1:4">
      <c r="A3" s="223">
        <v>502</v>
      </c>
      <c r="B3" s="224">
        <v>0</v>
      </c>
      <c r="C3" s="224">
        <v>0</v>
      </c>
      <c r="D3">
        <v>655</v>
      </c>
    </row>
    <row r="4" spans="1:4">
      <c r="A4" s="223">
        <v>503</v>
      </c>
      <c r="B4" s="224">
        <v>0</v>
      </c>
      <c r="C4" s="224">
        <v>0</v>
      </c>
      <c r="D4">
        <v>655</v>
      </c>
    </row>
    <row r="5" spans="1:4">
      <c r="A5" s="223">
        <v>504</v>
      </c>
      <c r="B5" s="224">
        <v>0</v>
      </c>
      <c r="C5" s="224">
        <v>0</v>
      </c>
      <c r="D5">
        <v>664</v>
      </c>
    </row>
    <row r="6" spans="1:4">
      <c r="A6" s="223">
        <v>505</v>
      </c>
      <c r="B6" s="224">
        <v>0</v>
      </c>
      <c r="C6" s="224">
        <v>0</v>
      </c>
      <c r="D6">
        <v>664</v>
      </c>
    </row>
    <row r="7" spans="1:4">
      <c r="A7" s="223">
        <v>506</v>
      </c>
      <c r="B7" s="224">
        <v>0</v>
      </c>
      <c r="C7" s="224">
        <v>0</v>
      </c>
      <c r="D7">
        <v>664</v>
      </c>
    </row>
    <row r="8" spans="1:4">
      <c r="A8" s="223">
        <v>508</v>
      </c>
      <c r="B8" s="224">
        <v>0</v>
      </c>
      <c r="C8" s="224">
        <v>0</v>
      </c>
      <c r="D8">
        <v>620</v>
      </c>
    </row>
    <row r="9" spans="1:4" s="194" customFormat="1">
      <c r="A9" s="223" t="s">
        <v>220</v>
      </c>
      <c r="B9" s="224">
        <v>0</v>
      </c>
      <c r="C9" s="224">
        <v>0</v>
      </c>
      <c r="D9" s="194">
        <v>618</v>
      </c>
    </row>
    <row r="10" spans="1:4" s="194" customFormat="1">
      <c r="A10" s="223" t="s">
        <v>221</v>
      </c>
      <c r="B10" s="224">
        <v>0</v>
      </c>
      <c r="C10" s="224">
        <v>0</v>
      </c>
      <c r="D10" s="194">
        <v>618</v>
      </c>
    </row>
    <row r="11" spans="1:4" s="194" customFormat="1">
      <c r="A11" s="223" t="s">
        <v>222</v>
      </c>
      <c r="B11" s="224">
        <v>0</v>
      </c>
      <c r="C11" s="224">
        <v>0</v>
      </c>
      <c r="D11" s="194">
        <v>618</v>
      </c>
    </row>
    <row r="12" spans="1:4" s="194" customFormat="1">
      <c r="A12" s="223" t="s">
        <v>223</v>
      </c>
      <c r="B12" s="224">
        <v>0</v>
      </c>
      <c r="C12" s="224">
        <v>0</v>
      </c>
      <c r="D12" s="194">
        <v>618</v>
      </c>
    </row>
    <row r="13" spans="1:4" s="194" customFormat="1">
      <c r="A13" s="223" t="s">
        <v>224</v>
      </c>
      <c r="B13" s="224">
        <v>0</v>
      </c>
      <c r="C13" s="224">
        <v>0</v>
      </c>
      <c r="D13" s="194">
        <v>618</v>
      </c>
    </row>
    <row r="14" spans="1:4" s="194" customFormat="1">
      <c r="A14" s="223" t="s">
        <v>225</v>
      </c>
      <c r="B14" s="224">
        <v>0</v>
      </c>
      <c r="C14" s="224">
        <v>0</v>
      </c>
      <c r="D14" s="194">
        <v>614</v>
      </c>
    </row>
    <row r="15" spans="1:4" s="194" customFormat="1">
      <c r="A15" s="223" t="s">
        <v>226</v>
      </c>
      <c r="B15" s="224">
        <v>0</v>
      </c>
      <c r="C15" s="224">
        <v>0</v>
      </c>
      <c r="D15" s="194">
        <v>596</v>
      </c>
    </row>
    <row r="16" spans="1:4" s="194" customFormat="1">
      <c r="A16" s="223" t="s">
        <v>236</v>
      </c>
      <c r="B16" s="224">
        <v>0</v>
      </c>
      <c r="C16" s="224">
        <v>0</v>
      </c>
      <c r="D16" s="194">
        <v>615</v>
      </c>
    </row>
    <row r="17" spans="1:4" s="194" customFormat="1">
      <c r="A17" s="223" t="s">
        <v>235</v>
      </c>
      <c r="B17" s="224">
        <v>0</v>
      </c>
      <c r="C17" s="224">
        <v>0</v>
      </c>
      <c r="D17" s="194">
        <v>615</v>
      </c>
    </row>
    <row r="18" spans="1:4" s="194" customFormat="1">
      <c r="A18" s="223" t="s">
        <v>238</v>
      </c>
      <c r="B18" s="224">
        <v>0</v>
      </c>
      <c r="C18" s="224">
        <v>0</v>
      </c>
      <c r="D18" s="194">
        <v>614</v>
      </c>
    </row>
    <row r="19" spans="1:4" s="194" customFormat="1">
      <c r="A19" s="223" t="s">
        <v>237</v>
      </c>
      <c r="B19" s="224">
        <v>0</v>
      </c>
      <c r="C19" s="224">
        <v>0</v>
      </c>
      <c r="D19" s="194">
        <v>614</v>
      </c>
    </row>
    <row r="20" spans="1:4" s="194" customFormat="1">
      <c r="A20" s="223" t="s">
        <v>240</v>
      </c>
      <c r="B20" s="224">
        <v>0</v>
      </c>
      <c r="C20" s="224">
        <v>0</v>
      </c>
      <c r="D20" s="194">
        <v>596</v>
      </c>
    </row>
    <row r="21" spans="1:4" s="194" customFormat="1">
      <c r="A21" s="223" t="s">
        <v>239</v>
      </c>
      <c r="B21" s="224">
        <v>0</v>
      </c>
      <c r="C21" s="224">
        <v>0</v>
      </c>
      <c r="D21" s="194">
        <v>596</v>
      </c>
    </row>
    <row r="22" spans="1:4" s="194" customFormat="1">
      <c r="A22" s="223" t="s">
        <v>251</v>
      </c>
      <c r="B22" s="224">
        <v>0</v>
      </c>
      <c r="C22" s="224">
        <v>0</v>
      </c>
      <c r="D22" s="194">
        <v>616</v>
      </c>
    </row>
    <row r="23" spans="1:4" s="194" customFormat="1">
      <c r="A23" s="223" t="s">
        <v>252</v>
      </c>
      <c r="B23" s="224">
        <v>0</v>
      </c>
      <c r="C23" s="224">
        <v>0</v>
      </c>
      <c r="D23" s="194">
        <v>616</v>
      </c>
    </row>
    <row r="24" spans="1:4">
      <c r="A24" s="224"/>
      <c r="B24" s="224"/>
      <c r="C24" s="2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BOM </vt:lpstr>
      <vt:lpstr>BOM EQUATION</vt:lpstr>
      <vt:lpstr>BOM EQUATION coeffs</vt:lpstr>
      <vt:lpstr>Vessel Info</vt:lpstr>
      <vt:lpstr>Well OperatingPressure</vt:lpstr>
      <vt:lpstr>ChemistryData</vt:lpstr>
      <vt:lpstr>Sheet1</vt:lpstr>
      <vt:lpstr>pipe</vt:lpstr>
      <vt:lpstr>node</vt:lpstr>
      <vt:lpstr>Network</vt:lpstr>
      <vt:lpstr>Sheet3</vt:lpstr>
      <vt:lpstr>Sheet4</vt:lpstr>
      <vt:lpstr>'BOM '!Print_Area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 castor</dc:creator>
  <cp:lastModifiedBy>callos</cp:lastModifiedBy>
  <cp:lastPrinted>2015-09-05T00:16:52Z</cp:lastPrinted>
  <dcterms:created xsi:type="dcterms:W3CDTF">2009-05-18T06:26:53Z</dcterms:created>
  <dcterms:modified xsi:type="dcterms:W3CDTF">2016-10-18T07:16:29Z</dcterms:modified>
</cp:coreProperties>
</file>