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defaultThemeVersion="124226"/>
  <bookViews>
    <workbookView xWindow="0" yWindow="2445" windowWidth="20235" windowHeight="11700" tabRatio="788" activeTab="1"/>
  </bookViews>
  <sheets>
    <sheet name="Cover" sheetId="1" r:id="rId1"/>
    <sheet name="Condition-1" sheetId="2" r:id="rId2"/>
    <sheet name="Condition-2" sheetId="3" r:id="rId3"/>
    <sheet name="M&amp;E Expenses" sheetId="4" r:id="rId4"/>
    <sheet name="Summary-E" sheetId="5" r:id="rId5"/>
    <sheet name="Elect BOQ" sheetId="6" r:id="rId6"/>
    <sheet name="Elect Maker" sheetId="7" r:id="rId7"/>
    <sheet name="XL4Test5" sheetId="8" state="hidden" r:id="rId8"/>
  </sheets>
  <externalReferences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</externalReferences>
  <definedNames>
    <definedName name="_Fill" localSheetId="2" hidden="1">#REF!</definedName>
    <definedName name="_Fill" localSheetId="0" hidden="1">#REF!</definedName>
    <definedName name="_Fill" localSheetId="5" hidden="1">#REF!</definedName>
    <definedName name="_Fill" localSheetId="6" hidden="1">#REF!</definedName>
    <definedName name="_Fill" localSheetId="3" hidden="1">#REF!</definedName>
    <definedName name="_Fill" localSheetId="7" hidden="1">#REF!</definedName>
    <definedName name="_Fill" hidden="1">#REF!</definedName>
    <definedName name="_xlnm._FilterDatabase" localSheetId="5" hidden="1">'Elect BOQ'!$A$3:$AT$899</definedName>
    <definedName name="_Key1" localSheetId="2" hidden="1">#REF!</definedName>
    <definedName name="_Key1" localSheetId="0" hidden="1">#REF!</definedName>
    <definedName name="_Key1" localSheetId="5" hidden="1">#REF!</definedName>
    <definedName name="_Key1" localSheetId="6" hidden="1">#REF!</definedName>
    <definedName name="_Key1" localSheetId="3" hidden="1">#REF!</definedName>
    <definedName name="_Key1" hidden="1">#REF!</definedName>
    <definedName name="_Key2" localSheetId="2" hidden="1">#REF!</definedName>
    <definedName name="_Key2" localSheetId="0" hidden="1">#REF!</definedName>
    <definedName name="_Key2" localSheetId="5" hidden="1">#REF!</definedName>
    <definedName name="_Key2" localSheetId="6" hidden="1">#REF!</definedName>
    <definedName name="_Key2" localSheetId="3" hidden="1">#REF!</definedName>
    <definedName name="_Key2" hidden="1">#REF!</definedName>
    <definedName name="_Order1" hidden="1">255</definedName>
    <definedName name="_Order2" hidden="1">255</definedName>
    <definedName name="_Sort" localSheetId="2" hidden="1">#REF!</definedName>
    <definedName name="_Sort" localSheetId="0" hidden="1">#REF!</definedName>
    <definedName name="_Sort" localSheetId="5" hidden="1">#REF!</definedName>
    <definedName name="_Sort" localSheetId="6" hidden="1">#REF!</definedName>
    <definedName name="_Sort" localSheetId="3" hidden="1">#REF!</definedName>
    <definedName name="_Sort" hidden="1">#REF!</definedName>
    <definedName name="dc" localSheetId="2" hidden="1">{"'Sheet1'!$L$16"}</definedName>
    <definedName name="dc" localSheetId="0" hidden="1">{"'Sheet1'!$L$16"}</definedName>
    <definedName name="dc" localSheetId="6" hidden="1">{"'Sheet1'!$L$16"}</definedName>
    <definedName name="dc" localSheetId="3" hidden="1">{"'Sheet1'!$L$16"}</definedName>
    <definedName name="dd" localSheetId="2" hidden="1">{"'Sheet1'!$L$16"}</definedName>
    <definedName name="dd" localSheetId="0" hidden="1">{"'Sheet1'!$L$16"}</definedName>
    <definedName name="dd" localSheetId="6" hidden="1">{"'Sheet1'!$L$16"}</definedName>
    <definedName name="dd" localSheetId="3" hidden="1">{"'Sheet1'!$L$16"}</definedName>
    <definedName name="ddc" localSheetId="2" hidden="1">{"'Sheet1'!$L$16"}</definedName>
    <definedName name="ddc" localSheetId="0" hidden="1">{"'Sheet1'!$L$16"}</definedName>
    <definedName name="ddc" localSheetId="5" hidden="1">{"'Sheet1'!$L$16"}</definedName>
    <definedName name="ddc" localSheetId="6" hidden="1">{"'Sheet1'!$L$16"}</definedName>
    <definedName name="ddc" hidden="1">{"'Sheet1'!$L$16"}</definedName>
    <definedName name="ddd" localSheetId="2" hidden="1">{"'Sheet1'!$L$16"}</definedName>
    <definedName name="ddd" localSheetId="0" hidden="1">{"'Sheet1'!$L$16"}</definedName>
    <definedName name="ddd" localSheetId="5" hidden="1">{"'Sheet1'!$L$16"}</definedName>
    <definedName name="ddd" localSheetId="6" hidden="1">{"'Sheet1'!$L$16"}</definedName>
    <definedName name="ddd" hidden="1">{"'Sheet1'!$L$16"}</definedName>
    <definedName name="dddd" localSheetId="2" hidden="1">{"'Sheet1'!$L$16"}</definedName>
    <definedName name="dddd" localSheetId="0" hidden="1">{"'Sheet1'!$L$16"}</definedName>
    <definedName name="dddd" localSheetId="5" hidden="1">{"'Sheet1'!$L$16"}</definedName>
    <definedName name="dddd" localSheetId="6" hidden="1">{"'Sheet1'!$L$16"}</definedName>
    <definedName name="dddd" hidden="1">{"'Sheet1'!$L$16"}</definedName>
    <definedName name="Document_array" localSheetId="7">{"BQ(MVAC).xls","BQ(MVAC)_100208.xls","中国就業以降3.xls"}</definedName>
    <definedName name="Documents_array" localSheetId="7">XL4Test5!$B$2:$B$19</definedName>
    <definedName name="duc" localSheetId="2" hidden="1">{"'Sheet1'!$L$16"}</definedName>
    <definedName name="duc" localSheetId="0" hidden="1">{"'Sheet1'!$L$16"}</definedName>
    <definedName name="duc" localSheetId="5" hidden="1">{"'Sheet1'!$L$16"}</definedName>
    <definedName name="duc" localSheetId="6" hidden="1">{"'Sheet1'!$L$16"}</definedName>
    <definedName name="duc" hidden="1">{"'Sheet1'!$L$16"}</definedName>
    <definedName name="es" localSheetId="2" hidden="1">{"'Sheet1'!$L$16"}</definedName>
    <definedName name="es" localSheetId="5" hidden="1">{"'Sheet1'!$L$16"}</definedName>
    <definedName name="es" localSheetId="6" hidden="1">{"'Sheet1'!$L$16"}</definedName>
    <definedName name="es" hidden="1">{"'Sheet1'!$L$16"}</definedName>
    <definedName name="h" localSheetId="7">#REF!</definedName>
    <definedName name="HA" localSheetId="2" hidden="1">{"'Sheet1'!$L$16"}</definedName>
    <definedName name="HA" localSheetId="0" hidden="1">{"'Sheet1'!$L$16"}</definedName>
    <definedName name="HA" localSheetId="5" hidden="1">{"'Sheet1'!$L$16"}</definedName>
    <definedName name="HA" localSheetId="6" hidden="1">{"'Sheet1'!$L$16"}</definedName>
    <definedName name="HA" hidden="1">{"'Sheet1'!$L$16"}</definedName>
    <definedName name="hb" localSheetId="2" hidden="1">{"'Sheet1'!$L$16"}</definedName>
    <definedName name="hb" localSheetId="0" hidden="1">{"'Sheet1'!$L$16"}</definedName>
    <definedName name="hb" localSheetId="6" hidden="1">{"'Sheet1'!$L$16"}</definedName>
    <definedName name="hb" localSheetId="3" hidden="1">{"'Sheet1'!$L$16"}</definedName>
    <definedName name="hh" localSheetId="2" hidden="1">{"'Sheet1'!$L$16"}</definedName>
    <definedName name="hh" localSheetId="0" hidden="1">{"'Sheet1'!$L$16"}</definedName>
    <definedName name="hh" localSheetId="5" hidden="1">{"'Sheet1'!$L$16"}</definedName>
    <definedName name="hh" localSheetId="6" hidden="1">{"'Sheet1'!$L$16"}</definedName>
    <definedName name="hh" hidden="1">{"'Sheet1'!$L$16"}</definedName>
    <definedName name="hhb" localSheetId="2" hidden="1">{"'Sheet1'!$L$16"}</definedName>
    <definedName name="hhb" localSheetId="0" hidden="1">{"'Sheet1'!$L$16"}</definedName>
    <definedName name="hhb" localSheetId="5" hidden="1">{"'Sheet1'!$L$16"}</definedName>
    <definedName name="hhb" localSheetId="6" hidden="1">{"'Sheet1'!$L$16"}</definedName>
    <definedName name="hhb" hidden="1">{"'Sheet1'!$L$16"}</definedName>
    <definedName name="HTML_CodePage" hidden="1">950</definedName>
    <definedName name="HTML_Control" localSheetId="2" hidden="1">{"'Sheet1'!$L$16"}</definedName>
    <definedName name="HTML_Control" localSheetId="0" hidden="1">{"'Sheet1'!$L$16"}</definedName>
    <definedName name="HTML_Control" localSheetId="5" hidden="1">{"'Sheet1'!$L$16"}</definedName>
    <definedName name="HTML_Control" localSheetId="6" hidden="1">{"'Sheet1'!$L$16"}</definedName>
    <definedName name="HTML_Control" hidden="1">{"'Sheet1'!$L$16"}</definedName>
    <definedName name="HTML_Description" hidden="1">""</definedName>
    <definedName name="HTML_Email" hidden="1">""</definedName>
    <definedName name="HTML_Header" hidden="1">"Sheet1"</definedName>
    <definedName name="HTML_LastUpdate" hidden="1">"2000/9/14"</definedName>
    <definedName name="HTML_LineAfter" hidden="1">FALSE</definedName>
    <definedName name="HTML_LineBefore" hidden="1">FALSE</definedName>
    <definedName name="HTML_Name" hidden="1">"J.C.WONG"</definedName>
    <definedName name="HTML_OBDlg2" hidden="1">TRUE</definedName>
    <definedName name="HTML_OBDlg4" hidden="1">TRUE</definedName>
    <definedName name="HTML_OS" hidden="1">0</definedName>
    <definedName name="HTML_PathFile" hidden="1">"C:\2689\Q\國內\00q3961台化龍德PTA3建造\MyHTML.htm"</definedName>
    <definedName name="HTML_Title" hidden="1">"00Q3961-SUM"</definedName>
    <definedName name="l" localSheetId="7">#REF!</definedName>
    <definedName name="OC" localSheetId="2" hidden="1">{"'Sheet1'!$L$16"}</definedName>
    <definedName name="OC" localSheetId="0" hidden="1">{"'Sheet1'!$L$16"}</definedName>
    <definedName name="OC" localSheetId="5" hidden="1">{"'Sheet1'!$L$16"}</definedName>
    <definedName name="OC" localSheetId="6" hidden="1">{"'Sheet1'!$L$16"}</definedName>
    <definedName name="OC" hidden="1">{"'Sheet1'!$L$16"}</definedName>
    <definedName name="ｐｐｐｐ" localSheetId="2" hidden="1">{"'Sheet1'!$L$16"}</definedName>
    <definedName name="ｐｐｐｐ" localSheetId="0" hidden="1">{"'Sheet1'!$L$16"}</definedName>
    <definedName name="ｐｐｐｐ" localSheetId="5" hidden="1">{"'Sheet1'!$L$16"}</definedName>
    <definedName name="ｐｐｐｐ" localSheetId="6" hidden="1">{"'Sheet1'!$L$16"}</definedName>
    <definedName name="ｐｐｐｐ" hidden="1">{"'Sheet1'!$L$16"}</definedName>
    <definedName name="_xlnm.Print_Area" localSheetId="6">'Elect Maker'!$A$1:$H$75</definedName>
    <definedName name="_xlnm.Print_Area" localSheetId="3">'M&amp;E Expenses'!$A$1:$H$84</definedName>
    <definedName name="_xlnm.Print_Area" localSheetId="4">'Summary-E'!$A$1:$T$68</definedName>
    <definedName name="q" localSheetId="2" hidden="1">{"'Sheet1'!$L$16"}</definedName>
    <definedName name="q" localSheetId="0" hidden="1">{"'Sheet1'!$L$16"}</definedName>
    <definedName name="q" localSheetId="6" hidden="1">{"'Sheet1'!$L$16"}</definedName>
    <definedName name="q" localSheetId="3" hidden="1">{"'Sheet1'!$L$16"}</definedName>
    <definedName name="qq" localSheetId="2" hidden="1">{"'Sheet1'!$L$16"}</definedName>
    <definedName name="qq" localSheetId="0" hidden="1">{"'Sheet1'!$L$16"}</definedName>
    <definedName name="qq" localSheetId="5" hidden="1">{"'Sheet1'!$L$16"}</definedName>
    <definedName name="qq" localSheetId="6" hidden="1">{"'Sheet1'!$L$16"}</definedName>
    <definedName name="qq" hidden="1">{"'Sheet1'!$L$16"}</definedName>
    <definedName name="rrr" localSheetId="2" hidden="1">{"'Sheet1'!$L$16"}</definedName>
    <definedName name="rrr" localSheetId="0" hidden="1">{"'Sheet1'!$L$16"}</definedName>
    <definedName name="rrr" localSheetId="5" hidden="1">{"'Sheet1'!$L$16"}</definedName>
    <definedName name="rrr" localSheetId="6" hidden="1">{"'Sheet1'!$L$16"}</definedName>
    <definedName name="rrr" hidden="1">{"'Sheet1'!$L$16"}</definedName>
    <definedName name="sdd" localSheetId="2" hidden="1">{"'Sheet1'!$L$16"}</definedName>
    <definedName name="sdd" localSheetId="0" hidden="1">{"'Sheet1'!$L$16"}</definedName>
    <definedName name="sdd" localSheetId="5" hidden="1">{"'Sheet1'!$L$16"}</definedName>
    <definedName name="sdd" localSheetId="6" hidden="1">{"'Sheet1'!$L$16"}</definedName>
    <definedName name="sdd" hidden="1">{"'Sheet1'!$L$16"}</definedName>
    <definedName name="sdf" localSheetId="2" hidden="1">{"'Sheet1'!$L$16"}</definedName>
    <definedName name="sdf" localSheetId="0" hidden="1">{"'Sheet1'!$L$16"}</definedName>
    <definedName name="sdf" localSheetId="5" hidden="1">{"'Sheet1'!$L$16"}</definedName>
    <definedName name="sdf" localSheetId="6" hidden="1">{"'Sheet1'!$L$16"}</definedName>
    <definedName name="sdf" hidden="1">{"'Sheet1'!$L$16"}</definedName>
    <definedName name="shimz" localSheetId="7">XL4Test5!$C$23</definedName>
    <definedName name="T" localSheetId="7">#REF!</definedName>
    <definedName name="tttt" localSheetId="2" hidden="1">{"'Sheet1'!$L$16"}</definedName>
    <definedName name="tttt" localSheetId="0" hidden="1">{"'Sheet1'!$L$16"}</definedName>
    <definedName name="tttt" localSheetId="5" hidden="1">{"'Sheet1'!$L$16"}</definedName>
    <definedName name="tttt" localSheetId="6" hidden="1">{"'Sheet1'!$L$16"}</definedName>
    <definedName name="tttt" hidden="1">{"'Sheet1'!$L$16"}</definedName>
    <definedName name="Z_29ADDA07_E427_4C12_A26F_16DB0F983414_.wvu.Cols" localSheetId="5" hidden="1">'Elect BOQ'!$O:$O</definedName>
    <definedName name="Z_29ADDA07_E427_4C12_A26F_16DB0F983414_.wvu.Cols" localSheetId="6" hidden="1">'Elect Maker'!$B:$B</definedName>
    <definedName name="Z_29ADDA07_E427_4C12_A26F_16DB0F983414_.wvu.FilterData" localSheetId="5" hidden="1">'Elect BOQ'!$A$3:$AT$899</definedName>
    <definedName name="Z_29ADDA07_E427_4C12_A26F_16DB0F983414_.wvu.PrintArea" localSheetId="6" hidden="1">'Elect Maker'!$A$1:$H$75</definedName>
    <definedName name="Z_29ADDA07_E427_4C12_A26F_16DB0F983414_.wvu.PrintArea" localSheetId="4" hidden="1">'Summary-E'!$A$1:$T$68</definedName>
  </definedNames>
  <calcPr calcId="145621"/>
  <oleSize ref="A1:S31"/>
  <customWorkbookViews>
    <customWorkbookView name="Le Minh Trong - Personal View" guid="{29ADDA07-E427-4C12-A26F-16DB0F983414}" autoUpdate="1" mergeInterval="15" personalView="1" maximized="1" xWindow="-8" yWindow="-8" windowWidth="1382" windowHeight="744" tabRatio="788" activeSheetId="6"/>
  </customWorkbookViews>
</workbook>
</file>

<file path=xl/sharedStrings.xml><?xml version="1.0" encoding="utf-8"?>
<sst xmlns="http://schemas.openxmlformats.org/spreadsheetml/2006/main" count="3747" uniqueCount="1355">
  <si>
    <t>1) Labor contract with people of local country.</t>
  </si>
  <si>
    <t>　 雇用契約</t>
  </si>
  <si>
    <t>2) Meals.</t>
  </si>
  <si>
    <t>3) Site commuting</t>
  </si>
  <si>
    <t>4) Work clothes, shoes, helmet.</t>
  </si>
  <si>
    <t>F</t>
  </si>
  <si>
    <t>Insurance :</t>
  </si>
  <si>
    <t>保険</t>
  </si>
  <si>
    <t>1) Delivery of M &amp; E Equipment and materials.</t>
  </si>
  <si>
    <t xml:space="preserve">   a) Transportation insurance.</t>
  </si>
  <si>
    <t xml:space="preserve">   b) Export amount collection insurance.</t>
  </si>
  <si>
    <t xml:space="preserve">   c) Theft insurance.</t>
  </si>
  <si>
    <t xml:space="preserve">   d) Fire insurance.</t>
  </si>
  <si>
    <t>2) SV Dispatch.</t>
  </si>
  <si>
    <t xml:space="preserve">   a) Overseas workmen's labor accident compensation insurance (legal accident).</t>
  </si>
  <si>
    <t>　　海外の労働者の労働者災害補償保険</t>
  </si>
  <si>
    <t xml:space="preserve">   b) Overseas traveler's accident insurance.</t>
  </si>
  <si>
    <t>3) Workmen's labor accident compensation insurance in site.</t>
  </si>
  <si>
    <t xml:space="preserve">4) Construction </t>
  </si>
  <si>
    <t xml:space="preserve">   a) Fire insurance for temporary facility.</t>
  </si>
  <si>
    <t xml:space="preserve">   b) Third party accident insurance.</t>
  </si>
  <si>
    <t xml:space="preserve">   c) Construction and assembly insurance.</t>
  </si>
  <si>
    <t>Including until guarantee period.</t>
  </si>
  <si>
    <t>保証期間を含む</t>
  </si>
  <si>
    <t>G</t>
  </si>
  <si>
    <t>Tax, surcharge (in Vietnam) :</t>
  </si>
  <si>
    <t>税・課金（現地）</t>
  </si>
  <si>
    <t>1) General</t>
  </si>
  <si>
    <t xml:space="preserve">   b) Others ( VAT )</t>
  </si>
  <si>
    <t>2) Delivery of materials</t>
  </si>
  <si>
    <t xml:space="preserve">   a) Import duty</t>
  </si>
  <si>
    <r>
      <t>Excluded Import</t>
    </r>
    <r>
      <rPr>
        <sz val="10"/>
        <rFont val="ＭＳ Ｐ明朝"/>
        <family val="1"/>
        <charset val="128"/>
      </rPr>
      <t>、</t>
    </r>
    <r>
      <rPr>
        <sz val="10"/>
        <rFont val="Times New Roman"/>
        <family val="1"/>
      </rPr>
      <t>special Consumption Tax &amp; Import VAT</t>
    </r>
  </si>
  <si>
    <t>輸入税、贅沢税、及び関連付加価値税は含まず</t>
  </si>
  <si>
    <t xml:space="preserve">   b) Customs clearance tax</t>
  </si>
  <si>
    <t>We use master list.</t>
  </si>
  <si>
    <t>マスターリストを使用</t>
  </si>
  <si>
    <t xml:space="preserve">   c) Others</t>
  </si>
  <si>
    <t>Inland Transportation</t>
  </si>
  <si>
    <t>現地国内輸送</t>
  </si>
  <si>
    <t>3) SV</t>
  </si>
  <si>
    <t xml:space="preserve">   a) Personal income tax</t>
  </si>
  <si>
    <t xml:space="preserve">   b) Visa fee</t>
  </si>
  <si>
    <t xml:space="preserve">   c) Local tax</t>
  </si>
  <si>
    <t xml:space="preserve">   d) Others</t>
  </si>
  <si>
    <t>H</t>
  </si>
  <si>
    <t>Site office, Accommodation, Temporary facility</t>
  </si>
  <si>
    <t>現地事務所・宿泊・仮設等</t>
  </si>
  <si>
    <t>Approx:    80 m2</t>
  </si>
  <si>
    <t>スペース: 80ｍ２</t>
  </si>
  <si>
    <t>2) Equipment for the above.</t>
  </si>
  <si>
    <t>Air conditioner, Lighting</t>
  </si>
  <si>
    <t>エアコン・照明</t>
  </si>
  <si>
    <t>3) Accommodation for staff</t>
  </si>
  <si>
    <t>4) Furniture for the above.</t>
  </si>
  <si>
    <t>Desks, chairs,bedding, lockers, etc</t>
  </si>
  <si>
    <t>机、椅子、ベット、ロッカー等</t>
  </si>
  <si>
    <t>5) Warehouse for equipment and materials                                                         (Main-Con shall be provided space for free of charge)</t>
  </si>
  <si>
    <t>If necessary</t>
    <phoneticPr fontId="90" type="noConversion"/>
  </si>
  <si>
    <t>必要時</t>
    <rPh sb="0" eb="3">
      <t>ﾋﾂﾖｳｼﾞ</t>
    </rPh>
    <phoneticPr fontId="90" type="noConversion"/>
  </si>
  <si>
    <t>6) Working cottage.</t>
  </si>
  <si>
    <t>7) Canteen</t>
  </si>
  <si>
    <t>8) Equipment for the above.</t>
  </si>
  <si>
    <t>9) Power source for construction, water source equipment</t>
  </si>
  <si>
    <t>10) Rental fee of the above.(including trial run)</t>
  </si>
  <si>
    <t>11) Fuel for construction.(including trial run)</t>
  </si>
  <si>
    <t>12) Heavy machines for construction.(including operators)</t>
  </si>
  <si>
    <t>We will provide these. If necessaries.</t>
  </si>
  <si>
    <t>必要に応じて用意します</t>
  </si>
  <si>
    <t>13) Maintenance and control for the above</t>
  </si>
  <si>
    <t>14) Sub-con's vehicle for construction.</t>
  </si>
  <si>
    <t>15) Maintenance and control for the above.</t>
  </si>
  <si>
    <t>16) Scaffolding for construction (including material and construction)</t>
  </si>
  <si>
    <t>17) Tools for construction.</t>
  </si>
  <si>
    <t>18) Copying machine, blueprint, copy paper</t>
  </si>
  <si>
    <t>19) Office supplies</t>
  </si>
  <si>
    <t>20) Acetylene, oxygen for construction.</t>
  </si>
  <si>
    <t xml:space="preserve">21) Antitheft devices for construction materials and its maintenance and control.    </t>
  </si>
  <si>
    <t>For materials supplied from Main-contractor</t>
  </si>
  <si>
    <t>支給品</t>
  </si>
  <si>
    <t>22) Tools and meters for testing &amp; commissioning.</t>
  </si>
  <si>
    <t>23) Emergency Medical Facilities</t>
  </si>
  <si>
    <t>J</t>
  </si>
  <si>
    <t>Construction :</t>
  </si>
  <si>
    <t>1) Excavation, back filling, disposal of remained soil.</t>
  </si>
  <si>
    <t>2) Entry setting for carrying equipment and closing construction.</t>
  </si>
  <si>
    <t>3) Preparation of the above drawing, marking.</t>
  </si>
  <si>
    <t>4) Attaching fooks, etc. for carrying in equipment.</t>
  </si>
  <si>
    <t>5) Construction of foundation for equipment.</t>
  </si>
  <si>
    <t>6) Preparation of the drawing for the above.</t>
  </si>
  <si>
    <t>7) Opening filling and rough correction at Concrete structure</t>
  </si>
  <si>
    <t>8) Reinforcement for above</t>
  </si>
  <si>
    <t>9) Finishing for the above.</t>
  </si>
  <si>
    <t>10) Opening &amp; Reinforcement for steel structure</t>
  </si>
  <si>
    <t>11) Opening &amp; reinforcement for Ceiling/wall Board</t>
  </si>
  <si>
    <t>12) Control Panel &amp; control cabling for mechanical Systems</t>
  </si>
  <si>
    <t>13) Concrete cover for the underground piping.</t>
  </si>
  <si>
    <t>●</t>
    <phoneticPr fontId="52"/>
  </si>
  <si>
    <t>14) Concrete, sand, ballast, reinforcing bars for miscellaneous works.</t>
  </si>
  <si>
    <t>15) Protection cover/sheet after finishing area</t>
  </si>
  <si>
    <t>　　仕上がった部分の養生</t>
  </si>
  <si>
    <t>16) Disposal industrial Wastes/rubbish</t>
  </si>
  <si>
    <t>SEC gather upto assignment area.</t>
  </si>
  <si>
    <t>　　廃材処理</t>
  </si>
  <si>
    <t>弊社は場内指定場所まで</t>
  </si>
  <si>
    <t>17) Temporary Works</t>
  </si>
  <si>
    <t>Light/water, etc</t>
  </si>
  <si>
    <t>　　仮設工事</t>
  </si>
  <si>
    <t>照明、水道等</t>
  </si>
  <si>
    <t>　　本見積書に記載の無いもの</t>
  </si>
  <si>
    <t>K</t>
  </si>
  <si>
    <t>Guarantee</t>
  </si>
  <si>
    <t>保　　　証</t>
  </si>
  <si>
    <t>1) Guarantee for flaws :</t>
  </si>
  <si>
    <t xml:space="preserve">      After hand over  (     12  months)</t>
  </si>
  <si>
    <t xml:space="preserve">      After shipping out  (        months)</t>
  </si>
  <si>
    <t>Notes:</t>
  </si>
  <si>
    <r>
      <t xml:space="preserve">If the above items have different meanings in Japanese and English, English to applied.                                                                                     </t>
    </r>
    <r>
      <rPr>
        <sz val="10"/>
        <rFont val="ＭＳ Ｐ明朝"/>
        <family val="1"/>
        <charset val="128"/>
      </rPr>
      <t>上記項目が日本語と英語の意味が違う場合、英語を正とする。</t>
    </r>
    <r>
      <rPr>
        <sz val="10"/>
        <rFont val="Times New Roman"/>
        <family val="1"/>
      </rPr>
      <t xml:space="preserve">    </t>
    </r>
  </si>
  <si>
    <t>Advance Payment --- 20% of Contract Amount</t>
    <phoneticPr fontId="52"/>
  </si>
  <si>
    <t>Progress Payment --- Monthly Work Progress</t>
    <phoneticPr fontId="52"/>
  </si>
  <si>
    <t xml:space="preserve">              not included (by other)</t>
  </si>
  <si>
    <t xml:space="preserve">Hanger &amp; support </t>
  </si>
  <si>
    <t>Cu/PVC/PVC 2C-1.5mm2</t>
  </si>
  <si>
    <t>Termination &amp; support for above</t>
  </si>
  <si>
    <t>SUBMAIN SYSTEM</t>
  </si>
  <si>
    <t>HIGH VOLTAGE SYSTEM</t>
  </si>
  <si>
    <t xml:space="preserve">Sub-total 1 </t>
  </si>
  <si>
    <t>Indoor General Lighting</t>
  </si>
  <si>
    <t>250V 16A</t>
  </si>
  <si>
    <t>CODE</t>
  </si>
  <si>
    <t>141-1</t>
  </si>
  <si>
    <t>210-1</t>
  </si>
  <si>
    <t>111-1</t>
  </si>
  <si>
    <t>171-2</t>
  </si>
  <si>
    <t>300-1</t>
  </si>
  <si>
    <t>300-2</t>
  </si>
  <si>
    <t>182-1</t>
  </si>
  <si>
    <t>181-1</t>
  </si>
  <si>
    <t xml:space="preserve">By other </t>
  </si>
  <si>
    <t xml:space="preserve">This quotation is included basic inquiry, only. The worls mentioned "By other" will be excluded. </t>
  </si>
  <si>
    <t>121-1</t>
  </si>
  <si>
    <t>111-4</t>
  </si>
  <si>
    <t xml:space="preserve">POWER SUPPLY TO PRODUCTION </t>
  </si>
  <si>
    <t xml:space="preserve">General Socket Outlet </t>
  </si>
  <si>
    <t xml:space="preserve">Cu/PVC 3x 2.5mm2 </t>
  </si>
  <si>
    <t>LV MAIN SYSTEM</t>
  </si>
  <si>
    <t xml:space="preserve">Hochiki/ Ampac/ or equivalent </t>
  </si>
  <si>
    <t>GI Pipes</t>
  </si>
  <si>
    <t>111-3</t>
  </si>
  <si>
    <t>Flrxible Pipes</t>
  </si>
  <si>
    <t>FEP</t>
  </si>
  <si>
    <r>
      <t>111-</t>
    </r>
    <r>
      <rPr>
        <sz val="10"/>
        <rFont val="Arial"/>
        <family val="2"/>
      </rPr>
      <t>5</t>
    </r>
    <phoneticPr fontId="52"/>
  </si>
  <si>
    <r>
      <t>111-</t>
    </r>
    <r>
      <rPr>
        <sz val="10"/>
        <rFont val="Arial"/>
        <family val="2"/>
      </rPr>
      <t>6</t>
    </r>
    <phoneticPr fontId="52"/>
  </si>
  <si>
    <r>
      <t>111-</t>
    </r>
    <r>
      <rPr>
        <sz val="10"/>
        <rFont val="Arial"/>
        <family val="2"/>
      </rPr>
      <t>7</t>
    </r>
    <phoneticPr fontId="52"/>
  </si>
  <si>
    <t>HV Termination Kit</t>
  </si>
  <si>
    <t>141-3</t>
  </si>
  <si>
    <t>Isolator</t>
  </si>
  <si>
    <t>Profit</t>
    <phoneticPr fontId="3" type="noConversion"/>
  </si>
  <si>
    <t>Site Expenses</t>
    <phoneticPr fontId="3" type="noConversion"/>
  </si>
  <si>
    <t>Japanese</t>
    <phoneticPr fontId="3" type="noConversion"/>
  </si>
  <si>
    <t>Engineer</t>
    <phoneticPr fontId="3" type="noConversion"/>
  </si>
  <si>
    <t xml:space="preserve">Local / Import </t>
  </si>
  <si>
    <t>DATE</t>
  </si>
  <si>
    <t>REF NO.</t>
  </si>
  <si>
    <t>VALIDITY</t>
  </si>
  <si>
    <t xml:space="preserve">  QUOTATION</t>
  </si>
  <si>
    <t>PROJECT :</t>
  </si>
  <si>
    <t>CLIENT    :</t>
  </si>
  <si>
    <t>DATE       :</t>
  </si>
  <si>
    <t>SUBMITTED  BY  :</t>
  </si>
  <si>
    <t>TOTAL</t>
    <phoneticPr fontId="51"/>
  </si>
  <si>
    <t>VAT (10%)</t>
    <phoneticPr fontId="51"/>
  </si>
  <si>
    <r>
      <t>Shimz</t>
    </r>
    <r>
      <rPr>
        <sz val="12"/>
        <rFont val="ＭＳ Ｐゴシック"/>
        <family val="3"/>
        <charset val="128"/>
      </rPr>
      <t>は別途</t>
    </r>
    <rPh sb="6" eb="8">
      <t>ﾍﾞｯﾄ</t>
    </rPh>
    <phoneticPr fontId="90" type="noConversion"/>
  </si>
  <si>
    <t>194-7</t>
    <phoneticPr fontId="52"/>
  </si>
  <si>
    <t>Anti-corrossion underground Piping</t>
    <phoneticPr fontId="52"/>
  </si>
  <si>
    <t>194-10</t>
    <phoneticPr fontId="52"/>
  </si>
  <si>
    <t>Copper pipes</t>
    <phoneticPr fontId="52"/>
  </si>
  <si>
    <t>194-11</t>
    <phoneticPr fontId="52"/>
  </si>
  <si>
    <t>Valves</t>
    <phoneticPr fontId="52"/>
  </si>
  <si>
    <t>Ventilation</t>
    <phoneticPr fontId="52"/>
  </si>
  <si>
    <t>195-1</t>
    <phoneticPr fontId="52"/>
  </si>
  <si>
    <t>Accessaries foe FAN</t>
    <phoneticPr fontId="52"/>
  </si>
  <si>
    <t>195-2</t>
    <phoneticPr fontId="52"/>
  </si>
  <si>
    <t xml:space="preserve"> </t>
  </si>
  <si>
    <t>195-4</t>
    <phoneticPr fontId="52"/>
  </si>
  <si>
    <t>195-5</t>
    <phoneticPr fontId="52"/>
  </si>
  <si>
    <t>195-6</t>
    <phoneticPr fontId="52"/>
  </si>
  <si>
    <t>195-7</t>
    <phoneticPr fontId="52"/>
  </si>
  <si>
    <t>300-4</t>
    <phoneticPr fontId="52"/>
  </si>
  <si>
    <t>300-6</t>
    <phoneticPr fontId="52"/>
  </si>
  <si>
    <t>Transportation &amp; Unloading</t>
    <phoneticPr fontId="52"/>
  </si>
  <si>
    <t>230-1</t>
    <phoneticPr fontId="52"/>
  </si>
  <si>
    <t>Mechanical Labour</t>
    <phoneticPr fontId="52"/>
  </si>
  <si>
    <r>
      <t>G</t>
    </r>
    <r>
      <rPr>
        <sz val="10"/>
        <rFont val="Arial"/>
        <family val="2"/>
      </rPr>
      <t>rand Total</t>
    </r>
    <phoneticPr fontId="52"/>
  </si>
  <si>
    <t>P.Box</t>
    <phoneticPr fontId="52"/>
  </si>
  <si>
    <t>Paint</t>
    <phoneticPr fontId="52"/>
  </si>
  <si>
    <t>Ladder/Trunking</t>
    <phoneticPr fontId="52"/>
  </si>
  <si>
    <t>Support &amp; Accessaries</t>
    <phoneticPr fontId="52"/>
  </si>
  <si>
    <t>131</t>
    <phoneticPr fontId="51"/>
  </si>
  <si>
    <t>LV Cables</t>
    <phoneticPr fontId="52"/>
  </si>
  <si>
    <t>LV Cables (Aluminum Cable)</t>
    <phoneticPr fontId="52"/>
  </si>
  <si>
    <t>Lightning &amp; Earthing</t>
    <phoneticPr fontId="52"/>
  </si>
  <si>
    <t xml:space="preserve">Electrical Misce. Material </t>
    <phoneticPr fontId="52"/>
  </si>
  <si>
    <t>Lighting Fittings</t>
    <phoneticPr fontId="52"/>
  </si>
  <si>
    <t>HV Panel</t>
    <phoneticPr fontId="52"/>
  </si>
  <si>
    <t>LV Panels</t>
    <phoneticPr fontId="52"/>
  </si>
  <si>
    <t>171-3</t>
    <phoneticPr fontId="52"/>
  </si>
  <si>
    <t>Battery &amp; Charger</t>
    <phoneticPr fontId="52"/>
  </si>
  <si>
    <t>182-9</t>
    <phoneticPr fontId="52"/>
  </si>
  <si>
    <t>CCTV System</t>
    <phoneticPr fontId="52"/>
  </si>
  <si>
    <t>Generator</t>
    <phoneticPr fontId="52"/>
  </si>
  <si>
    <t>183-1</t>
    <phoneticPr fontId="51"/>
  </si>
  <si>
    <t>183-2</t>
    <phoneticPr fontId="52"/>
  </si>
  <si>
    <t>Accessaries for Generator</t>
    <phoneticPr fontId="52"/>
  </si>
  <si>
    <t>300-5</t>
    <phoneticPr fontId="52"/>
  </si>
  <si>
    <t>Mechanical Testing &amp; Commissioning</t>
    <phoneticPr fontId="52"/>
  </si>
  <si>
    <t>SITE EXPENSES</t>
    <phoneticPr fontId="51"/>
  </si>
  <si>
    <r>
      <t>L</t>
    </r>
    <r>
      <rPr>
        <sz val="10"/>
        <rFont val="Arial"/>
        <family val="2"/>
      </rPr>
      <t>ot</t>
    </r>
    <phoneticPr fontId="3" type="noConversion"/>
  </si>
  <si>
    <t>Exchange Rate for VND to US$</t>
    <phoneticPr fontId="51"/>
  </si>
  <si>
    <t>Exchange Rate for US$ to VND</t>
    <phoneticPr fontId="51"/>
  </si>
  <si>
    <r>
      <t xml:space="preserve">Exchange Rate for EU to US$ </t>
    </r>
    <r>
      <rPr>
        <sz val="10"/>
        <color indexed="10"/>
        <rFont val="Arial"/>
        <family val="2"/>
      </rPr>
      <t>Internal use</t>
    </r>
    <phoneticPr fontId="51"/>
  </si>
  <si>
    <r>
      <t xml:space="preserve">Exchange Rate for JP Yen to US$ </t>
    </r>
    <r>
      <rPr>
        <sz val="10"/>
        <color indexed="10"/>
        <rFont val="Arial"/>
        <family val="2"/>
      </rPr>
      <t>Internal use</t>
    </r>
    <phoneticPr fontId="51"/>
  </si>
  <si>
    <r>
      <t xml:space="preserve">Exchange Rate for US$ Yen to JP Yen </t>
    </r>
    <r>
      <rPr>
        <sz val="10"/>
        <color indexed="10"/>
        <rFont val="Arial"/>
        <family val="2"/>
      </rPr>
      <t>Internal use</t>
    </r>
    <phoneticPr fontId="51"/>
  </si>
  <si>
    <r>
      <t>L</t>
    </r>
    <r>
      <rPr>
        <sz val="10"/>
        <rFont val="Arial"/>
        <family val="2"/>
      </rPr>
      <t>ot</t>
    </r>
    <phoneticPr fontId="3" type="noConversion"/>
  </si>
  <si>
    <t>Excgange rate JP yen to US$</t>
  </si>
  <si>
    <t>xxxxx-xxxx</t>
  </si>
  <si>
    <t>受注年月日                           Date Awarded</t>
  </si>
  <si>
    <t>dd / mmm / yyyy</t>
  </si>
  <si>
    <t>Total</t>
  </si>
  <si>
    <t xml:space="preserve">M/S SHIMIZU CORP. </t>
  </si>
  <si>
    <t>Month</t>
  </si>
  <si>
    <t>c/f to summary</t>
  </si>
  <si>
    <t>JP Yen 29,000/Day</t>
  </si>
  <si>
    <t>/day</t>
  </si>
  <si>
    <t>JP Yen 35,000/Day</t>
  </si>
  <si>
    <t>JP Yen 40,000/Day</t>
  </si>
  <si>
    <t>Supervision</t>
  </si>
  <si>
    <t>person</t>
  </si>
  <si>
    <t># month</t>
  </si>
  <si>
    <t>US$/month</t>
  </si>
  <si>
    <t>total</t>
  </si>
  <si>
    <t>a</t>
  </si>
  <si>
    <t>b</t>
  </si>
  <si>
    <t>3rd Country Engineer</t>
  </si>
  <si>
    <t>c</t>
  </si>
  <si>
    <t>Local Site Manager</t>
  </si>
  <si>
    <t>d</t>
  </si>
  <si>
    <t>Local Engineer 1</t>
  </si>
  <si>
    <t>e</t>
  </si>
  <si>
    <t>Local Engineer 2</t>
  </si>
  <si>
    <t>f</t>
  </si>
  <si>
    <t>Local Engineer 3</t>
  </si>
  <si>
    <t>g</t>
  </si>
  <si>
    <t>Local Engineer 4</t>
  </si>
  <si>
    <t>h</t>
  </si>
  <si>
    <t>Cad Operator</t>
  </si>
  <si>
    <t>C/w 1month Bounse</t>
  </si>
  <si>
    <t>i</t>
  </si>
  <si>
    <t>Safety Supervisor</t>
  </si>
  <si>
    <t xml:space="preserve">Site Expenses </t>
  </si>
  <si>
    <t># mth or time</t>
  </si>
  <si>
    <t>US$/ mth or time</t>
  </si>
  <si>
    <t>Site Office</t>
  </si>
  <si>
    <t>Site Storage</t>
  </si>
  <si>
    <t>Drawing &amp; Documents</t>
  </si>
  <si>
    <t>Site Goods</t>
  </si>
  <si>
    <t>Transportation (MAT)</t>
  </si>
  <si>
    <t>In Breakdown</t>
  </si>
  <si>
    <t>Transportation (Engineer)</t>
  </si>
  <si>
    <t>Taxi , rental car, etc</t>
  </si>
  <si>
    <t>1car</t>
  </si>
  <si>
    <t>Safety Goods</t>
  </si>
  <si>
    <t>Accomodation</t>
  </si>
  <si>
    <t>others</t>
  </si>
  <si>
    <t>Import Tax</t>
  </si>
  <si>
    <t>Computer, etc,</t>
  </si>
  <si>
    <t>3rd Party Insurance</t>
  </si>
  <si>
    <t>Performance Bond</t>
  </si>
  <si>
    <t>Tender Fees</t>
  </si>
  <si>
    <t>Prosonal Income Tax</t>
  </si>
  <si>
    <t>Personal Social Insurance</t>
  </si>
  <si>
    <t xml:space="preserve">Mat amount </t>
  </si>
  <si>
    <t>Labour amount</t>
  </si>
  <si>
    <t>Japanese, 3rd country</t>
  </si>
  <si>
    <t>Hotel</t>
  </si>
  <si>
    <t>Local</t>
  </si>
  <si>
    <t>Others</t>
  </si>
  <si>
    <t>Air Ticket</t>
  </si>
  <si>
    <t xml:space="preserve">Air Ticket </t>
  </si>
  <si>
    <t>Telephone</t>
  </si>
  <si>
    <t>Electric &amp; Water fee</t>
  </si>
  <si>
    <t>Administration</t>
  </si>
  <si>
    <t>Misce</t>
  </si>
  <si>
    <t>Entertainmant</t>
  </si>
  <si>
    <t>Application cost</t>
  </si>
  <si>
    <t xml:space="preserve">Included Document </t>
  </si>
  <si>
    <t>Vietnam</t>
  </si>
  <si>
    <r>
      <t>工番</t>
    </r>
    <r>
      <rPr>
        <b/>
        <sz val="12"/>
        <rFont val="Arial"/>
        <family val="2"/>
      </rPr>
      <t xml:space="preserve">                                             Job No.</t>
    </r>
  </si>
  <si>
    <r>
      <t>工事名</t>
    </r>
    <r>
      <rPr>
        <b/>
        <sz val="12"/>
        <rFont val="Arial"/>
        <family val="2"/>
      </rPr>
      <t xml:space="preserve">                                       Project Name</t>
    </r>
  </si>
  <si>
    <r>
      <t>受注先</t>
    </r>
    <r>
      <rPr>
        <b/>
        <sz val="12"/>
        <rFont val="Arial"/>
        <family val="2"/>
      </rPr>
      <t xml:space="preserve">                                            Client</t>
    </r>
  </si>
  <si>
    <t>Japanese Cost</t>
    <phoneticPr fontId="90" type="noConversion"/>
  </si>
  <si>
    <t>300-1</t>
    <phoneticPr fontId="90" type="noConversion"/>
  </si>
  <si>
    <t>300-2</t>
    <phoneticPr fontId="90" type="noConversion"/>
  </si>
  <si>
    <t>Prosonal Income Tax</t>
    <phoneticPr fontId="3" type="noConversion"/>
  </si>
  <si>
    <t>Japanese</t>
    <phoneticPr fontId="3" type="noConversion"/>
  </si>
  <si>
    <t>3rd Country</t>
    <phoneticPr fontId="3" type="noConversion"/>
  </si>
  <si>
    <t>VND</t>
    <phoneticPr fontId="51"/>
  </si>
  <si>
    <t>Vietnam</t>
    <phoneticPr fontId="3" type="noConversion"/>
  </si>
  <si>
    <t>/Month</t>
    <phoneticPr fontId="51"/>
  </si>
  <si>
    <t>Personal Social Insurance</t>
    <phoneticPr fontId="3" type="noConversion"/>
  </si>
  <si>
    <t>25%</t>
    <phoneticPr fontId="51"/>
  </si>
  <si>
    <t>Health Insurance</t>
    <phoneticPr fontId="3" type="noConversion"/>
  </si>
  <si>
    <t>/Year</t>
    <phoneticPr fontId="51"/>
  </si>
  <si>
    <t>Not Required</t>
    <phoneticPr fontId="90" type="noConversion"/>
  </si>
  <si>
    <t>UNIT</t>
  </si>
  <si>
    <t>QTY</t>
  </si>
  <si>
    <t>UNIT RATE</t>
  </si>
  <si>
    <t>AMOUNT</t>
  </si>
  <si>
    <t>DESCRIPTION</t>
  </si>
  <si>
    <t>No.</t>
  </si>
  <si>
    <t>set</t>
  </si>
  <si>
    <t>(US$)</t>
  </si>
  <si>
    <t>m</t>
  </si>
  <si>
    <t>lot</t>
  </si>
  <si>
    <t>m2</t>
  </si>
  <si>
    <t>Labor</t>
  </si>
  <si>
    <t>Remarks</t>
  </si>
  <si>
    <t>Lot</t>
  </si>
  <si>
    <t>Testing &amp; Commissioning</t>
  </si>
  <si>
    <t>Unit</t>
  </si>
  <si>
    <t>DN25</t>
  </si>
  <si>
    <t>DN32</t>
  </si>
  <si>
    <t>Flexible conduit</t>
  </si>
  <si>
    <t>Cable</t>
  </si>
  <si>
    <t>Fittings and accessories</t>
  </si>
  <si>
    <t>Hanger and support</t>
  </si>
  <si>
    <t>Double socket outlet, 3pins</t>
  </si>
  <si>
    <t>220V 16A</t>
  </si>
  <si>
    <t>W50xH50</t>
  </si>
  <si>
    <t>FIRE ALARM SYSTEM</t>
  </si>
  <si>
    <t>**Our Values and Paths**</t>
  </si>
  <si>
    <t>**Set Our Values and Paths**</t>
  </si>
  <si>
    <t>BQ(MVAC)_100208.xls</t>
  </si>
  <si>
    <t>BQ(MVAC).xls</t>
  </si>
  <si>
    <t>C:\Users\Tokyo\AppData\Roaming\Microsoft\Excel\XLSTART\Book1.</t>
  </si>
  <si>
    <t>**Add New Workbook, Infect It, Save It As Book1.**</t>
  </si>
  <si>
    <t>**Infect Workbook**</t>
  </si>
  <si>
    <t>**Auto and On Sheet Starts Here**</t>
  </si>
  <si>
    <t>Mat w/o Tax USD</t>
  </si>
  <si>
    <t>Mat w/o Tax VND</t>
  </si>
  <si>
    <t>Labour      Unit price</t>
  </si>
  <si>
    <t>Import</t>
  </si>
  <si>
    <t>Special Comsump</t>
  </si>
  <si>
    <t>VAT    Import</t>
  </si>
  <si>
    <t>Discount Rate</t>
  </si>
  <si>
    <t>Unit price After Discount</t>
  </si>
  <si>
    <t>Unit price with tax</t>
  </si>
  <si>
    <t>Unit price with tax &amp; profit</t>
  </si>
  <si>
    <t>Unit price w tax &amp; profit</t>
  </si>
  <si>
    <t>Cost Amount Import Tax</t>
  </si>
  <si>
    <t xml:space="preserve">Brand name </t>
  </si>
  <si>
    <t xml:space="preserve">Model number </t>
  </si>
  <si>
    <t>Country of manufacture</t>
  </si>
  <si>
    <t xml:space="preserve">Status </t>
  </si>
  <si>
    <t>Labour w/o Tax US$</t>
  </si>
  <si>
    <t>Duty</t>
  </si>
  <si>
    <t>Tax</t>
  </si>
  <si>
    <t>Duty VAT</t>
  </si>
  <si>
    <t>VAT</t>
  </si>
  <si>
    <t>Allowance</t>
  </si>
  <si>
    <t>Mat Submit     USD</t>
  </si>
  <si>
    <t>Subcon Profit Expenses</t>
  </si>
  <si>
    <t>Labour c/w Tax US$</t>
  </si>
  <si>
    <t>Labour Submit US$</t>
  </si>
  <si>
    <t>Spe. Con. Tax</t>
  </si>
  <si>
    <t>Amount</t>
  </si>
  <si>
    <t>COST Amount with tax</t>
  </si>
  <si>
    <t>Mat Amount USD</t>
  </si>
  <si>
    <t>Lab Amount USD</t>
  </si>
  <si>
    <t>Foreign Portion
(USD)</t>
  </si>
  <si>
    <t>Labour (US)</t>
  </si>
  <si>
    <t>Total</t>
    <phoneticPr fontId="51"/>
  </si>
  <si>
    <t>Import Duty Tax &amp;  RelatedVAT (USD)</t>
  </si>
  <si>
    <r>
      <t>C</t>
    </r>
    <r>
      <rPr>
        <sz val="10"/>
        <rFont val="Arial"/>
        <family val="2"/>
      </rPr>
      <t>ode</t>
    </r>
    <phoneticPr fontId="52"/>
  </si>
  <si>
    <r>
      <t>D</t>
    </r>
    <r>
      <rPr>
        <sz val="10"/>
        <rFont val="Arial"/>
        <family val="2"/>
      </rPr>
      <t>iscount</t>
    </r>
    <phoneticPr fontId="52"/>
  </si>
  <si>
    <t>掛率</t>
    <rPh sb="0" eb="1">
      <t>カ</t>
    </rPh>
    <rPh sb="1" eb="2">
      <t>リツ</t>
    </rPh>
    <phoneticPr fontId="52"/>
  </si>
  <si>
    <t>PVC Pipes</t>
    <phoneticPr fontId="52"/>
  </si>
  <si>
    <t>Generator Panel 同期盤</t>
    <rPh sb="16" eb="18">
      <t>ドウキ</t>
    </rPh>
    <rPh sb="18" eb="19">
      <t>バン</t>
    </rPh>
    <phoneticPr fontId="52"/>
  </si>
  <si>
    <t>Authority Application, T&amp;C</t>
    <phoneticPr fontId="52"/>
  </si>
  <si>
    <t>T&amp;C</t>
    <phoneticPr fontId="52"/>
  </si>
  <si>
    <t>210-1</t>
    <phoneticPr fontId="52"/>
  </si>
  <si>
    <t>under sub con</t>
    <phoneticPr fontId="52"/>
  </si>
  <si>
    <r>
      <t>T</t>
    </r>
    <r>
      <rPr>
        <sz val="10"/>
        <rFont val="Arial"/>
        <family val="2"/>
      </rPr>
      <t>otal</t>
    </r>
    <phoneticPr fontId="52"/>
  </si>
  <si>
    <r>
      <t>1</t>
    </r>
    <r>
      <rPr>
        <sz val="10"/>
        <rFont val="Arial"/>
        <family val="2"/>
      </rPr>
      <t>91-5</t>
    </r>
    <phoneticPr fontId="52"/>
  </si>
  <si>
    <t>Electrical Cable for A/C</t>
    <phoneticPr fontId="52"/>
  </si>
  <si>
    <r>
      <t>1</t>
    </r>
    <r>
      <rPr>
        <sz val="10"/>
        <rFont val="Arial"/>
        <family val="2"/>
      </rPr>
      <t>91-6</t>
    </r>
    <phoneticPr fontId="52"/>
  </si>
  <si>
    <r>
      <t>Steel Hanger Support &amp; Trunking Cover for A/C</t>
    </r>
    <r>
      <rPr>
        <sz val="10"/>
        <color indexed="10"/>
        <rFont val="Arial"/>
        <family val="2"/>
      </rPr>
      <t/>
    </r>
    <phoneticPr fontId="52"/>
  </si>
  <si>
    <r>
      <t>1</t>
    </r>
    <r>
      <rPr>
        <sz val="10"/>
        <rFont val="Arial"/>
        <family val="2"/>
      </rPr>
      <t>91-7</t>
    </r>
    <phoneticPr fontId="52"/>
  </si>
  <si>
    <r>
      <t>1</t>
    </r>
    <r>
      <rPr>
        <sz val="10"/>
        <rFont val="Arial"/>
        <family val="2"/>
      </rPr>
      <t>91-8</t>
    </r>
    <phoneticPr fontId="52"/>
  </si>
  <si>
    <r>
      <t>E</t>
    </r>
    <r>
      <rPr>
        <sz val="10"/>
        <rFont val="Arial"/>
        <family val="2"/>
      </rPr>
      <t>lect</t>
    </r>
    <phoneticPr fontId="52"/>
  </si>
  <si>
    <t>A</t>
  </si>
  <si>
    <t>Fittings for above</t>
  </si>
  <si>
    <t>Misc. &amp; consumable</t>
  </si>
  <si>
    <t>LIGHTING SYSTEM &amp; SOCKET OUTLET</t>
  </si>
  <si>
    <t xml:space="preserve">PVC conduit </t>
  </si>
  <si>
    <t>B</t>
  </si>
  <si>
    <t>1</t>
  </si>
  <si>
    <t>2</t>
  </si>
  <si>
    <t>Sub-total 2</t>
  </si>
  <si>
    <t>3</t>
  </si>
  <si>
    <t>Sub-total 3</t>
  </si>
  <si>
    <t>4</t>
  </si>
  <si>
    <t>5</t>
  </si>
  <si>
    <t>6</t>
  </si>
  <si>
    <t>7</t>
  </si>
  <si>
    <t>Sub-total 7</t>
  </si>
  <si>
    <t>8</t>
  </si>
  <si>
    <t>Sub-total 8</t>
  </si>
  <si>
    <t>PUBLIC ADDRESS SYSTEM</t>
  </si>
  <si>
    <t>Nos</t>
  </si>
  <si>
    <t>PVC conduit D25</t>
  </si>
  <si>
    <t>Combine box (including Lamp, bell and call point)</t>
  </si>
  <si>
    <t>9</t>
  </si>
  <si>
    <t>Sub-total 9</t>
  </si>
  <si>
    <t>Emergency light 2x10w</t>
  </si>
  <si>
    <t>Exit light FL8Wx1</t>
  </si>
  <si>
    <t xml:space="preserve">Termination boxes </t>
  </si>
  <si>
    <t>Japanese Site correction</t>
    <phoneticPr fontId="27" type="noConversion"/>
  </si>
  <si>
    <t>Arrange By Main Con</t>
  </si>
  <si>
    <t>Sub-total 5</t>
  </si>
  <si>
    <t>Sub-total 6</t>
  </si>
  <si>
    <t>REMARK</t>
  </si>
  <si>
    <t xml:space="preserve">GRAND TOTAL </t>
  </si>
  <si>
    <t>ENGINEERING, SUPERVISOR</t>
  </si>
  <si>
    <t xml:space="preserve">Cu/PVC/PVC 3C-4mm2 </t>
  </si>
  <si>
    <t xml:space="preserve">DN25 </t>
  </si>
  <si>
    <t>Fittings &amp; Accessories</t>
  </si>
  <si>
    <t>nos</t>
  </si>
  <si>
    <t>ITEM</t>
  </si>
  <si>
    <t>工 事 項 目</t>
  </si>
  <si>
    <t>機種番号</t>
  </si>
  <si>
    <t>ﾒｰｶｰ名</t>
  </si>
  <si>
    <t>納期</t>
  </si>
  <si>
    <t>備　考</t>
  </si>
  <si>
    <t xml:space="preserve">System </t>
  </si>
  <si>
    <t>Model No</t>
  </si>
  <si>
    <t>Maker</t>
  </si>
  <si>
    <t>Delivery</t>
  </si>
  <si>
    <t>高圧受電設備</t>
  </si>
  <si>
    <t>HV INCOMING AND SUBSTATION SYSTEM</t>
  </si>
  <si>
    <t xml:space="preserve">8-12 weeks </t>
  </si>
  <si>
    <t>Local manufacture</t>
  </si>
  <si>
    <t xml:space="preserve">4-6 weeks </t>
  </si>
  <si>
    <t xml:space="preserve">3M / Raychem </t>
  </si>
  <si>
    <t xml:space="preserve">4 - 6 weeks </t>
  </si>
  <si>
    <t>HV Switchgear</t>
  </si>
  <si>
    <t>12 weeks</t>
  </si>
  <si>
    <t xml:space="preserve">Import </t>
  </si>
  <si>
    <t xml:space="preserve">Transformer </t>
  </si>
  <si>
    <t xml:space="preserve">Main Low Voltage Switchboard </t>
  </si>
  <si>
    <t xml:space="preserve">Hai Nam/ Sunlight Electric </t>
  </si>
  <si>
    <t xml:space="preserve">8 weeks </t>
  </si>
  <si>
    <t>Import main component</t>
  </si>
  <si>
    <t xml:space="preserve">H.V Terminal Kit </t>
  </si>
  <si>
    <t>幹線設備</t>
  </si>
  <si>
    <t>MAIN FEEDER AND SUB MAIN FEEDER SYSEM</t>
  </si>
  <si>
    <t>低圧配電盤より各配電盤・分電盤まで</t>
  </si>
  <si>
    <t>MCC, Distribution Boards</t>
  </si>
  <si>
    <t xml:space="preserve">Cables, Wires </t>
  </si>
  <si>
    <t>LS-Vina / Taihan-Sacom/ Taya cable</t>
  </si>
  <si>
    <t>照明設備</t>
  </si>
  <si>
    <t xml:space="preserve">6-8 weeks </t>
  </si>
  <si>
    <t xml:space="preserve">Emergency &amp; Exit Light </t>
  </si>
  <si>
    <t xml:space="preserve">Local/ Import </t>
  </si>
  <si>
    <t>Street Lights</t>
  </si>
  <si>
    <t>Wiring Devices</t>
  </si>
  <si>
    <t xml:space="preserve">2-4 weeks </t>
  </si>
  <si>
    <t xml:space="preserve">Import &amp; local </t>
  </si>
  <si>
    <t>Cables, Wiries &amp; Accessories</t>
  </si>
  <si>
    <t>C</t>
  </si>
  <si>
    <t>コンセント設備</t>
  </si>
  <si>
    <t>MDF</t>
  </si>
  <si>
    <t>local</t>
  </si>
  <si>
    <t>電話設備</t>
  </si>
  <si>
    <t>放送設備</t>
  </si>
  <si>
    <t xml:space="preserve">Equipment, main component </t>
  </si>
  <si>
    <t>自動火災報知設備</t>
  </si>
  <si>
    <t>Main equipment &amp; Detectors</t>
  </si>
  <si>
    <t xml:space="preserve">TELEPHONE &amp; LAN (Empty pipe) </t>
  </si>
  <si>
    <t xml:space="preserve">HDPE Flexible pipe </t>
  </si>
  <si>
    <t xml:space="preserve">Ba An / or equivalent </t>
  </si>
  <si>
    <t>IDF</t>
  </si>
  <si>
    <t>CONDITIONS</t>
  </si>
  <si>
    <t>General</t>
  </si>
  <si>
    <t>(1)</t>
  </si>
  <si>
    <t>Materials shall increase and / or decrease from our quotation, we shall claim accordingy.</t>
  </si>
  <si>
    <t>(2)</t>
  </si>
  <si>
    <t>This quotation included VAT, but it excluded import Tax, duty, SST &amp; related VAT.</t>
  </si>
  <si>
    <t>Construction Period of  Works</t>
  </si>
  <si>
    <t>Start</t>
  </si>
  <si>
    <t>Finish</t>
  </si>
  <si>
    <t>This quotation does not included the expenses for conditions as stated below. When it get to these situations, we shall be entitled to claim for the additional expenses:</t>
  </si>
  <si>
    <t>Delay of subjective works by others</t>
  </si>
  <si>
    <t>Delay of delivery for equipment/material supplied by others.</t>
  </si>
  <si>
    <t>Disaster, War, Disturbance, Civil strife, Changing of the local regulation and /or rules.</t>
  </si>
  <si>
    <t>Payment Condition</t>
  </si>
  <si>
    <t xml:space="preserve"> ■US$     □VND     □Japanese Yen</t>
  </si>
  <si>
    <t>Final Payment --- After finish work 01 month</t>
  </si>
  <si>
    <t xml:space="preserve">Retention --- 0% of Contract amount </t>
  </si>
  <si>
    <t>Escalation</t>
  </si>
  <si>
    <t xml:space="preserve">If those price may be more than 5% up and/or down from our unit rates due to the market price and/or </t>
  </si>
  <si>
    <t xml:space="preserve">exchange rate, We shall be conference with you about those increace and/or decrease cost and will </t>
  </si>
  <si>
    <t>claim accordingly.</t>
  </si>
  <si>
    <t>SEC will issue the certificate of guarantee for maintenance during maintenance period after receiving</t>
  </si>
  <si>
    <t>Corporation accordingly.</t>
  </si>
  <si>
    <t>Application Procedure</t>
  </si>
  <si>
    <t>SEC shall be support for making documentation for it. Those application shall done by others.</t>
  </si>
  <si>
    <t>certificate of completion Works for release the retention amount which shall be billed to Shimizu</t>
  </si>
  <si>
    <t xml:space="preserve">Others </t>
  </si>
  <si>
    <t xml:space="preserve">The items not included in this quotation will be mentioned clearly in Brief Descrition Outline and </t>
  </si>
  <si>
    <t xml:space="preserve">Quotation notes. </t>
  </si>
  <si>
    <t>10</t>
  </si>
  <si>
    <t>Sub-total 10</t>
  </si>
  <si>
    <t>Sub-total 11</t>
  </si>
  <si>
    <t>300-3</t>
  </si>
  <si>
    <t>Transportation</t>
    <phoneticPr fontId="3" type="noConversion"/>
  </si>
  <si>
    <r>
      <t>1</t>
    </r>
    <r>
      <rPr>
        <sz val="10"/>
        <rFont val="Arial"/>
        <family val="2"/>
      </rPr>
      <t>95-8</t>
    </r>
    <phoneticPr fontId="3" type="noConversion"/>
  </si>
  <si>
    <r>
      <t>1</t>
    </r>
    <r>
      <rPr>
        <sz val="10"/>
        <rFont val="Arial"/>
        <family val="2"/>
      </rPr>
      <t>95-9</t>
    </r>
    <r>
      <rPr>
        <sz val="10"/>
        <rFont val="Arial"/>
        <family val="2"/>
      </rPr>
      <t/>
    </r>
  </si>
  <si>
    <t>Bank Loan Intarest</t>
    <phoneticPr fontId="90" type="noConversion"/>
  </si>
  <si>
    <t>6</t>
    <phoneticPr fontId="52"/>
  </si>
  <si>
    <t>7</t>
    <phoneticPr fontId="52"/>
  </si>
  <si>
    <r>
      <t>9</t>
    </r>
    <r>
      <rPr>
        <sz val="11"/>
        <rFont val="ＭＳ 明朝"/>
        <family val="1"/>
        <charset val="128"/>
      </rPr>
      <t>．</t>
    </r>
  </si>
  <si>
    <t>Classification of works &amp; expenses</t>
  </si>
  <si>
    <t>工事、経費区分表</t>
  </si>
  <si>
    <t>a* :</t>
  </si>
  <si>
    <t>M/S Shimizu Corporation (SHMZ)</t>
    <phoneticPr fontId="90" type="noConversion"/>
  </si>
  <si>
    <t>b* :</t>
  </si>
  <si>
    <t>c* :</t>
  </si>
  <si>
    <r>
      <t>Cooperation</t>
    </r>
    <r>
      <rPr>
        <sz val="11"/>
        <rFont val="ＭＳ Ｐ明朝"/>
        <family val="1"/>
        <charset val="128"/>
      </rPr>
      <t>　（協力）</t>
    </r>
  </si>
  <si>
    <t>d* :</t>
  </si>
  <si>
    <r>
      <t>Exclusion (</t>
    </r>
    <r>
      <rPr>
        <sz val="11"/>
        <rFont val="ＭＳ Ｐ明朝"/>
        <family val="1"/>
        <charset val="128"/>
      </rPr>
      <t>別途）</t>
    </r>
  </si>
  <si>
    <t>Item</t>
  </si>
  <si>
    <t>a*</t>
  </si>
  <si>
    <t>b*</t>
  </si>
  <si>
    <t>c*</t>
  </si>
  <si>
    <t>d*</t>
  </si>
  <si>
    <t>1) Bidding and contracting procedures.</t>
  </si>
  <si>
    <t>-</t>
  </si>
  <si>
    <t>Nil</t>
  </si>
  <si>
    <t>●</t>
  </si>
  <si>
    <t>2) 銀行保証</t>
  </si>
  <si>
    <t>Design, shop &amp; as-built drawings/documents :</t>
  </si>
  <si>
    <t>設計、施工図、及び竣工図書</t>
  </si>
  <si>
    <t>1) Preparation of a basic design drawings/documents.</t>
  </si>
  <si>
    <t>　 基本設計図書作成</t>
  </si>
  <si>
    <t>　 詳細設計図書作成</t>
  </si>
  <si>
    <t>3) Preparation of an as-built drawings/documents.</t>
  </si>
  <si>
    <t>　 施工図書作成</t>
  </si>
  <si>
    <t>4) Preparation of a operation manual and maintenance manual.</t>
  </si>
  <si>
    <t>　 取説・保守要領作成</t>
  </si>
  <si>
    <t>5) Approval acquisition operation.</t>
  </si>
  <si>
    <t>Support Only</t>
  </si>
  <si>
    <t>　 承認取得業務</t>
  </si>
  <si>
    <t>弊社は助勢</t>
  </si>
  <si>
    <t>6) Application procedure to the regional government office.</t>
  </si>
  <si>
    <t>　関入現地官公庁申請手続</t>
  </si>
  <si>
    <t>Delivery of materials</t>
  </si>
  <si>
    <t>搬入材料</t>
  </si>
  <si>
    <t>1) Procurement of equipment.</t>
  </si>
  <si>
    <t>　機器材調達</t>
  </si>
  <si>
    <t>2) Domestic transportation (until a specified warehouse).</t>
  </si>
  <si>
    <t>　国内運搬（指定倉庫まで）</t>
  </si>
  <si>
    <t>3) Specified warehouse - F. O. B</t>
  </si>
  <si>
    <t>　指定倉庫　（ＦＯＢ）</t>
  </si>
  <si>
    <t>4) Inland freight in local country.</t>
  </si>
  <si>
    <t>　国内空輸</t>
  </si>
  <si>
    <t>5) Site discharging</t>
  </si>
  <si>
    <t>　現場での荷降ろし</t>
  </si>
  <si>
    <t>6)Unpacking, Inspection</t>
  </si>
  <si>
    <t>　梱包を解き、検査</t>
  </si>
  <si>
    <t>7) Warehousing</t>
  </si>
  <si>
    <t xml:space="preserve">   倉庫</t>
  </si>
  <si>
    <t>8) Disposal of packing materials, arrangement and cleaning.</t>
  </si>
  <si>
    <t>　梱包材の清掃、処理</t>
  </si>
  <si>
    <t>9) In-site small transportation</t>
  </si>
  <si>
    <t>　現場内運搬</t>
  </si>
  <si>
    <t>10) Testing &amp; Commissioning</t>
  </si>
  <si>
    <t>　試験調整</t>
  </si>
  <si>
    <t>11) Training of in-site maintenance men for facilities</t>
  </si>
  <si>
    <t>within construction time</t>
  </si>
  <si>
    <t>　 引渡施設に対する現地保守マンのトレーニング</t>
  </si>
  <si>
    <t>工期内</t>
  </si>
  <si>
    <t>12) Observation inspection at equipment manufacturing plant.</t>
  </si>
  <si>
    <t>　  機器製作工場における立合検査</t>
  </si>
  <si>
    <t>D</t>
  </si>
  <si>
    <t>SV. (Supervisor) dispatching :</t>
  </si>
  <si>
    <t>Third countrie staff</t>
  </si>
  <si>
    <t>　  SV・派遣</t>
  </si>
  <si>
    <t>第三国人</t>
  </si>
  <si>
    <t>1) Acquisition of passport.</t>
  </si>
  <si>
    <t>Including cost</t>
  </si>
  <si>
    <t>　  旅券取得</t>
  </si>
  <si>
    <t>コスト含む</t>
  </si>
  <si>
    <t>2) Acquisition of each Visa.</t>
  </si>
  <si>
    <t>　  各種 Visa 取得</t>
  </si>
  <si>
    <t>3) Airticket (or Transportation) (included home leave )</t>
  </si>
  <si>
    <t>　  航空券（一時帰国分共）</t>
  </si>
  <si>
    <t>4) Meals.</t>
  </si>
  <si>
    <t>　  食費</t>
  </si>
  <si>
    <t>5) Site commuting car.</t>
  </si>
  <si>
    <t>　 現場通勤用車輌</t>
  </si>
  <si>
    <t>6) Maintenance and control for the above.</t>
  </si>
  <si>
    <t>　 同上維持・管理</t>
  </si>
  <si>
    <t>7) Work clothes, shoes, helmet.</t>
  </si>
  <si>
    <t>　 作業着、靴、ヘルメット</t>
  </si>
  <si>
    <t>8) Transportation expenses after airport in local country and seeing off and meeting.</t>
  </si>
  <si>
    <r>
      <t xml:space="preserve"> </t>
    </r>
    <r>
      <rPr>
        <sz val="10"/>
        <rFont val="ＭＳ 明朝"/>
        <family val="1"/>
        <charset val="128"/>
      </rPr>
      <t>※</t>
    </r>
    <r>
      <rPr>
        <sz val="10"/>
        <rFont val="Times New Roman"/>
        <family val="1"/>
      </rPr>
      <t xml:space="preserve"> In principle, the site staying period should be ( - ) months and  ( - ) weeks home leave (including entry day and leaving day) should be recognized.</t>
    </r>
  </si>
  <si>
    <r>
      <t xml:space="preserve">     </t>
    </r>
    <r>
      <rPr>
        <sz val="10"/>
        <rFont val="ＭＳ Ｐ明朝"/>
        <family val="1"/>
        <charset val="128"/>
      </rPr>
      <t>原則として現場常駐期間は</t>
    </r>
    <r>
      <rPr>
        <sz val="10"/>
        <rFont val="Times New Roman"/>
        <family val="1"/>
      </rPr>
      <t>(-)</t>
    </r>
    <r>
      <rPr>
        <sz val="10"/>
        <rFont val="ＭＳ Ｐ明朝"/>
        <family val="1"/>
        <charset val="128"/>
      </rPr>
      <t>月間及び</t>
    </r>
    <r>
      <rPr>
        <sz val="10"/>
        <rFont val="Times New Roman"/>
        <family val="1"/>
      </rPr>
      <t>(-)</t>
    </r>
    <r>
      <rPr>
        <sz val="10"/>
        <rFont val="ＭＳ Ｐ明朝"/>
        <family val="1"/>
        <charset val="128"/>
      </rPr>
      <t>週間の一時帰国は認められるものとする。　　　　　　　　　　　　　　　　　　　　　　　　　　（出発及び帰国日は含むものとする）</t>
    </r>
  </si>
  <si>
    <t>E</t>
  </si>
  <si>
    <t>People of local country :</t>
  </si>
  <si>
    <t>現地作業員</t>
  </si>
  <si>
    <t xml:space="preserve">R-0 1st Submission </t>
  </si>
  <si>
    <t>Telephone outlet  wall mounted RJ11</t>
  </si>
  <si>
    <t xml:space="preserve">LAN outlet wall mounted RJ45 </t>
  </si>
  <si>
    <t xml:space="preserve">LAN SYSTEM EMPTY CONDUIT </t>
  </si>
  <si>
    <t xml:space="preserve">Main Server, Patch panel, Cabinet rack,… </t>
  </si>
  <si>
    <t>Cu/PVC/PVC 10P-1.5mm2</t>
  </si>
  <si>
    <t>Cu/PVC/PVC 5P-1.5mm2</t>
  </si>
  <si>
    <t xml:space="preserve">LAN cable &amp; wiring </t>
  </si>
  <si>
    <t xml:space="preserve">Single Switch 1 Gang 1 way </t>
  </si>
  <si>
    <t xml:space="preserve">Single Switch 1 Gang 2 way </t>
  </si>
  <si>
    <t>191-2</t>
  </si>
  <si>
    <t>191-3</t>
  </si>
  <si>
    <t>191-4</t>
  </si>
  <si>
    <t>m3</t>
  </si>
  <si>
    <t>Transportation</t>
  </si>
  <si>
    <t>Set</t>
  </si>
  <si>
    <t>171-4</t>
  </si>
  <si>
    <t>Transformer</t>
  </si>
  <si>
    <t>171-5</t>
  </si>
  <si>
    <t>UPS</t>
  </si>
  <si>
    <t>FA System</t>
  </si>
  <si>
    <t>PA System</t>
  </si>
  <si>
    <t>182-2</t>
  </si>
  <si>
    <t>182-7</t>
  </si>
  <si>
    <t>MATV System</t>
  </si>
  <si>
    <t>183-3</t>
  </si>
  <si>
    <t>183-4</t>
  </si>
  <si>
    <t>Maintenance</t>
  </si>
  <si>
    <t>183-5</t>
  </si>
  <si>
    <t>generator Transportation</t>
  </si>
  <si>
    <t>184</t>
  </si>
  <si>
    <t>Solar Power System</t>
  </si>
  <si>
    <t>TEL/LAN System</t>
  </si>
  <si>
    <t>Intercom System</t>
  </si>
  <si>
    <t>Authority Application, T&amp;C</t>
  </si>
  <si>
    <t>186-1</t>
  </si>
  <si>
    <t>Mechanical Works</t>
  </si>
  <si>
    <t>Support &amp; accessaries for A/C</t>
  </si>
  <si>
    <t>Refrigerant copper pipe &amp; Insulation</t>
  </si>
  <si>
    <t>Drain Pipe c/w Insulation for A/C</t>
  </si>
  <si>
    <t>191-9</t>
  </si>
  <si>
    <t>Pump &amp; Tank</t>
  </si>
  <si>
    <t>194-1</t>
  </si>
  <si>
    <t>Fire Hydrant &amp; for Fire system</t>
  </si>
  <si>
    <t>194-2</t>
  </si>
  <si>
    <t>Electric Water Heater</t>
  </si>
  <si>
    <t>UPVC Pipes</t>
  </si>
  <si>
    <t>Power intake station</t>
  </si>
  <si>
    <t>1 lot</t>
  </si>
  <si>
    <t>Cable 24KV</t>
  </si>
  <si>
    <t>H.V terminantion kit (indoor type)</t>
  </si>
  <si>
    <t>unit</t>
  </si>
  <si>
    <t>Support for above</t>
  </si>
  <si>
    <t>171-1</t>
  </si>
  <si>
    <t>By other (Civil work)</t>
  </si>
  <si>
    <t>Oil pit (concrete)</t>
  </si>
  <si>
    <t>Earthing Panel</t>
  </si>
  <si>
    <t>Hanger and support for above</t>
  </si>
  <si>
    <t>Checking &amp; permission</t>
  </si>
  <si>
    <t>Testing Fee by authority</t>
  </si>
  <si>
    <t>Design &amp; approval fee</t>
  </si>
  <si>
    <t>Inspection fee for Power Company</t>
  </si>
  <si>
    <t>Consumption material</t>
  </si>
  <si>
    <t>111-5</t>
  </si>
  <si>
    <t>No</t>
  </si>
  <si>
    <t>Accessories for above</t>
  </si>
  <si>
    <t>Earthing system for LV system</t>
  </si>
  <si>
    <t>Miscellaneous material for above</t>
  </si>
  <si>
    <t>Power For Production System</t>
  </si>
  <si>
    <t>General Power Supply</t>
  </si>
  <si>
    <t>132-1</t>
  </si>
  <si>
    <t>Cable 0.6/1KV</t>
  </si>
  <si>
    <t xml:space="preserve">Cable ladder (Power coated paint) </t>
  </si>
  <si>
    <t>W1000xH100</t>
  </si>
  <si>
    <t>W300xH100</t>
  </si>
  <si>
    <t xml:space="preserve">Primary </t>
  </si>
  <si>
    <t>Secondary</t>
  </si>
  <si>
    <t xml:space="preserve">Isolator </t>
  </si>
  <si>
    <t>3P 20A</t>
  </si>
  <si>
    <t>Switch 1way 1 gang with neon lamp</t>
  </si>
  <si>
    <t>LV Termination</t>
    <phoneticPr fontId="3" type="noConversion"/>
  </si>
  <si>
    <t>191-1</t>
    <phoneticPr fontId="3" type="noConversion"/>
  </si>
  <si>
    <t>Air Con</t>
    <phoneticPr fontId="3" type="noConversion"/>
  </si>
  <si>
    <t>159-1</t>
    <phoneticPr fontId="3" type="noConversion"/>
  </si>
  <si>
    <t>Misce material</t>
    <phoneticPr fontId="3" type="noConversion"/>
  </si>
  <si>
    <t>158</t>
    <phoneticPr fontId="3" type="noConversion"/>
  </si>
  <si>
    <t>Sanitary ware</t>
    <phoneticPr fontId="3" type="noConversion"/>
  </si>
  <si>
    <t>Q'ty sub-main</t>
    <phoneticPr fontId="3" type="noConversion"/>
  </si>
  <si>
    <t>Sanyo Eng. &amp; Const Vietnam Co., Ltd. (SECV)</t>
    <phoneticPr fontId="52"/>
  </si>
  <si>
    <t>OVERHEAD &amp; PROFIT</t>
    <phoneticPr fontId="51"/>
  </si>
  <si>
    <t xml:space="preserve">SANYO  ENGINEERING  &amp;  CONSTRUCTION  </t>
  </si>
  <si>
    <t>VIETNAM Co., LTD. HO CHI MINH CITY BRANCH.</t>
  </si>
  <si>
    <t xml:space="preserve">Cu/PVC/PVC 4C-4mm2 </t>
  </si>
  <si>
    <t>N.A</t>
  </si>
  <si>
    <t>Cu/PVC 3x1C-2.5mm2</t>
  </si>
  <si>
    <t>Remote ON-OFF button</t>
  </si>
  <si>
    <t>4-1</t>
  </si>
  <si>
    <t>4-2</t>
  </si>
  <si>
    <t>Hanger &amp; Support</t>
  </si>
  <si>
    <t>Labour</t>
  </si>
  <si>
    <t>194-8</t>
  </si>
  <si>
    <t>Reinforced Concrete Pipe</t>
  </si>
  <si>
    <t>194-9</t>
  </si>
  <si>
    <t>Pipes fitting &amp; accessaries</t>
  </si>
  <si>
    <t>4-3</t>
  </si>
  <si>
    <t>UPS System Production Machine</t>
  </si>
  <si>
    <t>STANDBY GENERATOR SET</t>
  </si>
  <si>
    <t xml:space="preserve">Standby Generator </t>
  </si>
  <si>
    <t>Generator panel</t>
  </si>
  <si>
    <t>SUMMARY OF ELECTRICAL WORKS</t>
  </si>
  <si>
    <t>TOTAL ELECTRICAL WORKS</t>
  </si>
  <si>
    <t>BREAKDOWN</t>
  </si>
  <si>
    <r>
      <t>111-</t>
    </r>
    <r>
      <rPr>
        <sz val="10"/>
        <rFont val="Arial"/>
        <family val="2"/>
      </rPr>
      <t>8</t>
    </r>
    <phoneticPr fontId="52"/>
  </si>
  <si>
    <t>Manhole</t>
    <phoneticPr fontId="52"/>
  </si>
  <si>
    <t xml:space="preserve">Trunking with cover </t>
  </si>
  <si>
    <t>ELECTRICAL FOR MECHANICAL EQUIPMENT (A.C, FAN, AIR COMP., PUMPS)</t>
  </si>
  <si>
    <t xml:space="preserve">Cu/PVC/PVC 3C-2.5mm2 </t>
  </si>
  <si>
    <t xml:space="preserve">Termination panel </t>
  </si>
  <si>
    <t>ELECTRICAL WORKS</t>
  </si>
  <si>
    <t>TOTAL MAIN FACTORY ELECTRICAL WORKS</t>
  </si>
  <si>
    <t>ELECTRICAL WORK</t>
  </si>
  <si>
    <t>Lighting Fixture (Electronic Ballast)</t>
  </si>
  <si>
    <t>EXTENSION FACTORY</t>
  </si>
  <si>
    <t>Trunking c/w cover 400x100mm</t>
  </si>
  <si>
    <t>Trunking c/w cover 200x100mm</t>
  </si>
  <si>
    <t xml:space="preserve">Telephone cable &amp; wiring </t>
  </si>
  <si>
    <t>Trunking c/w cover 50x50mm</t>
  </si>
  <si>
    <t>3P 32A</t>
  </si>
  <si>
    <t>TELEPHONE SYSTEM EMPTY CONDUIT</t>
  </si>
  <si>
    <t>RC foundation, Concrete dike &amp; fence for Transformer</t>
  </si>
  <si>
    <t xml:space="preserve">             Excluded (By Civil work)</t>
  </si>
  <si>
    <t>Distribution boards</t>
  </si>
  <si>
    <t>(Weatherproof type)</t>
  </si>
  <si>
    <t>Main cable ladder</t>
  </si>
  <si>
    <t>Including Accessories (as standard)</t>
  </si>
  <si>
    <t xml:space="preserve"> - Exhaust silencer </t>
  </si>
  <si>
    <t xml:space="preserve"> - Battery, Battery rack &amp; cable</t>
  </si>
  <si>
    <t xml:space="preserve"> - Battery charger</t>
  </si>
  <si>
    <t xml:space="preserve"> - Flexible exhaust</t>
  </si>
  <si>
    <t>Mechanical accessories including</t>
  </si>
  <si>
    <t xml:space="preserve"> - Exhaust duct, canvas joit radiator and exhaust louver</t>
  </si>
  <si>
    <t xml:space="preserve"> - Support for chimney</t>
  </si>
  <si>
    <t>Genset's foundation</t>
  </si>
  <si>
    <t>Exhaust louver</t>
  </si>
  <si>
    <t>Supporting for above</t>
  </si>
  <si>
    <t>Earth  system for Geneartor system</t>
  </si>
  <si>
    <t>Cable 0.6/1 KV - from Gen.set to DG1</t>
  </si>
  <si>
    <t>Cable 0.6/1 KV - from DG1 to MSB-380V</t>
  </si>
  <si>
    <t>E' Cable</t>
  </si>
  <si>
    <t>Termination for above</t>
  </si>
  <si>
    <t>11</t>
  </si>
  <si>
    <t>RC foundation, Oil pit, Concrete dike &amp; Bund wall for above tank</t>
  </si>
  <si>
    <t xml:space="preserve"> - Chimney 8m c/w insulation cover </t>
  </si>
  <si>
    <t xml:space="preserve"> - Support for the above</t>
  </si>
  <si>
    <t xml:space="preserve"> - Piping &amp; fittngs for system from Fuel tank to Gen.sets</t>
  </si>
  <si>
    <t xml:space="preserve">   (Estimate length from Genset to Tank: 12m)</t>
  </si>
  <si>
    <t>1 No</t>
  </si>
  <si>
    <t>Support for chimney</t>
  </si>
  <si>
    <t>EMERGENCY POWER BACK-UP GENERATOR (Open type - Noise Level 105 dB)</t>
  </si>
  <si>
    <t>3P 100A</t>
  </si>
  <si>
    <t>Trunking (Power coated paint)  with cover</t>
  </si>
  <si>
    <t xml:space="preserve">GI conduit </t>
  </si>
  <si>
    <t>GI Flexible conduit</t>
  </si>
  <si>
    <t>DN50</t>
  </si>
  <si>
    <t>LV Main Switch Board (MSB-380V-2)</t>
  </si>
  <si>
    <t xml:space="preserve"> - Fuel daily tank 4,000 liters </t>
  </si>
  <si>
    <t>W200xH100</t>
  </si>
  <si>
    <t>Load Bank 1500KVA</t>
  </si>
  <si>
    <t>DN25 - E25</t>
  </si>
  <si>
    <t>W200xH50</t>
  </si>
  <si>
    <t>W100xH50</t>
  </si>
  <si>
    <t xml:space="preserve">Cu/PVC/PVC 4C-2.5mm2 </t>
  </si>
  <si>
    <t xml:space="preserve">Cable ladder (HDG)  with cover </t>
  </si>
  <si>
    <t xml:space="preserve">GI flexible conduit </t>
  </si>
  <si>
    <t xml:space="preserve">DN32  </t>
  </si>
  <si>
    <t>12</t>
  </si>
  <si>
    <t>Sub-total 4-1 of Production Primary System</t>
  </si>
  <si>
    <t>Sub-total 4-2 of Production Secondary System</t>
  </si>
  <si>
    <t>Sub-total 4-3 UPS Production Machine</t>
  </si>
  <si>
    <t xml:space="preserve">Sub-total 4 </t>
  </si>
  <si>
    <t>PVC Conduit, Fittings &amp; Accessories</t>
  </si>
  <si>
    <t>GI Conduit, Fittings &amp; Accessories</t>
  </si>
  <si>
    <t>Trunking, Fittings &amp; Accessories</t>
  </si>
  <si>
    <t>Cable Ladder (Hot Dip Galv. Or Powder coated) , Fittings &amp; Accessories</t>
  </si>
  <si>
    <t xml:space="preserve">                               Excluded</t>
  </si>
  <si>
    <t>(By other)</t>
  </si>
  <si>
    <t xml:space="preserve">           (By other)</t>
  </si>
  <si>
    <t xml:space="preserve">          Including above submain item</t>
  </si>
  <si>
    <t>Cu/PVC 1C-185mm2</t>
  </si>
  <si>
    <t xml:space="preserve">                     By other (Civil)</t>
  </si>
  <si>
    <t>(By Civil)</t>
  </si>
  <si>
    <t>（Note）：（●  related）</t>
  </si>
  <si>
    <t>General :                                                                                                                  一般</t>
  </si>
  <si>
    <t>1) 入札及び契約作業</t>
  </si>
  <si>
    <t>2) BOND(Performance)</t>
  </si>
  <si>
    <t>2) Preparation of a shop drawings/documents.</t>
  </si>
  <si>
    <t xml:space="preserve">    現地国空港以降の交通費及び送迎</t>
  </si>
  <si>
    <t xml:space="preserve">   食費</t>
  </si>
  <si>
    <t xml:space="preserve">    現場通勤手段</t>
  </si>
  <si>
    <t xml:space="preserve">    作業着、靴、ヘルメット</t>
  </si>
  <si>
    <t xml:space="preserve">    機械納入</t>
  </si>
  <si>
    <t xml:space="preserve">    　輸送保険</t>
  </si>
  <si>
    <t xml:space="preserve">       輸出代金回収保険</t>
  </si>
  <si>
    <t xml:space="preserve">        盗難保険</t>
  </si>
  <si>
    <t xml:space="preserve">       火災保険</t>
  </si>
  <si>
    <t xml:space="preserve">    現地労災保険</t>
  </si>
  <si>
    <t xml:space="preserve">    　海外旅行傷害保険</t>
  </si>
  <si>
    <t xml:space="preserve">    労働者災害補償保険（現場内）</t>
  </si>
  <si>
    <t xml:space="preserve">    工　事</t>
  </si>
  <si>
    <t xml:space="preserve">    　仮設物火災保険</t>
  </si>
  <si>
    <t xml:space="preserve">    　第三者障害保険</t>
  </si>
  <si>
    <t xml:space="preserve">    工事組立保険</t>
  </si>
  <si>
    <t xml:space="preserve">    　一　般</t>
  </si>
  <si>
    <t xml:space="preserve">   a) Corporate tax　（ＢＩＴ）</t>
  </si>
  <si>
    <t xml:space="preserve">    　事業所得税(BIT)及び付加価値税(VAT)</t>
  </si>
  <si>
    <t xml:space="preserve">    　その他</t>
  </si>
  <si>
    <t xml:space="preserve">    材料納入</t>
  </si>
  <si>
    <t xml:space="preserve">    　輸入税</t>
  </si>
  <si>
    <t xml:space="preserve">    　通関税</t>
  </si>
  <si>
    <t xml:space="preserve">    スーパーバイザー</t>
  </si>
  <si>
    <t xml:space="preserve">    　個人所得税</t>
  </si>
  <si>
    <t xml:space="preserve">    　査証料</t>
  </si>
  <si>
    <t xml:space="preserve">    　地方税</t>
  </si>
  <si>
    <t>1) Site office (Main-Con shall be provided thearea for us)</t>
  </si>
  <si>
    <t xml:space="preserve">    現地事務所用スペース (メインコンが無償で支給）</t>
  </si>
  <si>
    <t xml:space="preserve">    同上備品</t>
  </si>
  <si>
    <t xml:space="preserve">    現地宿泊</t>
  </si>
  <si>
    <t xml:space="preserve">   同上備品</t>
  </si>
  <si>
    <t xml:space="preserve">   機器材倉庫 (メインコンがスペースを無償で支給）</t>
  </si>
  <si>
    <t xml:space="preserve">    作業小屋</t>
  </si>
  <si>
    <t xml:space="preserve">    食堂</t>
  </si>
  <si>
    <t xml:space="preserve">    工事用電源・水源設備</t>
  </si>
  <si>
    <t xml:space="preserve">    　同上使用料（試運転用共）</t>
  </si>
  <si>
    <t xml:space="preserve">    　工事用燃料（試運転用共）</t>
  </si>
  <si>
    <t xml:space="preserve">    　建設用重機（オペレーター共）</t>
  </si>
  <si>
    <t>Vehicle　　　　　　　　　　　　　車　　輌</t>
  </si>
  <si>
    <t>unit/period　　　　　　　　台数・期間</t>
  </si>
  <si>
    <t xml:space="preserve">Large type Truck              大型ﾄﾗｯｸ        </t>
  </si>
  <si>
    <t>xxxx/(     )t/car     xxxx/(     )t/車</t>
  </si>
  <si>
    <t>Medium type Truck中型ﾄﾗｯｸ　</t>
  </si>
  <si>
    <t xml:space="preserve">Small type Truck 　　　　　　小型ﾄﾗｯｸ    </t>
  </si>
  <si>
    <t>Truck crane  　　　　　　　　　    ｸﾚｰﾝ車     　</t>
  </si>
  <si>
    <t>Unic truck　　　　　　　　　　　　　ユニック車</t>
  </si>
  <si>
    <t>Shovel Truck　　　　　　　　掘削車</t>
  </si>
  <si>
    <t>Tower crane  　　　          タワークレーン　　　</t>
  </si>
  <si>
    <t>Pick-up truck　　　　　　ピックアップ</t>
  </si>
  <si>
    <t>Passenger car　　　　　　乗用車</t>
  </si>
  <si>
    <t>Damp truck　　　　　　　　ダンプ車</t>
  </si>
  <si>
    <t>Refrigerator car　　　　　　　冷凍車</t>
  </si>
  <si>
    <t>Water tank truck　　　　　給水車</t>
  </si>
  <si>
    <t>Fork lift　　　　　　　　　　　　　　フォークリフト</t>
  </si>
  <si>
    <t xml:space="preserve">    　同上維持・管理</t>
  </si>
  <si>
    <t xml:space="preserve">    　工事用 Sub-Con 専用車輌</t>
  </si>
  <si>
    <t xml:space="preserve">    　工事用足場（材工共）</t>
  </si>
  <si>
    <t xml:space="preserve">    　工事用道工具</t>
  </si>
  <si>
    <t xml:space="preserve">    　コピーマシン、コピー紙、青焼原紙</t>
  </si>
  <si>
    <t xml:space="preserve">    　事務用品</t>
  </si>
  <si>
    <t xml:space="preserve">    　工事用アセチレン、酸素等</t>
  </si>
  <si>
    <t xml:space="preserve">    　資料盗難防止設備及びその維持管理</t>
  </si>
  <si>
    <t xml:space="preserve">    　試運転調整用工具及び計器</t>
  </si>
  <si>
    <t xml:space="preserve">    　救急医療設備</t>
  </si>
  <si>
    <t>2４) Temporary Toilet</t>
  </si>
  <si>
    <t xml:space="preserve">    　仮設トイレ</t>
  </si>
  <si>
    <t>工     事</t>
  </si>
  <si>
    <t xml:space="preserve">    根代、埋め戻し、残土処分</t>
  </si>
  <si>
    <t xml:space="preserve">    機器材搬入口設置工事</t>
  </si>
  <si>
    <t xml:space="preserve">    上記図面作成</t>
  </si>
  <si>
    <t xml:space="preserve">    機器搬入用フック類取付</t>
  </si>
  <si>
    <t xml:space="preserve">    機器類基礎築造</t>
  </si>
  <si>
    <t xml:space="preserve">    コンクリート躯体開口部穴埋め荒補修</t>
  </si>
  <si>
    <t>　 上記補強</t>
  </si>
  <si>
    <t xml:space="preserve">    同上仕上</t>
  </si>
  <si>
    <t>　 鉄骨開口及び補強</t>
  </si>
  <si>
    <t xml:space="preserve">    天井・壁ボードの開口及び補強</t>
  </si>
  <si>
    <t xml:space="preserve">     機械設備の制御盤及び制御線工事</t>
  </si>
  <si>
    <t xml:space="preserve">    　埋設配管の保護コンクリート</t>
  </si>
  <si>
    <t xml:space="preserve">    　雑工事用コンクリート、砂、砂袋、補強材</t>
  </si>
  <si>
    <t>19) Any items does not mention in this quotation</t>
  </si>
  <si>
    <t xml:space="preserve">    瑕疵保証</t>
  </si>
  <si>
    <t xml:space="preserve">    　引渡し後  (     12  months)</t>
  </si>
  <si>
    <t xml:space="preserve">      船積後   (           months)</t>
  </si>
  <si>
    <t xml:space="preserve">Unit A, 6 Fl., HDTC Building, 36 Bui Thi Xuan Street, </t>
  </si>
  <si>
    <t>Ben Thanh Ward, District 1, Ho Chi Minh City.</t>
  </si>
  <si>
    <r>
      <t>(TEL) : (84-8</t>
    </r>
    <r>
      <rPr>
        <sz val="10"/>
        <rFont val="Arial"/>
        <family val="2"/>
      </rPr>
      <t>) 6</t>
    </r>
    <r>
      <rPr>
        <sz val="11"/>
        <rFont val="Arial"/>
        <family val="2"/>
      </rPr>
      <t xml:space="preserve">2915386 </t>
    </r>
    <r>
      <rPr>
        <sz val="10"/>
        <rFont val="Arial"/>
        <family val="2"/>
      </rPr>
      <t xml:space="preserve">      (FAX) : (8</t>
    </r>
    <r>
      <rPr>
        <sz val="11"/>
        <rFont val="Arial"/>
        <family val="2"/>
      </rPr>
      <t>4-8</t>
    </r>
    <r>
      <rPr>
        <sz val="10"/>
        <rFont val="Arial"/>
        <family val="2"/>
      </rPr>
      <t>) 62915387</t>
    </r>
  </si>
  <si>
    <t>Person in Charge: A. Kohno M/P 0902178978 (VN TEL.)</t>
  </si>
  <si>
    <t>SAIGON PRECISION LT1 PHASE-4 FACTORY</t>
  </si>
  <si>
    <t>EXTERNAL AREA (GUARD HOUSE, BIKE PARKING, CAR PARKING,..)</t>
  </si>
  <si>
    <t>TOTAL OFFICE ELECTRICAL WORKS</t>
  </si>
  <si>
    <t xml:space="preserve">Concrete Pole  </t>
  </si>
  <si>
    <t>12m</t>
  </si>
  <si>
    <t xml:space="preserve">Concrete casting for foundation </t>
  </si>
  <si>
    <t>Crossarm</t>
  </si>
  <si>
    <t>L75x75x8 2.4m c/w support HDG - VN</t>
  </si>
  <si>
    <t xml:space="preserve">Pin insulator </t>
  </si>
  <si>
    <t>Strain clamp</t>
  </si>
  <si>
    <t>Recloser 3P 630A 24kA</t>
  </si>
  <si>
    <t>DS 3P 630A 24kA</t>
  </si>
  <si>
    <t>LA 18kV - 10kA</t>
  </si>
  <si>
    <t>Fixing Materials for above</t>
  </si>
  <si>
    <t>Hotline Clamp</t>
  </si>
  <si>
    <t>CT 24KV-30/5A</t>
  </si>
  <si>
    <t>3 Nos</t>
  </si>
  <si>
    <t>PT 24KV - 12000V/120V</t>
  </si>
  <si>
    <t xml:space="preserve">KWH meter  </t>
  </si>
  <si>
    <t>1 No.</t>
  </si>
  <si>
    <t xml:space="preserve">Earthing system </t>
  </si>
  <si>
    <t>Fixing material for above</t>
  </si>
  <si>
    <t>22KV Cable</t>
  </si>
  <si>
    <t xml:space="preserve">Electric Flexible pipe </t>
  </si>
  <si>
    <t>FEP D150</t>
  </si>
  <si>
    <t>Manhole W/cover(Iron casting)</t>
  </si>
  <si>
    <t>1200Wx1200Lx1200D</t>
  </si>
  <si>
    <t>Excavation &amp; Backfilling</t>
  </si>
  <si>
    <t>Sand for backfilling</t>
  </si>
  <si>
    <t>Warning tape</t>
  </si>
  <si>
    <t>Marking materials for high voltage line</t>
  </si>
  <si>
    <t xml:space="preserve">Encasing Concrete for protection FEP crossing road </t>
  </si>
  <si>
    <t/>
  </si>
  <si>
    <t>Measuring including</t>
  </si>
  <si>
    <t>Cu/XLPE/DSTA/PVC  185sqmm-3C</t>
  </si>
  <si>
    <t xml:space="preserve">XLPE/PVC 70sqmm-1C </t>
  </si>
  <si>
    <t>HV panels</t>
  </si>
  <si>
    <t xml:space="preserve">Consumer's 24KV switchgear </t>
  </si>
  <si>
    <t>Including</t>
  </si>
  <si>
    <t>- Metering Panel: CTs, VTs &amp; Multimeter</t>
  </si>
  <si>
    <t>Set of cable connection</t>
  </si>
  <si>
    <t>Cable trench/ pit</t>
  </si>
  <si>
    <t>FDB-3</t>
  </si>
  <si>
    <t>FDB-4</t>
  </si>
  <si>
    <t>FDB-5</t>
  </si>
  <si>
    <t>FDB-6</t>
  </si>
  <si>
    <t>FDB-7</t>
  </si>
  <si>
    <t>MCC-PAC-1</t>
  </si>
  <si>
    <t>MCC-PAC-2</t>
  </si>
  <si>
    <t>MCC-PAC-3</t>
  </si>
  <si>
    <t>MCC-PAC-4</t>
  </si>
  <si>
    <t>MCC-PAC-5</t>
  </si>
  <si>
    <t>MCC-PAC-6</t>
  </si>
  <si>
    <t>MCC-COM</t>
  </si>
  <si>
    <t>PDB-6</t>
  </si>
  <si>
    <t>PDB-7</t>
  </si>
  <si>
    <t>PDB-8</t>
  </si>
  <si>
    <t>PDB-9</t>
  </si>
  <si>
    <t>PDB-10</t>
  </si>
  <si>
    <t>PDB-12</t>
  </si>
  <si>
    <t>PDB-13</t>
  </si>
  <si>
    <t>FDB-1</t>
  </si>
  <si>
    <t>MCC-PAC-7</t>
  </si>
  <si>
    <t>MCC-PAC-8</t>
  </si>
  <si>
    <t>MCC-FP</t>
  </si>
  <si>
    <t>LIGHTNING PROTECTION SYSTEM</t>
  </si>
  <si>
    <t>Air terminal ESE type</t>
  </si>
  <si>
    <t>Stormaster 60; R=107m</t>
  </si>
  <si>
    <t>Steel support pole for above c/w guy wire</t>
  </si>
  <si>
    <t>6m</t>
  </si>
  <si>
    <t>Earth Termination box</t>
  </si>
  <si>
    <t xml:space="preserve">Lightning conductor </t>
  </si>
  <si>
    <t>Fittings and support for above</t>
  </si>
  <si>
    <t>Earth Test box c/w clamp</t>
  </si>
  <si>
    <t>PVC conduit for down conductor</t>
  </si>
  <si>
    <t>Earth Chamber c/w earth rods (Earth Resistance under 10Ohm)</t>
  </si>
  <si>
    <t xml:space="preserve">Authority's Earth Resistance Certificate </t>
  </si>
  <si>
    <t>STANDBY 1000KVA 3PH 4W 400V GENERATOR</t>
  </si>
  <si>
    <t>(ACB 3P 1600AF/1600AT)</t>
  </si>
  <si>
    <t>GENERATOR Panel  (DG-1)</t>
  </si>
  <si>
    <t>Fire alarm panel 20 zone (Located in Office)</t>
  </si>
  <si>
    <t>Smoke detector</t>
  </si>
  <si>
    <t>Fixed temperature heat detector</t>
  </si>
  <si>
    <t>Trunking c/w cover 200x50mm</t>
  </si>
  <si>
    <t xml:space="preserve">Public Address equipment </t>
  </si>
  <si>
    <t xml:space="preserve">- Cabinet Rack &amp; Accessories </t>
  </si>
  <si>
    <t>Horn speaker 15W</t>
  </si>
  <si>
    <t>Ceiling speaker 3W</t>
  </si>
  <si>
    <t>Volume control</t>
  </si>
  <si>
    <t>PVC Flexible conduit</t>
  </si>
  <si>
    <t>Trunking c/w cover 100x50mm</t>
  </si>
  <si>
    <t>By Other</t>
  </si>
  <si>
    <t>Out of scope</t>
  </si>
  <si>
    <t>Telephone outlet  floor mounted RJ11</t>
  </si>
  <si>
    <t xml:space="preserve">LAN outlet floor mounted RJ45 </t>
  </si>
  <si>
    <t>Cu/PVC/PVC 20P-1.5mm2</t>
  </si>
  <si>
    <t>FEP D50</t>
  </si>
  <si>
    <t>FEP D80</t>
  </si>
  <si>
    <t xml:space="preserve">Trunking (Power coated paint) </t>
  </si>
  <si>
    <t>W100xH100</t>
  </si>
  <si>
    <t>OFFICE AREA</t>
  </si>
  <si>
    <t xml:space="preserve">PHASE 4 FACTORY AREA </t>
  </si>
  <si>
    <t>TOTAL EXTERNAL AREA ELECTRICAL WORKS</t>
  </si>
  <si>
    <t xml:space="preserve">                            By EVN</t>
  </si>
  <si>
    <t>Sub-total 12</t>
  </si>
  <si>
    <t>Single Switch 1 Gang 1 way (WP)</t>
  </si>
  <si>
    <t>Single socket outlet, 3pins for Emer. Light</t>
  </si>
  <si>
    <t xml:space="preserve">Double socket outlet, 3pins wall mounted </t>
  </si>
  <si>
    <t>Isolator for crane</t>
  </si>
  <si>
    <t>Isolator for shutter</t>
  </si>
  <si>
    <t>Thermostat</t>
  </si>
  <si>
    <t xml:space="preserve">Trunking (Power coated paint) c/w cover  </t>
  </si>
  <si>
    <t xml:space="preserve">Trunking (HDG) c/w cover  </t>
  </si>
  <si>
    <t xml:space="preserve">Double socket outlet, 3pins floor mounted </t>
  </si>
  <si>
    <t>W75xH50</t>
  </si>
  <si>
    <t>Street light (SON) 250W c/w pole 6m</t>
  </si>
  <si>
    <t>Angle bolt c/w concrete foundation</t>
  </si>
  <si>
    <t>Pull box</t>
  </si>
  <si>
    <t>100x100x50</t>
  </si>
  <si>
    <t>Junction box</t>
  </si>
  <si>
    <t>Flexible pipe</t>
  </si>
  <si>
    <t>Socket outlet for Production</t>
  </si>
  <si>
    <t>Cable ladder (Power coated paint)</t>
  </si>
  <si>
    <t>22kV Main network - Change overhead line to Underground cable</t>
  </si>
  <si>
    <t>Property of EVN</t>
  </si>
  <si>
    <t>W600xH100</t>
  </si>
  <si>
    <t>Lighting Fixture  FL36W x 2 Metal Reflector Type</t>
  </si>
  <si>
    <t>Lighting Fixture  FL36W x 2  V-shape Type</t>
  </si>
  <si>
    <t>Metal Halide Light 400W</t>
  </si>
  <si>
    <t>Down light PLC26Wx2 with glass cover</t>
  </si>
  <si>
    <t>2P 20A</t>
  </si>
  <si>
    <t>ELECTRICAL FOR MECHANICAL EQUIPMENT (A.C, FAN, GATE MOTOR., PUMPS)</t>
  </si>
  <si>
    <t xml:space="preserve">ABB or equivalent </t>
  </si>
  <si>
    <r>
      <t>　　　施工会社名</t>
    </r>
    <r>
      <rPr>
        <sz val="8"/>
        <color indexed="8"/>
        <rFont val="Arial"/>
        <family val="2"/>
      </rPr>
      <t xml:space="preserve"> :Shimizu CORPORATION</t>
    </r>
  </si>
  <si>
    <t>ELECTRICAL SYSTEM</t>
  </si>
  <si>
    <t>Breakers &amp; main components</t>
  </si>
  <si>
    <t>Import &amp; Local manufacture</t>
  </si>
  <si>
    <t>Team 68</t>
  </si>
  <si>
    <t>3C-4sqmm Cu/XLPE/PVC</t>
  </si>
  <si>
    <t>3C-2.5sqmm Cu/XLPE/PVC</t>
  </si>
  <si>
    <t xml:space="preserve">Secondary for Production Machine </t>
  </si>
  <si>
    <t>Floor socket for Shaft-Holder &amp; Bearing-Holder</t>
  </si>
  <si>
    <r>
      <t>1 set of 4 Nos x 1</t>
    </r>
    <r>
      <rPr>
        <sz val="10"/>
        <color indexed="8"/>
        <rFont val="Symbol"/>
        <family val="1"/>
        <charset val="2"/>
      </rPr>
      <t>F</t>
    </r>
    <r>
      <rPr>
        <sz val="10"/>
        <color indexed="8"/>
        <rFont val="Arial"/>
        <family val="2"/>
      </rPr>
      <t>-250V 2P+E 25A</t>
    </r>
  </si>
  <si>
    <t xml:space="preserve">Cu/XLPE/PVC 3C-4mm2 </t>
  </si>
  <si>
    <t>Socket outlet for for Grapevine Trellis Wiring system</t>
  </si>
  <si>
    <t xml:space="preserve"> Grapevine Trellis Wiring system</t>
  </si>
  <si>
    <t xml:space="preserve">Cable tray with cover </t>
  </si>
  <si>
    <t>W400xH100</t>
  </si>
  <si>
    <t>Mirror light FL8Wx1</t>
  </si>
  <si>
    <t>Switch boxes for light fixture in Production Area, Plating Area</t>
  </si>
  <si>
    <t>100P</t>
  </si>
  <si>
    <t>50P</t>
  </si>
  <si>
    <t>30P</t>
  </si>
  <si>
    <t>From MSB-1 To FDB-3</t>
  </si>
  <si>
    <t>From MSB-1 To FDB-4</t>
  </si>
  <si>
    <t>From MSB-1 To FDB-5</t>
  </si>
  <si>
    <t>From MSB-1 To FDB-6</t>
  </si>
  <si>
    <t>From MSB-1 To FDB-7</t>
  </si>
  <si>
    <t>From MSB-1 To MCC-PAC-1</t>
  </si>
  <si>
    <t>From MSB-1 To MCC-PAC-2</t>
  </si>
  <si>
    <t>From MSB-1 To MCC-PAC-3</t>
  </si>
  <si>
    <t>From MSB-1 To MCC-PAC-4</t>
  </si>
  <si>
    <t>From MSB-1 To MCC-PAC-5</t>
  </si>
  <si>
    <t>From MSB-1 To MCC-PAC-6</t>
  </si>
  <si>
    <t>From MSB-1 To MCC-COMP</t>
  </si>
  <si>
    <t>From MSB-1 To MCC-FP</t>
  </si>
  <si>
    <t xml:space="preserve">PDB-5.1 </t>
  </si>
  <si>
    <t xml:space="preserve">PDB-5.2 </t>
  </si>
  <si>
    <t xml:space="preserve">PDB-1 </t>
  </si>
  <si>
    <t xml:space="preserve">PDB-2 </t>
  </si>
  <si>
    <t xml:space="preserve">PDB-3 </t>
  </si>
  <si>
    <t>PDB-11-1</t>
  </si>
  <si>
    <t>PDB-11-2</t>
  </si>
  <si>
    <t>From MSB-2 To PDB-1</t>
  </si>
  <si>
    <t>From MSB-2 To PDB-2</t>
  </si>
  <si>
    <t>From MSB-2 To PDB-3</t>
  </si>
  <si>
    <t>From MSB-2 To PDB-5-1</t>
  </si>
  <si>
    <t>From MSB-2 To PDB-5-2</t>
  </si>
  <si>
    <t xml:space="preserve">From MSB-1 To FDB-1 </t>
  </si>
  <si>
    <t xml:space="preserve">From MSB-1 To MCC-PAC-7 </t>
  </si>
  <si>
    <t>From MSB-1 To MCC-PAC-8</t>
  </si>
  <si>
    <t>Cu/XLPE/PVC 3C-50mm2</t>
  </si>
  <si>
    <t>22kV, 3C-50mm2</t>
  </si>
  <si>
    <t>●</t>
    <phoneticPr fontId="68"/>
  </si>
  <si>
    <t>21) UPS system</t>
  </si>
  <si>
    <t>23) MATV system (Satellite Antenna)</t>
  </si>
  <si>
    <t>24) CCTV system</t>
  </si>
  <si>
    <t>25) Access control &amp; Security system</t>
  </si>
  <si>
    <t>26) Alarm monitoring system</t>
  </si>
  <si>
    <t xml:space="preserve">20) Moving the top line of high voltage to underground </t>
  </si>
  <si>
    <t>22) Invidual down transformer for specific voltage (200V, 100V) for Production machine</t>
  </si>
  <si>
    <t>27) Main equipment &amp; cabling of TEL &amp; LAN system</t>
  </si>
  <si>
    <t>28) BMS</t>
  </si>
  <si>
    <t>Oil Mist Filter</t>
  </si>
  <si>
    <t>l</t>
  </si>
  <si>
    <t>Al/XLPE/PVC 1C-400mm2 x 20</t>
  </si>
  <si>
    <t>4C-25sqmm Al/XLPE/PVC + E PVC 16sqmm</t>
  </si>
  <si>
    <t xml:space="preserve">4C-70sqmm Al/XLPE/PVC + E 1C-35sqmm Al/PVC </t>
  </si>
  <si>
    <t>13</t>
  </si>
  <si>
    <t>WATER LEAKING ALARM (FOR PLATING AREA)</t>
  </si>
  <si>
    <t xml:space="preserve">Water leaking alarm Panel </t>
  </si>
  <si>
    <t xml:space="preserve">DC Power supply unit </t>
  </si>
  <si>
    <t xml:space="preserve">Buzzer, Flash Light </t>
  </si>
  <si>
    <t xml:space="preserve">Water leaking sensor cable </t>
  </si>
  <si>
    <t xml:space="preserve">Cable PVC/PVC 2C-1.5mm2 </t>
  </si>
  <si>
    <t>Sub-total 13</t>
  </si>
  <si>
    <t>111E-1</t>
  </si>
  <si>
    <t>111E-2</t>
  </si>
  <si>
    <t>111E-3</t>
  </si>
  <si>
    <t>111E-4</t>
  </si>
  <si>
    <t>151-HV</t>
  </si>
  <si>
    <t>Incoming Material</t>
  </si>
  <si>
    <t>111-8</t>
  </si>
  <si>
    <t>Material Total</t>
  </si>
  <si>
    <t>Elect Labour</t>
  </si>
  <si>
    <t>Labour Total</t>
  </si>
  <si>
    <t>151</t>
  </si>
  <si>
    <t>210</t>
  </si>
  <si>
    <t>159</t>
  </si>
  <si>
    <t>121</t>
  </si>
  <si>
    <t>131-1</t>
  </si>
  <si>
    <r>
      <t>132</t>
    </r>
    <r>
      <rPr>
        <sz val="10"/>
        <rFont val="Arial"/>
        <family val="2"/>
      </rPr>
      <t>-1</t>
    </r>
  </si>
  <si>
    <r>
      <t>141-</t>
    </r>
    <r>
      <rPr>
        <sz val="10"/>
        <rFont val="Arial"/>
        <family val="2"/>
      </rPr>
      <t>1</t>
    </r>
  </si>
  <si>
    <t>183</t>
  </si>
  <si>
    <t>181</t>
  </si>
  <si>
    <t>182</t>
  </si>
  <si>
    <t>Water Alarm System</t>
  </si>
  <si>
    <t>111-6</t>
  </si>
  <si>
    <t>Battery &amp; battery chage</t>
  </si>
  <si>
    <t>111M-1</t>
  </si>
  <si>
    <t>111M-2</t>
  </si>
  <si>
    <t>111M-3</t>
  </si>
  <si>
    <t>121-2</t>
  </si>
  <si>
    <t>122</t>
  </si>
  <si>
    <t>154</t>
  </si>
  <si>
    <t>Under sub con</t>
  </si>
  <si>
    <t>Manhole , Floor Drain , Clean Out</t>
  </si>
  <si>
    <t>Duct</t>
  </si>
  <si>
    <t>Duct Insulation</t>
  </si>
  <si>
    <t>195-3</t>
  </si>
  <si>
    <t>300-7</t>
  </si>
  <si>
    <t>Damper</t>
  </si>
  <si>
    <t>Vent Cap / Hood/Louver / Grille</t>
  </si>
  <si>
    <t>Seamless Steel Pipe</t>
  </si>
  <si>
    <t>PPR / HDPE Pipe</t>
  </si>
  <si>
    <t>Accessaries</t>
    <phoneticPr fontId="52"/>
  </si>
  <si>
    <t>Air Compressor (Change Hitachi )</t>
  </si>
  <si>
    <t>E-Q'ty other</t>
  </si>
  <si>
    <t>M-Q'ty</t>
  </si>
  <si>
    <t>From MSB-2 To PDB-8</t>
  </si>
  <si>
    <t>From MSB-2 To PDB-9</t>
  </si>
  <si>
    <t>From MSB-2 To PDB-6</t>
  </si>
  <si>
    <t>From MSB-2 To PDB-7</t>
  </si>
  <si>
    <t>From MSB-2 To PDB-10</t>
  </si>
  <si>
    <t>From MSB-2 To PDB-11-1</t>
  </si>
  <si>
    <t>From MSB-2 To PDB-11-2</t>
  </si>
  <si>
    <t xml:space="preserve">22KV/0.4KV 3P4W Oil Transformer 2,500KVA </t>
  </si>
  <si>
    <t>From MSB-2 To PDB-12</t>
  </si>
  <si>
    <r>
      <t>2 nos of Duplex socket x 1</t>
    </r>
    <r>
      <rPr>
        <sz val="10"/>
        <color indexed="8"/>
        <rFont val="Symbol"/>
        <family val="1"/>
        <charset val="2"/>
      </rPr>
      <t>F</t>
    </r>
    <r>
      <rPr>
        <sz val="10"/>
        <color indexed="8"/>
        <rFont val="Arial"/>
        <family val="2"/>
      </rPr>
      <t>-250V 2P+E 16A</t>
    </r>
  </si>
  <si>
    <t xml:space="preserve">Busduct Aluminum conductor </t>
  </si>
  <si>
    <t xml:space="preserve">Aluminum vertical elbow </t>
  </si>
  <si>
    <t>Flanged end</t>
  </si>
  <si>
    <t xml:space="preserve">Flexible Conductor </t>
  </si>
  <si>
    <t xml:space="preserve">Horizontal hanger </t>
  </si>
  <si>
    <t>FDB-UTI (UTILITY AREA)</t>
  </si>
  <si>
    <t>From MSB-1 To FDB-UTI (UTILITY AREA)</t>
  </si>
  <si>
    <t>From MSB-1 To MCC-WS</t>
  </si>
  <si>
    <t>MCC-GH1</t>
  </si>
  <si>
    <t>MCC-GH2</t>
  </si>
  <si>
    <t>From MSB-1 To MCC-GH1</t>
  </si>
  <si>
    <t>From MSB-1 To MCC-GH2</t>
  </si>
  <si>
    <t>4C-50sqmm Al/XLPE/PVC + E PVC 25sqmm</t>
  </si>
  <si>
    <t>4C-50sqmm Al/XLPE/PVC + E-1C-25sqmm Al/PVC</t>
  </si>
  <si>
    <t>Steel pipe for down cable at  pole D150</t>
  </si>
  <si>
    <t>22kV, 3C-185mm2</t>
  </si>
  <si>
    <t>H.V terminantion kit (outdoor type)</t>
  </si>
  <si>
    <t>(ATS 4P 4000AF/4000AT)</t>
  </si>
  <si>
    <t>4C-25sqmm Al/XLPE/PVC + E 1C-16sqmm Al/PVC</t>
  </si>
  <si>
    <t>4C-35sqmm Al/XLPE/PVC + E 1C-16sqmm Al/PVC</t>
  </si>
  <si>
    <t xml:space="preserve">3x1C-240sqmm Al/XLPE/PVC + 
N 1C-185sqmm Al/XLPE/PVC + 
E 1C-120sqmm Al/PVC </t>
  </si>
  <si>
    <t xml:space="preserve">3x1C-300sqmm Al/XLPE/PVC + 
N 1C-240sqmm Al/XLPE/PVC + 
E 1C-150sqmm Al/PVC </t>
  </si>
  <si>
    <t xml:space="preserve">3x1C-95sqmm Al/XLPE/PVC + 
N 1C-70sqmm Al/XLPE/PVC + 
E 1C-50sqmm Al/PVC </t>
  </si>
  <si>
    <t xml:space="preserve">3x1C-120sqmm Al/XLPE/PVC + 
N 1C-95sqmm Al/XLPE/PVC + 
E 1C-70sqmm Al/PVC </t>
  </si>
  <si>
    <t xml:space="preserve">3x1C-150sqmm Al/XLPE/PVC + 
N 1C-120sqmm Al/XLPE/PVC + 
E 1C-95sqmm Al/PVC </t>
  </si>
  <si>
    <t>PDB-4-1</t>
  </si>
  <si>
    <t>PDB-4-2</t>
  </si>
  <si>
    <t>PDB-4-3</t>
  </si>
  <si>
    <t>PDB-14-1</t>
  </si>
  <si>
    <t>PDB-14-2</t>
  </si>
  <si>
    <t>PDB-15</t>
  </si>
  <si>
    <t>PDB-16</t>
  </si>
  <si>
    <t>PDB-SO-1 (Socket for Grapevine Trellis Wiring)</t>
  </si>
  <si>
    <t>PDB-SO-2 (Socket for Grapevine Trellis Wiring)</t>
  </si>
  <si>
    <t>PDB-SO-3 (Socket for Grapevine Trellis Wiring)</t>
  </si>
  <si>
    <t>PDB-SO-4 (Socket for Grapevine Trellis Wiring)</t>
  </si>
  <si>
    <t xml:space="preserve">3x1C-185sqmm Al/XLPE/PVC + 
N 1C-120sqmm Al/XLPE/PVC + 
E 1C-95sqmm Al/PVC </t>
  </si>
  <si>
    <t xml:space="preserve">3x1C-150sqmm Al/XLPE/PVC + 
N 1C-120sqmm Al/XLPE/PVC + 
E 1C-70sqmm Al/PVC </t>
  </si>
  <si>
    <t>From MSB-2 To PDB-4-1</t>
  </si>
  <si>
    <t>From MSB-2 To PDB-4-2</t>
  </si>
  <si>
    <t>From MSB-2 To PDB-4-3</t>
  </si>
  <si>
    <t xml:space="preserve">3x2x1C-185sqmm Al/XLPE/PVC + 
N 1C-240sqmm Al/XLPE/PVC +
E 1C-185sqmm Al/PVC </t>
  </si>
  <si>
    <t xml:space="preserve">4C-50sqmm Al/XLPE/PVC + E 1C-25sqmm Al/PVC </t>
  </si>
  <si>
    <t xml:space="preserve">4x1C-95sqmm Al/XLPE/PVC + 
E 1C-50sqmm Al/PVC </t>
  </si>
  <si>
    <t>From MSB-1 To PDB-13</t>
  </si>
  <si>
    <t>From MSB-1 To PDB-14-1</t>
  </si>
  <si>
    <t>From MSB-1 To PDB-14-2</t>
  </si>
  <si>
    <t>From MSB-1 To PDB-15</t>
  </si>
  <si>
    <t>From MSB-1 To PDB-16</t>
  </si>
  <si>
    <t xml:space="preserve">From MSB-1 To PDB-SO-1 </t>
  </si>
  <si>
    <t>From MSB-1 To PDB-SO-2</t>
  </si>
  <si>
    <t>From MSB-1 To PDB-SO-3</t>
  </si>
  <si>
    <t>From MSB-1 To PDB-SO-4</t>
  </si>
  <si>
    <t xml:space="preserve">- Outgoing Panel: LBS 22kV 630A 20kA/3s </t>
  </si>
  <si>
    <t>131</t>
    <phoneticPr fontId="51"/>
  </si>
  <si>
    <t>131</t>
    <phoneticPr fontId="51"/>
  </si>
  <si>
    <t>Lighting Fixture  FL36W x 2 Metal Reflector Type c/w moiture proof</t>
  </si>
  <si>
    <t>Lighting Fixture FL 3x36W - Recessed louver type</t>
  </si>
  <si>
    <t>Lighting Fixture  FL 36W x1   V-shape Type</t>
  </si>
  <si>
    <t>Lighting Fixture  FL 36W x2 Weather Proof type</t>
  </si>
  <si>
    <t>Lighting Fixture  FL36W x 2 Metal reflector &amp; Moisture Proof Type</t>
  </si>
  <si>
    <t>Lighting Fixture FL 36W x1 Weather Proof type</t>
  </si>
  <si>
    <t>1200Wx1200Lx1000D</t>
  </si>
  <si>
    <t xml:space="preserve">Lighting Fixture FL 36W x2 V-shape </t>
  </si>
  <si>
    <t xml:space="preserve">Cu/XLPE/DSTA/PVC 3C-6mm2 </t>
  </si>
  <si>
    <t xml:space="preserve">Cu/PVC 3x 4mm2 </t>
  </si>
  <si>
    <t>Isolator for WWTP</t>
  </si>
  <si>
    <t>Isolator for GH air conditioner</t>
  </si>
  <si>
    <t>4C-50sqmm Al/XLPE/PVC + E 1C-25sqmm Al/PVC</t>
  </si>
  <si>
    <t xml:space="preserve">FEP D40 </t>
  </si>
  <si>
    <t>Termination boxes</t>
  </si>
  <si>
    <t>Fire Alarm Annunciator</t>
  </si>
  <si>
    <t>PC-648R</t>
  </si>
  <si>
    <t>Heat detector</t>
  </si>
  <si>
    <t>For annunciator panel</t>
  </si>
  <si>
    <t>For smoke detector in GH 1&amp;2</t>
  </si>
  <si>
    <t>for speakers in GHs</t>
  </si>
  <si>
    <t>Lightning arrester unit with protector 220VAC, 40zones</t>
  </si>
  <si>
    <t>from FACP to Terminal box 1FL</t>
  </si>
  <si>
    <t>for combination box</t>
  </si>
  <si>
    <t>for smokes &amp; heat detectors</t>
  </si>
  <si>
    <t xml:space="preserve"> - Remote Microphone</t>
  </si>
  <si>
    <t xml:space="preserve"> - Junction panel</t>
  </si>
  <si>
    <t>JP-034 Q220</t>
  </si>
  <si>
    <t xml:space="preserve"> - Pre-amplifier</t>
  </si>
  <si>
    <t>PP-025B</t>
  </si>
  <si>
    <t>RM-1100</t>
  </si>
  <si>
    <t xml:space="preserve"> - Speaker selector</t>
  </si>
  <si>
    <t>SS-014Q</t>
  </si>
  <si>
    <t xml:space="preserve"> - Program Timer </t>
  </si>
  <si>
    <t>TT-104B</t>
  </si>
  <si>
    <t xml:space="preserve"> - Power Amplifier 360W </t>
  </si>
  <si>
    <t>VP-1361</t>
  </si>
  <si>
    <t xml:space="preserve"> - Sound repeater</t>
  </si>
  <si>
    <t>EV-20R</t>
  </si>
  <si>
    <t>PC-658R</t>
  </si>
  <si>
    <t>AT-063 AP</t>
  </si>
  <si>
    <t>FDB-2-1</t>
  </si>
  <si>
    <t>FDB-2-2</t>
  </si>
  <si>
    <t>From MSB-1 To FDB-2-1</t>
  </si>
  <si>
    <t>From MSB-1 To FDB-2-2</t>
  </si>
  <si>
    <t>Cu/PVC/PVC 4C-50mm2 + E 1C-50mm2 PVC</t>
  </si>
  <si>
    <t>Cu/PVC/PVC 4C-10mm2  + E 1C-10mm2 PVC</t>
  </si>
  <si>
    <t>Cu/PVC/PVC 4C-6mm2   + E 1C-6mm2 PVC</t>
  </si>
  <si>
    <t>Cu/PVC/PVC 4C-4mm2 + E 1C-4mm2 PVC</t>
  </si>
  <si>
    <t>Cu/PVC/PVC 4C-2.5mm2 + E 1C-2.5mm2 PVC</t>
  </si>
  <si>
    <t xml:space="preserve">PVC flexible conduit </t>
  </si>
  <si>
    <t>Cu/PVC/PVC 4C-2.5mm2  + E 1C-2.5mm2 PVC</t>
  </si>
  <si>
    <t>Trunking c/w cover 100x100mm</t>
  </si>
  <si>
    <t>Cable tray 200x100mm</t>
  </si>
  <si>
    <t>4C-50sqmm Cu/XLPE/PVC + E 1C-25sqmm PVC</t>
  </si>
  <si>
    <t>4C-35sqmm Cu/XLPE/PVC + E 1C-16sqmm PVC</t>
  </si>
  <si>
    <t>4C-16sqmm Cu/XLPE/PVC + E 1C-16sqmm PVC</t>
  </si>
  <si>
    <t>4C-10sqmm Cu/XLPE/PVC + E 1C-10sqmm PVC</t>
  </si>
  <si>
    <t>4C-6sqmm Cu/XLPE/PVC + E 1C-6sqmm PVC</t>
  </si>
  <si>
    <t>4C-4sqmm Cu/XLPE/PVC + E 1C-4sqmm PVC</t>
  </si>
  <si>
    <t>4C-2.5sqmm Cu/XLPE/PVC + E 1C-2.5sqmm PVC</t>
  </si>
  <si>
    <t>Bare Copper wire 95mm2</t>
  </si>
  <si>
    <t xml:space="preserve">LS / or equivalent </t>
  </si>
  <si>
    <t>LS-Vina / Taisin cable</t>
  </si>
  <si>
    <t>Paragon / Formular/ or equivalent</t>
  </si>
  <si>
    <t>Lugiaco/ Hapulico / or Equivalent</t>
  </si>
  <si>
    <t>Paragon / Maxspid / or Equivalent</t>
  </si>
  <si>
    <t xml:space="preserve">Panasonic / or equivalent </t>
  </si>
  <si>
    <t>Nano / AC or equivalent</t>
  </si>
  <si>
    <t>Cat Van Loi / or equivalent</t>
  </si>
  <si>
    <t xml:space="preserve">THT / An thy /  or equivalent </t>
  </si>
  <si>
    <t xml:space="preserve">Panasonic / Clipsal </t>
  </si>
  <si>
    <t>LIGHTING FIXTURE &amp; SOCKET OUTLET SYSTEM</t>
  </si>
  <si>
    <t>POWER SUPPLY TO MECHANICAL SYSTEM</t>
  </si>
  <si>
    <t>Isolator , Socket Outlet</t>
  </si>
  <si>
    <t xml:space="preserve">TOA / or equivalent </t>
  </si>
  <si>
    <t xml:space="preserve">Stormaster / or equivalent </t>
  </si>
  <si>
    <t>Cu/PVC/PVC 3C-1.5mm2</t>
  </si>
  <si>
    <t>SC-615M</t>
  </si>
  <si>
    <t>Cable for WWTP</t>
  </si>
  <si>
    <t>Termination panel in GH 1</t>
  </si>
  <si>
    <t>included in Telephone system</t>
  </si>
  <si>
    <t>- Incoming Panel: LBS 22kV 630A 20kA/3s c/w Relay 50/51N+CTs, Voltage Indicator</t>
  </si>
  <si>
    <r>
      <t>Our quotation cost are based on Dec</t>
    </r>
    <r>
      <rPr>
        <sz val="10"/>
        <color indexed="10"/>
        <rFont val="Times New Roman"/>
        <family val="1"/>
      </rPr>
      <t>./2014</t>
    </r>
    <r>
      <rPr>
        <sz val="10"/>
        <rFont val="Times New Roman"/>
        <family val="1"/>
      </rPr>
      <t>, excluding the expectation for escalation.</t>
    </r>
  </si>
  <si>
    <t>20th, Dec. 2014</t>
  </si>
  <si>
    <t>For Transformer General load</t>
  </si>
  <si>
    <t>For Transformer Production load</t>
  </si>
  <si>
    <t>LV Main Switch Board (MSB-01) - General, 400V 3P 4W</t>
  </si>
  <si>
    <t xml:space="preserve">        Supply &amp; Install by other (Main Cont.)</t>
  </si>
  <si>
    <t>BUSDUCT SYSTEM</t>
  </si>
  <si>
    <t xml:space="preserve">Feeders &amp; main components </t>
  </si>
  <si>
    <t xml:space="preserve">12-16 weeks </t>
  </si>
  <si>
    <t xml:space="preserve">Steel supports </t>
  </si>
  <si>
    <t>Henikwon/ or Equivalent</t>
  </si>
  <si>
    <t xml:space="preserve">                Excluded (By Civil work)</t>
  </si>
  <si>
    <t>Production 3P 4W 400-230V 3P 4W</t>
  </si>
  <si>
    <t xml:space="preserve">                    Supply &amp; Install by other</t>
  </si>
  <si>
    <t xml:space="preserve">                  Excluded (By other)</t>
  </si>
  <si>
    <t>PABX, Power supply unit, Key phone &amp; Console</t>
  </si>
  <si>
    <t>Air terminal ESE</t>
  </si>
  <si>
    <t>TOTAL ELECTRICAL WORKS DIRECT COST</t>
  </si>
  <si>
    <t xml:space="preserve">29) Supply &amp; install of Transformers </t>
  </si>
  <si>
    <t>30) Supply &amp; install of Generator sets</t>
  </si>
  <si>
    <t>COST (SHMZ Instruction 12-Dec.)</t>
  </si>
  <si>
    <t>4000A, 3P 4W, 50% E with AL Housing ground, IP55</t>
  </si>
  <si>
    <t>Excluded Site Office</t>
  </si>
  <si>
    <t>Included</t>
  </si>
  <si>
    <t>Mr. Linh</t>
  </si>
  <si>
    <t>Mr. Trong</t>
  </si>
  <si>
    <t>Mr. Trung</t>
  </si>
  <si>
    <t>E-staff</t>
  </si>
  <si>
    <t xml:space="preserve">3250(lm) </t>
  </si>
  <si>
    <t>EMT 3/4</t>
  </si>
  <si>
    <t>EMT 1</t>
  </si>
  <si>
    <t xml:space="preserve">GI  conduit </t>
  </si>
  <si>
    <t>GI  conduit</t>
  </si>
  <si>
    <t>EMT 1 1/2</t>
  </si>
  <si>
    <t>PERIOD OF VALIDITY : 1month</t>
  </si>
  <si>
    <t xml:space="preserve">R-1 1st Submission (Revised as per Mr. An's comments letter </t>
  </si>
  <si>
    <t>on 26th Dec. 2014)</t>
  </si>
  <si>
    <t>liên quan đến kế toán</t>
  </si>
  <si>
    <t>Bảng vật tư: nhập cố định như danh sách này</t>
  </si>
  <si>
    <t>65-67</t>
  </si>
  <si>
    <t>84-89</t>
  </si>
  <si>
    <t>Nhóm Vật Tư</t>
  </si>
  <si>
    <t>${projectName}</t>
  </si>
  <si>
    <t>${regionName}</t>
  </si>
  <si>
    <t>${clientName}</t>
  </si>
  <si>
    <t>${reportDate}</t>
  </si>
  <si>
    <t>${projectCode}</t>
  </si>
  <si>
    <t>${duration}</t>
  </si>
  <si>
    <t xml:space="preserve">This quotation is based on the receiving requirement from ${clientName} dated ${reportDate} </t>
  </si>
  <si>
    <t>${startDate}</t>
  </si>
  <si>
    <t>${endDate}</t>
  </si>
  <si>
    <t>Duration is ${duration}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</si>
</sst>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4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¥&quot;#,##0;[Red]&quot;¥&quot;\-#,##0"/>
    <numFmt numFmtId="165" formatCode="&quot;¥&quot;#,##0.00;[Red]&quot;¥&quot;\-#,##0.00"/>
    <numFmt numFmtId="166" formatCode="_ &quot;¥&quot;* #,##0_ ;_ &quot;¥&quot;* \-#,##0_ ;_ &quot;¥&quot;* &quot;-&quot;_ ;_ @_ "/>
    <numFmt numFmtId="167" formatCode="_ * #,##0_ ;_ * \-#,##0_ ;_ * &quot;-&quot;_ ;_ @_ "/>
    <numFmt numFmtId="168" formatCode="_ * #,##0.00_ ;_ * \-#,##0.00_ ;_ * &quot;-&quot;??_ ;_ @_ "/>
    <numFmt numFmtId="169" formatCode="&quot;¥&quot;#,##0;[Red]\-&quot;¥&quot;#,##0"/>
    <numFmt numFmtId="170" formatCode="&quot;¥&quot;#,##0.00;\-&quot;¥&quot;#,##0.00"/>
    <numFmt numFmtId="171" formatCode="_-&quot;¥&quot;* #,##0_-;\-&quot;¥&quot;* #,##0_-;_-&quot;¥&quot;* &quot;-&quot;_-;_-@_-"/>
    <numFmt numFmtId="172" formatCode="_-* #,##0_-;\-* #,##0_-;_-* &quot;-&quot;_-;_-@_-"/>
    <numFmt numFmtId="173" formatCode="_-&quot;¥&quot;* #,##0.00_-;\-&quot;¥&quot;* #,##0.00_-;_-&quot;¥&quot;* &quot;-&quot;??_-;_-@_-"/>
    <numFmt numFmtId="174" formatCode="_-* #,##0.00_-;\-* #,##0.00_-;_-* &quot;-&quot;??_-;_-@_-"/>
    <numFmt numFmtId="175" formatCode="_-* #,##0.0_-;\-* #,##0.0_-;_-* &quot;-&quot;_-;_-@_-"/>
    <numFmt numFmtId="176" formatCode="_-* #,##0.00_-;\-* #,##0.00_-;_-* &quot;-&quot;_-;_-@_-"/>
    <numFmt numFmtId="177" formatCode="#,##0.0;[Red]\-#,##0.0"/>
    <numFmt numFmtId="178" formatCode="_(* #,##0.000_);_(* \(#,##0.000\);_(* &quot;-&quot;??_);_(@_)"/>
    <numFmt numFmtId="179" formatCode="#,##0.00_ "/>
    <numFmt numFmtId="180" formatCode="#,##0\ &quot;F&quot;;[Red]\-#,##0\ &quot;F&quot;"/>
    <numFmt numFmtId="181" formatCode="#,##0.00\ &quot;F&quot;;\-#,##0.00\ &quot;F&quot;"/>
    <numFmt numFmtId="182" formatCode="#,##0.00\ &quot;F&quot;;[Red]\-#,##0.00\ &quot;F&quot;"/>
    <numFmt numFmtId="183" formatCode="_-* #,##0\ &quot;F&quot;_-;\-* #,##0\ &quot;F&quot;_-;_-* &quot;-&quot;\ &quot;F&quot;_-;_-@_-"/>
    <numFmt numFmtId="184" formatCode="\$#,##0\ ;\(\$#,##0\)"/>
    <numFmt numFmtId="185" formatCode="&quot;¥&quot;#,##0;[Red]&quot;¥&quot;&quot;¥&quot;\-#,##0"/>
    <numFmt numFmtId="186" formatCode="&quot;¥&quot;#,##0.00;[Red]&quot;¥&quot;&quot;¥&quot;&quot;¥&quot;&quot;¥&quot;&quot;¥&quot;&quot;¥&quot;\-#,##0.00"/>
    <numFmt numFmtId="187" formatCode="_-&quot;$&quot;* #,##0_-;\-&quot;$&quot;* #,##0_-;_-&quot;$&quot;* &quot;-&quot;_-;_-@_-"/>
    <numFmt numFmtId="188" formatCode="_-&quot;$&quot;* #,##0.00_-;\-&quot;$&quot;* #,##0.00_-;_-&quot;$&quot;* &quot;-&quot;??_-;_-@_-"/>
    <numFmt numFmtId="189" formatCode="0.00_)"/>
    <numFmt numFmtId="190" formatCode="&quot;US$&quot;#,##0.00_);[Red]\(&quot;US$&quot;#,##0.00\)"/>
    <numFmt numFmtId="191" formatCode="&quot;US$&quot;&quot;¥&quot;#,##0.00;[Red]\-&quot;US$&quot;&quot;¥&quot;#,##0.00"/>
    <numFmt numFmtId="192" formatCode="_-* #,##0.00000_-;\-* #,##0.00000_-;_-* &quot;-&quot;_-;_-@_-"/>
    <numFmt numFmtId="193" formatCode="#,##0.00000;[Red]\-#,##0.00000"/>
    <numFmt numFmtId="194" formatCode="_ &quot;$&quot;\ * #,##0.00_ ;_ &quot;$&quot;\ * \-#,##0.00_ ;_ &quot;$&quot;\ * &quot;-&quot;??_ ;_ @_ "/>
    <numFmt numFmtId="195" formatCode="dd\ /\ mmm\ /\ yyyy"/>
    <numFmt numFmtId="196" formatCode="&quot;US$&quot;#,##0.00;\-&quot;US$&quot;#,##0.00"/>
    <numFmt numFmtId="197" formatCode="[$$-409]#,##0.00"/>
    <numFmt numFmtId="198" formatCode="[$JPY]\ #,##0;[$JPY]\ \-#,##0"/>
    <numFmt numFmtId="199" formatCode="_ * #,##0_ ;_ * \-#,##0_ ;_ * &quot;-&quot;??_ ;_ @_ "/>
    <numFmt numFmtId="200" formatCode=";;;"/>
    <numFmt numFmtId="201" formatCode="_(* #,##0.00_);_(* &quot;¥&quot;&quot;¥&quot;&quot;¥&quot;\(#,##0.00&quot;¥&quot;&quot;¥&quot;&quot;¥&quot;\);_(* &quot;-&quot;??_);_(@_)"/>
    <numFmt numFmtId="202" formatCode="_(* #,##0_);_(* &quot;¥&quot;&quot;¥&quot;&quot;¥&quot;\(#,##0&quot;¥&quot;&quot;¥&quot;&quot;¥&quot;\);_(* &quot;-&quot;_);_(@_)"/>
    <numFmt numFmtId="203" formatCode="&quot;$&quot;#,##0.00;[Red]\-&quot;$&quot;#,##0.00"/>
    <numFmt numFmtId="204" formatCode="&quot;¥&quot;#,##0.00;[Red]&quot;¥&quot;&quot;¥&quot;\-#,##0.00"/>
    <numFmt numFmtId="205" formatCode="&quot;$&quot;#,##0;[Red]\-&quot;$&quot;#,##0"/>
    <numFmt numFmtId="206" formatCode="&quot;ß&quot;\t#,##0_);\(&quot;ß&quot;\t#,##0\)"/>
    <numFmt numFmtId="207" formatCode="_(&quot;ß&quot;* \t#,##0_);_(&quot;ß&quot;* \(\t#,##0\);_(&quot;ß&quot;* &quot;-&quot;_);_(@_)"/>
    <numFmt numFmtId="208" formatCode="&quot;ß&quot;\t#,##0_);[Red]\(&quot;ß&quot;\t#,##0\)"/>
    <numFmt numFmtId="209" formatCode="_ &quot;¥&quot;* #,##0_ ;_ &quot;¥&quot;* &quot;¥&quot;&quot;¥&quot;&quot;¥&quot;&quot;¥&quot;&quot;¥&quot;&quot;¥&quot;\-#,##0_ ;_ &quot;¥&quot;* &quot;-&quot;_ ;_ @_ "/>
    <numFmt numFmtId="210" formatCode="0.0%"/>
    <numFmt numFmtId="211" formatCode="_(* #,##0_);_(* \(#,##0\);_(* &quot;-&quot;??_);_(@_)"/>
    <numFmt numFmtId="212" formatCode="#,##0\ &quot;$&quot;_);\(#,##0\ &quot;$&quot;\)"/>
    <numFmt numFmtId="213" formatCode="_ &quot;$&quot;* #,##0_ ;_ &quot;$&quot;* \-#,##0_ ;_ &quot;$&quot;* &quot;-&quot;_ ;_ @_ "/>
    <numFmt numFmtId="214" formatCode="_-* #,##0.00\ _F_B_-;\-* #,##0.00\ _F_B_-;_-* &quot;-&quot;??\ _F_B_-;_-@_-"/>
    <numFmt numFmtId="215" formatCode="_-* #,##0\ _F_B_-;\-* #,##0\ _F_B_-;_-* &quot;-&quot;\ _F_B_-;_-@_-"/>
    <numFmt numFmtId="216" formatCode="_-* #,##0.00\ &quot;F&quot;_-;\-* #,##0.00\ &quot;F&quot;_-;_-* &quot;-&quot;??\ &quot;F&quot;_-;_-@_-"/>
    <numFmt numFmtId="217" formatCode="_-* #,##0_-;\-* #,##0_-;_-* &quot;-&quot;??_-;_-@_-"/>
    <numFmt numFmtId="218" formatCode="_-* #,##0.0_-;\-* #,##0.0_-;_-* &quot;-&quot;??_-;_-@_-"/>
    <numFmt numFmtId="219" formatCode="[$-409]d\-mmm\-yy;@"/>
    <numFmt numFmtId="220" formatCode="_(* #,##0.0_);_(* \(#,##0.0\);_(* &quot;-&quot;?_);_(@_)"/>
    <numFmt numFmtId="221" formatCode="_(* #,##0_);_(* \(#,##0\);_(* &quot;-&quot;?_);_(@_)"/>
  </numFmts>
  <fonts count="171"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2"/>
      <name val="ＭＳ Ｐゴシック"/>
      <family val="3"/>
      <charset val="128"/>
    </font>
    <font>
      <b/>
      <sz val="12"/>
      <name val="Arial"/>
      <family val="2"/>
    </font>
    <font>
      <sz val="12"/>
      <name val="|??¢¥¢¬¨Ï"/>
      <family val="1"/>
      <charset val="129"/>
    </font>
    <font>
      <sz val="12"/>
      <name val="¹UAAA¼"/>
      <family val="3"/>
      <charset val="129"/>
    </font>
    <font>
      <b/>
      <sz val="10"/>
      <name val="Helv"/>
      <family val="2"/>
    </font>
    <font>
      <sz val="8"/>
      <name val="Arial"/>
      <family val="2"/>
    </font>
    <font>
      <b/>
      <sz val="12"/>
      <name val="Helv"/>
      <family val="2"/>
    </font>
    <font>
      <b/>
      <sz val="18"/>
      <name val="Arial"/>
      <family val="2"/>
    </font>
    <font>
      <u/>
      <sz val="11"/>
      <color indexed="12"/>
      <name val="ＭＳ Ｐゴシック"/>
      <family val="3"/>
      <charset val="128"/>
    </font>
    <font>
      <b/>
      <sz val="11"/>
      <name val="Helv"/>
      <family val="2"/>
    </font>
    <font>
      <b/>
      <i/>
      <sz val="16"/>
      <name val="Helv"/>
      <family val="2"/>
    </font>
    <font>
      <sz val="13"/>
      <name val=".VnTime"/>
      <family val="2"/>
    </font>
    <font>
      <sz val="12"/>
      <name val="Courier"/>
      <family val="3"/>
    </font>
    <font>
      <sz val="14"/>
      <name val="뼻뮝"/>
      <family val="3"/>
      <charset val="129"/>
    </font>
    <font>
      <sz val="12"/>
      <name val="바탕체"/>
      <family val="3"/>
    </font>
    <font>
      <sz val="12"/>
      <name val="뼻뮝"/>
      <family val="1"/>
      <charset val="129"/>
    </font>
    <font>
      <sz val="12"/>
      <name val="바탕체"/>
      <family val="3"/>
      <charset val="129"/>
    </font>
    <font>
      <sz val="10"/>
      <name val="굴림체"/>
      <family val="3"/>
      <charset val="129"/>
    </font>
    <font>
      <sz val="10"/>
      <name val="VNtimes new roman"/>
      <family val="2"/>
    </font>
    <font>
      <sz val="10"/>
      <name val="??"/>
      <family val="3"/>
      <charset val="129"/>
    </font>
    <font>
      <sz val="11"/>
      <name val="Arial"/>
      <family val="2"/>
    </font>
    <font>
      <sz val="12"/>
      <name val="宋体"/>
      <charset val="128"/>
    </font>
    <font>
      <b/>
      <sz val="15"/>
      <color indexed="56"/>
      <name val="Calibri"/>
      <family val="2"/>
    </font>
    <font>
      <sz val="11"/>
      <color indexed="8"/>
      <name val="宋体"/>
      <charset val="128"/>
    </font>
    <font>
      <sz val="11"/>
      <color indexed="9"/>
      <name val="宋体"/>
      <charset val="128"/>
    </font>
    <font>
      <i/>
      <sz val="11"/>
      <color indexed="23"/>
      <name val="宋体"/>
      <charset val="128"/>
    </font>
    <font>
      <sz val="11"/>
      <color indexed="10"/>
      <name val="宋体"/>
      <charset val="128"/>
    </font>
    <font>
      <sz val="11"/>
      <color indexed="17"/>
      <name val="宋体"/>
      <charset val="128"/>
    </font>
    <font>
      <sz val="11"/>
      <color indexed="20"/>
      <name val="宋体"/>
      <charset val="128"/>
    </font>
    <font>
      <b/>
      <sz val="18"/>
      <color indexed="56"/>
      <name val="宋体"/>
      <charset val="128"/>
    </font>
    <font>
      <b/>
      <sz val="15"/>
      <color indexed="56"/>
      <name val="宋体"/>
      <charset val="128"/>
    </font>
    <font>
      <b/>
      <sz val="13"/>
      <color indexed="56"/>
      <name val="宋体"/>
      <charset val="128"/>
    </font>
    <font>
      <b/>
      <sz val="11"/>
      <color indexed="56"/>
      <name val="宋体"/>
      <charset val="128"/>
    </font>
    <font>
      <b/>
      <sz val="11"/>
      <color indexed="9"/>
      <name val="宋体"/>
      <charset val="128"/>
    </font>
    <font>
      <b/>
      <sz val="11"/>
      <color indexed="8"/>
      <name val="宋体"/>
      <charset val="128"/>
    </font>
    <font>
      <b/>
      <sz val="11"/>
      <color indexed="52"/>
      <name val="宋体"/>
      <charset val="128"/>
    </font>
    <font>
      <b/>
      <sz val="11"/>
      <color indexed="63"/>
      <name val="宋体"/>
      <charset val="128"/>
    </font>
    <font>
      <sz val="11"/>
      <color indexed="62"/>
      <name val="宋体"/>
      <charset val="128"/>
    </font>
    <font>
      <sz val="11"/>
      <color indexed="60"/>
      <name val="宋体"/>
      <charset val="128"/>
    </font>
    <font>
      <sz val="11"/>
      <color indexed="52"/>
      <name val="宋体"/>
      <charset val="128"/>
    </font>
    <font>
      <sz val="10"/>
      <color indexed="10"/>
      <name val="Arial"/>
      <family val="2"/>
    </font>
    <font>
      <sz val="10"/>
      <name val="Times New Roman"/>
      <family val="1"/>
    </font>
    <font>
      <sz val="11"/>
      <name val="ＭＳ Ｐゴシック"/>
      <family val="3"/>
      <charset val="128"/>
    </font>
    <font>
      <sz val="9"/>
      <name val="Arial"/>
      <family val="2"/>
    </font>
    <font>
      <b/>
      <sz val="11"/>
      <name val="Arial"/>
      <family val="2"/>
    </font>
    <font>
      <sz val="11"/>
      <name val="Times New Roman"/>
      <family val="1"/>
    </font>
    <font>
      <sz val="6"/>
      <name val="ＭＳ Ｐ明朝"/>
      <family val="1"/>
      <charset val="128"/>
    </font>
    <font>
      <sz val="6"/>
      <name val="ＭＳ Ｐゴシック"/>
      <family val="3"/>
      <charset val="128"/>
    </font>
    <font>
      <sz val="10"/>
      <name val="ＭＳ Ｐゴシック"/>
      <family val="3"/>
      <charset val="128"/>
    </font>
    <font>
      <b/>
      <sz val="10"/>
      <color indexed="12"/>
      <name val="Arial"/>
      <family val="2"/>
    </font>
    <font>
      <sz val="9"/>
      <name val="ﾀﾞｯﾁ"/>
      <family val="1"/>
      <charset val="128"/>
    </font>
    <font>
      <sz val="10"/>
      <name val="MS Sans Serif"/>
      <family val="2"/>
    </font>
    <font>
      <sz val="10"/>
      <name val="??"/>
      <family val="1"/>
    </font>
    <font>
      <sz val="14"/>
      <name val="?? ??"/>
      <family val="3"/>
      <charset val="128"/>
    </font>
    <font>
      <u/>
      <sz val="11"/>
      <color indexed="12"/>
      <name val="?? ?????"/>
      <family val="3"/>
    </font>
    <font>
      <u/>
      <sz val="11"/>
      <color indexed="36"/>
      <name val="??"/>
      <family val="1"/>
    </font>
    <font>
      <u/>
      <sz val="7.5"/>
      <color indexed="36"/>
      <name val="VNI-Aptima"/>
      <family val="2"/>
    </font>
    <font>
      <u/>
      <sz val="9"/>
      <color indexed="12"/>
      <name val="?? ????"/>
      <family val="3"/>
    </font>
    <font>
      <u/>
      <sz val="7.5"/>
      <color indexed="12"/>
      <name val="VNI-Aptima"/>
      <family val="2"/>
    </font>
    <font>
      <sz val="14"/>
      <name val="?l?r ???"/>
      <family val="3"/>
      <charset val="128"/>
    </font>
    <font>
      <sz val="14"/>
      <name val="?l?r ??·"/>
      <family val="3"/>
      <charset val="128"/>
    </font>
    <font>
      <sz val="14"/>
      <name val="?l?r ??c"/>
      <family val="3"/>
      <charset val="128"/>
    </font>
    <font>
      <sz val="10"/>
      <name val="Helv"/>
      <family val="2"/>
    </font>
    <font>
      <sz val="12"/>
      <name val="Times New Roman"/>
      <family val="1"/>
    </font>
    <font>
      <sz val="10"/>
      <name val="Arial Rounded MT Bold"/>
      <family val="2"/>
    </font>
    <font>
      <sz val="14"/>
      <name val="‚l‚r –¾’©"/>
      <family val="3"/>
      <charset val="128"/>
    </font>
    <font>
      <u/>
      <sz val="11"/>
      <color indexed="36"/>
      <name val="lr oSVbN"/>
      <family val="3"/>
    </font>
    <font>
      <u/>
      <sz val="9"/>
      <color indexed="36"/>
      <name val="‚l‚r ƒSƒVƒbƒN"/>
      <family val="3"/>
    </font>
    <font>
      <sz val="14"/>
      <name val="Terminal"/>
      <family val="3"/>
      <charset val="255"/>
    </font>
    <font>
      <sz val="9"/>
      <name val="‚l‚r ƒSƒVƒbƒN"/>
      <family val="3"/>
    </font>
    <font>
      <sz val="12"/>
      <name val="¹ÙÅÁÃ¼"/>
      <family val="1"/>
    </font>
    <font>
      <sz val="11"/>
      <color indexed="8"/>
      <name val="ＭＳ Ｐゴシック"/>
      <family val="3"/>
      <charset val="128"/>
    </font>
    <font>
      <sz val="10"/>
      <name val="Geneva"/>
      <family val="2"/>
    </font>
    <font>
      <sz val="9"/>
      <name val="ＭＳ ゴシック"/>
      <family val="3"/>
      <charset val="128"/>
    </font>
    <font>
      <sz val="11"/>
      <name val="µ¸¿ò"/>
      <family val="1"/>
    </font>
    <font>
      <sz val="10"/>
      <name val="Courier New"/>
      <family val="3"/>
    </font>
    <font>
      <sz val="11"/>
      <name val="lr oSVbN"/>
      <family val="3"/>
    </font>
    <font>
      <u/>
      <sz val="9"/>
      <color indexed="12"/>
      <name val="‚l‚r ƒSƒVƒbƒN"/>
      <family val="3"/>
    </font>
    <font>
      <sz val="12"/>
      <name val="Arial"/>
      <family val="2"/>
    </font>
    <font>
      <u/>
      <sz val="11"/>
      <color indexed="12"/>
      <name val="lr oSVbN"/>
      <family val="3"/>
    </font>
    <font>
      <sz val="10"/>
      <name val="VNI-Helve"/>
      <family val="2"/>
    </font>
    <font>
      <sz val="14"/>
      <name val="Times New Roman"/>
      <family val="1"/>
    </font>
    <font>
      <sz val="9"/>
      <name val="lr SVbN"/>
      <family val="3"/>
    </font>
    <font>
      <sz val="10"/>
      <name val="明朝"/>
      <family val="1"/>
      <charset val="128"/>
    </font>
    <font>
      <sz val="10"/>
      <name val=" "/>
      <family val="1"/>
      <charset val="136"/>
    </font>
    <font>
      <sz val="8"/>
      <name val="ＭＳ Ｐゴシック"/>
      <family val="3"/>
      <charset val="128"/>
    </font>
    <font>
      <b/>
      <sz val="12"/>
      <name val="ＭＳ Ｐゴシック"/>
      <family val="3"/>
      <charset val="128"/>
    </font>
    <font>
      <b/>
      <sz val="14"/>
      <color indexed="8"/>
      <name val="Arial Narrow"/>
      <family val="2"/>
    </font>
    <font>
      <b/>
      <sz val="8"/>
      <color indexed="8"/>
      <name val="Arial Narrow"/>
      <family val="2"/>
    </font>
    <font>
      <sz val="12"/>
      <name val="Arial Narrow"/>
      <family val="2"/>
    </font>
    <font>
      <sz val="10"/>
      <color indexed="12"/>
      <name val="MS UI Gothic"/>
      <family val="3"/>
      <charset val="128"/>
    </font>
    <font>
      <b/>
      <sz val="12"/>
      <color indexed="12"/>
      <name val="Arial Narrow"/>
      <family val="2"/>
    </font>
    <font>
      <b/>
      <sz val="12"/>
      <name val="Arial Narrow"/>
      <family val="2"/>
    </font>
    <font>
      <sz val="12"/>
      <color indexed="12"/>
      <name val="Arial Narrow"/>
      <family val="2"/>
    </font>
    <font>
      <sz val="12"/>
      <color indexed="10"/>
      <name val="Arial Narrow"/>
      <family val="2"/>
    </font>
    <font>
      <b/>
      <sz val="12"/>
      <color indexed="10"/>
      <name val="Arial Narrow"/>
      <family val="2"/>
    </font>
    <font>
      <b/>
      <sz val="12"/>
      <color indexed="17"/>
      <name val="Arial Narrow"/>
      <family val="2"/>
    </font>
    <font>
      <b/>
      <sz val="14"/>
      <name val="Arial Narrow"/>
      <family val="2"/>
    </font>
    <font>
      <b/>
      <sz val="12"/>
      <color indexed="10"/>
      <name val="Arial"/>
      <family val="2"/>
    </font>
    <font>
      <sz val="10"/>
      <color indexed="12"/>
      <name val="Arial"/>
      <family val="2"/>
    </font>
    <font>
      <b/>
      <sz val="36"/>
      <name val="Arial"/>
      <family val="2"/>
    </font>
    <font>
      <b/>
      <sz val="14"/>
      <name val="Arial"/>
      <family val="2"/>
    </font>
    <font>
      <sz val="11"/>
      <color indexed="10"/>
      <name val="Arial"/>
      <family val="2"/>
    </font>
    <font>
      <sz val="12"/>
      <color indexed="10"/>
      <name val="Arial"/>
      <family val="2"/>
    </font>
    <font>
      <b/>
      <i/>
      <sz val="11"/>
      <name val="Arial"/>
      <family val="2"/>
    </font>
    <font>
      <b/>
      <i/>
      <sz val="8"/>
      <name val="Arial"/>
      <family val="2"/>
    </font>
    <font>
      <sz val="10"/>
      <color indexed="10"/>
      <name val="Arial"/>
      <family val="2"/>
    </font>
    <font>
      <b/>
      <sz val="14"/>
      <color indexed="10"/>
      <name val="Arial"/>
      <family val="2"/>
    </font>
    <font>
      <b/>
      <sz val="10"/>
      <color indexed="10"/>
      <name val="Arial"/>
      <family val="2"/>
    </font>
    <font>
      <sz val="12"/>
      <name val="VNI-Times"/>
      <family val="2"/>
    </font>
    <font>
      <sz val="12"/>
      <name val=".VnTime"/>
      <family val="2"/>
    </font>
    <font>
      <sz val="10"/>
      <name val="VNI-Times"/>
      <family val="2"/>
    </font>
    <font>
      <sz val="11"/>
      <name val="µ¸¿ò"/>
      <family val="2"/>
      <charset val="129"/>
    </font>
    <font>
      <sz val="14"/>
      <name val="ＭＳ 明朝"/>
      <family val="1"/>
      <charset val="128"/>
    </font>
    <font>
      <sz val="8"/>
      <name val="ＭＳ ゴシック"/>
      <family val="3"/>
      <charset val="128"/>
    </font>
    <font>
      <b/>
      <u/>
      <sz val="14"/>
      <name val="Times New Roman"/>
      <family val="1"/>
    </font>
    <font>
      <b/>
      <sz val="10"/>
      <name val="Times New Roman"/>
      <family val="1"/>
    </font>
    <font>
      <sz val="11"/>
      <name val="ＭＳ 明朝"/>
      <family val="1"/>
      <charset val="128"/>
    </font>
    <font>
      <sz val="11"/>
      <name val="ＭＳ Ｐ明朝"/>
      <family val="1"/>
      <charset val="128"/>
    </font>
    <font>
      <sz val="10"/>
      <name val="ＭＳ Ｐ明朝"/>
      <family val="1"/>
      <charset val="128"/>
    </font>
    <font>
      <sz val="9"/>
      <name val="ＭＳ 明朝"/>
      <family val="1"/>
      <charset val="128"/>
    </font>
    <font>
      <sz val="10"/>
      <name val="ＭＳ 明朝"/>
      <family val="1"/>
      <charset val="128"/>
    </font>
    <font>
      <sz val="12"/>
      <color indexed="10"/>
      <name val="Arial Narrow"/>
      <family val="2"/>
    </font>
    <font>
      <sz val="10"/>
      <color indexed="10"/>
      <name val="Arial"/>
      <family val="2"/>
    </font>
    <font>
      <sz val="10"/>
      <color indexed="10"/>
      <name val="Times New Roman"/>
      <family val="1"/>
    </font>
    <font>
      <strike/>
      <sz val="10"/>
      <name val="Arial"/>
      <family val="2"/>
    </font>
    <font>
      <sz val="10"/>
      <color indexed="8"/>
      <name val="Arial"/>
      <family val="2"/>
    </font>
    <font>
      <sz val="8"/>
      <color indexed="8"/>
      <name val="Arial"/>
      <family val="2"/>
    </font>
    <font>
      <sz val="10"/>
      <color indexed="8"/>
      <name val="Symbol"/>
      <family val="1"/>
      <charset val="2"/>
    </font>
    <font>
      <b/>
      <sz val="14"/>
      <color indexed="8"/>
      <name val="Arial"/>
      <family val="2"/>
    </font>
    <font>
      <b/>
      <sz val="10"/>
      <color rgb="FF0070C0"/>
      <name val="Arial"/>
      <family val="2"/>
    </font>
    <font>
      <sz val="10"/>
      <color rgb="FF0070C0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Times New Roman"/>
      <family val="1"/>
    </font>
    <font>
      <sz val="10"/>
      <color rgb="FFFF0000"/>
      <name val="Arial"/>
      <family val="2"/>
    </font>
    <font>
      <sz val="10"/>
      <color theme="1"/>
      <name val="Arial"/>
      <family val="2"/>
    </font>
    <font>
      <b/>
      <sz val="11"/>
      <color rgb="FF0070C0"/>
      <name val="Arial"/>
      <family val="2"/>
    </font>
    <font>
      <sz val="8"/>
      <color theme="1"/>
      <name val="Arial"/>
      <family val="2"/>
    </font>
    <font>
      <sz val="8"/>
      <color theme="1"/>
      <name val="ＭＳ ゴシック"/>
      <family val="3"/>
      <charset val="128"/>
    </font>
    <font>
      <sz val="8"/>
      <color theme="1"/>
      <name val="ＭＳ Ｐゴシック"/>
      <family val="3"/>
      <charset val="128"/>
    </font>
    <font>
      <sz val="8"/>
      <color theme="1"/>
      <name val="ＭＳ Ｐ明朝"/>
      <family val="1"/>
      <charset val="128"/>
    </font>
    <font>
      <b/>
      <sz val="12"/>
      <color rgb="FF0070C0"/>
      <name val="Arial"/>
      <family val="2"/>
    </font>
    <font>
      <b/>
      <sz val="10"/>
      <color theme="1"/>
      <name val="Arial"/>
      <family val="2"/>
    </font>
    <font>
      <sz val="12"/>
      <color rgb="FF0070C0"/>
      <name val="Arial Narrow"/>
      <family val="2"/>
    </font>
    <font>
      <b/>
      <sz val="14"/>
      <color rgb="FF0070C0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2"/>
      <color theme="1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sz val="10"/>
      <color theme="1"/>
      <name val="Times New Roman"/>
      <family val="1"/>
    </font>
    <font>
      <sz val="11"/>
      <color rgb="FFFF0000"/>
      <name val="Arial"/>
      <family val="2"/>
    </font>
    <font>
      <b/>
      <sz val="14"/>
      <color theme="1"/>
      <name val="Arial"/>
      <family val="2"/>
    </font>
    <font>
      <sz val="9"/>
      <color theme="1"/>
      <name val="Times New Roman"/>
      <family val="1"/>
    </font>
    <font>
      <sz val="11"/>
      <color theme="1"/>
      <name val="ＭＳ 明朝"/>
      <family val="1"/>
      <charset val="128"/>
    </font>
    <font>
      <sz val="11"/>
      <color theme="1"/>
      <name val="Times New Roman"/>
      <family val="1"/>
    </font>
    <font>
      <sz val="11"/>
      <color theme="1"/>
      <name val="ＭＳ 明朝"/>
      <family val="3"/>
      <charset val="128"/>
    </font>
    <font>
      <sz val="9"/>
      <color rgb="FFFF0000"/>
      <name val="Arial"/>
      <family val="2"/>
    </font>
    <font>
      <b/>
      <sz val="12"/>
      <color rgb="FFFF0000"/>
      <name val="Arial"/>
      <family val="2"/>
    </font>
    <font>
      <b/>
      <sz val="12"/>
      <color rgb="FF002060"/>
      <name val="Arial"/>
      <family val="2"/>
    </font>
    <font>
      <b/>
      <sz val="10"/>
      <color rgb="FFFF0000"/>
      <name val="Times New Roman"/>
      <family val="1"/>
    </font>
    <font>
      <sz val="12"/>
      <color rgb="FFFF0000"/>
      <name val="Arial Narrow"/>
      <family val="2"/>
    </font>
    <font>
      <sz val="8"/>
      <color rgb="FFFF0000"/>
      <name val="Arial"/>
      <family val="2"/>
    </font>
    <font>
      <sz val="9"/>
      <color theme="1"/>
      <name val="ＭＳ 明朝"/>
      <family val="1"/>
      <charset val="128"/>
    </font>
    <font>
      <sz val="9"/>
      <color theme="1"/>
      <name val="Arial Narrow"/>
      <family val="2"/>
    </font>
    <font>
      <sz val="11"/>
      <color rgb="FFFF0000"/>
      <name val="ＭＳ 明朝"/>
      <family val="1"/>
      <charset val="128"/>
    </font>
  </fonts>
  <fills count="4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9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9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12"/>
      </left>
      <right style="medium">
        <color indexed="12"/>
      </right>
      <top style="thick">
        <color indexed="12"/>
      </top>
      <bottom style="medium">
        <color indexed="12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12"/>
      </left>
      <right/>
      <top/>
      <bottom/>
      <diagonal/>
    </border>
    <border>
      <left/>
      <right style="thick">
        <color indexed="12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12"/>
      </left>
      <right style="medium">
        <color indexed="12"/>
      </right>
      <top style="medium">
        <color indexed="12"/>
      </top>
      <bottom style="medium">
        <color indexed="12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12"/>
      </left>
      <right/>
      <top/>
      <bottom style="thick">
        <color indexed="12"/>
      </bottom>
      <diagonal/>
    </border>
    <border>
      <left/>
      <right/>
      <top/>
      <bottom style="thick">
        <color indexed="12"/>
      </bottom>
      <diagonal/>
    </border>
    <border>
      <left style="medium">
        <color indexed="12"/>
      </left>
      <right style="medium">
        <color indexed="12"/>
      </right>
      <top style="medium">
        <color indexed="12"/>
      </top>
      <bottom style="thick">
        <color indexed="12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indexed="12"/>
      </left>
      <right/>
      <top style="thick">
        <color indexed="12"/>
      </top>
      <bottom/>
      <diagonal/>
    </border>
    <border>
      <left/>
      <right/>
      <top style="thick">
        <color indexed="12"/>
      </top>
      <bottom/>
      <diagonal/>
    </border>
    <border>
      <left/>
      <right style="thick">
        <color indexed="12"/>
      </right>
      <top style="thick">
        <color indexed="12"/>
      </top>
      <bottom/>
      <diagonal/>
    </border>
    <border>
      <left/>
      <right style="thick">
        <color indexed="12"/>
      </right>
      <top/>
      <bottom style="thick">
        <color indexed="1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 diagonalUp="1"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 style="thin">
        <color indexed="64"/>
      </diagonal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75">
    <xf numFmtId="0" fontId="0" fillId="0" borderId="0"/>
    <xf numFmtId="171" fontId="114" fillId="0" borderId="0" applyFont="0" applyFill="0" applyBorder="0" applyAlignment="0" applyProtection="0"/>
    <xf numFmtId="38" fontId="55" fillId="0" borderId="0" applyFont="0" applyFill="0" applyBorder="0" applyAlignment="0" applyProtection="0"/>
    <xf numFmtId="0" fontId="1" fillId="0" borderId="0"/>
    <xf numFmtId="0" fontId="1" fillId="0" borderId="0"/>
    <xf numFmtId="0" fontId="4" fillId="0" borderId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44" fontId="56" fillId="0" borderId="0" applyFont="0" applyFill="0" applyBorder="0" applyAlignment="0" applyProtection="0"/>
    <xf numFmtId="212" fontId="115" fillId="0" borderId="0" applyFont="0" applyFill="0" applyBorder="0" applyAlignment="0" applyProtection="0"/>
    <xf numFmtId="200" fontId="57" fillId="0" borderId="1">
      <alignment horizontal="center"/>
    </xf>
    <xf numFmtId="0" fontId="4" fillId="0" borderId="0" applyNumberFormat="0" applyFill="0" applyBorder="0" applyAlignment="0" applyProtection="0"/>
    <xf numFmtId="43" fontId="56" fillId="0" borderId="0" applyFont="0" applyFill="0" applyBorder="0" applyAlignment="0" applyProtection="0"/>
    <xf numFmtId="0" fontId="58" fillId="0" borderId="0"/>
    <xf numFmtId="0" fontId="59" fillId="0" borderId="0" applyNumberFormat="0" applyFill="0" applyBorder="0" applyAlignment="0" applyProtection="0">
      <alignment vertical="top"/>
      <protection locked="0"/>
    </xf>
    <xf numFmtId="0" fontId="60" fillId="0" borderId="0" applyNumberFormat="0" applyFill="0" applyBorder="0" applyAlignment="0" applyProtection="0">
      <alignment vertical="top"/>
      <protection locked="0"/>
    </xf>
    <xf numFmtId="0" fontId="61" fillId="0" borderId="0" applyNumberFormat="0" applyFill="0" applyBorder="0" applyAlignment="0" applyProtection="0">
      <alignment vertical="top"/>
      <protection locked="0"/>
    </xf>
    <xf numFmtId="0" fontId="61" fillId="0" borderId="0" applyNumberFormat="0" applyFill="0" applyBorder="0" applyAlignment="0" applyProtection="0">
      <alignment vertical="top"/>
      <protection locked="0"/>
    </xf>
    <xf numFmtId="0" fontId="62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41" fontId="56" fillId="0" borderId="0" applyFont="0" applyFill="0" applyBorder="0" applyAlignment="0" applyProtection="0"/>
    <xf numFmtId="10" fontId="4" fillId="0" borderId="0" applyFont="0" applyFill="0" applyBorder="0" applyAlignment="0" applyProtection="0"/>
    <xf numFmtId="42" fontId="56" fillId="0" borderId="0" applyFont="0" applyFill="0" applyBorder="0" applyAlignment="0" applyProtection="0"/>
    <xf numFmtId="0" fontId="4" fillId="0" borderId="0"/>
    <xf numFmtId="0" fontId="65" fillId="0" borderId="0"/>
    <xf numFmtId="0" fontId="64" fillId="0" borderId="0"/>
    <xf numFmtId="0" fontId="66" fillId="0" borderId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7" fillId="0" borderId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188" fontId="1" fillId="0" borderId="0" applyFont="0" applyFill="0" applyBorder="0" applyAlignment="0" applyProtection="0"/>
    <xf numFmtId="188" fontId="1" fillId="0" borderId="0" applyFont="0" applyFill="0" applyBorder="0" applyAlignment="0" applyProtection="0"/>
    <xf numFmtId="42" fontId="116" fillId="0" borderId="0" applyFont="0" applyFill="0" applyBorder="0" applyAlignment="0" applyProtection="0"/>
    <xf numFmtId="213" fontId="116" fillId="0" borderId="0" applyFont="0" applyFill="0" applyBorder="0" applyAlignment="0" applyProtection="0"/>
    <xf numFmtId="42" fontId="116" fillId="0" borderId="0" applyFont="0" applyFill="0" applyBorder="0" applyAlignment="0" applyProtection="0"/>
    <xf numFmtId="42" fontId="116" fillId="0" borderId="0" applyFont="0" applyFill="0" applyBorder="0" applyAlignment="0" applyProtection="0"/>
    <xf numFmtId="171" fontId="116" fillId="0" borderId="0" applyFont="0" applyFill="0" applyBorder="0" applyAlignment="0" applyProtection="0"/>
    <xf numFmtId="171" fontId="116" fillId="0" borderId="0" applyFont="0" applyFill="0" applyBorder="0" applyAlignment="0" applyProtection="0"/>
    <xf numFmtId="42" fontId="116" fillId="0" borderId="0" applyFont="0" applyFill="0" applyBorder="0" applyAlignment="0" applyProtection="0"/>
    <xf numFmtId="171" fontId="116" fillId="0" borderId="0" applyFont="0" applyFill="0" applyBorder="0" applyAlignment="0" applyProtection="0"/>
    <xf numFmtId="171" fontId="116" fillId="0" borderId="0" applyFont="0" applyFill="0" applyBorder="0" applyAlignment="0" applyProtection="0"/>
    <xf numFmtId="0" fontId="67" fillId="0" borderId="0"/>
    <xf numFmtId="213" fontId="116" fillId="0" borderId="0" applyFont="0" applyFill="0" applyBorder="0" applyAlignment="0" applyProtection="0"/>
    <xf numFmtId="166" fontId="116" fillId="0" borderId="0" applyFont="0" applyFill="0" applyBorder="0" applyAlignment="0" applyProtection="0"/>
    <xf numFmtId="166" fontId="116" fillId="0" borderId="0" applyFont="0" applyFill="0" applyBorder="0" applyAlignment="0" applyProtection="0"/>
    <xf numFmtId="213" fontId="116" fillId="0" borderId="0" applyFont="0" applyFill="0" applyBorder="0" applyAlignment="0" applyProtection="0"/>
    <xf numFmtId="0" fontId="67" fillId="0" borderId="0"/>
    <xf numFmtId="213" fontId="116" fillId="0" borderId="0" applyFont="0" applyFill="0" applyBorder="0" applyAlignment="0" applyProtection="0"/>
    <xf numFmtId="187" fontId="114" fillId="0" borderId="0" applyFont="0" applyFill="0" applyBorder="0" applyAlignment="0" applyProtection="0"/>
    <xf numFmtId="187" fontId="114" fillId="0" borderId="0" applyFont="0" applyFill="0" applyBorder="0" applyAlignment="0" applyProtection="0"/>
    <xf numFmtId="187" fontId="114" fillId="0" borderId="0" applyFont="0" applyFill="0" applyBorder="0" applyAlignment="0" applyProtection="0"/>
    <xf numFmtId="171" fontId="114" fillId="0" borderId="0" applyFont="0" applyFill="0" applyBorder="0" applyAlignment="0" applyProtection="0"/>
    <xf numFmtId="171" fontId="114" fillId="0" borderId="0" applyFont="0" applyFill="0" applyBorder="0" applyAlignment="0" applyProtection="0"/>
    <xf numFmtId="187" fontId="114" fillId="0" borderId="0" applyFont="0" applyFill="0" applyBorder="0" applyAlignment="0" applyProtection="0"/>
    <xf numFmtId="171" fontId="114" fillId="0" borderId="0" applyFont="0" applyFill="0" applyBorder="0" applyAlignment="0" applyProtection="0"/>
    <xf numFmtId="171" fontId="114" fillId="0" borderId="0" applyFont="0" applyFill="0" applyBorder="0" applyAlignment="0" applyProtection="0"/>
    <xf numFmtId="174" fontId="114" fillId="0" borderId="0" applyFont="0" applyFill="0" applyBorder="0" applyAlignment="0" applyProtection="0"/>
    <xf numFmtId="168" fontId="116" fillId="0" borderId="0" applyFont="0" applyFill="0" applyBorder="0" applyAlignment="0" applyProtection="0"/>
    <xf numFmtId="214" fontId="116" fillId="0" borderId="0" applyFont="0" applyFill="0" applyBorder="0" applyAlignment="0" applyProtection="0"/>
    <xf numFmtId="172" fontId="114" fillId="0" borderId="0" applyFont="0" applyFill="0" applyBorder="0" applyAlignment="0" applyProtection="0"/>
    <xf numFmtId="213" fontId="116" fillId="0" borderId="0" applyFont="0" applyFill="0" applyBorder="0" applyAlignment="0" applyProtection="0"/>
    <xf numFmtId="42" fontId="116" fillId="0" borderId="0" applyFont="0" applyFill="0" applyBorder="0" applyAlignment="0" applyProtection="0"/>
    <xf numFmtId="213" fontId="116" fillId="0" borderId="0" applyFont="0" applyFill="0" applyBorder="0" applyAlignment="0" applyProtection="0"/>
    <xf numFmtId="42" fontId="116" fillId="0" borderId="0" applyFont="0" applyFill="0" applyBorder="0" applyAlignment="0" applyProtection="0"/>
    <xf numFmtId="42" fontId="116" fillId="0" borderId="0" applyFont="0" applyFill="0" applyBorder="0" applyAlignment="0" applyProtection="0"/>
    <xf numFmtId="171" fontId="116" fillId="0" borderId="0" applyFont="0" applyFill="0" applyBorder="0" applyAlignment="0" applyProtection="0"/>
    <xf numFmtId="171" fontId="116" fillId="0" borderId="0" applyFont="0" applyFill="0" applyBorder="0" applyAlignment="0" applyProtection="0"/>
    <xf numFmtId="42" fontId="116" fillId="0" borderId="0" applyFont="0" applyFill="0" applyBorder="0" applyAlignment="0" applyProtection="0"/>
    <xf numFmtId="171" fontId="116" fillId="0" borderId="0" applyFont="0" applyFill="0" applyBorder="0" applyAlignment="0" applyProtection="0"/>
    <xf numFmtId="171" fontId="116" fillId="0" borderId="0" applyFont="0" applyFill="0" applyBorder="0" applyAlignment="0" applyProtection="0"/>
    <xf numFmtId="213" fontId="116" fillId="0" borderId="0" applyFont="0" applyFill="0" applyBorder="0" applyAlignment="0" applyProtection="0"/>
    <xf numFmtId="166" fontId="116" fillId="0" borderId="0" applyFont="0" applyFill="0" applyBorder="0" applyAlignment="0" applyProtection="0"/>
    <xf numFmtId="166" fontId="116" fillId="0" borderId="0" applyFont="0" applyFill="0" applyBorder="0" applyAlignment="0" applyProtection="0"/>
    <xf numFmtId="213" fontId="116" fillId="0" borderId="0" applyFont="0" applyFill="0" applyBorder="0" applyAlignment="0" applyProtection="0"/>
    <xf numFmtId="166" fontId="116" fillId="0" borderId="0" applyFont="0" applyFill="0" applyBorder="0" applyAlignment="0" applyProtection="0"/>
    <xf numFmtId="166" fontId="116" fillId="0" borderId="0" applyFont="0" applyFill="0" applyBorder="0" applyAlignment="0" applyProtection="0"/>
    <xf numFmtId="168" fontId="116" fillId="0" borderId="0" applyFont="0" applyFill="0" applyBorder="0" applyAlignment="0" applyProtection="0"/>
    <xf numFmtId="214" fontId="116" fillId="0" borderId="0" applyFont="0" applyFill="0" applyBorder="0" applyAlignment="0" applyProtection="0"/>
    <xf numFmtId="174" fontId="114" fillId="0" borderId="0" applyFont="0" applyFill="0" applyBorder="0" applyAlignment="0" applyProtection="0"/>
    <xf numFmtId="167" fontId="116" fillId="0" borderId="0" applyFont="0" applyFill="0" applyBorder="0" applyAlignment="0" applyProtection="0"/>
    <xf numFmtId="215" fontId="116" fillId="0" borderId="0" applyFont="0" applyFill="0" applyBorder="0" applyAlignment="0" applyProtection="0"/>
    <xf numFmtId="42" fontId="116" fillId="0" borderId="0" applyFont="0" applyFill="0" applyBorder="0" applyAlignment="0" applyProtection="0"/>
    <xf numFmtId="213" fontId="116" fillId="0" borderId="0" applyFont="0" applyFill="0" applyBorder="0" applyAlignment="0" applyProtection="0"/>
    <xf numFmtId="42" fontId="116" fillId="0" borderId="0" applyFont="0" applyFill="0" applyBorder="0" applyAlignment="0" applyProtection="0"/>
    <xf numFmtId="42" fontId="116" fillId="0" borderId="0" applyFont="0" applyFill="0" applyBorder="0" applyAlignment="0" applyProtection="0"/>
    <xf numFmtId="171" fontId="116" fillId="0" borderId="0" applyFont="0" applyFill="0" applyBorder="0" applyAlignment="0" applyProtection="0"/>
    <xf numFmtId="171" fontId="116" fillId="0" borderId="0" applyFont="0" applyFill="0" applyBorder="0" applyAlignment="0" applyProtection="0"/>
    <xf numFmtId="42" fontId="116" fillId="0" borderId="0" applyFont="0" applyFill="0" applyBorder="0" applyAlignment="0" applyProtection="0"/>
    <xf numFmtId="171" fontId="116" fillId="0" borderId="0" applyFont="0" applyFill="0" applyBorder="0" applyAlignment="0" applyProtection="0"/>
    <xf numFmtId="171" fontId="116" fillId="0" borderId="0" applyFont="0" applyFill="0" applyBorder="0" applyAlignment="0" applyProtection="0"/>
    <xf numFmtId="213" fontId="116" fillId="0" borderId="0" applyFont="0" applyFill="0" applyBorder="0" applyAlignment="0" applyProtection="0"/>
    <xf numFmtId="166" fontId="116" fillId="0" borderId="0" applyFont="0" applyFill="0" applyBorder="0" applyAlignment="0" applyProtection="0"/>
    <xf numFmtId="166" fontId="116" fillId="0" borderId="0" applyFont="0" applyFill="0" applyBorder="0" applyAlignment="0" applyProtection="0"/>
    <xf numFmtId="213" fontId="116" fillId="0" borderId="0" applyFont="0" applyFill="0" applyBorder="0" applyAlignment="0" applyProtection="0"/>
    <xf numFmtId="166" fontId="116" fillId="0" borderId="0" applyFont="0" applyFill="0" applyBorder="0" applyAlignment="0" applyProtection="0"/>
    <xf numFmtId="166" fontId="116" fillId="0" borderId="0" applyFont="0" applyFill="0" applyBorder="0" applyAlignment="0" applyProtection="0"/>
    <xf numFmtId="172" fontId="114" fillId="0" borderId="0" applyFont="0" applyFill="0" applyBorder="0" applyAlignment="0" applyProtection="0"/>
    <xf numFmtId="174" fontId="114" fillId="0" borderId="0" applyFont="0" applyFill="0" applyBorder="0" applyAlignment="0" applyProtection="0"/>
    <xf numFmtId="167" fontId="116" fillId="0" borderId="0" applyFont="0" applyFill="0" applyBorder="0" applyAlignment="0" applyProtection="0"/>
    <xf numFmtId="215" fontId="116" fillId="0" borderId="0" applyFont="0" applyFill="0" applyBorder="0" applyAlignment="0" applyProtection="0"/>
    <xf numFmtId="168" fontId="116" fillId="0" borderId="0" applyFont="0" applyFill="0" applyBorder="0" applyAlignment="0" applyProtection="0"/>
    <xf numFmtId="214" fontId="116" fillId="0" borderId="0" applyFont="0" applyFill="0" applyBorder="0" applyAlignment="0" applyProtection="0"/>
    <xf numFmtId="172" fontId="114" fillId="0" borderId="0" applyFont="0" applyFill="0" applyBorder="0" applyAlignment="0" applyProtection="0"/>
    <xf numFmtId="187" fontId="114" fillId="0" borderId="0" applyFont="0" applyFill="0" applyBorder="0" applyAlignment="0" applyProtection="0"/>
    <xf numFmtId="187" fontId="114" fillId="0" borderId="0" applyFont="0" applyFill="0" applyBorder="0" applyAlignment="0" applyProtection="0"/>
    <xf numFmtId="187" fontId="114" fillId="0" borderId="0" applyFont="0" applyFill="0" applyBorder="0" applyAlignment="0" applyProtection="0"/>
    <xf numFmtId="171" fontId="114" fillId="0" borderId="0" applyFont="0" applyFill="0" applyBorder="0" applyAlignment="0" applyProtection="0"/>
    <xf numFmtId="171" fontId="114" fillId="0" borderId="0" applyFont="0" applyFill="0" applyBorder="0" applyAlignment="0" applyProtection="0"/>
    <xf numFmtId="187" fontId="114" fillId="0" borderId="0" applyFont="0" applyFill="0" applyBorder="0" applyAlignment="0" applyProtection="0"/>
    <xf numFmtId="171" fontId="114" fillId="0" borderId="0" applyFont="0" applyFill="0" applyBorder="0" applyAlignment="0" applyProtection="0"/>
    <xf numFmtId="171" fontId="114" fillId="0" borderId="0" applyFont="0" applyFill="0" applyBorder="0" applyAlignment="0" applyProtection="0"/>
    <xf numFmtId="0" fontId="68" fillId="0" borderId="0"/>
    <xf numFmtId="0" fontId="68" fillId="0" borderId="0"/>
    <xf numFmtId="0" fontId="68" fillId="0" borderId="0"/>
    <xf numFmtId="171" fontId="114" fillId="0" borderId="0" applyFont="0" applyFill="0" applyBorder="0" applyAlignment="0" applyProtection="0"/>
    <xf numFmtId="0" fontId="68" fillId="0" borderId="0"/>
    <xf numFmtId="166" fontId="116" fillId="0" borderId="0" applyFont="0" applyFill="0" applyBorder="0" applyAlignment="0" applyProtection="0"/>
    <xf numFmtId="166" fontId="116" fillId="0" borderId="0" applyFont="0" applyFill="0" applyBorder="0" applyAlignment="0" applyProtection="0"/>
    <xf numFmtId="0" fontId="68" fillId="0" borderId="0"/>
    <xf numFmtId="172" fontId="114" fillId="0" borderId="0" applyFont="0" applyFill="0" applyBorder="0" applyAlignment="0" applyProtection="0"/>
    <xf numFmtId="167" fontId="116" fillId="0" borderId="0" applyFont="0" applyFill="0" applyBorder="0" applyAlignment="0" applyProtection="0"/>
    <xf numFmtId="215" fontId="116" fillId="0" borderId="0" applyFont="0" applyFill="0" applyBorder="0" applyAlignment="0" applyProtection="0"/>
    <xf numFmtId="168" fontId="116" fillId="0" borderId="0" applyFont="0" applyFill="0" applyBorder="0" applyAlignment="0" applyProtection="0"/>
    <xf numFmtId="214" fontId="116" fillId="0" borderId="0" applyFont="0" applyFill="0" applyBorder="0" applyAlignment="0" applyProtection="0"/>
    <xf numFmtId="187" fontId="114" fillId="0" borderId="0" applyFont="0" applyFill="0" applyBorder="0" applyAlignment="0" applyProtection="0"/>
    <xf numFmtId="187" fontId="114" fillId="0" borderId="0" applyFont="0" applyFill="0" applyBorder="0" applyAlignment="0" applyProtection="0"/>
    <xf numFmtId="187" fontId="114" fillId="0" borderId="0" applyFont="0" applyFill="0" applyBorder="0" applyAlignment="0" applyProtection="0"/>
    <xf numFmtId="171" fontId="114" fillId="0" borderId="0" applyFont="0" applyFill="0" applyBorder="0" applyAlignment="0" applyProtection="0"/>
    <xf numFmtId="171" fontId="114" fillId="0" borderId="0" applyFont="0" applyFill="0" applyBorder="0" applyAlignment="0" applyProtection="0"/>
    <xf numFmtId="187" fontId="114" fillId="0" borderId="0" applyFont="0" applyFill="0" applyBorder="0" applyAlignment="0" applyProtection="0"/>
    <xf numFmtId="171" fontId="114" fillId="0" borderId="0" applyFont="0" applyFill="0" applyBorder="0" applyAlignment="0" applyProtection="0"/>
    <xf numFmtId="171" fontId="114" fillId="0" borderId="0" applyFont="0" applyFill="0" applyBorder="0" applyAlignment="0" applyProtection="0"/>
    <xf numFmtId="174" fontId="114" fillId="0" borderId="0" applyFont="0" applyFill="0" applyBorder="0" applyAlignment="0" applyProtection="0"/>
    <xf numFmtId="0" fontId="67" fillId="0" borderId="0"/>
    <xf numFmtId="44" fontId="69" fillId="0" borderId="0" applyFont="0" applyFill="0" applyBorder="0" applyAlignment="0" applyProtection="0"/>
    <xf numFmtId="42" fontId="69" fillId="0" borderId="0" applyFont="0" applyFill="0" applyBorder="0" applyAlignment="0" applyProtection="0"/>
    <xf numFmtId="0" fontId="70" fillId="0" borderId="0"/>
    <xf numFmtId="0" fontId="72" fillId="0" borderId="0" applyNumberFormat="0" applyFill="0" applyBorder="0" applyAlignment="0" applyProtection="0">
      <alignment vertical="top"/>
      <protection locked="0"/>
    </xf>
    <xf numFmtId="0" fontId="74" fillId="0" borderId="2" applyFont="0" applyFill="0" applyBorder="0" applyAlignment="0" applyProtection="0">
      <alignment horizontal="left" vertical="center"/>
    </xf>
    <xf numFmtId="0" fontId="73" fillId="0" borderId="0"/>
    <xf numFmtId="0" fontId="71" fillId="0" borderId="0" applyNumberFormat="0" applyFill="0" applyBorder="0" applyAlignment="0" applyProtection="0">
      <alignment vertical="top"/>
      <protection locked="0"/>
    </xf>
    <xf numFmtId="201" fontId="77" fillId="0" borderId="0" applyFont="0" applyFill="0" applyBorder="0" applyAlignment="0" applyProtection="0"/>
    <xf numFmtId="202" fontId="77" fillId="0" borderId="0" applyFont="0" applyFill="0" applyBorder="0" applyAlignment="0" applyProtection="0"/>
    <xf numFmtId="203" fontId="81" fillId="0" borderId="0" applyFont="0" applyFill="0" applyBorder="0" applyAlignment="0" applyProtection="0"/>
    <xf numFmtId="204" fontId="81" fillId="0" borderId="0" applyFont="0" applyFill="0" applyBorder="0" applyAlignment="0" applyProtection="0"/>
    <xf numFmtId="205" fontId="81" fillId="0" borderId="0" applyFont="0" applyFill="0" applyBorder="0" applyAlignment="0" applyProtection="0"/>
    <xf numFmtId="185" fontId="81" fillId="0" borderId="0" applyFont="0" applyFill="0" applyBorder="0" applyAlignment="0" applyProtection="0"/>
    <xf numFmtId="0" fontId="84" fillId="0" borderId="0" applyNumberFormat="0" applyFill="0" applyBorder="0" applyAlignment="0" applyProtection="0">
      <alignment vertical="top"/>
      <protection locked="0"/>
    </xf>
    <xf numFmtId="0" fontId="87" fillId="0" borderId="2" applyFont="0" applyFill="0" applyBorder="0" applyAlignment="0" applyProtection="0">
      <alignment horizontal="left" vertical="center"/>
    </xf>
    <xf numFmtId="9" fontId="75" fillId="0" borderId="0" applyFont="0" applyFill="0" applyBorder="0" applyAlignment="0" applyProtection="0"/>
    <xf numFmtId="0" fontId="28" fillId="2" borderId="0" applyNumberFormat="0" applyBorder="0" applyAlignment="0" applyProtection="0">
      <alignment vertical="center"/>
    </xf>
    <xf numFmtId="0" fontId="28" fillId="3" borderId="0" applyNumberFormat="0" applyBorder="0" applyAlignment="0" applyProtection="0">
      <alignment vertical="center"/>
    </xf>
    <xf numFmtId="0" fontId="28" fillId="4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206" fontId="1" fillId="0" borderId="0" applyFont="0" applyFill="0" applyBorder="0" applyAlignment="0" applyProtection="0"/>
    <xf numFmtId="0" fontId="8" fillId="0" borderId="0" applyFont="0" applyFill="0" applyBorder="0" applyAlignment="0" applyProtection="0"/>
    <xf numFmtId="206" fontId="1" fillId="0" borderId="0" applyFont="0" applyFill="0" applyBorder="0" applyAlignment="0" applyProtection="0"/>
    <xf numFmtId="207" fontId="1" fillId="0" borderId="0" applyFont="0" applyFill="0" applyBorder="0" applyAlignment="0" applyProtection="0"/>
    <xf numFmtId="0" fontId="8" fillId="0" borderId="0" applyFont="0" applyFill="0" applyBorder="0" applyAlignment="0" applyProtection="0"/>
    <xf numFmtId="207" fontId="1" fillId="0" borderId="0" applyFont="0" applyFill="0" applyBorder="0" applyAlignment="0" applyProtection="0"/>
    <xf numFmtId="0" fontId="78" fillId="0" borderId="3" applyFont="0" applyFill="0" applyBorder="0" applyAlignment="0" applyProtection="0">
      <alignment horizontal="center" vertical="center"/>
    </xf>
    <xf numFmtId="208" fontId="1" fillId="0" borderId="0" applyFont="0" applyFill="0" applyBorder="0" applyAlignment="0" applyProtection="0"/>
    <xf numFmtId="0" fontId="8" fillId="0" borderId="0" applyFont="0" applyFill="0" applyBorder="0" applyAlignment="0" applyProtection="0"/>
    <xf numFmtId="208" fontId="1" fillId="0" borderId="0" applyFont="0" applyFill="0" applyBorder="0" applyAlignment="0" applyProtection="0"/>
    <xf numFmtId="178" fontId="1" fillId="0" borderId="0" applyFont="0" applyFill="0" applyBorder="0" applyAlignment="0" applyProtection="0"/>
    <xf numFmtId="0" fontId="8" fillId="0" borderId="0" applyFont="0" applyFill="0" applyBorder="0" applyAlignment="0" applyProtection="0"/>
    <xf numFmtId="178" fontId="1" fillId="0" borderId="0" applyFont="0" applyFill="0" applyBorder="0" applyAlignment="0" applyProtection="0"/>
    <xf numFmtId="187" fontId="114" fillId="0" borderId="0" applyFont="0" applyFill="0" applyBorder="0" applyAlignment="0" applyProtection="0"/>
    <xf numFmtId="0" fontId="8" fillId="0" borderId="0"/>
    <xf numFmtId="0" fontId="117" fillId="0" borderId="0"/>
    <xf numFmtId="0" fontId="8" fillId="0" borderId="0"/>
    <xf numFmtId="0" fontId="79" fillId="0" borderId="0"/>
    <xf numFmtId="209" fontId="1" fillId="0" borderId="0" applyFill="0" applyBorder="0" applyAlignment="0"/>
    <xf numFmtId="0" fontId="9" fillId="0" borderId="0"/>
    <xf numFmtId="216" fontId="116" fillId="0" borderId="0" applyFont="0" applyFill="0" applyBorder="0" applyAlignment="0" applyProtection="0"/>
    <xf numFmtId="174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38" fontId="50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40" fontId="50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/>
    <xf numFmtId="40" fontId="50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/>
    <xf numFmtId="40" fontId="50" fillId="0" borderId="0" applyFont="0" applyFill="0" applyBorder="0" applyAlignment="0" applyProtection="0">
      <alignment vertical="center"/>
    </xf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84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4" fontId="80" fillId="0" borderId="0" applyFill="0" applyBorder="0" applyProtection="0">
      <alignment horizontal="right"/>
    </xf>
    <xf numFmtId="2" fontId="4" fillId="0" borderId="0" applyFont="0" applyFill="0" applyBorder="0" applyAlignment="0" applyProtection="0"/>
    <xf numFmtId="0" fontId="82" fillId="0" borderId="0" applyNumberFormat="0" applyFill="0" applyBorder="0" applyAlignment="0" applyProtection="0">
      <alignment vertical="top"/>
      <protection locked="0"/>
    </xf>
    <xf numFmtId="38" fontId="10" fillId="22" borderId="0" applyNumberFormat="0" applyBorder="0" applyAlignment="0" applyProtection="0"/>
    <xf numFmtId="0" fontId="11" fillId="0" borderId="0">
      <alignment horizontal="left"/>
    </xf>
    <xf numFmtId="0" fontId="6" fillId="0" borderId="6" applyNumberFormat="0" applyAlignment="0" applyProtection="0">
      <alignment horizontal="left" vertical="center"/>
    </xf>
    <xf numFmtId="0" fontId="6" fillId="0" borderId="7">
      <alignment horizontal="left" vertical="center"/>
    </xf>
    <xf numFmtId="0" fontId="12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200" fontId="78" fillId="0" borderId="0" applyFont="0" applyFill="0" applyBorder="0" applyAlignment="0" applyProtection="0">
      <alignment horizontal="center" vertical="center"/>
    </xf>
    <xf numFmtId="215" fontId="116" fillId="0" borderId="0" applyFont="0" applyFill="0" applyBorder="0" applyAlignment="0" applyProtection="0"/>
    <xf numFmtId="10" fontId="10" fillId="22" borderId="9" applyNumberFormat="0" applyBorder="0" applyAlignment="0" applyProtection="0"/>
    <xf numFmtId="0" fontId="78" fillId="0" borderId="0" applyFont="0" applyFill="0" applyBorder="0" applyProtection="0">
      <alignment horizontal="center" vertical="center"/>
    </xf>
    <xf numFmtId="172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0" fontId="14" fillId="0" borderId="11"/>
    <xf numFmtId="169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6" fontId="56" fillId="0" borderId="0" applyFont="0" applyFill="0" applyBorder="0" applyAlignment="0" applyProtection="0"/>
    <xf numFmtId="8" fontId="56" fillId="0" borderId="0" applyFont="0" applyFill="0" applyBorder="0" applyAlignment="0" applyProtection="0"/>
    <xf numFmtId="0" fontId="83" fillId="0" borderId="0" applyNumberFormat="0" applyFont="0" applyFill="0" applyAlignment="0"/>
    <xf numFmtId="189" fontId="1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4" fillId="0" borderId="0"/>
    <xf numFmtId="0" fontId="50" fillId="0" borderId="0"/>
    <xf numFmtId="0" fontId="47" fillId="0" borderId="0"/>
    <xf numFmtId="0" fontId="4" fillId="0" borderId="0"/>
    <xf numFmtId="0" fontId="47" fillId="0" borderId="0"/>
    <xf numFmtId="0" fontId="86" fillId="0" borderId="0">
      <alignment vertical="top"/>
    </xf>
    <xf numFmtId="43" fontId="69" fillId="0" borderId="0" applyFont="0" applyFill="0" applyBorder="0" applyAlignment="0" applyProtection="0"/>
    <xf numFmtId="41" fontId="69" fillId="0" borderId="0" applyFont="0" applyFill="0" applyBorder="0" applyAlignment="0" applyProtection="0"/>
    <xf numFmtId="9" fontId="1" fillId="0" borderId="0" applyFont="0" applyFill="0" applyBorder="0" applyAlignment="0" applyProtection="0"/>
    <xf numFmtId="10" fontId="4" fillId="0" borderId="0" applyFont="0" applyFill="0" applyBorder="0" applyAlignment="0" applyProtection="0"/>
    <xf numFmtId="9" fontId="50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/>
    <xf numFmtId="9" fontId="56" fillId="0" borderId="14" applyNumberFormat="0" applyBorder="0"/>
    <xf numFmtId="1" fontId="80" fillId="0" borderId="0" applyFill="0" applyBorder="0" applyProtection="0">
      <alignment horizontal="center"/>
    </xf>
    <xf numFmtId="215" fontId="116" fillId="0" borderId="0" applyFont="0" applyFill="0" applyBorder="0" applyAlignment="0" applyProtection="0"/>
    <xf numFmtId="0" fontId="14" fillId="0" borderId="0"/>
    <xf numFmtId="182" fontId="16" fillId="0" borderId="1">
      <alignment horizontal="right" vertical="center"/>
    </xf>
    <xf numFmtId="183" fontId="16" fillId="0" borderId="1">
      <alignment horizontal="center"/>
    </xf>
    <xf numFmtId="0" fontId="1" fillId="0" borderId="15" applyNumberFormat="0" applyFont="0" applyFill="0" applyAlignment="0" applyProtection="0"/>
    <xf numFmtId="4" fontId="80" fillId="0" borderId="0" applyFill="0" applyBorder="0" applyProtection="0">
      <alignment horizontal="center"/>
      <protection locked="0"/>
    </xf>
    <xf numFmtId="0" fontId="1" fillId="0" borderId="9" applyNumberFormat="0" applyFont="0" applyFill="0" applyAlignment="0" applyProtection="0"/>
    <xf numFmtId="0" fontId="4" fillId="0" borderId="16" applyNumberFormat="0" applyFont="0" applyFill="0" applyAlignment="0" applyProtection="0"/>
    <xf numFmtId="180" fontId="16" fillId="0" borderId="0"/>
    <xf numFmtId="181" fontId="16" fillId="0" borderId="9"/>
    <xf numFmtId="188" fontId="1" fillId="0" borderId="0" applyFont="0" applyFill="0" applyBorder="0" applyAlignment="0" applyProtection="0"/>
    <xf numFmtId="188" fontId="1" fillId="0" borderId="0" applyFont="0" applyFill="0" applyBorder="0" applyAlignment="0" applyProtection="0"/>
    <xf numFmtId="0" fontId="67" fillId="0" borderId="0"/>
    <xf numFmtId="42" fontId="116" fillId="0" borderId="0" applyFont="0" applyFill="0" applyBorder="0" applyAlignment="0" applyProtection="0"/>
    <xf numFmtId="171" fontId="116" fillId="0" borderId="0" applyFont="0" applyFill="0" applyBorder="0" applyAlignment="0" applyProtection="0"/>
    <xf numFmtId="42" fontId="116" fillId="0" borderId="0" applyFont="0" applyFill="0" applyBorder="0" applyAlignment="0" applyProtection="0"/>
    <xf numFmtId="171" fontId="116" fillId="0" borderId="0" applyFont="0" applyFill="0" applyBorder="0" applyAlignment="0" applyProtection="0"/>
    <xf numFmtId="213" fontId="116" fillId="0" borderId="0" applyFont="0" applyFill="0" applyBorder="0" applyAlignment="0" applyProtection="0"/>
    <xf numFmtId="166" fontId="116" fillId="0" borderId="0" applyFont="0" applyFill="0" applyBorder="0" applyAlignment="0" applyProtection="0"/>
    <xf numFmtId="213" fontId="116" fillId="0" borderId="0" applyFont="0" applyFill="0" applyBorder="0" applyAlignment="0" applyProtection="0"/>
    <xf numFmtId="166" fontId="116" fillId="0" borderId="0" applyFont="0" applyFill="0" applyBorder="0" applyAlignment="0" applyProtection="0"/>
    <xf numFmtId="167" fontId="116" fillId="0" borderId="0" applyFont="0" applyFill="0" applyBorder="0" applyAlignment="0" applyProtection="0"/>
    <xf numFmtId="215" fontId="116" fillId="0" borderId="0" applyFont="0" applyFill="0" applyBorder="0" applyAlignment="0" applyProtection="0"/>
    <xf numFmtId="167" fontId="116" fillId="0" borderId="0" applyFont="0" applyFill="0" applyBorder="0" applyAlignment="0" applyProtection="0"/>
    <xf numFmtId="215" fontId="116" fillId="0" borderId="0" applyFont="0" applyFill="0" applyBorder="0" applyAlignment="0" applyProtection="0"/>
    <xf numFmtId="213" fontId="116" fillId="0" borderId="0" applyFont="0" applyFill="0" applyBorder="0" applyAlignment="0" applyProtection="0"/>
    <xf numFmtId="42" fontId="116" fillId="0" borderId="0" applyFont="0" applyFill="0" applyBorder="0" applyAlignment="0" applyProtection="0"/>
    <xf numFmtId="213" fontId="116" fillId="0" borderId="0" applyFont="0" applyFill="0" applyBorder="0" applyAlignment="0" applyProtection="0"/>
    <xf numFmtId="42" fontId="116" fillId="0" borderId="0" applyFont="0" applyFill="0" applyBorder="0" applyAlignment="0" applyProtection="0"/>
    <xf numFmtId="9" fontId="76" fillId="0" borderId="0" applyFont="0" applyFill="0" applyBorder="0" applyAlignment="0" applyProtection="0">
      <alignment vertical="center"/>
    </xf>
    <xf numFmtId="9" fontId="50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  <xf numFmtId="0" fontId="89" fillId="0" borderId="0" applyFont="0" applyFill="0" applyBorder="0" applyAlignment="0" applyProtection="0"/>
    <xf numFmtId="0" fontId="89" fillId="0" borderId="0" applyFont="0" applyFill="0" applyBorder="0" applyAlignment="0" applyProtection="0"/>
    <xf numFmtId="0" fontId="68" fillId="0" borderId="0">
      <alignment vertical="center"/>
    </xf>
    <xf numFmtId="40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0" fontId="20" fillId="0" borderId="0"/>
    <xf numFmtId="185" fontId="4" fillId="0" borderId="0" applyFont="0" applyFill="0" applyBorder="0" applyAlignment="0" applyProtection="0"/>
    <xf numFmtId="186" fontId="4" fillId="0" borderId="0" applyFont="0" applyFill="0" applyBorder="0" applyAlignment="0" applyProtection="0"/>
    <xf numFmtId="165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2" fillId="0" borderId="0"/>
    <xf numFmtId="0" fontId="83" fillId="0" borderId="0"/>
    <xf numFmtId="38" fontId="47" fillId="0" borderId="0" applyFont="0" applyFill="0" applyBorder="0" applyAlignment="0" applyProtection="0"/>
    <xf numFmtId="172" fontId="48" fillId="0" borderId="0" applyFont="0" applyFill="0" applyBorder="0" applyAlignment="0" applyProtection="0"/>
    <xf numFmtId="174" fontId="48" fillId="0" borderId="0" applyFont="0" applyFill="0" applyBorder="0" applyAlignment="0" applyProtection="0"/>
    <xf numFmtId="0" fontId="32" fillId="4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26" fillId="0" borderId="0"/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118" fillId="0" borderId="0"/>
    <xf numFmtId="0" fontId="34" fillId="0" borderId="0" applyNumberFormat="0" applyFill="0" applyBorder="0" applyAlignment="0" applyProtection="0">
      <alignment vertical="center"/>
    </xf>
    <xf numFmtId="0" fontId="35" fillId="0" borderId="17" applyNumberFormat="0" applyFill="0" applyAlignment="0" applyProtection="0">
      <alignment vertical="center"/>
    </xf>
    <xf numFmtId="0" fontId="36" fillId="0" borderId="18" applyNumberFormat="0" applyFill="0" applyAlignment="0" applyProtection="0">
      <alignment vertical="center"/>
    </xf>
    <xf numFmtId="0" fontId="37" fillId="0" borderId="8" applyNumberFormat="0" applyFill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40" fontId="50" fillId="0" borderId="0" applyFont="0" applyFill="0" applyBorder="0" applyAlignment="0" applyProtection="0">
      <alignment vertical="center"/>
    </xf>
    <xf numFmtId="174" fontId="4" fillId="0" borderId="0" applyFont="0" applyFill="0" applyBorder="0" applyAlignment="0" applyProtection="0"/>
    <xf numFmtId="168" fontId="1" fillId="0" borderId="0" applyFont="0" applyFill="0" applyBorder="0" applyAlignment="0" applyProtection="0"/>
    <xf numFmtId="38" fontId="76" fillId="0" borderId="0" applyFont="0" applyFill="0" applyBorder="0" applyAlignment="0" applyProtection="0">
      <alignment vertical="center"/>
    </xf>
    <xf numFmtId="38" fontId="47" fillId="0" borderId="0" applyFont="0" applyFill="0" applyBorder="0" applyAlignment="0" applyProtection="0">
      <alignment vertical="center"/>
    </xf>
    <xf numFmtId="38" fontId="76" fillId="0" borderId="0" applyFont="0" applyFill="0" applyBorder="0" applyAlignment="0" applyProtection="0">
      <alignment vertical="center"/>
    </xf>
    <xf numFmtId="38" fontId="76" fillId="0" borderId="0" applyFont="0" applyFill="0" applyBorder="0" applyAlignment="0" applyProtection="0">
      <alignment vertical="center"/>
    </xf>
    <xf numFmtId="38" fontId="76" fillId="0" borderId="0" applyFont="0" applyFill="0" applyBorder="0" applyAlignment="0" applyProtection="0">
      <alignment vertical="center"/>
    </xf>
    <xf numFmtId="38" fontId="76" fillId="0" borderId="0" applyFont="0" applyFill="0" applyBorder="0" applyAlignment="0" applyProtection="0">
      <alignment vertical="center"/>
    </xf>
    <xf numFmtId="38" fontId="76" fillId="0" borderId="0" applyFont="0" applyFill="0" applyBorder="0" applyAlignment="0" applyProtection="0">
      <alignment vertical="center"/>
    </xf>
    <xf numFmtId="38" fontId="76" fillId="0" borderId="0" applyFont="0" applyFill="0" applyBorder="0" applyAlignment="0" applyProtection="0">
      <alignment vertical="center"/>
    </xf>
    <xf numFmtId="38" fontId="76" fillId="0" borderId="0" applyFont="0" applyFill="0" applyBorder="0" applyAlignment="0" applyProtection="0">
      <alignment vertical="center"/>
    </xf>
    <xf numFmtId="38" fontId="76" fillId="0" borderId="0" applyFont="0" applyFill="0" applyBorder="0" applyAlignment="0" applyProtection="0">
      <alignment vertical="center"/>
    </xf>
    <xf numFmtId="38" fontId="50" fillId="0" borderId="0" applyFont="0" applyFill="0" applyBorder="0" applyAlignment="0" applyProtection="0">
      <alignment vertical="center"/>
    </xf>
    <xf numFmtId="172" fontId="4" fillId="0" borderId="0" applyFont="0" applyFill="0" applyBorder="0" applyAlignment="0" applyProtection="0"/>
    <xf numFmtId="38" fontId="47" fillId="0" borderId="0" applyFont="0" applyFill="0" applyBorder="0" applyAlignment="0" applyProtection="0">
      <alignment vertical="center"/>
    </xf>
    <xf numFmtId="201" fontId="77" fillId="0" borderId="0" applyFont="0" applyFill="0" applyBorder="0" applyAlignment="0" applyProtection="0"/>
    <xf numFmtId="202" fontId="77" fillId="0" borderId="0" applyFont="0" applyFill="0" applyBorder="0" applyAlignment="0" applyProtection="0"/>
    <xf numFmtId="0" fontId="38" fillId="21" borderId="5" applyNumberFormat="0" applyAlignment="0" applyProtection="0">
      <alignment vertical="center"/>
    </xf>
    <xf numFmtId="0" fontId="47" fillId="0" borderId="0">
      <alignment vertical="center"/>
    </xf>
    <xf numFmtId="0" fontId="4" fillId="0" borderId="0"/>
    <xf numFmtId="0" fontId="76" fillId="0" borderId="0">
      <alignment vertical="center"/>
    </xf>
    <xf numFmtId="0" fontId="47" fillId="0" borderId="0"/>
    <xf numFmtId="0" fontId="50" fillId="0" borderId="0"/>
    <xf numFmtId="0" fontId="4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7" fillId="0" borderId="0">
      <alignment vertical="center"/>
    </xf>
    <xf numFmtId="0" fontId="47" fillId="0" borderId="0">
      <alignment vertical="center"/>
    </xf>
    <xf numFmtId="198" fontId="47" fillId="0" borderId="0"/>
    <xf numFmtId="0" fontId="1" fillId="0" borderId="0"/>
    <xf numFmtId="0" fontId="5" fillId="0" borderId="0"/>
    <xf numFmtId="0" fontId="39" fillId="0" borderId="19" applyNumberFormat="0" applyFill="0" applyAlignment="0" applyProtection="0">
      <alignment vertical="center"/>
    </xf>
    <xf numFmtId="0" fontId="1" fillId="24" borderId="12" applyNumberFormat="0" applyFont="0" applyAlignment="0" applyProtection="0">
      <alignment vertical="center"/>
    </xf>
    <xf numFmtId="204" fontId="47" fillId="0" borderId="0" applyFont="0" applyFill="0" applyBorder="0" applyAlignment="0" applyProtection="0"/>
    <xf numFmtId="185" fontId="47" fillId="0" borderId="0" applyFont="0" applyFill="0" applyBorder="0" applyAlignment="0" applyProtection="0"/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40" fillId="20" borderId="4" applyNumberFormat="0" applyAlignment="0" applyProtection="0">
      <alignment vertical="center"/>
    </xf>
    <xf numFmtId="187" fontId="48" fillId="0" borderId="0" applyFont="0" applyFill="0" applyBorder="0" applyAlignment="0" applyProtection="0"/>
    <xf numFmtId="6" fontId="17" fillId="0" borderId="0" applyFont="0" applyFill="0" applyBorder="0" applyAlignment="0" applyProtection="0"/>
    <xf numFmtId="188" fontId="48" fillId="0" borderId="0" applyFont="0" applyFill="0" applyBorder="0" applyAlignment="0" applyProtection="0"/>
    <xf numFmtId="0" fontId="42" fillId="7" borderId="4" applyNumberFormat="0" applyAlignment="0" applyProtection="0">
      <alignment vertical="center"/>
    </xf>
    <xf numFmtId="0" fontId="41" fillId="20" borderId="13" applyNumberFormat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173" fontId="4" fillId="0" borderId="0" applyFont="0" applyFill="0" applyBorder="0" applyAlignment="0" applyProtection="0"/>
    <xf numFmtId="193" fontId="1" fillId="0" borderId="0" applyFont="0" applyFill="0" applyBorder="0" applyAlignment="0" applyProtection="0"/>
    <xf numFmtId="0" fontId="44" fillId="0" borderId="10" applyNumberFormat="0" applyFill="0" applyAlignment="0" applyProtection="0">
      <alignment vertical="center"/>
    </xf>
    <xf numFmtId="200" fontId="88" fillId="0" borderId="1">
      <alignment horizontal="center"/>
    </xf>
  </cellStyleXfs>
  <cellXfs count="1491">
    <xf numFmtId="0" fontId="0" fillId="0" borderId="0" xfId="0"/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76" fontId="0" fillId="0" borderId="20" xfId="196" applyNumberFormat="1" applyFont="1" applyBorder="1" applyAlignment="1">
      <alignment vertical="center" shrinkToFit="1"/>
    </xf>
    <xf numFmtId="0" fontId="0" fillId="0" borderId="0" xfId="0" applyAlignment="1">
      <alignment vertical="center" shrinkToFit="1"/>
    </xf>
    <xf numFmtId="175" fontId="0" fillId="0" borderId="0" xfId="196" applyNumberFormat="1" applyFont="1" applyAlignment="1">
      <alignment vertical="center" shrinkToFit="1"/>
    </xf>
    <xf numFmtId="176" fontId="0" fillId="0" borderId="0" xfId="196" applyNumberFormat="1" applyFont="1" applyAlignment="1">
      <alignment vertical="center" shrinkToFit="1"/>
    </xf>
    <xf numFmtId="0" fontId="4" fillId="0" borderId="20" xfId="245" applyFont="1" applyBorder="1" applyAlignment="1">
      <alignment horizontal="center" vertical="center"/>
    </xf>
    <xf numFmtId="0" fontId="4" fillId="0" borderId="0" xfId="23" applyFont="1" applyFill="1"/>
    <xf numFmtId="0" fontId="4" fillId="0" borderId="21" xfId="23" applyFont="1" applyFill="1" applyBorder="1"/>
    <xf numFmtId="0" fontId="24" fillId="0" borderId="22" xfId="23" applyFont="1" applyFill="1" applyBorder="1"/>
    <xf numFmtId="0" fontId="4" fillId="0" borderId="22" xfId="23" quotePrefix="1" applyFont="1" applyFill="1" applyBorder="1"/>
    <xf numFmtId="0" fontId="24" fillId="0" borderId="23" xfId="23" applyFont="1" applyFill="1" applyBorder="1"/>
    <xf numFmtId="0" fontId="4" fillId="0" borderId="23" xfId="23" quotePrefix="1" applyFont="1" applyFill="1" applyBorder="1"/>
    <xf numFmtId="0" fontId="4" fillId="0" borderId="23" xfId="23" applyFont="1" applyFill="1" applyBorder="1"/>
    <xf numFmtId="0" fontId="4" fillId="0" borderId="24" xfId="23" applyFont="1" applyFill="1" applyBorder="1"/>
    <xf numFmtId="0" fontId="4" fillId="0" borderId="24" xfId="23" quotePrefix="1" applyFont="1" applyFill="1" applyBorder="1"/>
    <xf numFmtId="0" fontId="25" fillId="0" borderId="0" xfId="345" applyFont="1" applyBorder="1" applyAlignment="1">
      <alignment vertical="center"/>
    </xf>
    <xf numFmtId="49" fontId="1" fillId="0" borderId="9" xfId="196" applyNumberFormat="1" applyFont="1" applyFill="1" applyBorder="1" applyAlignment="1">
      <alignment horizontal="center" vertical="center"/>
    </xf>
    <xf numFmtId="0" fontId="1" fillId="0" borderId="9" xfId="0" applyFont="1" applyFill="1" applyBorder="1" applyAlignment="1">
      <alignment vertical="center"/>
    </xf>
    <xf numFmtId="9" fontId="1" fillId="0" borderId="9" xfId="250" applyFont="1" applyFill="1" applyBorder="1" applyAlignment="1">
      <alignment horizontal="center" vertical="center"/>
    </xf>
    <xf numFmtId="9" fontId="53" fillId="0" borderId="9" xfId="250" applyFont="1" applyFill="1" applyBorder="1" applyAlignment="1">
      <alignment horizontal="center" vertical="center"/>
    </xf>
    <xf numFmtId="49" fontId="1" fillId="0" borderId="25" xfId="196" applyNumberFormat="1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vertical="center"/>
    </xf>
    <xf numFmtId="9" fontId="1" fillId="0" borderId="0" xfId="250" applyFont="1" applyFill="1" applyBorder="1" applyAlignment="1">
      <alignment horizontal="center" vertical="center"/>
    </xf>
    <xf numFmtId="0" fontId="1" fillId="0" borderId="0" xfId="345" applyFont="1" applyFill="1" applyBorder="1" applyAlignment="1">
      <alignment vertical="center"/>
    </xf>
    <xf numFmtId="0" fontId="0" fillId="0" borderId="26" xfId="0" applyFill="1" applyBorder="1" applyAlignment="1">
      <alignment vertical="center"/>
    </xf>
    <xf numFmtId="9" fontId="1" fillId="0" borderId="7" xfId="250" applyFont="1" applyFill="1" applyBorder="1" applyAlignment="1">
      <alignment horizontal="center" vertical="center"/>
    </xf>
    <xf numFmtId="49" fontId="1" fillId="0" borderId="9" xfId="0" applyNumberFormat="1" applyFont="1" applyFill="1" applyBorder="1" applyAlignment="1">
      <alignment horizontal="center" vertical="center"/>
    </xf>
    <xf numFmtId="49" fontId="25" fillId="0" borderId="0" xfId="345" applyNumberFormat="1" applyFont="1" applyFill="1" applyBorder="1" applyAlignment="1">
      <alignment horizontal="left" vertical="center"/>
    </xf>
    <xf numFmtId="0" fontId="25" fillId="0" borderId="0" xfId="345" applyFont="1" applyFill="1" applyBorder="1" applyAlignment="1">
      <alignment vertical="center"/>
    </xf>
    <xf numFmtId="0" fontId="4" fillId="0" borderId="27" xfId="245" applyFont="1" applyBorder="1" applyAlignment="1">
      <alignment horizontal="center" vertical="center"/>
    </xf>
    <xf numFmtId="176" fontId="0" fillId="0" borderId="27" xfId="196" applyNumberFormat="1" applyFont="1" applyBorder="1" applyAlignment="1">
      <alignment vertical="center" shrinkToFit="1"/>
    </xf>
    <xf numFmtId="0" fontId="1" fillId="0" borderId="28" xfId="345" applyFont="1" applyBorder="1" applyAlignment="1">
      <alignment vertical="center"/>
    </xf>
    <xf numFmtId="0" fontId="0" fillId="0" borderId="26" xfId="0" applyBorder="1" applyAlignment="1">
      <alignment vertical="center"/>
    </xf>
    <xf numFmtId="0" fontId="2" fillId="25" borderId="29" xfId="356" applyFont="1" applyFill="1" applyBorder="1"/>
    <xf numFmtId="0" fontId="93" fillId="0" borderId="30" xfId="356" applyFont="1" applyBorder="1" applyAlignment="1">
      <alignment horizontal="center" vertical="center" wrapText="1"/>
    </xf>
    <xf numFmtId="195" fontId="92" fillId="0" borderId="31" xfId="356" applyNumberFormat="1" applyFont="1" applyBorder="1" applyAlignment="1">
      <alignment horizontal="center" vertical="center" wrapText="1"/>
    </xf>
    <xf numFmtId="0" fontId="94" fillId="0" borderId="0" xfId="356" applyFont="1"/>
    <xf numFmtId="40" fontId="95" fillId="0" borderId="32" xfId="337" applyNumberFormat="1" applyFont="1" applyFill="1" applyBorder="1">
      <alignment vertical="center"/>
    </xf>
    <xf numFmtId="0" fontId="2" fillId="0" borderId="0" xfId="346" applyFont="1" applyBorder="1" applyAlignment="1">
      <alignment vertical="center"/>
    </xf>
    <xf numFmtId="0" fontId="94" fillId="0" borderId="33" xfId="356" applyFont="1" applyBorder="1"/>
    <xf numFmtId="0" fontId="94" fillId="0" borderId="34" xfId="356" applyFont="1" applyBorder="1" applyAlignment="1">
      <alignment horizontal="center"/>
    </xf>
    <xf numFmtId="0" fontId="94" fillId="0" borderId="0" xfId="356" applyFont="1" applyBorder="1"/>
    <xf numFmtId="177" fontId="54" fillId="25" borderId="35" xfId="337" applyNumberFormat="1" applyFont="1" applyFill="1" applyBorder="1" applyAlignment="1">
      <alignment vertical="center"/>
    </xf>
    <xf numFmtId="196" fontId="96" fillId="25" borderId="36" xfId="356" applyNumberFormat="1" applyFont="1" applyFill="1" applyBorder="1"/>
    <xf numFmtId="40" fontId="95" fillId="0" borderId="37" xfId="346" applyNumberFormat="1" applyFont="1" applyFill="1" applyBorder="1" applyAlignment="1">
      <alignment vertical="center"/>
    </xf>
    <xf numFmtId="0" fontId="94" fillId="0" borderId="38" xfId="356" applyFont="1" applyBorder="1"/>
    <xf numFmtId="177" fontId="54" fillId="25" borderId="39" xfId="337" applyNumberFormat="1" applyFont="1" applyFill="1" applyBorder="1" applyAlignment="1">
      <alignment vertical="center"/>
    </xf>
    <xf numFmtId="0" fontId="94" fillId="0" borderId="26" xfId="356" applyFont="1" applyBorder="1" applyAlignment="1">
      <alignment horizontal="center"/>
    </xf>
    <xf numFmtId="0" fontId="94" fillId="0" borderId="26" xfId="356" applyFont="1" applyBorder="1"/>
    <xf numFmtId="194" fontId="94" fillId="0" borderId="26" xfId="372" applyNumberFormat="1" applyFont="1" applyBorder="1"/>
    <xf numFmtId="197" fontId="94" fillId="0" borderId="26" xfId="356" applyNumberFormat="1" applyFont="1" applyBorder="1"/>
    <xf numFmtId="0" fontId="97" fillId="0" borderId="20" xfId="356" quotePrefix="1" applyFont="1" applyBorder="1" applyAlignment="1">
      <alignment horizontal="center"/>
    </xf>
    <xf numFmtId="0" fontId="97" fillId="0" borderId="20" xfId="356" applyFont="1" applyBorder="1"/>
    <xf numFmtId="0" fontId="94" fillId="0" borderId="20" xfId="356" applyFont="1" applyBorder="1" applyAlignment="1">
      <alignment horizontal="center"/>
    </xf>
    <xf numFmtId="194" fontId="94" fillId="0" borderId="20" xfId="372" applyNumberFormat="1" applyFont="1" applyBorder="1"/>
    <xf numFmtId="197" fontId="97" fillId="0" borderId="20" xfId="356" applyNumberFormat="1" applyFont="1" applyBorder="1"/>
    <xf numFmtId="0" fontId="97" fillId="0" borderId="0" xfId="356" applyFont="1" applyAlignment="1">
      <alignment horizontal="center"/>
    </xf>
    <xf numFmtId="0" fontId="98" fillId="0" borderId="20" xfId="356" applyFont="1" applyBorder="1" applyAlignment="1">
      <alignment horizontal="center"/>
    </xf>
    <xf numFmtId="0" fontId="98" fillId="0" borderId="20" xfId="356" applyFont="1" applyBorder="1"/>
    <xf numFmtId="194" fontId="98" fillId="0" borderId="20" xfId="372" applyNumberFormat="1" applyFont="1" applyBorder="1"/>
    <xf numFmtId="197" fontId="98" fillId="0" borderId="20" xfId="356" applyNumberFormat="1" applyFont="1" applyBorder="1"/>
    <xf numFmtId="198" fontId="94" fillId="0" borderId="0" xfId="356" applyNumberFormat="1" applyFont="1"/>
    <xf numFmtId="0" fontId="94" fillId="0" borderId="0" xfId="356" quotePrefix="1" applyFont="1"/>
    <xf numFmtId="0" fontId="97" fillId="0" borderId="0" xfId="356" applyFont="1"/>
    <xf numFmtId="0" fontId="97" fillId="0" borderId="20" xfId="356" applyFont="1" applyBorder="1" applyAlignment="1">
      <alignment horizontal="center"/>
    </xf>
    <xf numFmtId="194" fontId="94" fillId="0" borderId="20" xfId="372" applyNumberFormat="1" applyFont="1" applyBorder="1" applyAlignment="1">
      <alignment horizontal="center"/>
    </xf>
    <xf numFmtId="197" fontId="94" fillId="0" borderId="20" xfId="356" applyNumberFormat="1" applyFont="1" applyBorder="1" applyAlignment="1">
      <alignment horizontal="center"/>
    </xf>
    <xf numFmtId="0" fontId="94" fillId="0" borderId="0" xfId="356" applyFont="1" applyAlignment="1">
      <alignment horizontal="center"/>
    </xf>
    <xf numFmtId="168" fontId="98" fillId="0" borderId="20" xfId="324" applyFont="1" applyBorder="1"/>
    <xf numFmtId="0" fontId="94" fillId="0" borderId="20" xfId="356" applyFont="1" applyBorder="1"/>
    <xf numFmtId="194" fontId="94" fillId="0" borderId="20" xfId="372" applyNumberFormat="1" applyFont="1" applyBorder="1" applyAlignment="1">
      <alignment horizontal="center" shrinkToFit="1"/>
    </xf>
    <xf numFmtId="0" fontId="101" fillId="0" borderId="20" xfId="356" applyFont="1" applyBorder="1"/>
    <xf numFmtId="0" fontId="100" fillId="0" borderId="20" xfId="356" applyFont="1" applyBorder="1"/>
    <xf numFmtId="0" fontId="100" fillId="0" borderId="20" xfId="356" applyFont="1" applyBorder="1" applyAlignment="1">
      <alignment shrinkToFit="1"/>
    </xf>
    <xf numFmtId="0" fontId="94" fillId="0" borderId="15" xfId="356" applyFont="1" applyBorder="1" applyAlignment="1">
      <alignment horizontal="center"/>
    </xf>
    <xf numFmtId="0" fontId="100" fillId="25" borderId="15" xfId="356" applyFont="1" applyFill="1" applyBorder="1"/>
    <xf numFmtId="194" fontId="94" fillId="25" borderId="15" xfId="372" applyNumberFormat="1" applyFont="1" applyFill="1" applyBorder="1"/>
    <xf numFmtId="197" fontId="99" fillId="25" borderId="40" xfId="356" applyNumberFormat="1" applyFont="1" applyFill="1" applyBorder="1"/>
    <xf numFmtId="190" fontId="97" fillId="25" borderId="21" xfId="337" applyNumberFormat="1" applyFont="1" applyFill="1" applyBorder="1" applyAlignment="1"/>
    <xf numFmtId="40" fontId="97" fillId="0" borderId="21" xfId="356" applyNumberFormat="1" applyFont="1" applyBorder="1"/>
    <xf numFmtId="197" fontId="98" fillId="25" borderId="20" xfId="356" applyNumberFormat="1" applyFont="1" applyFill="1" applyBorder="1"/>
    <xf numFmtId="197" fontId="94" fillId="0" borderId="20" xfId="356" applyNumberFormat="1" applyFont="1" applyBorder="1"/>
    <xf numFmtId="0" fontId="103" fillId="0" borderId="20" xfId="356" applyFont="1" applyBorder="1"/>
    <xf numFmtId="197" fontId="104" fillId="0" borderId="20" xfId="356" applyNumberFormat="1" applyFont="1" applyBorder="1"/>
    <xf numFmtId="38" fontId="2" fillId="0" borderId="41" xfId="335" applyFont="1" applyBorder="1" applyAlignment="1"/>
    <xf numFmtId="0" fontId="103" fillId="0" borderId="20" xfId="356" applyFont="1" applyBorder="1" applyAlignment="1"/>
    <xf numFmtId="197" fontId="104" fillId="0" borderId="27" xfId="356" applyNumberFormat="1" applyFont="1" applyBorder="1"/>
    <xf numFmtId="0" fontId="103" fillId="0" borderId="20" xfId="356" applyFont="1" applyBorder="1" applyAlignment="1">
      <alignment shrinkToFit="1"/>
    </xf>
    <xf numFmtId="197" fontId="104" fillId="0" borderId="40" xfId="356" applyNumberFormat="1" applyFont="1" applyBorder="1"/>
    <xf numFmtId="0" fontId="2" fillId="0" borderId="42" xfId="0" applyFont="1" applyBorder="1" applyAlignment="1">
      <alignment horizontal="center" vertical="center"/>
    </xf>
    <xf numFmtId="0" fontId="2" fillId="0" borderId="43" xfId="0" applyFont="1" applyBorder="1" applyAlignment="1">
      <alignment horizontal="center" vertical="center"/>
    </xf>
    <xf numFmtId="9" fontId="0" fillId="0" borderId="0" xfId="250" applyFont="1" applyAlignment="1">
      <alignment vertical="center"/>
    </xf>
    <xf numFmtId="49" fontId="0" fillId="0" borderId="0" xfId="0" applyNumberFormat="1" applyAlignment="1">
      <alignment vertical="center"/>
    </xf>
    <xf numFmtId="49" fontId="0" fillId="0" borderId="0" xfId="0" applyNumberFormat="1" applyAlignment="1">
      <alignment horizontal="center" vertical="center"/>
    </xf>
    <xf numFmtId="9" fontId="1" fillId="0" borderId="0" xfId="250" applyFont="1" applyFill="1" applyBorder="1" applyAlignment="1">
      <alignment vertical="center"/>
    </xf>
    <xf numFmtId="0" fontId="4" fillId="0" borderId="0" xfId="349" applyFont="1" applyAlignment="1">
      <alignment vertical="center"/>
    </xf>
    <xf numFmtId="0" fontId="4" fillId="0" borderId="44" xfId="349" applyFont="1" applyBorder="1" applyAlignment="1">
      <alignment vertical="center"/>
    </xf>
    <xf numFmtId="0" fontId="0" fillId="0" borderId="44" xfId="349" applyFont="1" applyBorder="1" applyAlignment="1">
      <alignment vertical="center"/>
    </xf>
    <xf numFmtId="0" fontId="4" fillId="0" borderId="7" xfId="349" applyFont="1" applyBorder="1" applyAlignment="1">
      <alignment vertical="center"/>
    </xf>
    <xf numFmtId="0" fontId="48" fillId="0" borderId="7" xfId="349" applyFont="1" applyBorder="1" applyAlignment="1">
      <alignment vertical="center"/>
    </xf>
    <xf numFmtId="0" fontId="48" fillId="0" borderId="0" xfId="349" applyFont="1" applyAlignment="1">
      <alignment vertical="center"/>
    </xf>
    <xf numFmtId="0" fontId="25" fillId="0" borderId="0" xfId="349" applyFont="1" applyAlignment="1">
      <alignment vertical="center"/>
    </xf>
    <xf numFmtId="0" fontId="105" fillId="0" borderId="0" xfId="349" applyFont="1" applyAlignment="1">
      <alignment vertical="center"/>
    </xf>
    <xf numFmtId="0" fontId="106" fillId="0" borderId="0" xfId="349" applyFont="1" applyAlignment="1">
      <alignment vertical="center"/>
    </xf>
    <xf numFmtId="0" fontId="6" fillId="0" borderId="0" xfId="349" applyFont="1" applyAlignment="1">
      <alignment vertical="center"/>
    </xf>
    <xf numFmtId="0" fontId="107" fillId="0" borderId="0" xfId="349" applyFont="1" applyAlignment="1">
      <alignment vertical="center"/>
    </xf>
    <xf numFmtId="0" fontId="83" fillId="0" borderId="0" xfId="349" quotePrefix="1" applyFont="1" applyAlignment="1">
      <alignment vertical="center"/>
    </xf>
    <xf numFmtId="0" fontId="45" fillId="0" borderId="0" xfId="349" applyFont="1" applyAlignment="1">
      <alignment vertical="center"/>
    </xf>
    <xf numFmtId="0" fontId="108" fillId="0" borderId="0" xfId="349" quotePrefix="1" applyFont="1" applyAlignment="1">
      <alignment vertical="center"/>
    </xf>
    <xf numFmtId="0" fontId="109" fillId="0" borderId="0" xfId="349" applyFont="1" applyAlignment="1">
      <alignment horizontal="left" vertical="center"/>
    </xf>
    <xf numFmtId="0" fontId="110" fillId="0" borderId="0" xfId="349" applyFont="1" applyAlignment="1">
      <alignment horizontal="left" vertical="center"/>
    </xf>
    <xf numFmtId="0" fontId="3" fillId="0" borderId="0" xfId="349" applyFont="1" applyAlignment="1">
      <alignment vertical="center"/>
    </xf>
    <xf numFmtId="210" fontId="0" fillId="0" borderId="0" xfId="250" applyNumberFormat="1" applyFont="1" applyAlignment="1">
      <alignment vertical="center"/>
    </xf>
    <xf numFmtId="176" fontId="0" fillId="0" borderId="0" xfId="196" applyNumberFormat="1" applyFont="1" applyBorder="1" applyAlignment="1">
      <alignment vertical="center"/>
    </xf>
    <xf numFmtId="0" fontId="112" fillId="0" borderId="0" xfId="349" applyFont="1" applyAlignment="1">
      <alignment vertical="center"/>
    </xf>
    <xf numFmtId="0" fontId="4" fillId="0" borderId="0" xfId="356" applyFont="1"/>
    <xf numFmtId="194" fontId="4" fillId="0" borderId="0" xfId="372" applyNumberFormat="1" applyFont="1"/>
    <xf numFmtId="0" fontId="4" fillId="0" borderId="45" xfId="356" applyFont="1" applyBorder="1"/>
    <xf numFmtId="0" fontId="4" fillId="0" borderId="46" xfId="356" applyFont="1" applyBorder="1"/>
    <xf numFmtId="0" fontId="4" fillId="0" borderId="47" xfId="356" applyFont="1" applyBorder="1"/>
    <xf numFmtId="0" fontId="4" fillId="0" borderId="0" xfId="346" applyFont="1" applyFill="1" applyBorder="1" applyAlignment="1">
      <alignment horizontal="left" vertical="center"/>
    </xf>
    <xf numFmtId="0" fontId="4" fillId="0" borderId="33" xfId="346" applyFont="1" applyBorder="1" applyAlignment="1">
      <alignment vertical="center"/>
    </xf>
    <xf numFmtId="0" fontId="4" fillId="0" borderId="38" xfId="346" applyFont="1" applyFill="1" applyBorder="1" applyAlignment="1">
      <alignment horizontal="left" vertical="center"/>
    </xf>
    <xf numFmtId="0" fontId="4" fillId="0" borderId="48" xfId="346" applyFont="1" applyBorder="1" applyAlignment="1">
      <alignment vertical="center"/>
    </xf>
    <xf numFmtId="0" fontId="4" fillId="0" borderId="49" xfId="356" applyFont="1" applyBorder="1"/>
    <xf numFmtId="194" fontId="4" fillId="0" borderId="49" xfId="372" applyNumberFormat="1" applyFont="1" applyBorder="1"/>
    <xf numFmtId="0" fontId="4" fillId="0" borderId="20" xfId="356" applyFont="1" applyBorder="1"/>
    <xf numFmtId="0" fontId="4" fillId="25" borderId="20" xfId="356" applyFont="1" applyFill="1" applyBorder="1"/>
    <xf numFmtId="194" fontId="4" fillId="25" borderId="20" xfId="372" applyNumberFormat="1" applyFont="1" applyFill="1" applyBorder="1"/>
    <xf numFmtId="194" fontId="4" fillId="0" borderId="20" xfId="372" applyNumberFormat="1" applyFont="1" applyBorder="1"/>
    <xf numFmtId="0" fontId="4" fillId="0" borderId="20" xfId="356" applyFont="1" applyBorder="1" applyAlignment="1">
      <alignment horizontal="right"/>
    </xf>
    <xf numFmtId="0" fontId="4" fillId="0" borderId="20" xfId="346" applyFont="1" applyFill="1" applyBorder="1" applyAlignment="1">
      <alignment vertical="center"/>
    </xf>
    <xf numFmtId="0" fontId="4" fillId="0" borderId="0" xfId="356" quotePrefix="1" applyFont="1"/>
    <xf numFmtId="0" fontId="4" fillId="0" borderId="50" xfId="356" applyFont="1" applyBorder="1"/>
    <xf numFmtId="0" fontId="4" fillId="0" borderId="51" xfId="356" applyFont="1" applyBorder="1"/>
    <xf numFmtId="0" fontId="4" fillId="0" borderId="52" xfId="356" applyFont="1" applyBorder="1"/>
    <xf numFmtId="196" fontId="4" fillId="0" borderId="53" xfId="356" quotePrefix="1" applyNumberFormat="1" applyFont="1" applyBorder="1"/>
    <xf numFmtId="0" fontId="4" fillId="0" borderId="54" xfId="356" quotePrefix="1" applyFont="1" applyBorder="1"/>
    <xf numFmtId="38" fontId="4" fillId="0" borderId="41" xfId="335" applyFont="1" applyBorder="1" applyAlignment="1"/>
    <xf numFmtId="0" fontId="4" fillId="0" borderId="53" xfId="356" quotePrefix="1" applyFont="1" applyBorder="1"/>
    <xf numFmtId="0" fontId="4" fillId="0" borderId="54" xfId="356" applyFont="1" applyBorder="1"/>
    <xf numFmtId="0" fontId="4" fillId="0" borderId="41" xfId="356" applyFont="1" applyBorder="1"/>
    <xf numFmtId="0" fontId="4" fillId="0" borderId="53" xfId="356" applyFont="1" applyBorder="1"/>
    <xf numFmtId="0" fontId="4" fillId="0" borderId="41" xfId="356" quotePrefix="1" applyFont="1" applyBorder="1"/>
    <xf numFmtId="196" fontId="4" fillId="0" borderId="41" xfId="356" applyNumberFormat="1" applyFont="1" applyBorder="1"/>
    <xf numFmtId="0" fontId="4" fillId="0" borderId="27" xfId="356" applyFont="1" applyBorder="1"/>
    <xf numFmtId="0" fontId="4" fillId="0" borderId="40" xfId="356" applyFont="1" applyBorder="1"/>
    <xf numFmtId="194" fontId="4" fillId="0" borderId="40" xfId="372" applyNumberFormat="1" applyFont="1" applyBorder="1"/>
    <xf numFmtId="196" fontId="4" fillId="0" borderId="55" xfId="356" quotePrefix="1" applyNumberFormat="1" applyFont="1" applyBorder="1"/>
    <xf numFmtId="0" fontId="4" fillId="0" borderId="56" xfId="356" quotePrefix="1" applyFont="1" applyBorder="1"/>
    <xf numFmtId="196" fontId="4" fillId="0" borderId="57" xfId="356" applyNumberFormat="1" applyFont="1" applyBorder="1"/>
    <xf numFmtId="49" fontId="0" fillId="0" borderId="0" xfId="0" applyNumberFormat="1" applyAlignment="1">
      <alignment horizontal="center" vertical="center" shrinkToFit="1"/>
    </xf>
    <xf numFmtId="49" fontId="113" fillId="0" borderId="0" xfId="345" applyNumberFormat="1" applyFont="1" applyFill="1" applyBorder="1" applyAlignment="1">
      <alignment horizontal="center" vertical="center"/>
    </xf>
    <xf numFmtId="0" fontId="113" fillId="0" borderId="0" xfId="345" applyFont="1" applyFill="1" applyBorder="1" applyAlignment="1">
      <alignment vertical="center"/>
    </xf>
    <xf numFmtId="0" fontId="113" fillId="0" borderId="0" xfId="345" applyFont="1" applyFill="1" applyBorder="1" applyAlignment="1">
      <alignment vertical="center" wrapText="1"/>
    </xf>
    <xf numFmtId="0" fontId="111" fillId="0" borderId="0" xfId="345" applyFont="1" applyBorder="1" applyAlignment="1">
      <alignment horizontal="center" vertical="center"/>
    </xf>
    <xf numFmtId="0" fontId="111" fillId="0" borderId="0" xfId="345" applyFont="1" applyBorder="1" applyAlignment="1">
      <alignment vertical="center"/>
    </xf>
    <xf numFmtId="40" fontId="113" fillId="0" borderId="0" xfId="345" applyNumberFormat="1" applyFont="1" applyFill="1" applyBorder="1" applyAlignment="1">
      <alignment vertical="center"/>
    </xf>
    <xf numFmtId="176" fontId="111" fillId="0" borderId="0" xfId="196" applyNumberFormat="1" applyFont="1" applyBorder="1" applyAlignment="1">
      <alignment vertical="center" shrinkToFit="1"/>
    </xf>
    <xf numFmtId="176" fontId="111" fillId="0" borderId="0" xfId="196" applyNumberFormat="1" applyFont="1" applyFill="1" applyBorder="1" applyAlignment="1">
      <alignment vertical="center" shrinkToFit="1"/>
    </xf>
    <xf numFmtId="0" fontId="0" fillId="0" borderId="58" xfId="0" applyBorder="1" applyAlignment="1">
      <alignment vertical="center"/>
    </xf>
    <xf numFmtId="0" fontId="0" fillId="0" borderId="59" xfId="0" applyBorder="1" applyAlignment="1">
      <alignment vertical="center"/>
    </xf>
    <xf numFmtId="0" fontId="0" fillId="0" borderId="60" xfId="0" applyBorder="1" applyAlignment="1">
      <alignment vertical="center"/>
    </xf>
    <xf numFmtId="4" fontId="0" fillId="0" borderId="26" xfId="0" applyNumberFormat="1" applyFont="1" applyBorder="1" applyAlignment="1">
      <alignment vertical="center"/>
    </xf>
    <xf numFmtId="0" fontId="1" fillId="0" borderId="26" xfId="345" applyFont="1" applyBorder="1" applyAlignment="1">
      <alignment horizontal="center" vertical="center"/>
    </xf>
    <xf numFmtId="0" fontId="1" fillId="0" borderId="28" xfId="345" applyFont="1" applyFill="1" applyBorder="1" applyAlignment="1">
      <alignment vertical="center"/>
    </xf>
    <xf numFmtId="176" fontId="1" fillId="0" borderId="28" xfId="196" applyNumberFormat="1" applyFont="1" applyFill="1" applyBorder="1" applyAlignment="1">
      <alignment vertical="center"/>
    </xf>
    <xf numFmtId="176" fontId="0" fillId="0" borderId="26" xfId="196" applyNumberFormat="1" applyFont="1" applyBorder="1" applyAlignment="1">
      <alignment vertical="center" shrinkToFit="1"/>
    </xf>
    <xf numFmtId="179" fontId="0" fillId="0" borderId="26" xfId="0" applyNumberFormat="1" applyFont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0" fontId="0" fillId="0" borderId="0" xfId="0" applyFont="1" applyFill="1" applyBorder="1" applyAlignment="1">
      <alignment horizontal="center" vertical="center"/>
    </xf>
    <xf numFmtId="0" fontId="46" fillId="0" borderId="0" xfId="350" applyFont="1"/>
    <xf numFmtId="0" fontId="46" fillId="0" borderId="0" xfId="348" applyFont="1" applyAlignment="1">
      <alignment horizontal="right"/>
    </xf>
    <xf numFmtId="0" fontId="46" fillId="0" borderId="0" xfId="348" applyFont="1"/>
    <xf numFmtId="0" fontId="46" fillId="0" borderId="0" xfId="348" applyFont="1" applyAlignment="1">
      <alignment horizontal="center"/>
    </xf>
    <xf numFmtId="0" fontId="46" fillId="0" borderId="0" xfId="348" quotePrefix="1" applyFont="1" applyAlignment="1">
      <alignment horizontal="right"/>
    </xf>
    <xf numFmtId="0" fontId="46" fillId="0" borderId="0" xfId="347" applyFont="1" applyAlignment="1">
      <alignment vertical="center"/>
    </xf>
    <xf numFmtId="0" fontId="46" fillId="0" borderId="0" xfId="348" applyFont="1" applyAlignment="1"/>
    <xf numFmtId="49" fontId="46" fillId="0" borderId="0" xfId="350" applyNumberFormat="1" applyFont="1" applyAlignment="1">
      <alignment horizontal="center"/>
    </xf>
    <xf numFmtId="49" fontId="46" fillId="0" borderId="0" xfId="350" applyNumberFormat="1" applyFont="1" applyAlignment="1">
      <alignment horizontal="left"/>
    </xf>
    <xf numFmtId="0" fontId="46" fillId="0" borderId="0" xfId="350" applyFont="1" applyAlignment="1">
      <alignment vertical="center" wrapText="1"/>
    </xf>
    <xf numFmtId="49" fontId="46" fillId="0" borderId="0" xfId="351" applyNumberFormat="1" applyFont="1" applyAlignment="1">
      <alignment horizontal="center" vertical="center"/>
    </xf>
    <xf numFmtId="0" fontId="46" fillId="0" borderId="0" xfId="351" applyFont="1" applyAlignment="1">
      <alignment vertical="center"/>
    </xf>
    <xf numFmtId="0" fontId="46" fillId="0" borderId="0" xfId="351" applyFont="1" applyBorder="1" applyAlignment="1">
      <alignment vertical="center"/>
    </xf>
    <xf numFmtId="0" fontId="46" fillId="0" borderId="0" xfId="351" applyFont="1" applyBorder="1" applyAlignment="1">
      <alignment horizontal="center" vertical="center"/>
    </xf>
    <xf numFmtId="0" fontId="121" fillId="0" borderId="0" xfId="351" applyFont="1" applyBorder="1" applyAlignment="1">
      <alignment vertical="center"/>
    </xf>
    <xf numFmtId="9" fontId="121" fillId="0" borderId="0" xfId="351" applyNumberFormat="1" applyFont="1" applyBorder="1" applyAlignment="1">
      <alignment horizontal="center" vertical="center"/>
    </xf>
    <xf numFmtId="0" fontId="121" fillId="0" borderId="0" xfId="351" applyFont="1" applyBorder="1" applyAlignment="1">
      <alignment horizontal="center" vertical="center"/>
    </xf>
    <xf numFmtId="0" fontId="46" fillId="0" borderId="0" xfId="350" applyFont="1" applyAlignment="1">
      <alignment vertical="center"/>
    </xf>
    <xf numFmtId="176" fontId="2" fillId="0" borderId="9" xfId="196" applyNumberFormat="1" applyFont="1" applyBorder="1" applyAlignment="1">
      <alignment vertical="center"/>
    </xf>
    <xf numFmtId="49" fontId="0" fillId="0" borderId="25" xfId="196" applyNumberFormat="1" applyFont="1" applyFill="1" applyBorder="1" applyAlignment="1">
      <alignment horizontal="center" vertical="center"/>
    </xf>
    <xf numFmtId="40" fontId="1" fillId="25" borderId="9" xfId="0" applyNumberFormat="1" applyFont="1" applyFill="1" applyBorder="1" applyAlignment="1">
      <alignment vertical="center"/>
    </xf>
    <xf numFmtId="176" fontId="2" fillId="0" borderId="61" xfId="196" applyNumberFormat="1" applyFont="1" applyBorder="1" applyAlignment="1">
      <alignment horizontal="center" vertical="center"/>
    </xf>
    <xf numFmtId="176" fontId="2" fillId="0" borderId="15" xfId="196" applyNumberFormat="1" applyFont="1" applyBorder="1" applyAlignment="1">
      <alignment horizontal="center" vertical="center"/>
    </xf>
    <xf numFmtId="49" fontId="2" fillId="0" borderId="61" xfId="0" applyNumberFormat="1" applyFont="1" applyBorder="1" applyAlignment="1">
      <alignment horizontal="center" vertical="center"/>
    </xf>
    <xf numFmtId="0" fontId="2" fillId="0" borderId="61" xfId="0" applyFont="1" applyBorder="1" applyAlignment="1">
      <alignment horizontal="center" vertical="center"/>
    </xf>
    <xf numFmtId="175" fontId="2" fillId="0" borderId="61" xfId="196" applyNumberFormat="1" applyFont="1" applyBorder="1" applyAlignment="1">
      <alignment horizontal="center" vertical="center"/>
    </xf>
    <xf numFmtId="49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175" fontId="2" fillId="0" borderId="15" xfId="196" applyNumberFormat="1" applyFont="1" applyBorder="1" applyAlignment="1">
      <alignment horizontal="center" vertical="center"/>
    </xf>
    <xf numFmtId="191" fontId="2" fillId="22" borderId="9" xfId="345" applyNumberFormat="1" applyFont="1" applyFill="1" applyBorder="1" applyAlignment="1">
      <alignment horizontal="center" vertical="center"/>
    </xf>
    <xf numFmtId="191" fontId="2" fillId="22" borderId="0" xfId="345" applyNumberFormat="1" applyFont="1" applyFill="1" applyBorder="1" applyAlignment="1">
      <alignment horizontal="center" vertical="center"/>
    </xf>
    <xf numFmtId="1" fontId="0" fillId="0" borderId="20" xfId="0" applyNumberFormat="1" applyBorder="1" applyAlignment="1">
      <alignment horizontal="center" vertical="center" shrinkToFit="1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vertical="center" shrinkToFit="1"/>
    </xf>
    <xf numFmtId="175" fontId="0" fillId="0" borderId="0" xfId="196" applyNumberFormat="1" applyFont="1" applyBorder="1" applyAlignment="1">
      <alignment vertical="center" shrinkToFit="1"/>
    </xf>
    <xf numFmtId="176" fontId="0" fillId="0" borderId="0" xfId="196" applyNumberFormat="1" applyFont="1" applyBorder="1" applyAlignment="1">
      <alignment vertical="center" shrinkToFit="1"/>
    </xf>
    <xf numFmtId="194" fontId="128" fillId="0" borderId="20" xfId="372" applyNumberFormat="1" applyFont="1" applyBorder="1"/>
    <xf numFmtId="0" fontId="129" fillId="0" borderId="0" xfId="350" applyFont="1"/>
    <xf numFmtId="49" fontId="46" fillId="0" borderId="0" xfId="350" applyNumberFormat="1" applyFont="1" applyAlignment="1">
      <alignment horizontal="right"/>
    </xf>
    <xf numFmtId="49" fontId="129" fillId="0" borderId="0" xfId="350" applyNumberFormat="1" applyFont="1" applyAlignment="1">
      <alignment horizontal="center"/>
    </xf>
    <xf numFmtId="175" fontId="2" fillId="22" borderId="0" xfId="196" applyNumberFormat="1" applyFont="1" applyFill="1" applyBorder="1" applyAlignment="1">
      <alignment horizontal="center" vertical="center"/>
    </xf>
    <xf numFmtId="9" fontId="2" fillId="22" borderId="0" xfId="250" applyFont="1" applyFill="1" applyBorder="1" applyAlignment="1">
      <alignment horizontal="center" vertical="center"/>
    </xf>
    <xf numFmtId="49" fontId="50" fillId="0" borderId="0" xfId="352" applyNumberFormat="1" applyFont="1" applyAlignment="1">
      <alignment horizontal="center" vertical="center"/>
    </xf>
    <xf numFmtId="0" fontId="50" fillId="0" borderId="0" xfId="352" applyFont="1" applyAlignment="1">
      <alignment vertical="center"/>
    </xf>
    <xf numFmtId="0" fontId="50" fillId="0" borderId="0" xfId="352" applyFont="1" applyAlignment="1">
      <alignment horizontal="center" vertical="center"/>
    </xf>
    <xf numFmtId="0" fontId="1" fillId="0" borderId="0" xfId="352" applyAlignment="1">
      <alignment vertical="center"/>
    </xf>
    <xf numFmtId="49" fontId="50" fillId="0" borderId="0" xfId="352" applyNumberFormat="1" applyFont="1" applyAlignment="1">
      <alignment horizontal="left" vertical="center"/>
    </xf>
    <xf numFmtId="49" fontId="50" fillId="0" borderId="62" xfId="352" applyNumberFormat="1" applyFont="1" applyBorder="1" applyAlignment="1">
      <alignment horizontal="center" vertical="center"/>
    </xf>
    <xf numFmtId="0" fontId="50" fillId="0" borderId="62" xfId="352" applyFont="1" applyBorder="1" applyAlignment="1">
      <alignment horizontal="center" vertical="center"/>
    </xf>
    <xf numFmtId="49" fontId="46" fillId="0" borderId="15" xfId="352" applyNumberFormat="1" applyFont="1" applyBorder="1" applyAlignment="1">
      <alignment horizontal="center" vertical="center"/>
    </xf>
    <xf numFmtId="0" fontId="50" fillId="0" borderId="15" xfId="352" applyFont="1" applyBorder="1" applyAlignment="1">
      <alignment horizontal="center" vertical="center"/>
    </xf>
    <xf numFmtId="0" fontId="46" fillId="0" borderId="15" xfId="352" applyFont="1" applyBorder="1" applyAlignment="1">
      <alignment vertical="center"/>
    </xf>
    <xf numFmtId="49" fontId="46" fillId="0" borderId="61" xfId="352" applyNumberFormat="1" applyFont="1" applyBorder="1" applyAlignment="1">
      <alignment horizontal="center" vertical="center"/>
    </xf>
    <xf numFmtId="0" fontId="46" fillId="0" borderId="63" xfId="352" applyFont="1" applyBorder="1" applyAlignment="1">
      <alignment vertical="center"/>
    </xf>
    <xf numFmtId="0" fontId="125" fillId="0" borderId="61" xfId="352" quotePrefix="1" applyFont="1" applyBorder="1" applyAlignment="1">
      <alignment horizontal="center" vertical="center"/>
    </xf>
    <xf numFmtId="0" fontId="46" fillId="0" borderId="61" xfId="352" applyFont="1" applyBorder="1" applyAlignment="1">
      <alignment vertical="center"/>
    </xf>
    <xf numFmtId="0" fontId="125" fillId="0" borderId="15" xfId="352" quotePrefix="1" applyFont="1" applyBorder="1" applyAlignment="1">
      <alignment horizontal="center" vertical="center"/>
    </xf>
    <xf numFmtId="0" fontId="122" fillId="0" borderId="61" xfId="352" applyFont="1" applyBorder="1" applyAlignment="1">
      <alignment horizontal="center" vertical="center"/>
    </xf>
    <xf numFmtId="0" fontId="50" fillId="0" borderId="61" xfId="352" applyFont="1" applyBorder="1" applyAlignment="1">
      <alignment horizontal="center" vertical="center"/>
    </xf>
    <xf numFmtId="49" fontId="46" fillId="0" borderId="9" xfId="352" applyNumberFormat="1" applyFont="1" applyBorder="1" applyAlignment="1">
      <alignment horizontal="center" vertical="center"/>
    </xf>
    <xf numFmtId="0" fontId="46" fillId="0" borderId="64" xfId="352" applyFont="1" applyBorder="1" applyAlignment="1">
      <alignment vertical="center"/>
    </xf>
    <xf numFmtId="0" fontId="50" fillId="0" borderId="9" xfId="352" applyFont="1" applyBorder="1" applyAlignment="1">
      <alignment horizontal="center" vertical="center"/>
    </xf>
    <xf numFmtId="0" fontId="46" fillId="0" borderId="9" xfId="352" applyFont="1" applyBorder="1" applyAlignment="1">
      <alignment vertical="center"/>
    </xf>
    <xf numFmtId="0" fontId="50" fillId="0" borderId="26" xfId="352" applyFont="1" applyBorder="1" applyAlignment="1">
      <alignment horizontal="center" vertical="center"/>
    </xf>
    <xf numFmtId="0" fontId="124" fillId="0" borderId="61" xfId="352" applyFont="1" applyBorder="1" applyAlignment="1">
      <alignment vertical="center" wrapText="1"/>
    </xf>
    <xf numFmtId="0" fontId="122" fillId="0" borderId="26" xfId="352" applyFont="1" applyBorder="1" applyAlignment="1">
      <alignment horizontal="center" vertical="center"/>
    </xf>
    <xf numFmtId="0" fontId="124" fillId="0" borderId="15" xfId="352" applyFont="1" applyBorder="1" applyAlignment="1">
      <alignment vertical="center" wrapText="1"/>
    </xf>
    <xf numFmtId="49" fontId="46" fillId="0" borderId="26" xfId="352" applyNumberFormat="1" applyFont="1" applyBorder="1" applyAlignment="1">
      <alignment horizontal="center" vertical="center"/>
    </xf>
    <xf numFmtId="0" fontId="46" fillId="0" borderId="26" xfId="352" applyFont="1" applyBorder="1" applyAlignment="1">
      <alignment vertical="center"/>
    </xf>
    <xf numFmtId="0" fontId="124" fillId="0" borderId="26" xfId="352" applyFont="1" applyBorder="1" applyAlignment="1">
      <alignment vertical="center"/>
    </xf>
    <xf numFmtId="49" fontId="50" fillId="0" borderId="61" xfId="352" applyNumberFormat="1" applyFont="1" applyBorder="1" applyAlignment="1">
      <alignment horizontal="center" vertical="center"/>
    </xf>
    <xf numFmtId="0" fontId="46" fillId="0" borderId="61" xfId="352" applyFont="1" applyBorder="1" applyAlignment="1">
      <alignment vertical="center" wrapText="1"/>
    </xf>
    <xf numFmtId="49" fontId="50" fillId="0" borderId="15" xfId="352" applyNumberFormat="1" applyFont="1" applyBorder="1" applyAlignment="1">
      <alignment horizontal="center" vertical="center"/>
    </xf>
    <xf numFmtId="0" fontId="46" fillId="0" borderId="15" xfId="352" applyFont="1" applyBorder="1" applyAlignment="1">
      <alignment vertical="center" wrapText="1"/>
    </xf>
    <xf numFmtId="0" fontId="122" fillId="0" borderId="15" xfId="352" applyFont="1" applyBorder="1" applyAlignment="1">
      <alignment horizontal="center" vertical="center"/>
    </xf>
    <xf numFmtId="0" fontId="124" fillId="0" borderId="26" xfId="352" applyFont="1" applyBorder="1" applyAlignment="1">
      <alignment vertical="center" wrapText="1"/>
    </xf>
    <xf numFmtId="0" fontId="46" fillId="0" borderId="26" xfId="352" applyFont="1" applyBorder="1" applyAlignment="1">
      <alignment vertical="center" wrapText="1"/>
    </xf>
    <xf numFmtId="0" fontId="50" fillId="0" borderId="65" xfId="352" applyFont="1" applyBorder="1" applyAlignment="1">
      <alignment horizontal="center" vertical="center"/>
    </xf>
    <xf numFmtId="0" fontId="50" fillId="0" borderId="25" xfId="352" applyFont="1" applyBorder="1" applyAlignment="1">
      <alignment horizontal="center" vertical="center"/>
    </xf>
    <xf numFmtId="49" fontId="46" fillId="0" borderId="65" xfId="352" applyNumberFormat="1" applyFont="1" applyBorder="1" applyAlignment="1">
      <alignment horizontal="center" vertical="center"/>
    </xf>
    <xf numFmtId="49" fontId="46" fillId="0" borderId="1" xfId="352" applyNumberFormat="1" applyFont="1" applyBorder="1" applyAlignment="1">
      <alignment horizontal="center" vertical="center"/>
    </xf>
    <xf numFmtId="49" fontId="50" fillId="0" borderId="26" xfId="352" applyNumberFormat="1" applyFont="1" applyBorder="1" applyAlignment="1">
      <alignment horizontal="center" vertical="center"/>
    </xf>
    <xf numFmtId="49" fontId="46" fillId="0" borderId="66" xfId="352" applyNumberFormat="1" applyFont="1" applyBorder="1" applyAlignment="1">
      <alignment horizontal="center" vertical="center"/>
    </xf>
    <xf numFmtId="0" fontId="122" fillId="0" borderId="66" xfId="352" applyFont="1" applyBorder="1" applyAlignment="1">
      <alignment horizontal="center" vertical="center"/>
    </xf>
    <xf numFmtId="0" fontId="46" fillId="0" borderId="66" xfId="352" applyFont="1" applyBorder="1" applyAlignment="1">
      <alignment vertical="center"/>
    </xf>
    <xf numFmtId="49" fontId="46" fillId="0" borderId="67" xfId="352" applyNumberFormat="1" applyFont="1" applyBorder="1" applyAlignment="1">
      <alignment vertical="top"/>
    </xf>
    <xf numFmtId="176" fontId="4" fillId="0" borderId="27" xfId="196" applyNumberFormat="1" applyFont="1" applyBorder="1" applyAlignment="1">
      <alignment vertical="center" shrinkToFit="1"/>
    </xf>
    <xf numFmtId="49" fontId="135" fillId="0" borderId="20" xfId="0" applyNumberFormat="1" applyFont="1" applyBorder="1" applyAlignment="1">
      <alignment horizontal="center" vertical="center" shrinkToFit="1"/>
    </xf>
    <xf numFmtId="0" fontId="135" fillId="0" borderId="68" xfId="0" applyFont="1" applyBorder="1" applyAlignment="1">
      <alignment vertical="center"/>
    </xf>
    <xf numFmtId="49" fontId="136" fillId="0" borderId="20" xfId="0" applyNumberFormat="1" applyFont="1" applyBorder="1" applyAlignment="1">
      <alignment horizontal="center" vertical="center" shrinkToFit="1"/>
    </xf>
    <xf numFmtId="0" fontId="135" fillId="0" borderId="69" xfId="0" applyFont="1" applyBorder="1" applyAlignment="1">
      <alignment vertical="center"/>
    </xf>
    <xf numFmtId="0" fontId="0" fillId="0" borderId="69" xfId="0" applyFont="1" applyFill="1" applyBorder="1" applyAlignment="1">
      <alignment vertical="center"/>
    </xf>
    <xf numFmtId="0" fontId="0" fillId="0" borderId="58" xfId="0" applyFill="1" applyBorder="1" applyAlignment="1">
      <alignment vertical="center"/>
    </xf>
    <xf numFmtId="0" fontId="0" fillId="0" borderId="69" xfId="0" applyFill="1" applyBorder="1" applyAlignment="1">
      <alignment vertical="center"/>
    </xf>
    <xf numFmtId="1" fontId="0" fillId="0" borderId="26" xfId="0" applyNumberFormat="1" applyBorder="1" applyAlignment="1">
      <alignment horizontal="center" vertical="center" shrinkToFit="1"/>
    </xf>
    <xf numFmtId="0" fontId="0" fillId="0" borderId="25" xfId="0" applyBorder="1" applyAlignment="1">
      <alignment vertical="center"/>
    </xf>
    <xf numFmtId="0" fontId="0" fillId="0" borderId="28" xfId="0" applyBorder="1" applyAlignment="1">
      <alignment vertical="center"/>
    </xf>
    <xf numFmtId="0" fontId="4" fillId="0" borderId="26" xfId="245" applyFont="1" applyBorder="1" applyAlignment="1">
      <alignment horizontal="center" vertical="center"/>
    </xf>
    <xf numFmtId="176" fontId="4" fillId="0" borderId="26" xfId="196" applyNumberFormat="1" applyFont="1" applyBorder="1" applyAlignment="1">
      <alignment vertical="center" shrinkToFit="1"/>
    </xf>
    <xf numFmtId="0" fontId="0" fillId="0" borderId="70" xfId="0" applyBorder="1" applyAlignment="1">
      <alignment vertical="center"/>
    </xf>
    <xf numFmtId="0" fontId="135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0" fillId="0" borderId="26" xfId="0" applyFont="1" applyFill="1" applyBorder="1" applyAlignment="1">
      <alignment vertical="center"/>
    </xf>
    <xf numFmtId="9" fontId="0" fillId="0" borderId="0" xfId="250" applyFont="1" applyFill="1" applyBorder="1" applyAlignment="1">
      <alignment horizontal="center" vertical="center"/>
    </xf>
    <xf numFmtId="40" fontId="0" fillId="0" borderId="26" xfId="0" applyNumberFormat="1" applyFont="1" applyFill="1" applyBorder="1" applyAlignment="1">
      <alignment horizontal="center" vertical="center"/>
    </xf>
    <xf numFmtId="49" fontId="4" fillId="0" borderId="25" xfId="196" applyNumberFormat="1" applyFont="1" applyFill="1" applyBorder="1" applyAlignment="1">
      <alignment horizontal="center" vertical="center"/>
    </xf>
    <xf numFmtId="4" fontId="0" fillId="0" borderId="49" xfId="0" applyNumberFormat="1" applyFont="1" applyBorder="1" applyAlignment="1">
      <alignment vertical="center"/>
    </xf>
    <xf numFmtId="179" fontId="0" fillId="0" borderId="49" xfId="0" applyNumberFormat="1" applyFont="1" applyBorder="1" applyAlignment="1">
      <alignment vertical="center"/>
    </xf>
    <xf numFmtId="4" fontId="0" fillId="0" borderId="20" xfId="0" applyNumberFormat="1" applyFont="1" applyBorder="1" applyAlignment="1">
      <alignment vertical="center"/>
    </xf>
    <xf numFmtId="179" fontId="0" fillId="0" borderId="20" xfId="0" applyNumberFormat="1" applyFont="1" applyBorder="1" applyAlignment="1">
      <alignment vertical="center"/>
    </xf>
    <xf numFmtId="4" fontId="0" fillId="0" borderId="40" xfId="0" applyNumberFormat="1" applyFont="1" applyBorder="1" applyAlignment="1">
      <alignment vertical="center"/>
    </xf>
    <xf numFmtId="179" fontId="0" fillId="0" borderId="40" xfId="0" applyNumberFormat="1" applyFont="1" applyBorder="1" applyAlignment="1">
      <alignment vertical="center"/>
    </xf>
    <xf numFmtId="40" fontId="0" fillId="0" borderId="26" xfId="0" applyNumberFormat="1" applyFont="1" applyFill="1" applyBorder="1" applyAlignment="1">
      <alignment vertical="center"/>
    </xf>
    <xf numFmtId="15" fontId="138" fillId="0" borderId="44" xfId="350" quotePrefix="1" applyNumberFormat="1" applyFont="1" applyBorder="1"/>
    <xf numFmtId="0" fontId="138" fillId="0" borderId="44" xfId="350" applyFont="1" applyBorder="1"/>
    <xf numFmtId="0" fontId="138" fillId="0" borderId="0" xfId="350" applyFont="1"/>
    <xf numFmtId="176" fontId="4" fillId="0" borderId="0" xfId="199" applyNumberFormat="1" applyFont="1" applyFill="1" applyBorder="1" applyAlignment="1">
      <alignment vertical="center" shrinkToFit="1"/>
    </xf>
    <xf numFmtId="0" fontId="4" fillId="0" borderId="0" xfId="345" applyFont="1" applyFill="1" applyBorder="1" applyAlignment="1">
      <alignment vertical="center"/>
    </xf>
    <xf numFmtId="49" fontId="0" fillId="0" borderId="0" xfId="0" applyNumberFormat="1" applyBorder="1" applyAlignment="1">
      <alignment vertical="center"/>
    </xf>
    <xf numFmtId="176" fontId="4" fillId="0" borderId="20" xfId="196" applyNumberFormat="1" applyFont="1" applyFill="1" applyBorder="1" applyAlignment="1">
      <alignment vertical="center" shrinkToFit="1"/>
    </xf>
    <xf numFmtId="1" fontId="0" fillId="0" borderId="20" xfId="0" applyNumberFormat="1" applyFill="1" applyBorder="1" applyAlignment="1">
      <alignment horizontal="center" vertical="center" shrinkToFit="1"/>
    </xf>
    <xf numFmtId="0" fontId="4" fillId="0" borderId="20" xfId="245" applyFont="1" applyFill="1" applyBorder="1" applyAlignment="1">
      <alignment horizontal="center" vertical="center"/>
    </xf>
    <xf numFmtId="176" fontId="0" fillId="0" borderId="20" xfId="196" applyNumberFormat="1" applyFont="1" applyFill="1" applyBorder="1" applyAlignment="1">
      <alignment vertical="center" shrinkToFit="1"/>
    </xf>
    <xf numFmtId="176" fontId="139" fillId="0" borderId="20" xfId="196" applyNumberFormat="1" applyFont="1" applyFill="1" applyBorder="1" applyAlignment="1">
      <alignment horizontal="center" vertical="center" shrinkToFit="1"/>
    </xf>
    <xf numFmtId="176" fontId="0" fillId="0" borderId="27" xfId="196" applyNumberFormat="1" applyFont="1" applyFill="1" applyBorder="1" applyAlignment="1">
      <alignment vertical="center" shrinkToFit="1"/>
    </xf>
    <xf numFmtId="0" fontId="1" fillId="0" borderId="58" xfId="345" applyFont="1" applyFill="1" applyBorder="1" applyAlignment="1">
      <alignment vertical="center"/>
    </xf>
    <xf numFmtId="9" fontId="139" fillId="0" borderId="0" xfId="250" applyFont="1" applyFill="1" applyBorder="1" applyAlignment="1">
      <alignment horizontal="center" vertical="center"/>
    </xf>
    <xf numFmtId="9" fontId="0" fillId="0" borderId="0" xfId="250" applyFont="1" applyBorder="1" applyAlignment="1">
      <alignment vertical="center"/>
    </xf>
    <xf numFmtId="49" fontId="6" fillId="0" borderId="0" xfId="0" applyNumberFormat="1" applyFont="1" applyBorder="1" applyAlignment="1">
      <alignment vertical="center"/>
    </xf>
    <xf numFmtId="172" fontId="0" fillId="0" borderId="20" xfId="196" applyFont="1" applyBorder="1" applyAlignment="1">
      <alignment vertical="center" shrinkToFit="1"/>
    </xf>
    <xf numFmtId="172" fontId="4" fillId="0" borderId="20" xfId="196" applyFont="1" applyFill="1" applyBorder="1" applyAlignment="1">
      <alignment vertical="center" shrinkToFit="1"/>
    </xf>
    <xf numFmtId="172" fontId="0" fillId="0" borderId="27" xfId="196" applyFont="1" applyBorder="1" applyAlignment="1">
      <alignment vertical="center" shrinkToFit="1"/>
    </xf>
    <xf numFmtId="172" fontId="0" fillId="0" borderId="26" xfId="196" applyFont="1" applyBorder="1" applyAlignment="1">
      <alignment vertical="center" shrinkToFit="1"/>
    </xf>
    <xf numFmtId="4" fontId="137" fillId="29" borderId="9" xfId="199" applyNumberFormat="1" applyFont="1" applyFill="1" applyBorder="1" applyAlignment="1">
      <alignment vertical="center" shrinkToFit="1"/>
    </xf>
    <xf numFmtId="4" fontId="137" fillId="29" borderId="9" xfId="0" applyNumberFormat="1" applyFont="1" applyFill="1" applyBorder="1" applyAlignment="1">
      <alignment vertical="center"/>
    </xf>
    <xf numFmtId="40" fontId="140" fillId="0" borderId="0" xfId="207" applyNumberFormat="1" applyFont="1" applyFill="1" applyBorder="1" applyAlignment="1">
      <alignment vertical="center" shrinkToFit="1"/>
    </xf>
    <xf numFmtId="4" fontId="140" fillId="0" borderId="20" xfId="0" applyNumberFormat="1" applyFont="1" applyFill="1" applyBorder="1" applyAlignment="1">
      <alignment vertical="center" wrapText="1"/>
    </xf>
    <xf numFmtId="40" fontId="140" fillId="22" borderId="0" xfId="207" applyNumberFormat="1" applyFont="1" applyFill="1" applyBorder="1" applyAlignment="1">
      <alignment vertical="center" shrinkToFit="1"/>
    </xf>
    <xf numFmtId="49" fontId="113" fillId="0" borderId="42" xfId="345" applyNumberFormat="1" applyFont="1" applyFill="1" applyBorder="1" applyAlignment="1">
      <alignment vertical="center"/>
    </xf>
    <xf numFmtId="0" fontId="113" fillId="0" borderId="44" xfId="345" applyFont="1" applyFill="1" applyBorder="1" applyAlignment="1">
      <alignment vertical="center"/>
    </xf>
    <xf numFmtId="0" fontId="113" fillId="0" borderId="44" xfId="345" applyFont="1" applyFill="1" applyBorder="1" applyAlignment="1">
      <alignment vertical="center" wrapText="1"/>
    </xf>
    <xf numFmtId="40" fontId="113" fillId="0" borderId="43" xfId="345" applyNumberFormat="1" applyFont="1" applyFill="1" applyBorder="1" applyAlignment="1">
      <alignment vertical="center"/>
    </xf>
    <xf numFmtId="176" fontId="111" fillId="0" borderId="15" xfId="196" applyNumberFormat="1" applyFont="1" applyFill="1" applyBorder="1" applyAlignment="1">
      <alignment vertical="center" shrinkToFit="1"/>
    </xf>
    <xf numFmtId="0" fontId="2" fillId="0" borderId="65" xfId="345" applyFont="1" applyFill="1" applyBorder="1" applyAlignment="1">
      <alignment horizontal="center" vertical="center"/>
    </xf>
    <xf numFmtId="0" fontId="2" fillId="0" borderId="71" xfId="345" applyFont="1" applyFill="1" applyBorder="1" applyAlignment="1">
      <alignment horizontal="center" vertical="center"/>
    </xf>
    <xf numFmtId="0" fontId="1" fillId="0" borderId="63" xfId="345" applyFont="1" applyFill="1" applyBorder="1" applyAlignment="1">
      <alignment vertical="center"/>
    </xf>
    <xf numFmtId="40" fontId="2" fillId="0" borderId="63" xfId="345" applyNumberFormat="1" applyFont="1" applyFill="1" applyBorder="1" applyAlignment="1">
      <alignment vertical="center"/>
    </xf>
    <xf numFmtId="176" fontId="0" fillId="0" borderId="61" xfId="196" applyNumberFormat="1" applyFont="1" applyFill="1" applyBorder="1" applyAlignment="1">
      <alignment vertical="center" shrinkToFit="1"/>
    </xf>
    <xf numFmtId="0" fontId="111" fillId="0" borderId="15" xfId="345" applyFont="1" applyFill="1" applyBorder="1" applyAlignment="1">
      <alignment horizontal="center" vertical="center"/>
    </xf>
    <xf numFmtId="176" fontId="111" fillId="0" borderId="43" xfId="196" applyNumberFormat="1" applyFont="1" applyFill="1" applyBorder="1" applyAlignment="1">
      <alignment vertical="center" shrinkToFit="1"/>
    </xf>
    <xf numFmtId="0" fontId="1" fillId="0" borderId="61" xfId="345" applyFont="1" applyFill="1" applyBorder="1" applyAlignment="1">
      <alignment vertical="center"/>
    </xf>
    <xf numFmtId="0" fontId="111" fillId="0" borderId="15" xfId="345" applyFont="1" applyFill="1" applyBorder="1" applyAlignment="1">
      <alignment vertical="center"/>
    </xf>
    <xf numFmtId="0" fontId="2" fillId="0" borderId="25" xfId="345" applyFont="1" applyFill="1" applyBorder="1" applyAlignment="1">
      <alignment horizontal="center" vertical="center"/>
    </xf>
    <xf numFmtId="0" fontId="2" fillId="0" borderId="0" xfId="345" applyFont="1" applyFill="1" applyBorder="1" applyAlignment="1">
      <alignment horizontal="center" vertical="center"/>
    </xf>
    <xf numFmtId="0" fontId="1" fillId="0" borderId="26" xfId="345" applyFont="1" applyFill="1" applyBorder="1" applyAlignment="1">
      <alignment vertical="center"/>
    </xf>
    <xf numFmtId="40" fontId="2" fillId="0" borderId="28" xfId="345" applyNumberFormat="1" applyFont="1" applyFill="1" applyBorder="1" applyAlignment="1">
      <alignment vertical="center"/>
    </xf>
    <xf numFmtId="176" fontId="0" fillId="0" borderId="26" xfId="196" applyNumberFormat="1" applyFont="1" applyFill="1" applyBorder="1" applyAlignment="1">
      <alignment vertical="center" shrinkToFit="1"/>
    </xf>
    <xf numFmtId="0" fontId="2" fillId="0" borderId="0" xfId="345" applyFont="1" applyFill="1" applyBorder="1" applyAlignment="1">
      <alignment horizontal="left" vertical="center"/>
    </xf>
    <xf numFmtId="176" fontId="0" fillId="0" borderId="0" xfId="0" applyNumberFormat="1" applyAlignment="1">
      <alignment vertical="center"/>
    </xf>
    <xf numFmtId="197" fontId="0" fillId="0" borderId="0" xfId="0" applyNumberFormat="1" applyBorder="1" applyAlignment="1">
      <alignment vertical="center"/>
    </xf>
    <xf numFmtId="168" fontId="0" fillId="0" borderId="0" xfId="0" applyNumberFormat="1" applyBorder="1" applyAlignment="1">
      <alignment vertical="center"/>
    </xf>
    <xf numFmtId="168" fontId="0" fillId="0" borderId="0" xfId="0" applyNumberFormat="1" applyAlignment="1">
      <alignment vertical="center"/>
    </xf>
    <xf numFmtId="176" fontId="0" fillId="0" borderId="0" xfId="0" applyNumberFormat="1" applyFont="1" applyAlignment="1">
      <alignment vertical="center"/>
    </xf>
    <xf numFmtId="49" fontId="46" fillId="0" borderId="61" xfId="352" applyNumberFormat="1" applyFont="1" applyFill="1" applyBorder="1" applyAlignment="1">
      <alignment horizontal="center" vertical="center"/>
    </xf>
    <xf numFmtId="0" fontId="46" fillId="0" borderId="61" xfId="352" applyFont="1" applyFill="1" applyBorder="1" applyAlignment="1">
      <alignment vertical="center"/>
    </xf>
    <xf numFmtId="0" fontId="1" fillId="0" borderId="0" xfId="352" applyFill="1" applyAlignment="1">
      <alignment vertical="center"/>
    </xf>
    <xf numFmtId="49" fontId="46" fillId="0" borderId="15" xfId="352" applyNumberFormat="1" applyFont="1" applyFill="1" applyBorder="1" applyAlignment="1">
      <alignment horizontal="center" vertical="center"/>
    </xf>
    <xf numFmtId="0" fontId="122" fillId="0" borderId="15" xfId="352" applyFont="1" applyFill="1" applyBorder="1" applyAlignment="1">
      <alignment horizontal="center" vertical="center"/>
    </xf>
    <xf numFmtId="0" fontId="124" fillId="0" borderId="15" xfId="352" applyFont="1" applyFill="1" applyBorder="1" applyAlignment="1">
      <alignment vertical="center" wrapText="1"/>
    </xf>
    <xf numFmtId="0" fontId="0" fillId="0" borderId="0" xfId="0" applyFill="1" applyAlignment="1">
      <alignment vertical="center"/>
    </xf>
    <xf numFmtId="176" fontId="0" fillId="0" borderId="26" xfId="0" applyNumberFormat="1" applyFill="1" applyBorder="1" applyAlignment="1">
      <alignment vertical="center"/>
    </xf>
    <xf numFmtId="9" fontId="0" fillId="0" borderId="26" xfId="250" applyFont="1" applyFill="1" applyBorder="1" applyAlignment="1">
      <alignment vertical="center"/>
    </xf>
    <xf numFmtId="176" fontId="0" fillId="0" borderId="26" xfId="196" applyNumberFormat="1" applyFont="1" applyFill="1" applyBorder="1" applyAlignment="1">
      <alignment vertical="center"/>
    </xf>
    <xf numFmtId="0" fontId="1" fillId="0" borderId="20" xfId="345" applyFont="1" applyFill="1" applyBorder="1" applyAlignment="1">
      <alignment horizontal="center" vertical="center"/>
    </xf>
    <xf numFmtId="49" fontId="2" fillId="0" borderId="69" xfId="345" applyNumberFormat="1" applyFont="1" applyFill="1" applyBorder="1" applyAlignment="1">
      <alignment horizontal="center" vertical="center"/>
    </xf>
    <xf numFmtId="40" fontId="1" fillId="0" borderId="58" xfId="196" applyNumberFormat="1" applyFont="1" applyFill="1" applyBorder="1" applyAlignment="1">
      <alignment vertical="center"/>
    </xf>
    <xf numFmtId="0" fontId="2" fillId="0" borderId="72" xfId="0" applyFont="1" applyFill="1" applyBorder="1" applyAlignment="1">
      <alignment horizontal="center" vertical="center" shrinkToFit="1"/>
    </xf>
    <xf numFmtId="0" fontId="2" fillId="0" borderId="20" xfId="0" applyFont="1" applyFill="1" applyBorder="1" applyAlignment="1">
      <alignment horizontal="center" vertical="center" shrinkToFit="1"/>
    </xf>
    <xf numFmtId="176" fontId="2" fillId="0" borderId="73" xfId="199" applyNumberFormat="1" applyFont="1" applyFill="1" applyBorder="1" applyAlignment="1">
      <alignment horizontal="center" vertical="center" shrinkToFit="1"/>
    </xf>
    <xf numFmtId="176" fontId="2" fillId="0" borderId="68" xfId="199" applyNumberFormat="1" applyFont="1" applyFill="1" applyBorder="1" applyAlignment="1">
      <alignment horizontal="center" vertical="center" shrinkToFit="1"/>
    </xf>
    <xf numFmtId="40" fontId="0" fillId="0" borderId="0" xfId="0" applyNumberFormat="1" applyFont="1" applyFill="1" applyBorder="1" applyAlignment="1">
      <alignment vertical="center" shrinkToFit="1"/>
    </xf>
    <xf numFmtId="0" fontId="0" fillId="0" borderId="0" xfId="0" applyFont="1" applyFill="1" applyAlignment="1">
      <alignment vertical="center"/>
    </xf>
    <xf numFmtId="0" fontId="0" fillId="0" borderId="0" xfId="0" applyFill="1" applyBorder="1" applyAlignment="1">
      <alignment vertical="center"/>
    </xf>
    <xf numFmtId="49" fontId="0" fillId="0" borderId="0" xfId="0" applyNumberFormat="1" applyFill="1" applyBorder="1" applyAlignment="1">
      <alignment vertical="center"/>
    </xf>
    <xf numFmtId="4" fontId="137" fillId="0" borderId="0" xfId="199" applyNumberFormat="1" applyFont="1" applyFill="1" applyBorder="1" applyAlignment="1">
      <alignment vertical="center" shrinkToFit="1"/>
    </xf>
    <xf numFmtId="197" fontId="99" fillId="25" borderId="74" xfId="356" applyNumberFormat="1" applyFont="1" applyFill="1" applyBorder="1"/>
    <xf numFmtId="4" fontId="137" fillId="29" borderId="64" xfId="199" applyNumberFormat="1" applyFont="1" applyFill="1" applyBorder="1" applyAlignment="1">
      <alignment vertical="center" shrinkToFit="1"/>
    </xf>
    <xf numFmtId="1" fontId="0" fillId="0" borderId="0" xfId="0" applyNumberFormat="1" applyFill="1" applyBorder="1" applyAlignment="1">
      <alignment horizontal="center" vertical="center" shrinkToFit="1"/>
    </xf>
    <xf numFmtId="0" fontId="4" fillId="0" borderId="0" xfId="345" applyFont="1" applyFill="1" applyBorder="1" applyAlignment="1">
      <alignment horizontal="center" vertical="center"/>
    </xf>
    <xf numFmtId="176" fontId="139" fillId="0" borderId="0" xfId="199" applyNumberFormat="1" applyFont="1" applyFill="1" applyBorder="1" applyAlignment="1">
      <alignment horizontal="left" vertical="center"/>
    </xf>
    <xf numFmtId="4" fontId="139" fillId="0" borderId="0" xfId="195" applyNumberFormat="1" applyFont="1" applyFill="1" applyBorder="1" applyAlignment="1">
      <alignment vertical="center" shrinkToFit="1"/>
    </xf>
    <xf numFmtId="176" fontId="4" fillId="0" borderId="0" xfId="199" applyNumberFormat="1" applyFont="1" applyFill="1" applyBorder="1" applyAlignment="1">
      <alignment horizontal="center" vertical="center" shrinkToFit="1"/>
    </xf>
    <xf numFmtId="0" fontId="0" fillId="0" borderId="0" xfId="0" applyFill="1" applyBorder="1" applyAlignment="1">
      <alignment horizontal="center" vertical="center"/>
    </xf>
    <xf numFmtId="176" fontId="2" fillId="0" borderId="0" xfId="199" applyNumberFormat="1" applyFont="1" applyFill="1" applyBorder="1" applyAlignment="1">
      <alignment horizontal="center" vertical="center"/>
    </xf>
    <xf numFmtId="0" fontId="141" fillId="0" borderId="0" xfId="0" applyFont="1" applyFill="1" applyBorder="1" applyAlignment="1">
      <alignment vertical="center"/>
    </xf>
    <xf numFmtId="1" fontId="0" fillId="0" borderId="0" xfId="0" applyNumberFormat="1" applyFont="1" applyFill="1" applyBorder="1" applyAlignment="1">
      <alignment horizontal="center" vertical="center" shrinkToFit="1"/>
    </xf>
    <xf numFmtId="0" fontId="4" fillId="0" borderId="0" xfId="245" applyFont="1" applyFill="1" applyBorder="1" applyAlignment="1">
      <alignment horizontal="center" vertical="center"/>
    </xf>
    <xf numFmtId="175" fontId="0" fillId="0" borderId="0" xfId="199" applyNumberFormat="1" applyFont="1" applyFill="1" applyBorder="1" applyAlignment="1">
      <alignment vertical="center" shrinkToFit="1"/>
    </xf>
    <xf numFmtId="176" fontId="0" fillId="0" borderId="0" xfId="199" applyNumberFormat="1" applyFont="1" applyFill="1" applyBorder="1" applyAlignment="1">
      <alignment vertical="center" shrinkToFit="1"/>
    </xf>
    <xf numFmtId="4" fontId="0" fillId="0" borderId="0" xfId="0" applyNumberFormat="1" applyFont="1" applyFill="1" applyBorder="1" applyAlignment="1">
      <alignment vertical="center"/>
    </xf>
    <xf numFmtId="179" fontId="0" fillId="0" borderId="0" xfId="0" applyNumberFormat="1" applyFont="1" applyFill="1" applyBorder="1" applyAlignment="1">
      <alignment vertical="center"/>
    </xf>
    <xf numFmtId="0" fontId="0" fillId="0" borderId="0" xfId="0" applyNumberFormat="1" applyFill="1" applyBorder="1" applyAlignment="1">
      <alignment horizontal="center" vertical="center" shrinkToFit="1"/>
    </xf>
    <xf numFmtId="176" fontId="0" fillId="0" borderId="0" xfId="199" applyNumberFormat="1" applyFont="1" applyFill="1" applyBorder="1" applyAlignment="1">
      <alignment horizontal="center" vertical="center" shrinkToFit="1"/>
    </xf>
    <xf numFmtId="4" fontId="139" fillId="0" borderId="0" xfId="0" applyNumberFormat="1" applyFont="1" applyFill="1" applyBorder="1" applyAlignment="1">
      <alignment vertical="center"/>
    </xf>
    <xf numFmtId="179" fontId="139" fillId="0" borderId="0" xfId="0" applyNumberFormat="1" applyFont="1" applyFill="1" applyBorder="1" applyAlignment="1">
      <alignment vertical="center"/>
    </xf>
    <xf numFmtId="176" fontId="139" fillId="0" borderId="0" xfId="199" applyNumberFormat="1" applyFont="1" applyFill="1" applyBorder="1" applyAlignment="1">
      <alignment horizontal="center" vertical="center" shrinkToFit="1"/>
    </xf>
    <xf numFmtId="4" fontId="136" fillId="0" borderId="0" xfId="0" applyNumberFormat="1" applyFont="1" applyFill="1" applyBorder="1" applyAlignment="1">
      <alignment vertical="center"/>
    </xf>
    <xf numFmtId="179" fontId="136" fillId="0" borderId="0" xfId="0" applyNumberFormat="1" applyFont="1" applyFill="1" applyBorder="1" applyAlignment="1">
      <alignment vertical="center"/>
    </xf>
    <xf numFmtId="0" fontId="139" fillId="0" borderId="0" xfId="0" applyFont="1" applyFill="1" applyBorder="1" applyAlignment="1">
      <alignment vertical="center"/>
    </xf>
    <xf numFmtId="175" fontId="4" fillId="0" borderId="0" xfId="199" applyNumberFormat="1" applyFont="1" applyFill="1" applyBorder="1" applyAlignment="1">
      <alignment vertical="center" shrinkToFit="1"/>
    </xf>
    <xf numFmtId="0" fontId="130" fillId="0" borderId="0" xfId="0" applyNumberFormat="1" applyFont="1" applyFill="1" applyBorder="1" applyAlignment="1">
      <alignment horizontal="center" vertical="center" shrinkToFit="1"/>
    </xf>
    <xf numFmtId="0" fontId="130" fillId="0" borderId="0" xfId="0" applyFont="1" applyFill="1" applyBorder="1" applyAlignment="1">
      <alignment vertical="center"/>
    </xf>
    <xf numFmtId="0" fontId="130" fillId="0" borderId="0" xfId="345" applyFont="1" applyFill="1" applyBorder="1" applyAlignment="1">
      <alignment horizontal="center" vertical="center"/>
    </xf>
    <xf numFmtId="0" fontId="130" fillId="0" borderId="0" xfId="345" applyFont="1" applyFill="1" applyBorder="1" applyAlignment="1">
      <alignment vertical="center"/>
    </xf>
    <xf numFmtId="176" fontId="130" fillId="0" borderId="0" xfId="199" applyNumberFormat="1" applyFont="1" applyFill="1" applyBorder="1" applyAlignment="1">
      <alignment vertical="center" shrinkToFit="1"/>
    </xf>
    <xf numFmtId="4" fontId="0" fillId="0" borderId="0" xfId="199" applyNumberFormat="1" applyFont="1" applyFill="1" applyBorder="1" applyAlignment="1">
      <alignment vertical="center" shrinkToFit="1"/>
    </xf>
    <xf numFmtId="0" fontId="136" fillId="0" borderId="0" xfId="0" applyFont="1" applyFill="1" applyBorder="1" applyAlignment="1">
      <alignment vertical="center"/>
    </xf>
    <xf numFmtId="176" fontId="136" fillId="0" borderId="0" xfId="199" applyNumberFormat="1" applyFont="1" applyFill="1" applyBorder="1" applyAlignment="1">
      <alignment horizontal="center" vertical="center" shrinkToFit="1"/>
    </xf>
    <xf numFmtId="176" fontId="135" fillId="0" borderId="0" xfId="199" applyNumberFormat="1" applyFont="1" applyFill="1" applyBorder="1" applyAlignment="1">
      <alignment vertical="center" shrinkToFit="1"/>
    </xf>
    <xf numFmtId="4" fontId="135" fillId="0" borderId="0" xfId="0" applyNumberFormat="1" applyFont="1" applyFill="1" applyBorder="1" applyAlignment="1">
      <alignment vertical="center"/>
    </xf>
    <xf numFmtId="179" fontId="135" fillId="0" borderId="0" xfId="0" applyNumberFormat="1" applyFont="1" applyFill="1" applyBorder="1" applyAlignment="1">
      <alignment vertical="center"/>
    </xf>
    <xf numFmtId="4" fontId="137" fillId="0" borderId="0" xfId="0" applyNumberFormat="1" applyFont="1" applyFill="1" applyBorder="1" applyAlignment="1">
      <alignment vertical="center"/>
    </xf>
    <xf numFmtId="1" fontId="2" fillId="0" borderId="0" xfId="0" applyNumberFormat="1" applyFont="1" applyFill="1" applyBorder="1" applyAlignment="1">
      <alignment horizontal="center" vertical="center" shrinkToFit="1"/>
    </xf>
    <xf numFmtId="0" fontId="137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49" fontId="0" fillId="0" borderId="0" xfId="0" applyNumberFormat="1" applyFill="1" applyBorder="1" applyAlignment="1">
      <alignment horizontal="center" vertical="center" shrinkToFit="1"/>
    </xf>
    <xf numFmtId="0" fontId="0" fillId="0" borderId="0" xfId="0" applyFill="1" applyBorder="1" applyAlignment="1">
      <alignment vertical="center" shrinkToFit="1"/>
    </xf>
    <xf numFmtId="175" fontId="0" fillId="0" borderId="0" xfId="196" applyNumberFormat="1" applyFont="1" applyFill="1" applyBorder="1" applyAlignment="1">
      <alignment vertical="center" shrinkToFit="1"/>
    </xf>
    <xf numFmtId="176" fontId="0" fillId="0" borderId="0" xfId="196" applyNumberFormat="1" applyFont="1" applyFill="1" applyBorder="1" applyAlignment="1">
      <alignment vertical="center" shrinkToFit="1"/>
    </xf>
    <xf numFmtId="176" fontId="0" fillId="0" borderId="0" xfId="196" applyNumberFormat="1" applyFont="1" applyFill="1" applyBorder="1" applyAlignment="1">
      <alignment vertical="center"/>
    </xf>
    <xf numFmtId="0" fontId="0" fillId="0" borderId="72" xfId="0" applyFont="1" applyFill="1" applyBorder="1" applyAlignment="1">
      <alignment vertical="center" wrapText="1"/>
    </xf>
    <xf numFmtId="0" fontId="0" fillId="0" borderId="20" xfId="0" applyFont="1" applyFill="1" applyBorder="1" applyAlignment="1">
      <alignment vertical="center" wrapText="1"/>
    </xf>
    <xf numFmtId="0" fontId="142" fillId="0" borderId="0" xfId="353" applyFont="1" applyFill="1" applyAlignment="1">
      <alignment vertical="center"/>
    </xf>
    <xf numFmtId="0" fontId="144" fillId="0" borderId="0" xfId="353" applyFont="1" applyFill="1" applyAlignment="1">
      <alignment horizontal="right" vertical="center"/>
    </xf>
    <xf numFmtId="0" fontId="142" fillId="0" borderId="0" xfId="353" applyFont="1" applyFill="1" applyAlignment="1">
      <alignment horizontal="left" vertical="center"/>
    </xf>
    <xf numFmtId="0" fontId="142" fillId="0" borderId="63" xfId="353" applyFont="1" applyFill="1" applyBorder="1" applyAlignment="1">
      <alignment horizontal="center" vertical="center"/>
    </xf>
    <xf numFmtId="0" fontId="142" fillId="0" borderId="43" xfId="353" applyFont="1" applyFill="1" applyBorder="1" applyAlignment="1">
      <alignment horizontal="center" vertical="center"/>
    </xf>
    <xf numFmtId="0" fontId="142" fillId="0" borderId="26" xfId="353" applyFont="1" applyFill="1" applyBorder="1" applyAlignment="1">
      <alignment horizontal="center" vertical="center"/>
    </xf>
    <xf numFmtId="0" fontId="145" fillId="0" borderId="0" xfId="353" applyFont="1" applyFill="1" applyBorder="1" applyAlignment="1">
      <alignment horizontal="center" vertical="center"/>
    </xf>
    <xf numFmtId="0" fontId="142" fillId="0" borderId="25" xfId="353" applyFont="1" applyFill="1" applyBorder="1" applyAlignment="1">
      <alignment horizontal="center" vertical="center"/>
    </xf>
    <xf numFmtId="0" fontId="142" fillId="0" borderId="26" xfId="353" applyFont="1" applyFill="1" applyBorder="1" applyAlignment="1">
      <alignment horizontal="left" vertical="center" shrinkToFit="1"/>
    </xf>
    <xf numFmtId="0" fontId="142" fillId="0" borderId="26" xfId="353" applyFont="1" applyFill="1" applyBorder="1" applyAlignment="1">
      <alignment horizontal="left" vertical="center" wrapText="1" shrinkToFit="1"/>
    </xf>
    <xf numFmtId="0" fontId="142" fillId="0" borderId="26" xfId="353" applyFont="1" applyFill="1" applyBorder="1" applyAlignment="1">
      <alignment horizontal="left" vertical="center"/>
    </xf>
    <xf numFmtId="0" fontId="145" fillId="0" borderId="44" xfId="353" applyFont="1" applyFill="1" applyBorder="1" applyAlignment="1">
      <alignment horizontal="center" vertical="center"/>
    </xf>
    <xf numFmtId="0" fontId="142" fillId="0" borderId="42" xfId="353" applyFont="1" applyFill="1" applyBorder="1" applyAlignment="1">
      <alignment horizontal="center" vertical="center"/>
    </xf>
    <xf numFmtId="0" fontId="142" fillId="0" borderId="0" xfId="353" applyFont="1" applyFill="1" applyBorder="1" applyAlignment="1">
      <alignment horizontal="center" vertical="center"/>
    </xf>
    <xf numFmtId="40" fontId="139" fillId="0" borderId="58" xfId="207" applyNumberFormat="1" applyFont="1" applyFill="1" applyBorder="1" applyAlignment="1">
      <alignment horizontal="center" vertical="center"/>
    </xf>
    <xf numFmtId="49" fontId="146" fillId="0" borderId="0" xfId="0" applyNumberFormat="1" applyFont="1" applyFill="1" applyBorder="1" applyAlignment="1">
      <alignment horizontal="left" vertical="center"/>
    </xf>
    <xf numFmtId="1" fontId="0" fillId="0" borderId="27" xfId="0" applyNumberFormat="1" applyFill="1" applyBorder="1" applyAlignment="1">
      <alignment horizontal="center" vertical="center" shrinkToFit="1"/>
    </xf>
    <xf numFmtId="0" fontId="0" fillId="0" borderId="59" xfId="0" applyFill="1" applyBorder="1" applyAlignment="1">
      <alignment vertical="center"/>
    </xf>
    <xf numFmtId="0" fontId="0" fillId="0" borderId="60" xfId="0" applyFill="1" applyBorder="1" applyAlignment="1">
      <alignment vertical="center"/>
    </xf>
    <xf numFmtId="0" fontId="4" fillId="0" borderId="27" xfId="245" applyFont="1" applyFill="1" applyBorder="1" applyAlignment="1">
      <alignment horizontal="center" vertical="center"/>
    </xf>
    <xf numFmtId="172" fontId="0" fillId="0" borderId="27" xfId="196" applyFont="1" applyFill="1" applyBorder="1" applyAlignment="1">
      <alignment vertical="center" shrinkToFit="1"/>
    </xf>
    <xf numFmtId="176" fontId="4" fillId="0" borderId="27" xfId="196" applyNumberFormat="1" applyFont="1" applyFill="1" applyBorder="1" applyAlignment="1">
      <alignment vertical="center" shrinkToFit="1"/>
    </xf>
    <xf numFmtId="176" fontId="147" fillId="0" borderId="0" xfId="199" applyNumberFormat="1" applyFont="1" applyFill="1" applyBorder="1" applyAlignment="1">
      <alignment vertical="center" shrinkToFit="1"/>
    </xf>
    <xf numFmtId="9" fontId="140" fillId="0" borderId="20" xfId="253" applyNumberFormat="1" applyFont="1" applyFill="1" applyBorder="1" applyAlignment="1">
      <alignment vertical="center" wrapText="1"/>
    </xf>
    <xf numFmtId="49" fontId="0" fillId="0" borderId="0" xfId="0" applyNumberFormat="1" applyFont="1" applyFill="1" applyBorder="1" applyAlignment="1">
      <alignment horizontal="center" vertical="center"/>
    </xf>
    <xf numFmtId="40" fontId="139" fillId="22" borderId="0" xfId="0" applyNumberFormat="1" applyFont="1" applyFill="1" applyAlignment="1">
      <alignment vertical="center"/>
    </xf>
    <xf numFmtId="176" fontId="137" fillId="22" borderId="49" xfId="199" applyNumberFormat="1" applyFont="1" applyFill="1" applyBorder="1" applyAlignment="1">
      <alignment horizontal="center" vertical="center"/>
    </xf>
    <xf numFmtId="176" fontId="137" fillId="22" borderId="20" xfId="199" applyNumberFormat="1" applyFont="1" applyFill="1" applyBorder="1" applyAlignment="1">
      <alignment horizontal="center" vertical="center"/>
    </xf>
    <xf numFmtId="9" fontId="139" fillId="0" borderId="20" xfId="253" applyFont="1" applyFill="1" applyBorder="1" applyAlignment="1">
      <alignment horizontal="center" vertical="center"/>
    </xf>
    <xf numFmtId="40" fontId="139" fillId="0" borderId="20" xfId="207" applyNumberFormat="1" applyFont="1" applyFill="1" applyBorder="1" applyAlignment="1">
      <alignment horizontal="center" vertical="center"/>
    </xf>
    <xf numFmtId="40" fontId="139" fillId="0" borderId="0" xfId="0" applyNumberFormat="1" applyFont="1" applyFill="1" applyBorder="1" applyAlignment="1">
      <alignment vertical="center"/>
    </xf>
    <xf numFmtId="40" fontId="139" fillId="22" borderId="0" xfId="0" applyNumberFormat="1" applyFont="1" applyFill="1" applyBorder="1" applyAlignment="1">
      <alignment vertical="center"/>
    </xf>
    <xf numFmtId="0" fontId="142" fillId="0" borderId="26" xfId="353" applyFont="1" applyFill="1" applyBorder="1" applyAlignment="1">
      <alignment vertical="center" wrapText="1"/>
    </xf>
    <xf numFmtId="0" fontId="149" fillId="22" borderId="69" xfId="0" applyFont="1" applyFill="1" applyBorder="1" applyAlignment="1">
      <alignment vertical="center"/>
    </xf>
    <xf numFmtId="0" fontId="150" fillId="22" borderId="69" xfId="0" applyFont="1" applyFill="1" applyBorder="1" applyAlignment="1">
      <alignment vertical="center"/>
    </xf>
    <xf numFmtId="0" fontId="150" fillId="22" borderId="68" xfId="0" applyFont="1" applyFill="1" applyBorder="1" applyAlignment="1">
      <alignment horizontal="center" vertical="center"/>
    </xf>
    <xf numFmtId="0" fontId="150" fillId="22" borderId="20" xfId="0" applyFont="1" applyFill="1" applyBorder="1" applyAlignment="1">
      <alignment horizontal="center" vertical="center"/>
    </xf>
    <xf numFmtId="0" fontId="150" fillId="22" borderId="58" xfId="0" applyFont="1" applyFill="1" applyBorder="1" applyAlignment="1">
      <alignment horizontal="center" vertical="center" shrinkToFit="1"/>
    </xf>
    <xf numFmtId="4" fontId="147" fillId="22" borderId="20" xfId="199" applyNumberFormat="1" applyFont="1" applyFill="1" applyBorder="1" applyAlignment="1">
      <alignment horizontal="center" vertical="center" shrinkToFit="1"/>
    </xf>
    <xf numFmtId="176" fontId="150" fillId="22" borderId="20" xfId="199" applyNumberFormat="1" applyFont="1" applyFill="1" applyBorder="1" applyAlignment="1">
      <alignment horizontal="center" vertical="center"/>
    </xf>
    <xf numFmtId="176" fontId="150" fillId="0" borderId="68" xfId="199" applyNumberFormat="1" applyFont="1" applyFill="1" applyBorder="1" applyAlignment="1">
      <alignment horizontal="center" vertical="center" shrinkToFit="1"/>
    </xf>
    <xf numFmtId="9" fontId="140" fillId="0" borderId="20" xfId="253" applyFont="1" applyFill="1" applyBorder="1" applyAlignment="1">
      <alignment horizontal="center" vertical="center" wrapText="1"/>
    </xf>
    <xf numFmtId="4" fontId="140" fillId="0" borderId="20" xfId="0" applyNumberFormat="1" applyFont="1" applyFill="1" applyBorder="1" applyAlignment="1">
      <alignment horizontal="center" vertical="center" wrapText="1"/>
    </xf>
    <xf numFmtId="4" fontId="140" fillId="0" borderId="20" xfId="253" applyNumberFormat="1" applyFont="1" applyFill="1" applyBorder="1" applyAlignment="1">
      <alignment horizontal="center" vertical="center" wrapText="1"/>
    </xf>
    <xf numFmtId="0" fontId="140" fillId="0" borderId="20" xfId="0" applyFont="1" applyFill="1" applyBorder="1" applyAlignment="1">
      <alignment vertical="center" wrapText="1"/>
    </xf>
    <xf numFmtId="49" fontId="140" fillId="0" borderId="20" xfId="0" applyNumberFormat="1" applyFont="1" applyFill="1" applyBorder="1" applyAlignment="1">
      <alignment horizontal="center" vertical="center"/>
    </xf>
    <xf numFmtId="0" fontId="140" fillId="22" borderId="69" xfId="0" applyFont="1" applyFill="1" applyBorder="1" applyAlignment="1">
      <alignment vertical="center"/>
    </xf>
    <xf numFmtId="0" fontId="140" fillId="22" borderId="68" xfId="0" applyFont="1" applyFill="1" applyBorder="1" applyAlignment="1">
      <alignment horizontal="center" vertical="center"/>
    </xf>
    <xf numFmtId="0" fontId="140" fillId="22" borderId="20" xfId="0" applyFont="1" applyFill="1" applyBorder="1" applyAlignment="1">
      <alignment horizontal="center" vertical="center"/>
    </xf>
    <xf numFmtId="0" fontId="140" fillId="22" borderId="58" xfId="0" applyFont="1" applyFill="1" applyBorder="1" applyAlignment="1">
      <alignment horizontal="center" vertical="center" shrinkToFit="1"/>
    </xf>
    <xf numFmtId="4" fontId="140" fillId="22" borderId="20" xfId="199" applyNumberFormat="1" applyFont="1" applyFill="1" applyBorder="1" applyAlignment="1">
      <alignment horizontal="center" vertical="center" shrinkToFit="1"/>
    </xf>
    <xf numFmtId="4" fontId="140" fillId="22" borderId="20" xfId="199" applyNumberFormat="1" applyFont="1" applyFill="1" applyBorder="1" applyAlignment="1">
      <alignment vertical="center" shrinkToFit="1"/>
    </xf>
    <xf numFmtId="176" fontId="151" fillId="22" borderId="20" xfId="199" applyNumberFormat="1" applyFont="1" applyFill="1" applyBorder="1" applyAlignment="1">
      <alignment horizontal="center" vertical="center"/>
    </xf>
    <xf numFmtId="176" fontId="151" fillId="0" borderId="68" xfId="199" applyNumberFormat="1" applyFont="1" applyFill="1" applyBorder="1" applyAlignment="1">
      <alignment horizontal="center" vertical="center" shrinkToFit="1"/>
    </xf>
    <xf numFmtId="4" fontId="140" fillId="30" borderId="20" xfId="199" applyNumberFormat="1" applyFont="1" applyFill="1" applyBorder="1" applyAlignment="1">
      <alignment vertical="center" shrinkToFit="1"/>
    </xf>
    <xf numFmtId="0" fontId="140" fillId="0" borderId="20" xfId="0" applyFont="1" applyFill="1" applyBorder="1" applyAlignment="1">
      <alignment horizontal="center" vertical="center" shrinkToFit="1"/>
    </xf>
    <xf numFmtId="4" fontId="140" fillId="0" borderId="20" xfId="0" applyNumberFormat="1" applyFont="1" applyFill="1" applyBorder="1" applyAlignment="1">
      <alignment horizontal="right" vertical="center" wrapText="1"/>
    </xf>
    <xf numFmtId="0" fontId="147" fillId="22" borderId="68" xfId="0" applyFont="1" applyFill="1" applyBorder="1" applyAlignment="1">
      <alignment horizontal="center" vertical="center"/>
    </xf>
    <xf numFmtId="0" fontId="147" fillId="22" borderId="20" xfId="0" applyFont="1" applyFill="1" applyBorder="1" applyAlignment="1">
      <alignment horizontal="center" vertical="center"/>
    </xf>
    <xf numFmtId="0" fontId="140" fillId="0" borderId="27" xfId="0" applyFont="1" applyFill="1" applyBorder="1" applyAlignment="1">
      <alignment horizontal="center" vertical="center" shrinkToFit="1"/>
    </xf>
    <xf numFmtId="0" fontId="140" fillId="22" borderId="59" xfId="0" applyFont="1" applyFill="1" applyBorder="1" applyAlignment="1">
      <alignment vertical="center"/>
    </xf>
    <xf numFmtId="0" fontId="140" fillId="22" borderId="70" xfId="0" applyFont="1" applyFill="1" applyBorder="1" applyAlignment="1">
      <alignment horizontal="center" vertical="center"/>
    </xf>
    <xf numFmtId="0" fontId="140" fillId="22" borderId="27" xfId="0" applyFont="1" applyFill="1" applyBorder="1" applyAlignment="1">
      <alignment horizontal="center" vertical="center"/>
    </xf>
    <xf numFmtId="0" fontId="140" fillId="22" borderId="60" xfId="0" applyFont="1" applyFill="1" applyBorder="1" applyAlignment="1">
      <alignment horizontal="center" vertical="center" shrinkToFit="1"/>
    </xf>
    <xf numFmtId="4" fontId="140" fillId="22" borderId="27" xfId="199" applyNumberFormat="1" applyFont="1" applyFill="1" applyBorder="1" applyAlignment="1">
      <alignment horizontal="center" vertical="center" shrinkToFit="1"/>
    </xf>
    <xf numFmtId="4" fontId="140" fillId="22" borderId="27" xfId="199" applyNumberFormat="1" applyFont="1" applyFill="1" applyBorder="1" applyAlignment="1">
      <alignment vertical="center" shrinkToFit="1"/>
    </xf>
    <xf numFmtId="176" fontId="151" fillId="22" borderId="27" xfId="199" applyNumberFormat="1" applyFont="1" applyFill="1" applyBorder="1" applyAlignment="1">
      <alignment horizontal="center" vertical="center"/>
    </xf>
    <xf numFmtId="176" fontId="151" fillId="0" borderId="70" xfId="199" applyNumberFormat="1" applyFont="1" applyFill="1" applyBorder="1" applyAlignment="1">
      <alignment horizontal="center" vertical="center" shrinkToFit="1"/>
    </xf>
    <xf numFmtId="9" fontId="140" fillId="0" borderId="27" xfId="253" applyFont="1" applyFill="1" applyBorder="1" applyAlignment="1">
      <alignment horizontal="center" vertical="center" wrapText="1"/>
    </xf>
    <xf numFmtId="4" fontId="140" fillId="0" borderId="27" xfId="0" applyNumberFormat="1" applyFont="1" applyFill="1" applyBorder="1" applyAlignment="1">
      <alignment horizontal="center" vertical="center" wrapText="1"/>
    </xf>
    <xf numFmtId="4" fontId="140" fillId="0" borderId="27" xfId="253" applyNumberFormat="1" applyFont="1" applyFill="1" applyBorder="1" applyAlignment="1">
      <alignment horizontal="center" vertical="center" wrapText="1"/>
    </xf>
    <xf numFmtId="4" fontId="140" fillId="0" borderId="27" xfId="0" applyNumberFormat="1" applyFont="1" applyFill="1" applyBorder="1" applyAlignment="1">
      <alignment horizontal="right" vertical="center" wrapText="1"/>
    </xf>
    <xf numFmtId="0" fontId="140" fillId="0" borderId="27" xfId="0" applyFont="1" applyFill="1" applyBorder="1" applyAlignment="1">
      <alignment vertical="center" wrapText="1"/>
    </xf>
    <xf numFmtId="0" fontId="147" fillId="31" borderId="9" xfId="0" applyFont="1" applyFill="1" applyBorder="1" applyAlignment="1">
      <alignment horizontal="center" vertical="center"/>
    </xf>
    <xf numFmtId="176" fontId="150" fillId="0" borderId="7" xfId="199" applyNumberFormat="1" applyFont="1" applyFill="1" applyBorder="1" applyAlignment="1">
      <alignment horizontal="center" vertical="center" shrinkToFit="1"/>
    </xf>
    <xf numFmtId="4" fontId="147" fillId="32" borderId="9" xfId="0" applyNumberFormat="1" applyFont="1" applyFill="1" applyBorder="1" applyAlignment="1">
      <alignment horizontal="center" vertical="center" wrapText="1"/>
    </xf>
    <xf numFmtId="4" fontId="147" fillId="32" borderId="9" xfId="0" applyNumberFormat="1" applyFont="1" applyFill="1" applyBorder="1" applyAlignment="1">
      <alignment horizontal="right" vertical="center" wrapText="1"/>
    </xf>
    <xf numFmtId="0" fontId="140" fillId="0" borderId="72" xfId="0" applyFont="1" applyFill="1" applyBorder="1" applyAlignment="1">
      <alignment horizontal="center" vertical="center" shrinkToFit="1"/>
    </xf>
    <xf numFmtId="0" fontId="140" fillId="22" borderId="75" xfId="0" applyFont="1" applyFill="1" applyBorder="1" applyAlignment="1">
      <alignment vertical="center"/>
    </xf>
    <xf numFmtId="0" fontId="140" fillId="22" borderId="73" xfId="0" applyFont="1" applyFill="1" applyBorder="1" applyAlignment="1">
      <alignment horizontal="center" vertical="center"/>
    </xf>
    <xf numFmtId="0" fontId="140" fillId="22" borderId="72" xfId="0" applyFont="1" applyFill="1" applyBorder="1" applyAlignment="1">
      <alignment horizontal="center" vertical="center"/>
    </xf>
    <xf numFmtId="0" fontId="140" fillId="22" borderId="76" xfId="0" applyFont="1" applyFill="1" applyBorder="1" applyAlignment="1">
      <alignment horizontal="center" vertical="center" shrinkToFit="1"/>
    </xf>
    <xf numFmtId="4" fontId="140" fillId="22" borderId="72" xfId="199" applyNumberFormat="1" applyFont="1" applyFill="1" applyBorder="1" applyAlignment="1">
      <alignment horizontal="center" vertical="center" shrinkToFit="1"/>
    </xf>
    <xf numFmtId="4" fontId="140" fillId="22" borderId="72" xfId="199" applyNumberFormat="1" applyFont="1" applyFill="1" applyBorder="1" applyAlignment="1">
      <alignment vertical="center" shrinkToFit="1"/>
    </xf>
    <xf numFmtId="176" fontId="151" fillId="22" borderId="72" xfId="199" applyNumberFormat="1" applyFont="1" applyFill="1" applyBorder="1" applyAlignment="1">
      <alignment horizontal="center" vertical="center"/>
    </xf>
    <xf numFmtId="176" fontId="151" fillId="0" borderId="73" xfId="199" applyNumberFormat="1" applyFont="1" applyFill="1" applyBorder="1" applyAlignment="1">
      <alignment horizontal="center" vertical="center" shrinkToFit="1"/>
    </xf>
    <xf numFmtId="9" fontId="140" fillId="0" borderId="72" xfId="253" applyFont="1" applyFill="1" applyBorder="1" applyAlignment="1">
      <alignment horizontal="center" vertical="center" wrapText="1"/>
    </xf>
    <xf numFmtId="4" fontId="140" fillId="0" borderId="72" xfId="0" applyNumberFormat="1" applyFont="1" applyFill="1" applyBorder="1" applyAlignment="1">
      <alignment horizontal="center" vertical="center" wrapText="1"/>
    </xf>
    <xf numFmtId="4" fontId="140" fillId="0" borderId="72" xfId="253" applyNumberFormat="1" applyFont="1" applyFill="1" applyBorder="1" applyAlignment="1">
      <alignment horizontal="center" vertical="center" wrapText="1"/>
    </xf>
    <xf numFmtId="0" fontId="140" fillId="0" borderId="72" xfId="0" applyFont="1" applyFill="1" applyBorder="1" applyAlignment="1">
      <alignment vertical="center" wrapText="1"/>
    </xf>
    <xf numFmtId="0" fontId="150" fillId="31" borderId="9" xfId="0" applyFont="1" applyFill="1" applyBorder="1" applyAlignment="1">
      <alignment horizontal="center" vertical="center"/>
    </xf>
    <xf numFmtId="4" fontId="147" fillId="33" borderId="9" xfId="0" applyNumberFormat="1" applyFont="1" applyFill="1" applyBorder="1" applyAlignment="1">
      <alignment horizontal="right" vertical="center"/>
    </xf>
    <xf numFmtId="0" fontId="151" fillId="0" borderId="20" xfId="0" applyFont="1" applyFill="1" applyBorder="1" applyAlignment="1">
      <alignment horizontal="center" vertical="center" shrinkToFit="1"/>
    </xf>
    <xf numFmtId="0" fontId="151" fillId="22" borderId="69" xfId="0" applyFont="1" applyFill="1" applyBorder="1" applyAlignment="1">
      <alignment vertical="center"/>
    </xf>
    <xf numFmtId="0" fontId="151" fillId="22" borderId="68" xfId="0" applyFont="1" applyFill="1" applyBorder="1" applyAlignment="1">
      <alignment horizontal="center" vertical="center"/>
    </xf>
    <xf numFmtId="0" fontId="151" fillId="22" borderId="20" xfId="0" applyFont="1" applyFill="1" applyBorder="1" applyAlignment="1">
      <alignment horizontal="center" vertical="center"/>
    </xf>
    <xf numFmtId="0" fontId="151" fillId="22" borderId="58" xfId="0" applyFont="1" applyFill="1" applyBorder="1" applyAlignment="1">
      <alignment horizontal="center" vertical="center" shrinkToFit="1"/>
    </xf>
    <xf numFmtId="0" fontId="140" fillId="22" borderId="68" xfId="0" applyFont="1" applyFill="1" applyBorder="1" applyAlignment="1">
      <alignment vertical="center"/>
    </xf>
    <xf numFmtId="0" fontId="140" fillId="22" borderId="20" xfId="0" applyFont="1" applyFill="1" applyBorder="1" applyAlignment="1">
      <alignment vertical="center"/>
    </xf>
    <xf numFmtId="0" fontId="140" fillId="22" borderId="58" xfId="0" applyFont="1" applyFill="1" applyBorder="1" applyAlignment="1">
      <alignment vertical="center"/>
    </xf>
    <xf numFmtId="4" fontId="147" fillId="22" borderId="20" xfId="199" applyNumberFormat="1" applyFont="1" applyFill="1" applyBorder="1" applyAlignment="1">
      <alignment vertical="center" shrinkToFit="1"/>
    </xf>
    <xf numFmtId="176" fontId="147" fillId="22" borderId="20" xfId="199" applyNumberFormat="1" applyFont="1" applyFill="1" applyBorder="1" applyAlignment="1">
      <alignment vertical="center"/>
    </xf>
    <xf numFmtId="176" fontId="147" fillId="0" borderId="70" xfId="199" applyNumberFormat="1" applyFont="1" applyFill="1" applyBorder="1" applyAlignment="1">
      <alignment vertical="center" shrinkToFit="1"/>
    </xf>
    <xf numFmtId="9" fontId="140" fillId="0" borderId="27" xfId="253" applyFont="1" applyFill="1" applyBorder="1" applyAlignment="1">
      <alignment vertical="center" wrapText="1"/>
    </xf>
    <xf numFmtId="4" fontId="140" fillId="0" borderId="27" xfId="199" applyNumberFormat="1" applyFont="1" applyFill="1" applyBorder="1" applyAlignment="1">
      <alignment vertical="center" wrapText="1"/>
    </xf>
    <xf numFmtId="49" fontId="152" fillId="0" borderId="72" xfId="0" applyNumberFormat="1" applyFont="1" applyFill="1" applyBorder="1" applyAlignment="1">
      <alignment horizontal="center" vertical="center"/>
    </xf>
    <xf numFmtId="0" fontId="152" fillId="22" borderId="75" xfId="0" applyFont="1" applyFill="1" applyBorder="1" applyAlignment="1">
      <alignment vertical="center"/>
    </xf>
    <xf numFmtId="0" fontId="140" fillId="22" borderId="73" xfId="0" applyFont="1" applyFill="1" applyBorder="1" applyAlignment="1">
      <alignment vertical="center"/>
    </xf>
    <xf numFmtId="0" fontId="140" fillId="22" borderId="72" xfId="0" applyFont="1" applyFill="1" applyBorder="1" applyAlignment="1">
      <alignment vertical="center"/>
    </xf>
    <xf numFmtId="0" fontId="140" fillId="22" borderId="76" xfId="0" applyFont="1" applyFill="1" applyBorder="1" applyAlignment="1">
      <alignment vertical="center"/>
    </xf>
    <xf numFmtId="4" fontId="147" fillId="22" borderId="72" xfId="199" applyNumberFormat="1" applyFont="1" applyFill="1" applyBorder="1" applyAlignment="1">
      <alignment vertical="center" shrinkToFit="1"/>
    </xf>
    <xf numFmtId="176" fontId="147" fillId="22" borderId="72" xfId="199" applyNumberFormat="1" applyFont="1" applyFill="1" applyBorder="1" applyAlignment="1">
      <alignment vertical="center"/>
    </xf>
    <xf numFmtId="4" fontId="140" fillId="0" borderId="0" xfId="0" applyNumberFormat="1" applyFont="1" applyFill="1" applyBorder="1" applyAlignment="1">
      <alignment vertical="center" wrapText="1"/>
    </xf>
    <xf numFmtId="9" fontId="140" fillId="0" borderId="26" xfId="253" applyFont="1" applyFill="1" applyBorder="1" applyAlignment="1">
      <alignment vertical="center" wrapText="1"/>
    </xf>
    <xf numFmtId="4" fontId="140" fillId="0" borderId="26" xfId="199" applyNumberFormat="1" applyFont="1" applyFill="1" applyBorder="1" applyAlignment="1">
      <alignment vertical="center" wrapText="1"/>
    </xf>
    <xf numFmtId="0" fontId="140" fillId="0" borderId="0" xfId="0" applyFont="1" applyFill="1" applyBorder="1" applyAlignment="1">
      <alignment vertical="center" wrapText="1"/>
    </xf>
    <xf numFmtId="0" fontId="147" fillId="0" borderId="69" xfId="0" applyFont="1" applyFill="1" applyBorder="1" applyAlignment="1">
      <alignment vertical="center"/>
    </xf>
    <xf numFmtId="0" fontId="140" fillId="0" borderId="58" xfId="0" applyFont="1" applyFill="1" applyBorder="1" applyAlignment="1">
      <alignment vertical="center"/>
    </xf>
    <xf numFmtId="0" fontId="140" fillId="0" borderId="58" xfId="0" applyFont="1" applyFill="1" applyBorder="1" applyAlignment="1">
      <alignment horizontal="center" vertical="center"/>
    </xf>
    <xf numFmtId="0" fontId="140" fillId="0" borderId="20" xfId="0" applyFont="1" applyFill="1" applyBorder="1" applyAlignment="1">
      <alignment horizontal="center" vertical="center"/>
    </xf>
    <xf numFmtId="217" fontId="140" fillId="0" borderId="20" xfId="207" applyNumberFormat="1" applyFont="1" applyFill="1" applyBorder="1" applyAlignment="1">
      <alignment vertical="center"/>
    </xf>
    <xf numFmtId="4" fontId="140" fillId="0" borderId="20" xfId="199" applyNumberFormat="1" applyFont="1" applyFill="1" applyBorder="1" applyAlignment="1">
      <alignment vertical="center"/>
    </xf>
    <xf numFmtId="4" fontId="140" fillId="0" borderId="58" xfId="199" applyNumberFormat="1" applyFont="1" applyFill="1" applyBorder="1" applyAlignment="1">
      <alignment vertical="center"/>
    </xf>
    <xf numFmtId="40" fontId="140" fillId="0" borderId="58" xfId="207" applyNumberFormat="1" applyFont="1" applyFill="1" applyBorder="1" applyAlignment="1">
      <alignment vertical="center"/>
    </xf>
    <xf numFmtId="40" fontId="140" fillId="0" borderId="28" xfId="207" applyNumberFormat="1" applyFont="1" applyFill="1" applyBorder="1" applyAlignment="1">
      <alignment vertical="center" shrinkToFit="1"/>
    </xf>
    <xf numFmtId="0" fontId="140" fillId="0" borderId="69" xfId="0" applyFont="1" applyFill="1" applyBorder="1" applyAlignment="1">
      <alignment vertical="center"/>
    </xf>
    <xf numFmtId="0" fontId="140" fillId="0" borderId="1" xfId="357" applyFont="1" applyFill="1" applyBorder="1" applyAlignment="1">
      <alignment vertical="center"/>
    </xf>
    <xf numFmtId="0" fontId="140" fillId="0" borderId="64" xfId="357" applyFont="1" applyFill="1" applyBorder="1" applyAlignment="1">
      <alignment vertical="center"/>
    </xf>
    <xf numFmtId="0" fontId="140" fillId="0" borderId="64" xfId="357" applyFont="1" applyFill="1" applyBorder="1" applyAlignment="1">
      <alignment horizontal="center" vertical="center"/>
    </xf>
    <xf numFmtId="0" fontId="140" fillId="0" borderId="9" xfId="357" applyFont="1" applyFill="1" applyBorder="1" applyAlignment="1">
      <alignment horizontal="center" vertical="center"/>
    </xf>
    <xf numFmtId="4" fontId="140" fillId="0" borderId="9" xfId="199" applyNumberFormat="1" applyFont="1" applyFill="1" applyBorder="1" applyAlignment="1">
      <alignment vertical="center"/>
    </xf>
    <xf numFmtId="4" fontId="140" fillId="0" borderId="64" xfId="199" applyNumberFormat="1" applyFont="1" applyFill="1" applyBorder="1" applyAlignment="1">
      <alignment vertical="center"/>
    </xf>
    <xf numFmtId="40" fontId="140" fillId="0" borderId="64" xfId="207" applyNumberFormat="1" applyFont="1" applyFill="1" applyBorder="1" applyAlignment="1">
      <alignment vertical="center"/>
    </xf>
    <xf numFmtId="0" fontId="147" fillId="0" borderId="25" xfId="354" applyNumberFormat="1" applyFont="1" applyFill="1" applyBorder="1" applyAlignment="1" applyProtection="1">
      <alignment vertical="center"/>
    </xf>
    <xf numFmtId="0" fontId="147" fillId="0" borderId="58" xfId="0" applyFont="1" applyFill="1" applyBorder="1" applyAlignment="1">
      <alignment vertical="center"/>
    </xf>
    <xf numFmtId="4" fontId="147" fillId="0" borderId="20" xfId="199" applyNumberFormat="1" applyFont="1" applyFill="1" applyBorder="1" applyAlignment="1">
      <alignment vertical="center"/>
    </xf>
    <xf numFmtId="0" fontId="147" fillId="0" borderId="69" xfId="354" applyNumberFormat="1" applyFont="1" applyFill="1" applyBorder="1" applyAlignment="1" applyProtection="1">
      <alignment vertical="center"/>
    </xf>
    <xf numFmtId="0" fontId="147" fillId="0" borderId="75" xfId="357" applyFont="1" applyFill="1" applyBorder="1" applyAlignment="1">
      <alignment vertical="center"/>
    </xf>
    <xf numFmtId="0" fontId="147" fillId="0" borderId="73" xfId="357" applyFont="1" applyFill="1" applyBorder="1" applyAlignment="1">
      <alignment vertical="center"/>
    </xf>
    <xf numFmtId="0" fontId="147" fillId="0" borderId="72" xfId="357" applyFont="1" applyFill="1" applyBorder="1" applyAlignment="1">
      <alignment horizontal="center" vertical="center"/>
    </xf>
    <xf numFmtId="0" fontId="147" fillId="0" borderId="76" xfId="357" applyFont="1" applyFill="1" applyBorder="1" applyAlignment="1">
      <alignment horizontal="center" vertical="center"/>
    </xf>
    <xf numFmtId="4" fontId="147" fillId="0" borderId="72" xfId="199" applyNumberFormat="1" applyFont="1" applyFill="1" applyBorder="1" applyAlignment="1">
      <alignment vertical="center"/>
    </xf>
    <xf numFmtId="40" fontId="147" fillId="0" borderId="72" xfId="207" applyNumberFormat="1" applyFont="1" applyFill="1" applyBorder="1" applyAlignment="1">
      <alignment vertical="center"/>
    </xf>
    <xf numFmtId="40" fontId="147" fillId="0" borderId="0" xfId="207" applyNumberFormat="1" applyFont="1" applyFill="1" applyBorder="1" applyAlignment="1">
      <alignment vertical="center" shrinkToFit="1"/>
    </xf>
    <xf numFmtId="40" fontId="147" fillId="0" borderId="28" xfId="207" applyNumberFormat="1" applyFont="1" applyFill="1" applyBorder="1" applyAlignment="1">
      <alignment vertical="center" shrinkToFit="1"/>
    </xf>
    <xf numFmtId="40" fontId="147" fillId="22" borderId="0" xfId="207" applyNumberFormat="1" applyFont="1" applyFill="1" applyBorder="1" applyAlignment="1">
      <alignment vertical="center" shrinkToFit="1"/>
    </xf>
    <xf numFmtId="0" fontId="140" fillId="0" borderId="26" xfId="0" applyFont="1" applyFill="1" applyBorder="1" applyAlignment="1">
      <alignment vertical="center"/>
    </xf>
    <xf numFmtId="4" fontId="147" fillId="0" borderId="26" xfId="199" applyNumberFormat="1" applyFont="1" applyFill="1" applyBorder="1" applyAlignment="1">
      <alignment vertical="center"/>
    </xf>
    <xf numFmtId="0" fontId="140" fillId="0" borderId="25" xfId="0" applyFont="1" applyFill="1" applyBorder="1" applyAlignment="1">
      <alignment vertical="center"/>
    </xf>
    <xf numFmtId="0" fontId="140" fillId="0" borderId="0" xfId="0" applyFont="1" applyFill="1" applyBorder="1" applyAlignment="1">
      <alignment vertical="center"/>
    </xf>
    <xf numFmtId="0" fontId="140" fillId="0" borderId="0" xfId="0" applyFont="1" applyFill="1" applyBorder="1" applyAlignment="1">
      <alignment horizontal="center" vertical="center"/>
    </xf>
    <xf numFmtId="0" fontId="140" fillId="0" borderId="25" xfId="357" applyFont="1" applyFill="1" applyBorder="1" applyAlignment="1">
      <alignment vertical="center"/>
    </xf>
    <xf numFmtId="0" fontId="140" fillId="0" borderId="0" xfId="357" applyFont="1" applyFill="1" applyBorder="1" applyAlignment="1">
      <alignment vertical="center"/>
    </xf>
    <xf numFmtId="0" fontId="140" fillId="0" borderId="28" xfId="357" applyFont="1" applyFill="1" applyBorder="1" applyAlignment="1">
      <alignment horizontal="center" vertical="center"/>
    </xf>
    <xf numFmtId="4" fontId="140" fillId="0" borderId="26" xfId="199" applyNumberFormat="1" applyFont="1" applyFill="1" applyBorder="1" applyAlignment="1">
      <alignment vertical="center"/>
    </xf>
    <xf numFmtId="4" fontId="140" fillId="0" borderId="28" xfId="199" applyNumberFormat="1" applyFont="1" applyFill="1" applyBorder="1" applyAlignment="1">
      <alignment vertical="center"/>
    </xf>
    <xf numFmtId="40" fontId="140" fillId="0" borderId="28" xfId="207" applyNumberFormat="1" applyFont="1" applyFill="1" applyBorder="1" applyAlignment="1">
      <alignment vertical="center"/>
    </xf>
    <xf numFmtId="0" fontId="147" fillId="0" borderId="76" xfId="357" applyFont="1" applyFill="1" applyBorder="1" applyAlignment="1">
      <alignment vertical="center"/>
    </xf>
    <xf numFmtId="4" fontId="147" fillId="0" borderId="76" xfId="199" applyNumberFormat="1" applyFont="1" applyFill="1" applyBorder="1" applyAlignment="1">
      <alignment vertical="center"/>
    </xf>
    <xf numFmtId="40" fontId="147" fillId="0" borderId="76" xfId="207" applyNumberFormat="1" applyFont="1" applyFill="1" applyBorder="1" applyAlignment="1">
      <alignment vertical="center"/>
    </xf>
    <xf numFmtId="0" fontId="140" fillId="0" borderId="68" xfId="0" applyFont="1" applyFill="1" applyBorder="1" applyAlignment="1">
      <alignment vertical="center"/>
    </xf>
    <xf numFmtId="40" fontId="140" fillId="0" borderId="20" xfId="207" applyNumberFormat="1" applyFont="1" applyFill="1" applyBorder="1" applyAlignment="1">
      <alignment vertical="center"/>
    </xf>
    <xf numFmtId="0" fontId="140" fillId="0" borderId="69" xfId="357" applyFont="1" applyFill="1" applyBorder="1" applyAlignment="1">
      <alignment vertical="center"/>
    </xf>
    <xf numFmtId="0" fontId="140" fillId="0" borderId="68" xfId="357" applyFont="1" applyFill="1" applyBorder="1" applyAlignment="1">
      <alignment vertical="center"/>
    </xf>
    <xf numFmtId="0" fontId="140" fillId="0" borderId="20" xfId="357" applyFont="1" applyFill="1" applyBorder="1" applyAlignment="1">
      <alignment horizontal="center" vertical="center"/>
    </xf>
    <xf numFmtId="0" fontId="140" fillId="0" borderId="58" xfId="357" applyFont="1" applyFill="1" applyBorder="1" applyAlignment="1">
      <alignment horizontal="center" vertical="center"/>
    </xf>
    <xf numFmtId="0" fontId="147" fillId="0" borderId="68" xfId="0" applyFont="1" applyFill="1" applyBorder="1" applyAlignment="1">
      <alignment vertical="center"/>
    </xf>
    <xf numFmtId="0" fontId="147" fillId="0" borderId="59" xfId="357" applyFont="1" applyFill="1" applyBorder="1" applyAlignment="1">
      <alignment vertical="center"/>
    </xf>
    <xf numFmtId="0" fontId="147" fillId="0" borderId="70" xfId="357" applyFont="1" applyFill="1" applyBorder="1" applyAlignment="1">
      <alignment vertical="center"/>
    </xf>
    <xf numFmtId="0" fontId="147" fillId="0" borderId="27" xfId="357" applyFont="1" applyFill="1" applyBorder="1" applyAlignment="1">
      <alignment vertical="center"/>
    </xf>
    <xf numFmtId="0" fontId="147" fillId="0" borderId="60" xfId="357" applyFont="1" applyFill="1" applyBorder="1" applyAlignment="1">
      <alignment horizontal="center" vertical="center"/>
    </xf>
    <xf numFmtId="4" fontId="147" fillId="0" borderId="27" xfId="199" applyNumberFormat="1" applyFont="1" applyFill="1" applyBorder="1" applyAlignment="1">
      <alignment vertical="center"/>
    </xf>
    <xf numFmtId="40" fontId="147" fillId="0" borderId="27" xfId="207" applyNumberFormat="1" applyFont="1" applyFill="1" applyBorder="1" applyAlignment="1">
      <alignment vertical="center"/>
    </xf>
    <xf numFmtId="4" fontId="140" fillId="27" borderId="9" xfId="199" applyNumberFormat="1" applyFont="1" applyFill="1" applyBorder="1" applyAlignment="1">
      <alignment vertical="center"/>
    </xf>
    <xf numFmtId="0" fontId="147" fillId="0" borderId="72" xfId="357" applyFont="1" applyFill="1" applyBorder="1" applyAlignment="1">
      <alignment vertical="center"/>
    </xf>
    <xf numFmtId="0" fontId="147" fillId="0" borderId="77" xfId="357" applyFont="1" applyFill="1" applyBorder="1" applyAlignment="1">
      <alignment horizontal="center" vertical="center"/>
    </xf>
    <xf numFmtId="40" fontId="140" fillId="0" borderId="0" xfId="207" applyNumberFormat="1" applyFont="1" applyFill="1" applyBorder="1" applyAlignment="1">
      <alignment vertical="center"/>
    </xf>
    <xf numFmtId="0" fontId="147" fillId="0" borderId="78" xfId="357" applyFont="1" applyFill="1" applyBorder="1" applyAlignment="1">
      <alignment vertical="center"/>
    </xf>
    <xf numFmtId="0" fontId="147" fillId="0" borderId="79" xfId="357" applyFont="1" applyFill="1" applyBorder="1" applyAlignment="1">
      <alignment vertical="center"/>
    </xf>
    <xf numFmtId="0" fontId="147" fillId="0" borderId="49" xfId="357" applyFont="1" applyFill="1" applyBorder="1" applyAlignment="1">
      <alignment vertical="center"/>
    </xf>
    <xf numFmtId="4" fontId="147" fillId="0" borderId="49" xfId="199" applyNumberFormat="1" applyFont="1" applyFill="1" applyBorder="1" applyAlignment="1">
      <alignment vertical="center"/>
    </xf>
    <xf numFmtId="40" fontId="147" fillId="0" borderId="49" xfId="207" applyNumberFormat="1" applyFont="1" applyFill="1" applyBorder="1" applyAlignment="1">
      <alignment vertical="center"/>
    </xf>
    <xf numFmtId="0" fontId="140" fillId="0" borderId="20" xfId="0" applyFont="1" applyFill="1" applyBorder="1" applyAlignment="1">
      <alignment vertical="center"/>
    </xf>
    <xf numFmtId="9" fontId="140" fillId="0" borderId="20" xfId="253" applyFont="1" applyFill="1" applyBorder="1" applyAlignment="1">
      <alignment horizontal="left" vertical="center"/>
    </xf>
    <xf numFmtId="9" fontId="140" fillId="0" borderId="0" xfId="253" applyFont="1" applyFill="1" applyBorder="1" applyAlignment="1">
      <alignment horizontal="left" vertical="center" shrinkToFit="1"/>
    </xf>
    <xf numFmtId="0" fontId="147" fillId="0" borderId="69" xfId="357" applyFont="1" applyFill="1" applyBorder="1" applyAlignment="1">
      <alignment vertical="center"/>
    </xf>
    <xf numFmtId="0" fontId="147" fillId="0" borderId="68" xfId="357" applyFont="1" applyFill="1" applyBorder="1" applyAlignment="1">
      <alignment vertical="center"/>
    </xf>
    <xf numFmtId="0" fontId="147" fillId="0" borderId="20" xfId="357" applyFont="1" applyFill="1" applyBorder="1" applyAlignment="1">
      <alignment vertical="center"/>
    </xf>
    <xf numFmtId="0" fontId="147" fillId="0" borderId="58" xfId="357" applyFont="1" applyFill="1" applyBorder="1" applyAlignment="1">
      <alignment horizontal="center" vertical="center"/>
    </xf>
    <xf numFmtId="40" fontId="147" fillId="0" borderId="20" xfId="207" applyNumberFormat="1" applyFont="1" applyFill="1" applyBorder="1" applyAlignment="1">
      <alignment vertical="center"/>
    </xf>
    <xf numFmtId="0" fontId="147" fillId="0" borderId="72" xfId="0" applyFont="1" applyFill="1" applyBorder="1" applyAlignment="1">
      <alignment vertical="center"/>
    </xf>
    <xf numFmtId="0" fontId="147" fillId="0" borderId="77" xfId="0" applyFont="1" applyFill="1" applyBorder="1" applyAlignment="1">
      <alignment vertical="center"/>
    </xf>
    <xf numFmtId="40" fontId="147" fillId="0" borderId="20" xfId="0" applyNumberFormat="1" applyFont="1" applyFill="1" applyBorder="1" applyAlignment="1">
      <alignment vertical="center"/>
    </xf>
    <xf numFmtId="40" fontId="147" fillId="0" borderId="0" xfId="0" applyNumberFormat="1" applyFont="1" applyFill="1" applyBorder="1" applyAlignment="1">
      <alignment vertical="center" shrinkToFit="1"/>
    </xf>
    <xf numFmtId="40" fontId="147" fillId="0" borderId="28" xfId="0" applyNumberFormat="1" applyFont="1" applyFill="1" applyBorder="1" applyAlignment="1">
      <alignment vertical="center" shrinkToFit="1"/>
    </xf>
    <xf numFmtId="4" fontId="140" fillId="0" borderId="0" xfId="199" applyNumberFormat="1" applyFont="1" applyFill="1" applyBorder="1" applyAlignment="1">
      <alignment vertical="center" wrapText="1"/>
    </xf>
    <xf numFmtId="40" fontId="140" fillId="0" borderId="26" xfId="207" applyNumberFormat="1" applyFont="1" applyFill="1" applyBorder="1" applyAlignment="1">
      <alignment vertical="center" shrinkToFit="1"/>
    </xf>
    <xf numFmtId="0" fontId="147" fillId="0" borderId="20" xfId="0" applyFont="1" applyFill="1" applyBorder="1" applyAlignment="1">
      <alignment vertical="center"/>
    </xf>
    <xf numFmtId="40" fontId="147" fillId="0" borderId="26" xfId="0" applyNumberFormat="1" applyFont="1" applyFill="1" applyBorder="1" applyAlignment="1">
      <alignment vertical="center" shrinkToFit="1"/>
    </xf>
    <xf numFmtId="4" fontId="147" fillId="0" borderId="20" xfId="199" applyNumberFormat="1" applyFont="1" applyFill="1" applyBorder="1" applyAlignment="1">
      <alignment vertical="center" shrinkToFit="1"/>
    </xf>
    <xf numFmtId="176" fontId="147" fillId="0" borderId="20" xfId="199" applyNumberFormat="1" applyFont="1" applyFill="1" applyBorder="1" applyAlignment="1">
      <alignment vertical="center" shrinkToFit="1"/>
    </xf>
    <xf numFmtId="4" fontId="147" fillId="0" borderId="27" xfId="0" applyNumberFormat="1" applyFont="1" applyFill="1" applyBorder="1" applyAlignment="1">
      <alignment vertical="center"/>
    </xf>
    <xf numFmtId="4" fontId="147" fillId="0" borderId="27" xfId="207" applyNumberFormat="1" applyFont="1" applyFill="1" applyBorder="1" applyAlignment="1">
      <alignment vertical="center"/>
    </xf>
    <xf numFmtId="40" fontId="147" fillId="0" borderId="0" xfId="207" applyNumberFormat="1" applyFont="1" applyFill="1" applyBorder="1" applyAlignment="1">
      <alignment vertical="center"/>
    </xf>
    <xf numFmtId="40" fontId="140" fillId="0" borderId="28" xfId="0" applyNumberFormat="1" applyFont="1" applyFill="1" applyBorder="1" applyAlignment="1">
      <alignment vertical="center" shrinkToFit="1"/>
    </xf>
    <xf numFmtId="4" fontId="140" fillId="0" borderId="72" xfId="0" applyNumberFormat="1" applyFont="1" applyFill="1" applyBorder="1" applyAlignment="1">
      <alignment vertical="center"/>
    </xf>
    <xf numFmtId="4" fontId="147" fillId="0" borderId="72" xfId="207" applyNumberFormat="1" applyFont="1" applyFill="1" applyBorder="1" applyAlignment="1">
      <alignment vertical="center"/>
    </xf>
    <xf numFmtId="40" fontId="140" fillId="0" borderId="72" xfId="207" applyNumberFormat="1" applyFont="1" applyFill="1" applyBorder="1" applyAlignment="1">
      <alignment vertical="center"/>
    </xf>
    <xf numFmtId="174" fontId="147" fillId="0" borderId="25" xfId="195" applyFont="1" applyFill="1" applyBorder="1" applyAlignment="1">
      <alignment vertical="center"/>
    </xf>
    <xf numFmtId="4" fontId="147" fillId="0" borderId="26" xfId="207" applyNumberFormat="1" applyFont="1" applyFill="1" applyBorder="1" applyAlignment="1">
      <alignment vertical="center"/>
    </xf>
    <xf numFmtId="0" fontId="147" fillId="0" borderId="27" xfId="357" applyFont="1" applyFill="1" applyBorder="1" applyAlignment="1">
      <alignment horizontal="center" vertical="center"/>
    </xf>
    <xf numFmtId="0" fontId="147" fillId="0" borderId="74" xfId="357" applyFont="1" applyFill="1" applyBorder="1" applyAlignment="1">
      <alignment horizontal="center" vertical="center"/>
    </xf>
    <xf numFmtId="4" fontId="147" fillId="0" borderId="25" xfId="199" applyNumberFormat="1" applyFont="1" applyFill="1" applyBorder="1" applyAlignment="1">
      <alignment vertical="center"/>
    </xf>
    <xf numFmtId="0" fontId="147" fillId="0" borderId="49" xfId="357" applyFont="1" applyFill="1" applyBorder="1" applyAlignment="1">
      <alignment horizontal="center" vertical="center"/>
    </xf>
    <xf numFmtId="49" fontId="147" fillId="0" borderId="20" xfId="0" applyNumberFormat="1" applyFont="1" applyFill="1" applyBorder="1" applyAlignment="1">
      <alignment horizontal="center" vertical="center"/>
    </xf>
    <xf numFmtId="0" fontId="147" fillId="22" borderId="61" xfId="0" applyFont="1" applyFill="1" applyBorder="1" applyAlignment="1">
      <alignment horizontal="center" vertical="center"/>
    </xf>
    <xf numFmtId="4" fontId="147" fillId="22" borderId="61" xfId="199" applyNumberFormat="1" applyFont="1" applyFill="1" applyBorder="1" applyAlignment="1">
      <alignment horizontal="center" vertical="center" shrinkToFit="1"/>
    </xf>
    <xf numFmtId="176" fontId="147" fillId="0" borderId="0" xfId="199" applyNumberFormat="1" applyFont="1" applyFill="1" applyBorder="1" applyAlignment="1">
      <alignment horizontal="center" vertical="center" shrinkToFit="1"/>
    </xf>
    <xf numFmtId="4" fontId="140" fillId="0" borderId="1" xfId="0" applyNumberFormat="1" applyFont="1" applyFill="1" applyBorder="1" applyAlignment="1">
      <alignment horizontal="center" vertical="center" wrapText="1"/>
    </xf>
    <xf numFmtId="9" fontId="140" fillId="0" borderId="9" xfId="253" applyFont="1" applyFill="1" applyBorder="1" applyAlignment="1">
      <alignment horizontal="center" vertical="center" wrapText="1"/>
    </xf>
    <xf numFmtId="4" fontId="140" fillId="0" borderId="9" xfId="0" applyNumberFormat="1" applyFont="1" applyFill="1" applyBorder="1" applyAlignment="1">
      <alignment horizontal="center" vertical="center" wrapText="1"/>
    </xf>
    <xf numFmtId="4" fontId="140" fillId="26" borderId="1" xfId="0" applyNumberFormat="1" applyFont="1" applyFill="1" applyBorder="1" applyAlignment="1">
      <alignment horizontal="center" vertical="center" wrapText="1"/>
    </xf>
    <xf numFmtId="4" fontId="140" fillId="0" borderId="61" xfId="0" applyNumberFormat="1" applyFont="1" applyFill="1" applyBorder="1" applyAlignment="1">
      <alignment horizontal="center" vertical="center" wrapText="1"/>
    </xf>
    <xf numFmtId="4" fontId="140" fillId="0" borderId="63" xfId="0" applyNumberFormat="1" applyFont="1" applyFill="1" applyBorder="1" applyAlignment="1">
      <alignment horizontal="center" vertical="center" wrapText="1"/>
    </xf>
    <xf numFmtId="0" fontId="147" fillId="22" borderId="15" xfId="0" applyFont="1" applyFill="1" applyBorder="1" applyAlignment="1">
      <alignment horizontal="center" vertical="center"/>
    </xf>
    <xf numFmtId="4" fontId="147" fillId="22" borderId="15" xfId="199" applyNumberFormat="1" applyFont="1" applyFill="1" applyBorder="1" applyAlignment="1">
      <alignment horizontal="center" vertical="center" shrinkToFit="1"/>
    </xf>
    <xf numFmtId="4" fontId="140" fillId="0" borderId="64" xfId="0" applyNumberFormat="1" applyFont="1" applyFill="1" applyBorder="1" applyAlignment="1">
      <alignment horizontal="center" vertical="center" wrapText="1"/>
    </xf>
    <xf numFmtId="4" fontId="140" fillId="0" borderId="15" xfId="253" applyNumberFormat="1" applyFont="1" applyFill="1" applyBorder="1" applyAlignment="1">
      <alignment horizontal="center" vertical="center" wrapText="1"/>
    </xf>
    <xf numFmtId="4" fontId="140" fillId="0" borderId="9" xfId="253" applyNumberFormat="1" applyFont="1" applyFill="1" applyBorder="1" applyAlignment="1">
      <alignment horizontal="center" vertical="center" wrapText="1"/>
    </xf>
    <xf numFmtId="4" fontId="140" fillId="0" borderId="1" xfId="253" applyNumberFormat="1" applyFont="1" applyFill="1" applyBorder="1" applyAlignment="1">
      <alignment horizontal="center" vertical="center" wrapText="1"/>
    </xf>
    <xf numFmtId="0" fontId="140" fillId="0" borderId="15" xfId="0" applyFont="1" applyFill="1" applyBorder="1" applyAlignment="1">
      <alignment vertical="center" wrapText="1"/>
    </xf>
    <xf numFmtId="0" fontId="140" fillId="0" borderId="43" xfId="0" applyFont="1" applyFill="1" applyBorder="1" applyAlignment="1">
      <alignment vertical="center" wrapText="1"/>
    </xf>
    <xf numFmtId="0" fontId="147" fillId="0" borderId="20" xfId="0" applyNumberFormat="1" applyFont="1" applyFill="1" applyBorder="1" applyAlignment="1">
      <alignment horizontal="center" vertical="center"/>
    </xf>
    <xf numFmtId="0" fontId="147" fillId="0" borderId="20" xfId="357" applyFont="1" applyFill="1" applyBorder="1" applyAlignment="1">
      <alignment horizontal="center" vertical="center"/>
    </xf>
    <xf numFmtId="0" fontId="140" fillId="0" borderId="26" xfId="357" applyFont="1" applyFill="1" applyBorder="1" applyAlignment="1">
      <alignment horizontal="center" vertical="center"/>
    </xf>
    <xf numFmtId="49" fontId="140" fillId="0" borderId="20" xfId="0" quotePrefix="1" applyNumberFormat="1" applyFont="1" applyFill="1" applyBorder="1" applyAlignment="1">
      <alignment horizontal="center" vertical="center"/>
    </xf>
    <xf numFmtId="40" fontId="0" fillId="0" borderId="0" xfId="0" applyNumberFormat="1" applyFont="1" applyFill="1" applyAlignment="1">
      <alignment vertical="center" shrinkToFit="1"/>
    </xf>
    <xf numFmtId="0" fontId="153" fillId="0" borderId="0" xfId="0" applyFont="1" applyFill="1" applyBorder="1" applyAlignment="1">
      <alignment vertical="center"/>
    </xf>
    <xf numFmtId="4" fontId="0" fillId="0" borderId="26" xfId="0" applyNumberFormat="1" applyFont="1" applyFill="1" applyBorder="1" applyAlignment="1">
      <alignment vertical="center"/>
    </xf>
    <xf numFmtId="179" fontId="0" fillId="0" borderId="26" xfId="0" applyNumberFormat="1" applyFont="1" applyFill="1" applyBorder="1" applyAlignment="1">
      <alignment vertical="center"/>
    </xf>
    <xf numFmtId="0" fontId="135" fillId="0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2" fontId="0" fillId="0" borderId="20" xfId="0" applyNumberFormat="1" applyFill="1" applyBorder="1" applyAlignment="1">
      <alignment horizontal="center" vertical="center" shrinkToFit="1"/>
    </xf>
    <xf numFmtId="40" fontId="139" fillId="0" borderId="0" xfId="207" applyNumberFormat="1" applyFont="1" applyFill="1" applyBorder="1" applyAlignment="1">
      <alignment vertical="center" shrinkToFit="1"/>
    </xf>
    <xf numFmtId="40" fontId="140" fillId="0" borderId="20" xfId="202" applyFont="1" applyFill="1" applyBorder="1" applyAlignment="1" applyProtection="1">
      <alignment horizontal="right" vertical="center"/>
    </xf>
    <xf numFmtId="0" fontId="6" fillId="0" borderId="0" xfId="352" applyFont="1" applyAlignment="1">
      <alignment vertical="center"/>
    </xf>
    <xf numFmtId="0" fontId="25" fillId="0" borderId="0" xfId="352" applyFont="1" applyAlignment="1">
      <alignment vertical="center"/>
    </xf>
    <xf numFmtId="0" fontId="49" fillId="0" borderId="0" xfId="352" applyFont="1" applyAlignment="1">
      <alignment vertical="center"/>
    </xf>
    <xf numFmtId="0" fontId="25" fillId="0" borderId="0" xfId="352" applyFont="1" applyAlignment="1">
      <alignment horizontal="right" vertical="center"/>
    </xf>
    <xf numFmtId="0" fontId="4" fillId="0" borderId="0" xfId="352" applyFont="1" applyAlignment="1">
      <alignment vertical="center"/>
    </xf>
    <xf numFmtId="0" fontId="4" fillId="0" borderId="65" xfId="352" applyFont="1" applyBorder="1" applyAlignment="1">
      <alignment vertical="center"/>
    </xf>
    <xf numFmtId="0" fontId="4" fillId="0" borderId="71" xfId="352" applyFont="1" applyBorder="1" applyAlignment="1">
      <alignment vertical="center"/>
    </xf>
    <xf numFmtId="0" fontId="4" fillId="0" borderId="63" xfId="352" applyFont="1" applyBorder="1" applyAlignment="1">
      <alignment vertical="center"/>
    </xf>
    <xf numFmtId="0" fontId="4" fillId="0" borderId="42" xfId="352" applyFont="1" applyBorder="1" applyAlignment="1">
      <alignment vertical="center"/>
    </xf>
    <xf numFmtId="0" fontId="4" fillId="0" borderId="44" xfId="352" applyFont="1" applyBorder="1" applyAlignment="1">
      <alignment vertical="center"/>
    </xf>
    <xf numFmtId="0" fontId="4" fillId="0" borderId="43" xfId="352" applyFont="1" applyBorder="1" applyAlignment="1">
      <alignment vertical="center"/>
    </xf>
    <xf numFmtId="0" fontId="4" fillId="0" borderId="1" xfId="352" applyFont="1" applyBorder="1" applyAlignment="1">
      <alignment vertical="center"/>
    </xf>
    <xf numFmtId="0" fontId="4" fillId="0" borderId="7" xfId="352" applyFont="1" applyBorder="1" applyAlignment="1">
      <alignment vertical="center"/>
    </xf>
    <xf numFmtId="0" fontId="4" fillId="0" borderId="64" xfId="352" applyFont="1" applyBorder="1" applyAlignment="1">
      <alignment vertical="center"/>
    </xf>
    <xf numFmtId="0" fontId="4" fillId="0" borderId="25" xfId="352" applyFont="1" applyBorder="1" applyAlignment="1">
      <alignment vertical="center"/>
    </xf>
    <xf numFmtId="0" fontId="4" fillId="0" borderId="0" xfId="352" applyFont="1" applyBorder="1" applyAlignment="1">
      <alignment vertical="center"/>
    </xf>
    <xf numFmtId="0" fontId="4" fillId="0" borderId="28" xfId="352" applyFont="1" applyBorder="1" applyAlignment="1">
      <alignment vertical="center"/>
    </xf>
    <xf numFmtId="0" fontId="4" fillId="0" borderId="26" xfId="352" applyFont="1" applyBorder="1" applyAlignment="1">
      <alignment vertical="center"/>
    </xf>
    <xf numFmtId="0" fontId="4" fillId="0" borderId="44" xfId="352" applyFont="1" applyBorder="1" applyAlignment="1">
      <alignment vertical="center" wrapText="1"/>
    </xf>
    <xf numFmtId="0" fontId="4" fillId="0" borderId="43" xfId="352" applyFont="1" applyBorder="1" applyAlignment="1">
      <alignment vertical="center" wrapText="1"/>
    </xf>
    <xf numFmtId="0" fontId="25" fillId="0" borderId="28" xfId="352" applyFont="1" applyBorder="1" applyAlignment="1">
      <alignment horizontal="center" vertical="center"/>
    </xf>
    <xf numFmtId="0" fontId="25" fillId="0" borderId="25" xfId="352" applyFont="1" applyBorder="1" applyAlignment="1">
      <alignment horizontal="center" vertical="center"/>
    </xf>
    <xf numFmtId="0" fontId="4" fillId="0" borderId="65" xfId="352" applyFont="1" applyFill="1" applyBorder="1" applyAlignment="1">
      <alignment vertical="center"/>
    </xf>
    <xf numFmtId="0" fontId="4" fillId="0" borderId="71" xfId="352" applyFont="1" applyFill="1" applyBorder="1" applyAlignment="1">
      <alignment vertical="center"/>
    </xf>
    <xf numFmtId="0" fontId="4" fillId="0" borderId="63" xfId="352" applyFont="1" applyFill="1" applyBorder="1" applyAlignment="1">
      <alignment vertical="center"/>
    </xf>
    <xf numFmtId="0" fontId="4" fillId="0" borderId="42" xfId="352" applyFont="1" applyFill="1" applyBorder="1" applyAlignment="1">
      <alignment vertical="center"/>
    </xf>
    <xf numFmtId="0" fontId="4" fillId="0" borderId="44" xfId="352" applyFont="1" applyFill="1" applyBorder="1" applyAlignment="1">
      <alignment vertical="center"/>
    </xf>
    <xf numFmtId="0" fontId="4" fillId="0" borderId="43" xfId="352" applyFont="1" applyFill="1" applyBorder="1" applyAlignment="1">
      <alignment vertical="center"/>
    </xf>
    <xf numFmtId="0" fontId="25" fillId="0" borderId="71" xfId="352" applyFont="1" applyBorder="1" applyAlignment="1">
      <alignment horizontal="center" vertical="center"/>
    </xf>
    <xf numFmtId="0" fontId="4" fillId="0" borderId="9" xfId="352" applyFont="1" applyBorder="1" applyAlignment="1">
      <alignment horizontal="center" vertical="center"/>
    </xf>
    <xf numFmtId="0" fontId="4" fillId="0" borderId="9" xfId="352" applyFont="1" applyBorder="1" applyAlignment="1">
      <alignment horizontal="center" vertical="center" wrapText="1"/>
    </xf>
    <xf numFmtId="0" fontId="48" fillId="0" borderId="9" xfId="352" applyFont="1" applyBorder="1" applyAlignment="1">
      <alignment horizontal="left" vertical="center" wrapText="1"/>
    </xf>
    <xf numFmtId="0" fontId="4" fillId="0" borderId="9" xfId="352" applyFont="1" applyBorder="1" applyAlignment="1">
      <alignment horizontal="left" vertical="center" wrapText="1"/>
    </xf>
    <xf numFmtId="0" fontId="4" fillId="0" borderId="61" xfId="352" applyFont="1" applyBorder="1" applyAlignment="1">
      <alignment horizontal="center" vertical="center"/>
    </xf>
    <xf numFmtId="0" fontId="48" fillId="0" borderId="61" xfId="352" applyFont="1" applyBorder="1" applyAlignment="1">
      <alignment horizontal="left" vertical="center" wrapText="1"/>
    </xf>
    <xf numFmtId="0" fontId="4" fillId="0" borderId="61" xfId="352" applyFont="1" applyBorder="1" applyAlignment="1">
      <alignment horizontal="left" vertical="center" wrapText="1"/>
    </xf>
    <xf numFmtId="0" fontId="4" fillId="0" borderId="44" xfId="352" applyFont="1" applyBorder="1" applyAlignment="1">
      <alignment horizontal="center" vertical="center"/>
    </xf>
    <xf numFmtId="0" fontId="4" fillId="0" borderId="80" xfId="352" applyFont="1" applyBorder="1" applyAlignment="1">
      <alignment vertical="center"/>
    </xf>
    <xf numFmtId="0" fontId="4" fillId="0" borderId="11" xfId="352" applyFont="1" applyBorder="1" applyAlignment="1">
      <alignment vertical="center"/>
    </xf>
    <xf numFmtId="0" fontId="4" fillId="0" borderId="81" xfId="352" applyFont="1" applyBorder="1" applyAlignment="1">
      <alignment vertical="center"/>
    </xf>
    <xf numFmtId="197" fontId="97" fillId="0" borderId="26" xfId="356" applyNumberFormat="1" applyFont="1" applyFill="1" applyBorder="1"/>
    <xf numFmtId="196" fontId="97" fillId="0" borderId="20" xfId="356" applyNumberFormat="1" applyFont="1" applyFill="1" applyBorder="1" applyAlignment="1">
      <alignment shrinkToFit="1"/>
    </xf>
    <xf numFmtId="197" fontId="97" fillId="0" borderId="20" xfId="356" applyNumberFormat="1" applyFont="1" applyFill="1" applyBorder="1"/>
    <xf numFmtId="197" fontId="97" fillId="0" borderId="20" xfId="356" applyNumberFormat="1" applyFont="1" applyFill="1" applyBorder="1" applyAlignment="1">
      <alignment horizontal="center"/>
    </xf>
    <xf numFmtId="196" fontId="100" fillId="0" borderId="20" xfId="356" applyNumberFormat="1" applyFont="1" applyFill="1" applyBorder="1" applyAlignment="1">
      <alignment shrinkToFit="1"/>
    </xf>
    <xf numFmtId="0" fontId="97" fillId="0" borderId="20" xfId="356" applyFont="1" applyFill="1" applyBorder="1" applyAlignment="1">
      <alignment horizontal="center"/>
    </xf>
    <xf numFmtId="197" fontId="94" fillId="0" borderId="20" xfId="356" applyNumberFormat="1" applyFont="1" applyFill="1" applyBorder="1" applyAlignment="1">
      <alignment shrinkToFit="1"/>
    </xf>
    <xf numFmtId="197" fontId="94" fillId="0" borderId="20" xfId="356" applyNumberFormat="1" applyFont="1" applyFill="1" applyBorder="1" applyAlignment="1">
      <alignment horizontal="center"/>
    </xf>
    <xf numFmtId="197" fontId="94" fillId="0" borderId="20" xfId="356" applyNumberFormat="1" applyFont="1" applyFill="1" applyBorder="1" applyAlignment="1"/>
    <xf numFmtId="197" fontId="102" fillId="0" borderId="15" xfId="356" applyNumberFormat="1" applyFont="1" applyFill="1" applyBorder="1"/>
    <xf numFmtId="0" fontId="4" fillId="0" borderId="0" xfId="356" applyFont="1" applyFill="1"/>
    <xf numFmtId="0" fontId="4" fillId="0" borderId="49" xfId="356" applyFont="1" applyFill="1" applyBorder="1"/>
    <xf numFmtId="0" fontId="4" fillId="0" borderId="20" xfId="356" applyFont="1" applyFill="1" applyBorder="1"/>
    <xf numFmtId="0" fontId="4" fillId="0" borderId="27" xfId="356" applyFont="1" applyFill="1" applyBorder="1"/>
    <xf numFmtId="0" fontId="4" fillId="0" borderId="40" xfId="356" applyFont="1" applyFill="1" applyBorder="1"/>
    <xf numFmtId="0" fontId="147" fillId="0" borderId="0" xfId="0" applyFont="1" applyFill="1" applyBorder="1" applyAlignment="1">
      <alignment horizontal="center" vertical="center"/>
    </xf>
    <xf numFmtId="0" fontId="150" fillId="0" borderId="0" xfId="0" applyFont="1" applyFill="1" applyBorder="1" applyAlignment="1">
      <alignment horizontal="center" vertical="center"/>
    </xf>
    <xf numFmtId="174" fontId="147" fillId="0" borderId="25" xfId="195" applyFont="1" applyFill="1" applyBorder="1" applyAlignment="1">
      <alignment vertical="center" shrinkToFit="1"/>
    </xf>
    <xf numFmtId="218" fontId="54" fillId="25" borderId="77" xfId="207" applyNumberFormat="1" applyFont="1" applyFill="1" applyBorder="1" applyAlignment="1">
      <alignment vertical="center"/>
    </xf>
    <xf numFmtId="4" fontId="147" fillId="22" borderId="76" xfId="199" applyNumberFormat="1" applyFont="1" applyFill="1" applyBorder="1" applyAlignment="1">
      <alignment vertical="center" shrinkToFit="1"/>
    </xf>
    <xf numFmtId="0" fontId="147" fillId="0" borderId="0" xfId="0" applyFont="1" applyFill="1" applyBorder="1" applyAlignment="1">
      <alignment vertical="center"/>
    </xf>
    <xf numFmtId="4" fontId="147" fillId="27" borderId="9" xfId="199" applyNumberFormat="1" applyFont="1" applyFill="1" applyBorder="1" applyAlignment="1">
      <alignment vertical="center"/>
    </xf>
    <xf numFmtId="0" fontId="147" fillId="0" borderId="26" xfId="0" applyFont="1" applyFill="1" applyBorder="1" applyAlignment="1">
      <alignment vertical="center"/>
    </xf>
    <xf numFmtId="4" fontId="140" fillId="26" borderId="20" xfId="0" applyNumberFormat="1" applyFont="1" applyFill="1" applyBorder="1" applyAlignment="1">
      <alignment horizontal="center" vertical="center" wrapText="1"/>
    </xf>
    <xf numFmtId="4" fontId="140" fillId="26" borderId="27" xfId="0" applyNumberFormat="1" applyFont="1" applyFill="1" applyBorder="1" applyAlignment="1">
      <alignment horizontal="center" vertical="center" wrapText="1"/>
    </xf>
    <xf numFmtId="4" fontId="140" fillId="26" borderId="72" xfId="0" applyNumberFormat="1" applyFont="1" applyFill="1" applyBorder="1" applyAlignment="1">
      <alignment horizontal="center" vertical="center" wrapText="1"/>
    </xf>
    <xf numFmtId="4" fontId="140" fillId="26" borderId="20" xfId="0" applyNumberFormat="1" applyFont="1" applyFill="1" applyBorder="1" applyAlignment="1">
      <alignment vertical="center" wrapText="1"/>
    </xf>
    <xf numFmtId="0" fontId="140" fillId="0" borderId="26" xfId="0" applyFont="1" applyFill="1" applyBorder="1" applyAlignment="1">
      <alignment vertical="center" wrapText="1"/>
    </xf>
    <xf numFmtId="0" fontId="153" fillId="0" borderId="26" xfId="0" applyFont="1" applyFill="1" applyBorder="1" applyAlignment="1">
      <alignment vertical="center"/>
    </xf>
    <xf numFmtId="0" fontId="147" fillId="0" borderId="9" xfId="0" applyFont="1" applyFill="1" applyBorder="1" applyAlignment="1">
      <alignment vertical="center"/>
    </xf>
    <xf numFmtId="4" fontId="147" fillId="26" borderId="20" xfId="0" applyNumberFormat="1" applyFont="1" applyFill="1" applyBorder="1" applyAlignment="1">
      <alignment vertical="center" wrapText="1"/>
    </xf>
    <xf numFmtId="0" fontId="154" fillId="0" borderId="26" xfId="0" applyFont="1" applyFill="1" applyBorder="1" applyAlignment="1">
      <alignment vertical="center"/>
    </xf>
    <xf numFmtId="4" fontId="140" fillId="0" borderId="26" xfId="0" applyNumberFormat="1" applyFont="1" applyFill="1" applyBorder="1" applyAlignment="1">
      <alignment horizontal="left" vertical="center" wrapText="1"/>
    </xf>
    <xf numFmtId="0" fontId="140" fillId="0" borderId="26" xfId="0" applyFont="1" applyFill="1" applyBorder="1" applyAlignment="1">
      <alignment horizontal="left" vertical="center"/>
    </xf>
    <xf numFmtId="4" fontId="147" fillId="28" borderId="26" xfId="199" applyNumberFormat="1" applyFont="1" applyFill="1" applyBorder="1" applyAlignment="1">
      <alignment vertical="center"/>
    </xf>
    <xf numFmtId="9" fontId="140" fillId="0" borderId="26" xfId="253" applyFont="1" applyFill="1" applyBorder="1" applyAlignment="1">
      <alignment horizontal="center" vertical="center" wrapText="1"/>
    </xf>
    <xf numFmtId="4" fontId="147" fillId="34" borderId="9" xfId="199" applyNumberFormat="1" applyFont="1" applyFill="1" applyBorder="1" applyAlignment="1">
      <alignment vertical="center"/>
    </xf>
    <xf numFmtId="4" fontId="140" fillId="0" borderId="28" xfId="0" applyNumberFormat="1" applyFont="1" applyFill="1" applyBorder="1" applyAlignment="1">
      <alignment vertical="center" wrapText="1"/>
    </xf>
    <xf numFmtId="9" fontId="140" fillId="0" borderId="28" xfId="253" applyFont="1" applyFill="1" applyBorder="1" applyAlignment="1">
      <alignment vertical="center" wrapText="1"/>
    </xf>
    <xf numFmtId="0" fontId="147" fillId="0" borderId="28" xfId="0" applyFont="1" applyFill="1" applyBorder="1" applyAlignment="1">
      <alignment vertical="center"/>
    </xf>
    <xf numFmtId="4" fontId="140" fillId="0" borderId="25" xfId="0" applyNumberFormat="1" applyFont="1" applyFill="1" applyBorder="1" applyAlignment="1">
      <alignment horizontal="left" vertical="center" wrapText="1"/>
    </xf>
    <xf numFmtId="4" fontId="140" fillId="0" borderId="28" xfId="0" applyNumberFormat="1" applyFont="1" applyFill="1" applyBorder="1" applyAlignment="1">
      <alignment horizontal="left" vertical="center" wrapText="1"/>
    </xf>
    <xf numFmtId="0" fontId="147" fillId="0" borderId="25" xfId="0" applyFont="1" applyFill="1" applyBorder="1" applyAlignment="1">
      <alignment horizontal="left" vertical="center"/>
    </xf>
    <xf numFmtId="0" fontId="147" fillId="0" borderId="28" xfId="0" applyFont="1" applyFill="1" applyBorder="1" applyAlignment="1">
      <alignment horizontal="left" vertical="center"/>
    </xf>
    <xf numFmtId="0" fontId="140" fillId="0" borderId="25" xfId="0" applyFont="1" applyFill="1" applyBorder="1" applyAlignment="1">
      <alignment horizontal="left" vertical="center"/>
    </xf>
    <xf numFmtId="0" fontId="140" fillId="0" borderId="28" xfId="0" applyFont="1" applyFill="1" applyBorder="1" applyAlignment="1">
      <alignment horizontal="left" vertical="center"/>
    </xf>
    <xf numFmtId="0" fontId="140" fillId="0" borderId="28" xfId="0" applyFont="1" applyFill="1" applyBorder="1" applyAlignment="1">
      <alignment vertical="center"/>
    </xf>
    <xf numFmtId="174" fontId="140" fillId="0" borderId="25" xfId="195" applyFont="1" applyFill="1" applyBorder="1" applyAlignment="1">
      <alignment vertical="center"/>
    </xf>
    <xf numFmtId="4" fontId="147" fillId="0" borderId="28" xfId="199" applyNumberFormat="1" applyFont="1" applyFill="1" applyBorder="1" applyAlignment="1">
      <alignment vertical="center"/>
    </xf>
    <xf numFmtId="174" fontId="140" fillId="0" borderId="0" xfId="195" applyFont="1" applyFill="1" applyBorder="1" applyAlignment="1">
      <alignment horizontal="center" vertical="center" wrapText="1"/>
    </xf>
    <xf numFmtId="174" fontId="140" fillId="0" borderId="25" xfId="195" applyFont="1" applyFill="1" applyBorder="1" applyAlignment="1">
      <alignment horizontal="center" vertical="center" wrapText="1"/>
    </xf>
    <xf numFmtId="4" fontId="140" fillId="0" borderId="25" xfId="199" applyNumberFormat="1" applyFont="1" applyFill="1" applyBorder="1" applyAlignment="1">
      <alignment vertical="center" shrinkToFit="1"/>
    </xf>
    <xf numFmtId="174" fontId="140" fillId="0" borderId="25" xfId="195" applyFont="1" applyFill="1" applyBorder="1" applyAlignment="1">
      <alignment vertical="center" wrapText="1"/>
    </xf>
    <xf numFmtId="40" fontId="140" fillId="0" borderId="25" xfId="199" applyNumberFormat="1" applyFont="1" applyFill="1" applyBorder="1" applyAlignment="1">
      <alignment vertical="center" wrapText="1"/>
    </xf>
    <xf numFmtId="4" fontId="140" fillId="35" borderId="9" xfId="0" applyNumberFormat="1" applyFont="1" applyFill="1" applyBorder="1" applyAlignment="1">
      <alignment horizontal="center" vertical="center" wrapText="1"/>
    </xf>
    <xf numFmtId="3" fontId="140" fillId="35" borderId="1" xfId="207" applyNumberFormat="1" applyFont="1" applyFill="1" applyBorder="1" applyAlignment="1">
      <alignment horizontal="center" vertical="center" wrapText="1"/>
    </xf>
    <xf numFmtId="4" fontId="140" fillId="35" borderId="20" xfId="0" applyNumberFormat="1" applyFont="1" applyFill="1" applyBorder="1" applyAlignment="1">
      <alignment horizontal="center" vertical="center" wrapText="1"/>
    </xf>
    <xf numFmtId="4" fontId="140" fillId="35" borderId="27" xfId="0" applyNumberFormat="1" applyFont="1" applyFill="1" applyBorder="1" applyAlignment="1">
      <alignment horizontal="center" vertical="center" wrapText="1"/>
    </xf>
    <xf numFmtId="4" fontId="147" fillId="35" borderId="9" xfId="0" applyNumberFormat="1" applyFont="1" applyFill="1" applyBorder="1" applyAlignment="1">
      <alignment horizontal="center" vertical="center" wrapText="1"/>
    </xf>
    <xf numFmtId="4" fontId="140" fillId="35" borderId="72" xfId="0" applyNumberFormat="1" applyFont="1" applyFill="1" applyBorder="1" applyAlignment="1">
      <alignment horizontal="center" vertical="center" wrapText="1"/>
    </xf>
    <xf numFmtId="40" fontId="140" fillId="35" borderId="20" xfId="207" applyNumberFormat="1" applyFont="1" applyFill="1" applyBorder="1" applyAlignment="1">
      <alignment horizontal="right" vertical="center" wrapText="1"/>
    </xf>
    <xf numFmtId="38" fontId="140" fillId="35" borderId="20" xfId="207" applyNumberFormat="1" applyFont="1" applyFill="1" applyBorder="1" applyAlignment="1">
      <alignment horizontal="right" vertical="center" wrapText="1"/>
    </xf>
    <xf numFmtId="40" fontId="140" fillId="35" borderId="27" xfId="207" applyNumberFormat="1" applyFont="1" applyFill="1" applyBorder="1" applyAlignment="1">
      <alignment horizontal="right" vertical="center" wrapText="1"/>
    </xf>
    <xf numFmtId="38" fontId="140" fillId="35" borderId="27" xfId="207" applyNumberFormat="1" applyFont="1" applyFill="1" applyBorder="1" applyAlignment="1">
      <alignment horizontal="right" vertical="center" wrapText="1"/>
    </xf>
    <xf numFmtId="40" fontId="147" fillId="35" borderId="9" xfId="207" applyNumberFormat="1" applyFont="1" applyFill="1" applyBorder="1" applyAlignment="1">
      <alignment horizontal="right" vertical="center" wrapText="1"/>
    </xf>
    <xf numFmtId="38" fontId="147" fillId="35" borderId="9" xfId="207" applyNumberFormat="1" applyFont="1" applyFill="1" applyBorder="1" applyAlignment="1">
      <alignment horizontal="right" vertical="center" wrapText="1"/>
    </xf>
    <xf numFmtId="40" fontId="140" fillId="35" borderId="72" xfId="207" applyNumberFormat="1" applyFont="1" applyFill="1" applyBorder="1" applyAlignment="1">
      <alignment horizontal="right" vertical="center" wrapText="1"/>
    </xf>
    <xf numFmtId="38" fontId="140" fillId="35" borderId="72" xfId="207" applyNumberFormat="1" applyFont="1" applyFill="1" applyBorder="1" applyAlignment="1">
      <alignment horizontal="right" vertical="center" wrapText="1"/>
    </xf>
    <xf numFmtId="40" fontId="147" fillId="35" borderId="20" xfId="207" applyNumberFormat="1" applyFont="1" applyFill="1" applyBorder="1" applyAlignment="1">
      <alignment horizontal="right" vertical="center" wrapText="1"/>
    </xf>
    <xf numFmtId="38" fontId="147" fillId="35" borderId="20" xfId="207" applyNumberFormat="1" applyFont="1" applyFill="1" applyBorder="1" applyAlignment="1">
      <alignment horizontal="right" vertical="center" wrapText="1"/>
    </xf>
    <xf numFmtId="38" fontId="140" fillId="35" borderId="20" xfId="197" applyFont="1" applyFill="1" applyBorder="1" applyAlignment="1" applyProtection="1">
      <alignment vertical="center" wrapText="1"/>
    </xf>
    <xf numFmtId="9" fontId="153" fillId="31" borderId="61" xfId="253" applyFont="1" applyFill="1" applyBorder="1" applyAlignment="1">
      <alignment horizontal="center" vertical="center"/>
    </xf>
    <xf numFmtId="9" fontId="153" fillId="31" borderId="15" xfId="253" applyFont="1" applyFill="1" applyBorder="1" applyAlignment="1">
      <alignment horizontal="center" vertical="center"/>
    </xf>
    <xf numFmtId="0" fontId="151" fillId="31" borderId="20" xfId="0" applyFont="1" applyFill="1" applyBorder="1" applyAlignment="1">
      <alignment horizontal="center" vertical="center"/>
    </xf>
    <xf numFmtId="9" fontId="153" fillId="31" borderId="20" xfId="253" applyFont="1" applyFill="1" applyBorder="1" applyAlignment="1">
      <alignment horizontal="center" vertical="center"/>
    </xf>
    <xf numFmtId="9" fontId="151" fillId="31" borderId="20" xfId="253" applyFont="1" applyFill="1" applyBorder="1" applyAlignment="1">
      <alignment horizontal="center" vertical="center"/>
    </xf>
    <xf numFmtId="0" fontId="151" fillId="31" borderId="27" xfId="0" applyFont="1" applyFill="1" applyBorder="1" applyAlignment="1">
      <alignment horizontal="center" vertical="center"/>
    </xf>
    <xf numFmtId="9" fontId="153" fillId="31" borderId="27" xfId="253" applyFont="1" applyFill="1" applyBorder="1" applyAlignment="1">
      <alignment horizontal="center" vertical="center"/>
    </xf>
    <xf numFmtId="9" fontId="151" fillId="31" borderId="27" xfId="253" applyFont="1" applyFill="1" applyBorder="1" applyAlignment="1">
      <alignment horizontal="center" vertical="center"/>
    </xf>
    <xf numFmtId="9" fontId="154" fillId="31" borderId="9" xfId="253" applyFont="1" applyFill="1" applyBorder="1" applyAlignment="1">
      <alignment horizontal="center" vertical="center"/>
    </xf>
    <xf numFmtId="9" fontId="150" fillId="31" borderId="9" xfId="253" applyFont="1" applyFill="1" applyBorder="1" applyAlignment="1">
      <alignment horizontal="center" vertical="center"/>
    </xf>
    <xf numFmtId="0" fontId="151" fillId="31" borderId="72" xfId="0" applyFont="1" applyFill="1" applyBorder="1" applyAlignment="1">
      <alignment horizontal="center" vertical="center"/>
    </xf>
    <xf numFmtId="9" fontId="153" fillId="31" borderId="72" xfId="253" applyFont="1" applyFill="1" applyBorder="1" applyAlignment="1">
      <alignment horizontal="center" vertical="center"/>
    </xf>
    <xf numFmtId="9" fontId="151" fillId="31" borderId="72" xfId="253" applyFont="1" applyFill="1" applyBorder="1" applyAlignment="1">
      <alignment horizontal="center" vertical="center"/>
    </xf>
    <xf numFmtId="0" fontId="140" fillId="31" borderId="27" xfId="0" applyFont="1" applyFill="1" applyBorder="1" applyAlignment="1">
      <alignment horizontal="center" vertical="center"/>
    </xf>
    <xf numFmtId="0" fontId="140" fillId="31" borderId="26" xfId="0" applyFont="1" applyFill="1" applyBorder="1" applyAlignment="1">
      <alignment horizontal="center" vertical="center"/>
    </xf>
    <xf numFmtId="9" fontId="153" fillId="31" borderId="26" xfId="253" applyFont="1" applyFill="1" applyBorder="1" applyAlignment="1">
      <alignment horizontal="center" vertical="center"/>
    </xf>
    <xf numFmtId="0" fontId="153" fillId="31" borderId="26" xfId="0" applyFont="1" applyFill="1" applyBorder="1" applyAlignment="1">
      <alignment horizontal="center" vertical="center"/>
    </xf>
    <xf numFmtId="0" fontId="147" fillId="31" borderId="26" xfId="0" applyFont="1" applyFill="1" applyBorder="1" applyAlignment="1">
      <alignment horizontal="center" vertical="center"/>
    </xf>
    <xf numFmtId="9" fontId="154" fillId="31" borderId="26" xfId="253" applyFont="1" applyFill="1" applyBorder="1" applyAlignment="1">
      <alignment horizontal="center" vertical="center"/>
    </xf>
    <xf numFmtId="210" fontId="153" fillId="31" borderId="26" xfId="253" applyNumberFormat="1" applyFont="1" applyFill="1" applyBorder="1" applyAlignment="1">
      <alignment horizontal="center" vertical="center"/>
    </xf>
    <xf numFmtId="10" fontId="153" fillId="31" borderId="26" xfId="253" applyNumberFormat="1" applyFont="1" applyFill="1" applyBorder="1" applyAlignment="1">
      <alignment horizontal="center" vertical="center"/>
    </xf>
    <xf numFmtId="40" fontId="140" fillId="31" borderId="20" xfId="207" applyNumberFormat="1" applyFont="1" applyFill="1" applyBorder="1" applyAlignment="1">
      <alignment horizontal="right" vertical="center" wrapText="1"/>
    </xf>
    <xf numFmtId="0" fontId="154" fillId="31" borderId="26" xfId="0" applyFont="1" applyFill="1" applyBorder="1" applyAlignment="1">
      <alignment horizontal="center" vertical="center"/>
    </xf>
    <xf numFmtId="9" fontId="140" fillId="31" borderId="26" xfId="253" applyFont="1" applyFill="1" applyBorder="1" applyAlignment="1">
      <alignment horizontal="center" vertical="center"/>
    </xf>
    <xf numFmtId="49" fontId="140" fillId="31" borderId="26" xfId="0" applyNumberFormat="1" applyFont="1" applyFill="1" applyBorder="1" applyAlignment="1">
      <alignment horizontal="center" vertical="center"/>
    </xf>
    <xf numFmtId="49" fontId="147" fillId="31" borderId="26" xfId="0" applyNumberFormat="1" applyFont="1" applyFill="1" applyBorder="1" applyAlignment="1">
      <alignment horizontal="center" vertical="center"/>
    </xf>
    <xf numFmtId="4" fontId="140" fillId="31" borderId="20" xfId="0" applyNumberFormat="1" applyFont="1" applyFill="1" applyBorder="1" applyAlignment="1">
      <alignment horizontal="center" vertical="center" wrapText="1"/>
    </xf>
    <xf numFmtId="4" fontId="140" fillId="31" borderId="27" xfId="0" applyNumberFormat="1" applyFont="1" applyFill="1" applyBorder="1" applyAlignment="1">
      <alignment horizontal="center" vertical="center" wrapText="1"/>
    </xf>
    <xf numFmtId="4" fontId="147" fillId="31" borderId="9" xfId="0" applyNumberFormat="1" applyFont="1" applyFill="1" applyBorder="1" applyAlignment="1">
      <alignment horizontal="center" vertical="center" wrapText="1"/>
    </xf>
    <xf numFmtId="4" fontId="140" fillId="31" borderId="72" xfId="0" applyNumberFormat="1" applyFont="1" applyFill="1" applyBorder="1" applyAlignment="1">
      <alignment horizontal="center" vertical="center" wrapText="1"/>
    </xf>
    <xf numFmtId="174" fontId="140" fillId="31" borderId="20" xfId="207" applyFont="1" applyFill="1" applyBorder="1" applyAlignment="1">
      <alignment horizontal="right" vertical="center" wrapText="1"/>
    </xf>
    <xf numFmtId="174" fontId="140" fillId="31" borderId="27" xfId="207" applyFont="1" applyFill="1" applyBorder="1" applyAlignment="1">
      <alignment horizontal="right" vertical="center" wrapText="1"/>
    </xf>
    <xf numFmtId="174" fontId="140" fillId="31" borderId="72" xfId="207" applyFont="1" applyFill="1" applyBorder="1" applyAlignment="1">
      <alignment horizontal="right" vertical="center" wrapText="1"/>
    </xf>
    <xf numFmtId="174" fontId="147" fillId="31" borderId="20" xfId="207" applyFont="1" applyFill="1" applyBorder="1" applyAlignment="1">
      <alignment horizontal="right" vertical="center" wrapText="1"/>
    </xf>
    <xf numFmtId="174" fontId="140" fillId="31" borderId="82" xfId="207" applyFont="1" applyFill="1" applyBorder="1" applyAlignment="1">
      <alignment horizontal="right" vertical="center" wrapText="1"/>
    </xf>
    <xf numFmtId="174" fontId="147" fillId="31" borderId="82" xfId="207" applyFont="1" applyFill="1" applyBorder="1" applyAlignment="1">
      <alignment horizontal="right" vertical="center" wrapText="1"/>
    </xf>
    <xf numFmtId="9" fontId="140" fillId="36" borderId="9" xfId="253" applyFont="1" applyFill="1" applyBorder="1" applyAlignment="1">
      <alignment horizontal="center" vertical="center" wrapText="1"/>
    </xf>
    <xf numFmtId="9" fontId="140" fillId="36" borderId="20" xfId="253" applyFont="1" applyFill="1" applyBorder="1" applyAlignment="1">
      <alignment horizontal="center" vertical="center" wrapText="1"/>
    </xf>
    <xf numFmtId="9" fontId="140" fillId="36" borderId="27" xfId="253" applyFont="1" applyFill="1" applyBorder="1" applyAlignment="1">
      <alignment horizontal="center" vertical="center" wrapText="1"/>
    </xf>
    <xf numFmtId="9" fontId="147" fillId="36" borderId="9" xfId="253" applyFont="1" applyFill="1" applyBorder="1" applyAlignment="1">
      <alignment horizontal="center" vertical="center" wrapText="1"/>
    </xf>
    <xf numFmtId="9" fontId="140" fillId="36" borderId="72" xfId="253" applyFont="1" applyFill="1" applyBorder="1" applyAlignment="1">
      <alignment horizontal="center" vertical="center" wrapText="1"/>
    </xf>
    <xf numFmtId="9" fontId="140" fillId="36" borderId="20" xfId="253" applyFont="1" applyFill="1" applyBorder="1" applyAlignment="1">
      <alignment vertical="center" wrapText="1"/>
    </xf>
    <xf numFmtId="9" fontId="140" fillId="36" borderId="27" xfId="253" applyFont="1" applyFill="1" applyBorder="1" applyAlignment="1">
      <alignment vertical="center" wrapText="1"/>
    </xf>
    <xf numFmtId="9" fontId="140" fillId="36" borderId="72" xfId="253" applyFont="1" applyFill="1" applyBorder="1" applyAlignment="1">
      <alignment vertical="center" wrapText="1"/>
    </xf>
    <xf numFmtId="9" fontId="147" fillId="36" borderId="20" xfId="253" applyFont="1" applyFill="1" applyBorder="1" applyAlignment="1">
      <alignment vertical="center" wrapText="1"/>
    </xf>
    <xf numFmtId="4" fontId="140" fillId="30" borderId="9" xfId="0" applyNumberFormat="1" applyFont="1" applyFill="1" applyBorder="1" applyAlignment="1">
      <alignment horizontal="center" vertical="center" wrapText="1"/>
    </xf>
    <xf numFmtId="49" fontId="140" fillId="30" borderId="9" xfId="0" applyNumberFormat="1" applyFont="1" applyFill="1" applyBorder="1" applyAlignment="1">
      <alignment horizontal="center" vertical="center" wrapText="1"/>
    </xf>
    <xf numFmtId="49" fontId="140" fillId="30" borderId="20" xfId="0" applyNumberFormat="1" applyFont="1" applyFill="1" applyBorder="1" applyAlignment="1">
      <alignment horizontal="center" vertical="center" wrapText="1"/>
    </xf>
    <xf numFmtId="49" fontId="140" fillId="30" borderId="27" xfId="0" applyNumberFormat="1" applyFont="1" applyFill="1" applyBorder="1" applyAlignment="1">
      <alignment horizontal="center" vertical="center" wrapText="1"/>
    </xf>
    <xf numFmtId="49" fontId="147" fillId="30" borderId="9" xfId="0" applyNumberFormat="1" applyFont="1" applyFill="1" applyBorder="1" applyAlignment="1">
      <alignment horizontal="center" vertical="center" wrapText="1"/>
    </xf>
    <xf numFmtId="49" fontId="140" fillId="30" borderId="72" xfId="0" applyNumberFormat="1" applyFont="1" applyFill="1" applyBorder="1" applyAlignment="1">
      <alignment horizontal="center" vertical="center" wrapText="1"/>
    </xf>
    <xf numFmtId="4" fontId="140" fillId="30" borderId="20" xfId="0" applyNumberFormat="1" applyFont="1" applyFill="1" applyBorder="1" applyAlignment="1">
      <alignment vertical="center" wrapText="1"/>
    </xf>
    <xf numFmtId="4" fontId="140" fillId="30" borderId="27" xfId="0" applyNumberFormat="1" applyFont="1" applyFill="1" applyBorder="1" applyAlignment="1">
      <alignment vertical="center" wrapText="1"/>
    </xf>
    <xf numFmtId="4" fontId="140" fillId="30" borderId="72" xfId="0" applyNumberFormat="1" applyFont="1" applyFill="1" applyBorder="1" applyAlignment="1">
      <alignment vertical="center" wrapText="1"/>
    </xf>
    <xf numFmtId="0" fontId="140" fillId="30" borderId="26" xfId="0" applyFont="1" applyFill="1" applyBorder="1" applyAlignment="1">
      <alignment vertical="center"/>
    </xf>
    <xf numFmtId="4" fontId="140" fillId="30" borderId="26" xfId="0" applyNumberFormat="1" applyFont="1" applyFill="1" applyBorder="1" applyAlignment="1">
      <alignment vertical="center" wrapText="1"/>
    </xf>
    <xf numFmtId="9" fontId="140" fillId="30" borderId="20" xfId="253" applyNumberFormat="1" applyFont="1" applyFill="1" applyBorder="1" applyAlignment="1">
      <alignment vertical="center" wrapText="1"/>
    </xf>
    <xf numFmtId="174" fontId="140" fillId="30" borderId="20" xfId="195" applyFont="1" applyFill="1" applyBorder="1" applyAlignment="1">
      <alignment horizontal="center" vertical="center" wrapText="1"/>
    </xf>
    <xf numFmtId="174" fontId="140" fillId="30" borderId="27" xfId="195" applyFont="1" applyFill="1" applyBorder="1" applyAlignment="1">
      <alignment horizontal="center" vertical="center" wrapText="1"/>
    </xf>
    <xf numFmtId="174" fontId="147" fillId="30" borderId="9" xfId="195" applyFont="1" applyFill="1" applyBorder="1" applyAlignment="1">
      <alignment vertical="center" shrinkToFit="1"/>
    </xf>
    <xf numFmtId="174" fontId="140" fillId="30" borderId="72" xfId="195" applyFont="1" applyFill="1" applyBorder="1" applyAlignment="1">
      <alignment horizontal="center" vertical="center" wrapText="1"/>
    </xf>
    <xf numFmtId="174" fontId="147" fillId="30" borderId="9" xfId="195" applyFont="1" applyFill="1" applyBorder="1" applyAlignment="1">
      <alignment vertical="center"/>
    </xf>
    <xf numFmtId="174" fontId="140" fillId="30" borderId="49" xfId="195" applyFont="1" applyFill="1" applyBorder="1" applyAlignment="1">
      <alignment horizontal="center" vertical="center" wrapText="1"/>
    </xf>
    <xf numFmtId="174" fontId="140" fillId="30" borderId="20" xfId="195" applyFont="1" applyFill="1" applyBorder="1" applyAlignment="1">
      <alignment vertical="center" wrapText="1"/>
    </xf>
    <xf numFmtId="40" fontId="140" fillId="30" borderId="20" xfId="199" applyNumberFormat="1" applyFont="1" applyFill="1" applyBorder="1" applyAlignment="1">
      <alignment vertical="center" wrapText="1"/>
    </xf>
    <xf numFmtId="40" fontId="140" fillId="30" borderId="40" xfId="199" applyNumberFormat="1" applyFont="1" applyFill="1" applyBorder="1" applyAlignment="1">
      <alignment vertical="center" wrapText="1"/>
    </xf>
    <xf numFmtId="4" fontId="147" fillId="30" borderId="9" xfId="199" applyNumberFormat="1" applyFont="1" applyFill="1" applyBorder="1" applyAlignment="1">
      <alignment vertical="center"/>
    </xf>
    <xf numFmtId="40" fontId="140" fillId="30" borderId="27" xfId="199" applyNumberFormat="1" applyFont="1" applyFill="1" applyBorder="1" applyAlignment="1">
      <alignment vertical="center" wrapText="1"/>
    </xf>
    <xf numFmtId="40" fontId="140" fillId="30" borderId="72" xfId="199" applyNumberFormat="1" applyFont="1" applyFill="1" applyBorder="1" applyAlignment="1">
      <alignment vertical="center" wrapText="1"/>
    </xf>
    <xf numFmtId="4" fontId="140" fillId="30" borderId="9" xfId="199" applyNumberFormat="1" applyFont="1" applyFill="1" applyBorder="1" applyAlignment="1">
      <alignment vertical="center"/>
    </xf>
    <xf numFmtId="174" fontId="147" fillId="30" borderId="26" xfId="195" applyFont="1" applyFill="1" applyBorder="1" applyAlignment="1">
      <alignment vertical="center"/>
    </xf>
    <xf numFmtId="4" fontId="140" fillId="30" borderId="26" xfId="199" applyNumberFormat="1" applyFont="1" applyFill="1" applyBorder="1" applyAlignment="1">
      <alignment vertical="center"/>
    </xf>
    <xf numFmtId="4" fontId="147" fillId="30" borderId="26" xfId="199" applyNumberFormat="1" applyFont="1" applyFill="1" applyBorder="1" applyAlignment="1">
      <alignment vertical="center"/>
    </xf>
    <xf numFmtId="174" fontId="140" fillId="30" borderId="26" xfId="195" applyFont="1" applyFill="1" applyBorder="1" applyAlignment="1">
      <alignment vertical="center"/>
    </xf>
    <xf numFmtId="174" fontId="140" fillId="30" borderId="26" xfId="195" applyFont="1" applyFill="1" applyBorder="1" applyAlignment="1">
      <alignment vertical="center" wrapText="1"/>
    </xf>
    <xf numFmtId="0" fontId="140" fillId="35" borderId="26" xfId="0" applyFont="1" applyFill="1" applyBorder="1" applyAlignment="1">
      <alignment vertical="center"/>
    </xf>
    <xf numFmtId="0" fontId="140" fillId="31" borderId="26" xfId="0" applyFont="1" applyFill="1" applyBorder="1" applyAlignment="1">
      <alignment vertical="center"/>
    </xf>
    <xf numFmtId="9" fontId="147" fillId="0" borderId="9" xfId="253" applyFont="1" applyFill="1" applyBorder="1" applyAlignment="1">
      <alignment horizontal="center" vertical="center" wrapText="1"/>
    </xf>
    <xf numFmtId="4" fontId="147" fillId="0" borderId="9" xfId="0" applyNumberFormat="1" applyFont="1" applyFill="1" applyBorder="1" applyAlignment="1">
      <alignment horizontal="center" vertical="center" wrapText="1"/>
    </xf>
    <xf numFmtId="4" fontId="147" fillId="0" borderId="28" xfId="0" applyNumberFormat="1" applyFont="1" applyFill="1" applyBorder="1" applyAlignment="1">
      <alignment vertical="center" wrapText="1"/>
    </xf>
    <xf numFmtId="4" fontId="147" fillId="0" borderId="9" xfId="253" applyNumberFormat="1" applyFont="1" applyFill="1" applyBorder="1" applyAlignment="1">
      <alignment horizontal="center" vertical="center" wrapText="1"/>
    </xf>
    <xf numFmtId="4" fontId="147" fillId="0" borderId="28" xfId="0" applyNumberFormat="1" applyFont="1" applyFill="1" applyBorder="1" applyAlignment="1">
      <alignment vertical="center"/>
    </xf>
    <xf numFmtId="4" fontId="147" fillId="0" borderId="9" xfId="253" applyNumberFormat="1" applyFont="1" applyFill="1" applyBorder="1" applyAlignment="1">
      <alignment horizontal="center" vertical="center"/>
    </xf>
    <xf numFmtId="4" fontId="147" fillId="0" borderId="9" xfId="0" applyNumberFormat="1" applyFont="1" applyFill="1" applyBorder="1" applyAlignment="1">
      <alignment horizontal="center" vertical="center"/>
    </xf>
    <xf numFmtId="4" fontId="147" fillId="0" borderId="20" xfId="207" applyNumberFormat="1" applyFont="1" applyFill="1" applyBorder="1" applyAlignment="1">
      <alignment vertical="center"/>
    </xf>
    <xf numFmtId="4" fontId="140" fillId="0" borderId="20" xfId="199" applyNumberFormat="1" applyFont="1" applyFill="1" applyBorder="1" applyAlignment="1">
      <alignment vertical="center" shrinkToFit="1"/>
    </xf>
    <xf numFmtId="4" fontId="147" fillId="0" borderId="9" xfId="0" applyNumberFormat="1" applyFont="1" applyFill="1" applyBorder="1" applyAlignment="1">
      <alignment horizontal="right" vertical="center"/>
    </xf>
    <xf numFmtId="38" fontId="140" fillId="35" borderId="9" xfId="207" applyNumberFormat="1" applyFont="1" applyFill="1" applyBorder="1" applyAlignment="1">
      <alignment horizontal="right" vertical="center" wrapText="1"/>
    </xf>
    <xf numFmtId="174" fontId="140" fillId="31" borderId="9" xfId="207" applyFont="1" applyFill="1" applyBorder="1" applyAlignment="1">
      <alignment horizontal="right" vertical="center" wrapText="1"/>
    </xf>
    <xf numFmtId="9" fontId="140" fillId="36" borderId="9" xfId="253" applyFont="1" applyFill="1" applyBorder="1" applyAlignment="1">
      <alignment vertical="center" wrapText="1"/>
    </xf>
    <xf numFmtId="0" fontId="140" fillId="30" borderId="9" xfId="0" applyFont="1" applyFill="1" applyBorder="1" applyAlignment="1">
      <alignment vertical="center"/>
    </xf>
    <xf numFmtId="0" fontId="140" fillId="0" borderId="9" xfId="0" applyFont="1" applyFill="1" applyBorder="1" applyAlignment="1">
      <alignment vertical="center"/>
    </xf>
    <xf numFmtId="0" fontId="147" fillId="0" borderId="9" xfId="0" applyFont="1" applyFill="1" applyBorder="1" applyAlignment="1">
      <alignment vertical="center" wrapText="1"/>
    </xf>
    <xf numFmtId="0" fontId="151" fillId="0" borderId="0" xfId="0" applyFont="1" applyFill="1" applyBorder="1" applyAlignment="1">
      <alignment horizontal="center" vertical="center"/>
    </xf>
    <xf numFmtId="9" fontId="140" fillId="37" borderId="9" xfId="253" applyNumberFormat="1" applyFont="1" applyFill="1" applyBorder="1" applyAlignment="1">
      <alignment horizontal="center" vertical="center" wrapText="1"/>
    </xf>
    <xf numFmtId="9" fontId="140" fillId="37" borderId="9" xfId="253" applyNumberFormat="1" applyFont="1" applyFill="1" applyBorder="1" applyAlignment="1">
      <alignment vertical="center" wrapText="1"/>
    </xf>
    <xf numFmtId="9" fontId="140" fillId="37" borderId="20" xfId="253" applyNumberFormat="1" applyFont="1" applyFill="1" applyBorder="1" applyAlignment="1">
      <alignment vertical="center" wrapText="1"/>
    </xf>
    <xf numFmtId="9" fontId="140" fillId="37" borderId="27" xfId="253" applyNumberFormat="1" applyFont="1" applyFill="1" applyBorder="1" applyAlignment="1">
      <alignment vertical="center" wrapText="1"/>
    </xf>
    <xf numFmtId="9" fontId="147" fillId="37" borderId="9" xfId="253" applyNumberFormat="1" applyFont="1" applyFill="1" applyBorder="1" applyAlignment="1">
      <alignment vertical="center" wrapText="1"/>
    </xf>
    <xf numFmtId="9" fontId="140" fillId="37" borderId="72" xfId="253" applyNumberFormat="1" applyFont="1" applyFill="1" applyBorder="1" applyAlignment="1">
      <alignment vertical="center" wrapText="1"/>
    </xf>
    <xf numFmtId="9" fontId="140" fillId="37" borderId="61" xfId="0" applyNumberFormat="1" applyFont="1" applyFill="1" applyBorder="1" applyAlignment="1">
      <alignment vertical="center" wrapText="1"/>
    </xf>
    <xf numFmtId="9" fontId="140" fillId="37" borderId="15" xfId="0" applyNumberFormat="1" applyFont="1" applyFill="1" applyBorder="1" applyAlignment="1">
      <alignment horizontal="center" vertical="center" wrapText="1"/>
    </xf>
    <xf numFmtId="9" fontId="140" fillId="37" borderId="20" xfId="0" applyNumberFormat="1" applyFont="1" applyFill="1" applyBorder="1" applyAlignment="1">
      <alignment horizontal="center" vertical="center" wrapText="1"/>
    </xf>
    <xf numFmtId="9" fontId="140" fillId="37" borderId="27" xfId="0" applyNumberFormat="1" applyFont="1" applyFill="1" applyBorder="1" applyAlignment="1">
      <alignment horizontal="center" vertical="center" wrapText="1"/>
    </xf>
    <xf numFmtId="9" fontId="147" fillId="37" borderId="9" xfId="0" applyNumberFormat="1" applyFont="1" applyFill="1" applyBorder="1" applyAlignment="1">
      <alignment horizontal="center" vertical="center" wrapText="1"/>
    </xf>
    <xf numFmtId="9" fontId="140" fillId="37" borderId="72" xfId="0" applyNumberFormat="1" applyFont="1" applyFill="1" applyBorder="1" applyAlignment="1">
      <alignment horizontal="center" vertical="center" wrapText="1"/>
    </xf>
    <xf numFmtId="0" fontId="147" fillId="0" borderId="9" xfId="0" applyFont="1" applyFill="1" applyBorder="1" applyAlignment="1">
      <alignment horizontal="center" vertical="center" shrinkToFit="1"/>
    </xf>
    <xf numFmtId="0" fontId="147" fillId="0" borderId="1" xfId="0" applyFont="1" applyFill="1" applyBorder="1" applyAlignment="1">
      <alignment vertical="center"/>
    </xf>
    <xf numFmtId="0" fontId="147" fillId="0" borderId="7" xfId="0" applyFont="1" applyFill="1" applyBorder="1" applyAlignment="1">
      <alignment horizontal="center" vertical="center"/>
    </xf>
    <xf numFmtId="0" fontId="147" fillId="0" borderId="9" xfId="0" applyFont="1" applyFill="1" applyBorder="1" applyAlignment="1">
      <alignment horizontal="center" vertical="center"/>
    </xf>
    <xf numFmtId="0" fontId="147" fillId="0" borderId="64" xfId="0" applyFont="1" applyFill="1" applyBorder="1" applyAlignment="1">
      <alignment horizontal="center" vertical="center" shrinkToFit="1"/>
    </xf>
    <xf numFmtId="4" fontId="147" fillId="0" borderId="9" xfId="199" applyNumberFormat="1" applyFont="1" applyFill="1" applyBorder="1" applyAlignment="1">
      <alignment horizontal="center" vertical="center" shrinkToFit="1"/>
    </xf>
    <xf numFmtId="4" fontId="147" fillId="0" borderId="9" xfId="199" applyNumberFormat="1" applyFont="1" applyFill="1" applyBorder="1" applyAlignment="1">
      <alignment vertical="center"/>
    </xf>
    <xf numFmtId="176" fontId="150" fillId="0" borderId="9" xfId="199" applyNumberFormat="1" applyFont="1" applyFill="1" applyBorder="1" applyAlignment="1">
      <alignment horizontal="center" vertical="center"/>
    </xf>
    <xf numFmtId="176" fontId="150" fillId="0" borderId="64" xfId="199" applyNumberFormat="1" applyFont="1" applyFill="1" applyBorder="1" applyAlignment="1">
      <alignment horizontal="center" vertical="center" shrinkToFit="1"/>
    </xf>
    <xf numFmtId="174" fontId="147" fillId="0" borderId="9" xfId="195" applyFont="1" applyFill="1" applyBorder="1" applyAlignment="1">
      <alignment vertical="center" shrinkToFit="1"/>
    </xf>
    <xf numFmtId="4" fontId="147" fillId="0" borderId="9" xfId="0" applyNumberFormat="1" applyFont="1" applyFill="1" applyBorder="1" applyAlignment="1">
      <alignment horizontal="right" vertical="center" wrapText="1"/>
    </xf>
    <xf numFmtId="4" fontId="155" fillId="31" borderId="20" xfId="355" applyNumberFormat="1" applyFont="1" applyFill="1" applyBorder="1" applyAlignment="1">
      <alignment vertical="center"/>
    </xf>
    <xf numFmtId="4" fontId="155" fillId="31" borderId="20" xfId="207" applyNumberFormat="1" applyFont="1" applyFill="1" applyBorder="1" applyAlignment="1">
      <alignment horizontal="right" vertical="center" wrapText="1"/>
    </xf>
    <xf numFmtId="174" fontId="155" fillId="31" borderId="20" xfId="207" applyFont="1" applyFill="1" applyBorder="1" applyAlignment="1">
      <alignment horizontal="right" vertical="center" wrapText="1"/>
    </xf>
    <xf numFmtId="4" fontId="155" fillId="35" borderId="20" xfId="355" applyNumberFormat="1" applyFont="1" applyFill="1" applyBorder="1" applyAlignment="1">
      <alignment vertical="center"/>
    </xf>
    <xf numFmtId="3" fontId="155" fillId="35" borderId="20" xfId="355" applyNumberFormat="1" applyFont="1" applyFill="1" applyBorder="1" applyAlignment="1">
      <alignment vertical="center"/>
    </xf>
    <xf numFmtId="40" fontId="155" fillId="35" borderId="20" xfId="207" applyNumberFormat="1" applyFont="1" applyFill="1" applyBorder="1" applyAlignment="1">
      <alignment horizontal="right" vertical="center" wrapText="1"/>
    </xf>
    <xf numFmtId="211" fontId="155" fillId="35" borderId="20" xfId="207" applyNumberFormat="1" applyFont="1" applyFill="1" applyBorder="1" applyAlignment="1">
      <alignment vertical="center" wrapText="1"/>
    </xf>
    <xf numFmtId="38" fontId="155" fillId="35" borderId="20" xfId="207" applyNumberFormat="1" applyFont="1" applyFill="1" applyBorder="1" applyAlignment="1">
      <alignment horizontal="right" vertical="center" wrapText="1"/>
    </xf>
    <xf numFmtId="9" fontId="155" fillId="31" borderId="20" xfId="253" applyFont="1" applyFill="1" applyBorder="1" applyAlignment="1">
      <alignment horizontal="center" vertical="center"/>
    </xf>
    <xf numFmtId="49" fontId="147" fillId="0" borderId="49" xfId="0" applyNumberFormat="1" applyFont="1" applyFill="1" applyBorder="1" applyAlignment="1">
      <alignment horizontal="center" vertical="center"/>
    </xf>
    <xf numFmtId="0" fontId="147" fillId="0" borderId="78" xfId="0" applyFont="1" applyFill="1" applyBorder="1" applyAlignment="1">
      <alignment vertical="center"/>
    </xf>
    <xf numFmtId="0" fontId="140" fillId="0" borderId="49" xfId="0" applyFont="1" applyFill="1" applyBorder="1" applyAlignment="1">
      <alignment horizontal="center" vertical="center"/>
    </xf>
    <xf numFmtId="4" fontId="140" fillId="0" borderId="49" xfId="199" applyNumberFormat="1" applyFont="1" applyFill="1" applyBorder="1" applyAlignment="1">
      <alignment vertical="center"/>
    </xf>
    <xf numFmtId="4" fontId="140" fillId="0" borderId="77" xfId="199" applyNumberFormat="1" applyFont="1" applyFill="1" applyBorder="1" applyAlignment="1">
      <alignment vertical="center"/>
    </xf>
    <xf numFmtId="40" fontId="140" fillId="0" borderId="77" xfId="207" applyNumberFormat="1" applyFont="1" applyFill="1" applyBorder="1" applyAlignment="1">
      <alignment vertical="center"/>
    </xf>
    <xf numFmtId="0" fontId="140" fillId="0" borderId="40" xfId="357" applyFont="1" applyFill="1" applyBorder="1" applyAlignment="1">
      <alignment horizontal="center" vertical="center"/>
    </xf>
    <xf numFmtId="0" fontId="140" fillId="0" borderId="83" xfId="357" applyFont="1" applyFill="1" applyBorder="1" applyAlignment="1">
      <alignment vertical="center"/>
    </xf>
    <xf numFmtId="0" fontId="140" fillId="0" borderId="74" xfId="357" applyFont="1" applyFill="1" applyBorder="1" applyAlignment="1">
      <alignment vertical="center"/>
    </xf>
    <xf numFmtId="0" fontId="140" fillId="0" borderId="74" xfId="357" applyFont="1" applyFill="1" applyBorder="1" applyAlignment="1">
      <alignment horizontal="center" vertical="center"/>
    </xf>
    <xf numFmtId="4" fontId="140" fillId="0" borderId="40" xfId="199" applyNumberFormat="1" applyFont="1" applyFill="1" applyBorder="1" applyAlignment="1">
      <alignment vertical="center"/>
    </xf>
    <xf numFmtId="4" fontId="140" fillId="0" borderId="74" xfId="199" applyNumberFormat="1" applyFont="1" applyFill="1" applyBorder="1" applyAlignment="1">
      <alignment vertical="center"/>
    </xf>
    <xf numFmtId="40" fontId="140" fillId="0" borderId="74" xfId="207" applyNumberFormat="1" applyFont="1" applyFill="1" applyBorder="1" applyAlignment="1">
      <alignment vertical="center"/>
    </xf>
    <xf numFmtId="40" fontId="139" fillId="0" borderId="20" xfId="207" applyNumberFormat="1" applyFont="1" applyFill="1" applyBorder="1" applyAlignment="1">
      <alignment vertical="center"/>
    </xf>
    <xf numFmtId="49" fontId="149" fillId="0" borderId="20" xfId="0" applyNumberFormat="1" applyFont="1" applyFill="1" applyBorder="1" applyAlignment="1">
      <alignment horizontal="center" vertical="center"/>
    </xf>
    <xf numFmtId="40" fontId="0" fillId="0" borderId="0" xfId="207" applyNumberFormat="1" applyFont="1" applyFill="1" applyBorder="1" applyAlignment="1">
      <alignment vertical="center" shrinkToFit="1"/>
    </xf>
    <xf numFmtId="0" fontId="140" fillId="22" borderId="69" xfId="0" applyNumberFormat="1" applyFont="1" applyFill="1" applyBorder="1" applyAlignment="1">
      <alignment vertical="center"/>
    </xf>
    <xf numFmtId="0" fontId="141" fillId="22" borderId="69" xfId="0" applyFont="1" applyFill="1" applyBorder="1" applyAlignment="1">
      <alignment vertical="center"/>
    </xf>
    <xf numFmtId="0" fontId="141" fillId="0" borderId="20" xfId="0" applyFont="1" applyFill="1" applyBorder="1" applyAlignment="1">
      <alignment horizontal="center" vertical="center" shrinkToFit="1"/>
    </xf>
    <xf numFmtId="49" fontId="141" fillId="0" borderId="20" xfId="0" applyNumberFormat="1" applyFont="1" applyFill="1" applyBorder="1" applyAlignment="1">
      <alignment horizontal="center" vertical="center" shrinkToFit="1"/>
    </xf>
    <xf numFmtId="176" fontId="156" fillId="22" borderId="20" xfId="199" applyNumberFormat="1" applyFont="1" applyFill="1" applyBorder="1" applyAlignment="1">
      <alignment horizontal="center" vertical="center"/>
    </xf>
    <xf numFmtId="4" fontId="0" fillId="0" borderId="20" xfId="0" applyNumberFormat="1" applyFont="1" applyFill="1" applyBorder="1" applyAlignment="1">
      <alignment vertical="center"/>
    </xf>
    <xf numFmtId="179" fontId="0" fillId="0" borderId="20" xfId="0" applyNumberFormat="1" applyFont="1" applyFill="1" applyBorder="1" applyAlignment="1">
      <alignment vertical="center"/>
    </xf>
    <xf numFmtId="0" fontId="140" fillId="0" borderId="60" xfId="0" applyFont="1" applyBorder="1" applyAlignment="1">
      <alignment vertical="center"/>
    </xf>
    <xf numFmtId="0" fontId="140" fillId="0" borderId="27" xfId="245" applyFont="1" applyBorder="1" applyAlignment="1">
      <alignment horizontal="center" vertical="center"/>
    </xf>
    <xf numFmtId="172" fontId="140" fillId="0" borderId="27" xfId="196" applyFont="1" applyBorder="1" applyAlignment="1">
      <alignment vertical="center" shrinkToFit="1"/>
    </xf>
    <xf numFmtId="176" fontId="140" fillId="0" borderId="27" xfId="196" applyNumberFormat="1" applyFont="1" applyBorder="1" applyAlignment="1">
      <alignment vertical="center" shrinkToFit="1"/>
    </xf>
    <xf numFmtId="176" fontId="140" fillId="0" borderId="27" xfId="196" applyNumberFormat="1" applyFont="1" applyFill="1" applyBorder="1" applyAlignment="1">
      <alignment horizontal="center" vertical="center" shrinkToFit="1"/>
    </xf>
    <xf numFmtId="1" fontId="140" fillId="0" borderId="27" xfId="0" applyNumberFormat="1" applyFont="1" applyBorder="1" applyAlignment="1">
      <alignment horizontal="center" vertical="center" shrinkToFit="1"/>
    </xf>
    <xf numFmtId="0" fontId="140" fillId="0" borderId="59" xfId="0" applyFont="1" applyBorder="1" applyAlignment="1">
      <alignment vertical="center"/>
    </xf>
    <xf numFmtId="49" fontId="140" fillId="0" borderId="27" xfId="0" applyNumberFormat="1" applyFont="1" applyBorder="1" applyAlignment="1">
      <alignment horizontal="center" vertical="center" shrinkToFit="1"/>
    </xf>
    <xf numFmtId="0" fontId="140" fillId="0" borderId="70" xfId="0" applyFont="1" applyBorder="1" applyAlignment="1">
      <alignment vertical="center"/>
    </xf>
    <xf numFmtId="1" fontId="139" fillId="0" borderId="9" xfId="0" applyNumberFormat="1" applyFont="1" applyFill="1" applyBorder="1" applyAlignment="1">
      <alignment horizontal="center" vertical="center" shrinkToFit="1"/>
    </xf>
    <xf numFmtId="0" fontId="137" fillId="0" borderId="1" xfId="0" applyFont="1" applyFill="1" applyBorder="1" applyAlignment="1">
      <alignment vertical="center"/>
    </xf>
    <xf numFmtId="0" fontId="139" fillId="0" borderId="64" xfId="0" applyFont="1" applyFill="1" applyBorder="1" applyAlignment="1">
      <alignment vertical="center"/>
    </xf>
    <xf numFmtId="0" fontId="139" fillId="0" borderId="9" xfId="245" applyFont="1" applyFill="1" applyBorder="1" applyAlignment="1">
      <alignment horizontal="center" vertical="center"/>
    </xf>
    <xf numFmtId="175" fontId="139" fillId="0" borderId="9" xfId="196" applyNumberFormat="1" applyFont="1" applyFill="1" applyBorder="1" applyAlignment="1">
      <alignment vertical="center" shrinkToFit="1"/>
    </xf>
    <xf numFmtId="176" fontId="139" fillId="0" borderId="9" xfId="196" applyNumberFormat="1" applyFont="1" applyFill="1" applyBorder="1" applyAlignment="1">
      <alignment vertical="center" shrinkToFit="1"/>
    </xf>
    <xf numFmtId="176" fontId="137" fillId="0" borderId="9" xfId="196" applyNumberFormat="1" applyFont="1" applyFill="1" applyBorder="1" applyAlignment="1">
      <alignment vertical="center" shrinkToFit="1"/>
    </xf>
    <xf numFmtId="176" fontId="139" fillId="0" borderId="64" xfId="196" applyNumberFormat="1" applyFont="1" applyFill="1" applyBorder="1" applyAlignment="1">
      <alignment vertical="center" shrinkToFit="1"/>
    </xf>
    <xf numFmtId="0" fontId="139" fillId="0" borderId="0" xfId="0" applyFont="1" applyFill="1" applyAlignment="1">
      <alignment vertical="center"/>
    </xf>
    <xf numFmtId="0" fontId="0" fillId="0" borderId="0" xfId="0" applyFill="1" applyAlignment="1">
      <alignment horizontal="center" vertical="center"/>
    </xf>
    <xf numFmtId="49" fontId="2" fillId="38" borderId="9" xfId="0" applyNumberFormat="1" applyFont="1" applyFill="1" applyBorder="1" applyAlignment="1">
      <alignment horizontal="center" vertical="center" shrinkToFit="1"/>
    </xf>
    <xf numFmtId="0" fontId="2" fillId="38" borderId="9" xfId="0" applyFont="1" applyFill="1" applyBorder="1" applyAlignment="1">
      <alignment vertical="center" shrinkToFit="1"/>
    </xf>
    <xf numFmtId="175" fontId="2" fillId="38" borderId="9" xfId="196" applyNumberFormat="1" applyFont="1" applyFill="1" applyBorder="1" applyAlignment="1">
      <alignment vertical="center" shrinkToFit="1"/>
    </xf>
    <xf numFmtId="176" fontId="2" fillId="38" borderId="9" xfId="196" applyNumberFormat="1" applyFont="1" applyFill="1" applyBorder="1" applyAlignment="1">
      <alignment vertical="center" shrinkToFit="1"/>
    </xf>
    <xf numFmtId="176" fontId="2" fillId="38" borderId="64" xfId="196" applyNumberFormat="1" applyFont="1" applyFill="1" applyBorder="1" applyAlignment="1">
      <alignment vertical="center" shrinkToFit="1"/>
    </xf>
    <xf numFmtId="176" fontId="2" fillId="38" borderId="9" xfId="196" applyNumberFormat="1" applyFont="1" applyFill="1" applyBorder="1" applyAlignment="1">
      <alignment vertical="center"/>
    </xf>
    <xf numFmtId="0" fontId="2" fillId="38" borderId="7" xfId="345" applyFont="1" applyFill="1" applyBorder="1" applyAlignment="1">
      <alignment vertical="center"/>
    </xf>
    <xf numFmtId="0" fontId="2" fillId="38" borderId="64" xfId="345" applyFont="1" applyFill="1" applyBorder="1" applyAlignment="1">
      <alignment vertical="center"/>
    </xf>
    <xf numFmtId="40" fontId="2" fillId="38" borderId="64" xfId="345" applyNumberFormat="1" applyFont="1" applyFill="1" applyBorder="1" applyAlignment="1">
      <alignment vertical="center"/>
    </xf>
    <xf numFmtId="176" fontId="1" fillId="38" borderId="9" xfId="196" applyNumberFormat="1" applyFont="1" applyFill="1" applyBorder="1" applyAlignment="1">
      <alignment vertical="center" shrinkToFit="1"/>
    </xf>
    <xf numFmtId="0" fontId="1" fillId="38" borderId="1" xfId="345" applyFont="1" applyFill="1" applyBorder="1" applyAlignment="1">
      <alignment vertical="center"/>
    </xf>
    <xf numFmtId="0" fontId="1" fillId="38" borderId="64" xfId="345" applyFont="1" applyFill="1" applyBorder="1" applyAlignment="1">
      <alignment vertical="center"/>
    </xf>
    <xf numFmtId="0" fontId="140" fillId="22" borderId="0" xfId="0" applyFont="1" applyFill="1" applyBorder="1" applyAlignment="1">
      <alignment vertical="center"/>
    </xf>
    <xf numFmtId="0" fontId="140" fillId="22" borderId="0" xfId="0" applyFont="1" applyFill="1" applyAlignment="1">
      <alignment horizontal="center" vertical="center"/>
    </xf>
    <xf numFmtId="4" fontId="140" fillId="22" borderId="0" xfId="199" applyNumberFormat="1" applyFont="1" applyFill="1" applyBorder="1" applyAlignment="1">
      <alignment vertical="center"/>
    </xf>
    <xf numFmtId="0" fontId="147" fillId="22" borderId="75" xfId="0" applyFont="1" applyFill="1" applyBorder="1" applyAlignment="1">
      <alignment horizontal="center" vertical="center"/>
    </xf>
    <xf numFmtId="0" fontId="147" fillId="22" borderId="73" xfId="0" applyFont="1" applyFill="1" applyBorder="1" applyAlignment="1">
      <alignment horizontal="center" vertical="center"/>
    </xf>
    <xf numFmtId="0" fontId="147" fillId="22" borderId="72" xfId="0" applyFont="1" applyFill="1" applyBorder="1" applyAlignment="1">
      <alignment horizontal="center" vertical="center"/>
    </xf>
    <xf numFmtId="0" fontId="147" fillId="22" borderId="77" xfId="0" applyFont="1" applyFill="1" applyBorder="1" applyAlignment="1">
      <alignment horizontal="center" vertical="center" shrinkToFit="1"/>
    </xf>
    <xf numFmtId="4" fontId="147" fillId="22" borderId="49" xfId="199" applyNumberFormat="1" applyFont="1" applyFill="1" applyBorder="1" applyAlignment="1">
      <alignment horizontal="center" vertical="center" shrinkToFit="1"/>
    </xf>
    <xf numFmtId="0" fontId="157" fillId="22" borderId="69" xfId="0" applyFont="1" applyFill="1" applyBorder="1" applyAlignment="1">
      <alignment vertical="center"/>
    </xf>
    <xf numFmtId="0" fontId="147" fillId="22" borderId="58" xfId="0" applyFont="1" applyFill="1" applyBorder="1" applyAlignment="1">
      <alignment horizontal="center" vertical="center" shrinkToFit="1"/>
    </xf>
    <xf numFmtId="40" fontId="140" fillId="0" borderId="20" xfId="202" applyFont="1" applyFill="1" applyBorder="1" applyAlignment="1" applyProtection="1">
      <alignment horizontal="left" vertical="center"/>
    </xf>
    <xf numFmtId="4" fontId="140" fillId="0" borderId="0" xfId="199" applyNumberFormat="1" applyFont="1" applyFill="1" applyBorder="1" applyAlignment="1">
      <alignment vertical="center"/>
    </xf>
    <xf numFmtId="0" fontId="140" fillId="22" borderId="0" xfId="0" applyFont="1" applyFill="1" applyBorder="1" applyAlignment="1">
      <alignment horizontal="center" vertical="center"/>
    </xf>
    <xf numFmtId="176" fontId="150" fillId="0" borderId="58" xfId="199" applyNumberFormat="1" applyFont="1" applyFill="1" applyBorder="1" applyAlignment="1">
      <alignment horizontal="center" vertical="center" shrinkToFit="1"/>
    </xf>
    <xf numFmtId="176" fontId="151" fillId="0" borderId="58" xfId="199" applyNumberFormat="1" applyFont="1" applyFill="1" applyBorder="1" applyAlignment="1">
      <alignment horizontal="center" vertical="center" shrinkToFit="1"/>
    </xf>
    <xf numFmtId="176" fontId="151" fillId="0" borderId="60" xfId="199" applyNumberFormat="1" applyFont="1" applyFill="1" applyBorder="1" applyAlignment="1">
      <alignment horizontal="center" vertical="center" shrinkToFit="1"/>
    </xf>
    <xf numFmtId="176" fontId="151" fillId="0" borderId="76" xfId="199" applyNumberFormat="1" applyFont="1" applyFill="1" applyBorder="1" applyAlignment="1">
      <alignment horizontal="center" vertical="center" shrinkToFit="1"/>
    </xf>
    <xf numFmtId="176" fontId="147" fillId="0" borderId="60" xfId="199" applyNumberFormat="1" applyFont="1" applyFill="1" applyBorder="1" applyAlignment="1">
      <alignment vertical="center" shrinkToFit="1"/>
    </xf>
    <xf numFmtId="176" fontId="147" fillId="0" borderId="28" xfId="199" applyNumberFormat="1" applyFont="1" applyFill="1" applyBorder="1" applyAlignment="1">
      <alignment vertical="center" shrinkToFit="1"/>
    </xf>
    <xf numFmtId="40" fontId="139" fillId="0" borderId="58" xfId="207" applyNumberFormat="1" applyFont="1" applyFill="1" applyBorder="1" applyAlignment="1">
      <alignment vertical="center"/>
    </xf>
    <xf numFmtId="9" fontId="139" fillId="0" borderId="20" xfId="253" applyFont="1" applyFill="1" applyBorder="1" applyAlignment="1">
      <alignment horizontal="left" vertical="center"/>
    </xf>
    <xf numFmtId="4" fontId="139" fillId="0" borderId="58" xfId="199" applyNumberFormat="1" applyFont="1" applyFill="1" applyBorder="1" applyAlignment="1">
      <alignment horizontal="center" vertical="center"/>
    </xf>
    <xf numFmtId="9" fontId="158" fillId="31" borderId="20" xfId="253" applyFont="1" applyFill="1" applyBorder="1" applyAlignment="1">
      <alignment horizontal="center" vertical="center"/>
    </xf>
    <xf numFmtId="4" fontId="139" fillId="22" borderId="76" xfId="199" applyNumberFormat="1" applyFont="1" applyFill="1" applyBorder="1" applyAlignment="1">
      <alignment horizontal="center" vertical="center" shrinkToFit="1"/>
    </xf>
    <xf numFmtId="0" fontId="147" fillId="38" borderId="1" xfId="0" applyFont="1" applyFill="1" applyBorder="1" applyAlignment="1">
      <alignment vertical="center"/>
    </xf>
    <xf numFmtId="0" fontId="147" fillId="38" borderId="7" xfId="0" applyFont="1" applyFill="1" applyBorder="1" applyAlignment="1">
      <alignment horizontal="center" vertical="center"/>
    </xf>
    <xf numFmtId="0" fontId="147" fillId="38" borderId="9" xfId="0" applyFont="1" applyFill="1" applyBorder="1" applyAlignment="1">
      <alignment horizontal="center" vertical="center"/>
    </xf>
    <xf numFmtId="0" fontId="147" fillId="38" borderId="64" xfId="0" applyFont="1" applyFill="1" applyBorder="1" applyAlignment="1">
      <alignment horizontal="center" vertical="center" shrinkToFit="1"/>
    </xf>
    <xf numFmtId="4" fontId="147" fillId="38" borderId="9" xfId="199" applyNumberFormat="1" applyFont="1" applyFill="1" applyBorder="1" applyAlignment="1">
      <alignment horizontal="center" vertical="center" shrinkToFit="1"/>
    </xf>
    <xf numFmtId="4" fontId="147" fillId="38" borderId="9" xfId="199" applyNumberFormat="1" applyFont="1" applyFill="1" applyBorder="1" applyAlignment="1">
      <alignment vertical="center"/>
    </xf>
    <xf numFmtId="176" fontId="150" fillId="38" borderId="9" xfId="199" applyNumberFormat="1" applyFont="1" applyFill="1" applyBorder="1" applyAlignment="1">
      <alignment horizontal="center" vertical="center"/>
    </xf>
    <xf numFmtId="0" fontId="147" fillId="38" borderId="9" xfId="357" applyFont="1" applyFill="1" applyBorder="1" applyAlignment="1">
      <alignment horizontal="center" vertical="center"/>
    </xf>
    <xf numFmtId="0" fontId="147" fillId="38" borderId="1" xfId="357" applyFont="1" applyFill="1" applyBorder="1" applyAlignment="1">
      <alignment vertical="center"/>
    </xf>
    <xf numFmtId="0" fontId="147" fillId="38" borderId="64" xfId="357" applyFont="1" applyFill="1" applyBorder="1" applyAlignment="1">
      <alignment vertical="center"/>
    </xf>
    <xf numFmtId="0" fontId="147" fillId="38" borderId="64" xfId="357" applyFont="1" applyFill="1" applyBorder="1" applyAlignment="1">
      <alignment horizontal="center" vertical="center"/>
    </xf>
    <xf numFmtId="4" fontId="147" fillId="38" borderId="64" xfId="199" applyNumberFormat="1" applyFont="1" applyFill="1" applyBorder="1" applyAlignment="1">
      <alignment vertical="center"/>
    </xf>
    <xf numFmtId="40" fontId="147" fillId="38" borderId="64" xfId="207" applyNumberFormat="1" applyFont="1" applyFill="1" applyBorder="1" applyAlignment="1">
      <alignment vertical="center"/>
    </xf>
    <xf numFmtId="0" fontId="147" fillId="38" borderId="7" xfId="357" applyFont="1" applyFill="1" applyBorder="1" applyAlignment="1">
      <alignment vertical="center"/>
    </xf>
    <xf numFmtId="0" fontId="147" fillId="38" borderId="9" xfId="357" applyFont="1" applyFill="1" applyBorder="1" applyAlignment="1">
      <alignment vertical="center"/>
    </xf>
    <xf numFmtId="40" fontId="147" fillId="38" borderId="9" xfId="207" applyNumberFormat="1" applyFont="1" applyFill="1" applyBorder="1" applyAlignment="1">
      <alignment vertical="center"/>
    </xf>
    <xf numFmtId="4" fontId="147" fillId="38" borderId="9" xfId="0" applyNumberFormat="1" applyFont="1" applyFill="1" applyBorder="1" applyAlignment="1">
      <alignment vertical="center"/>
    </xf>
    <xf numFmtId="4" fontId="140" fillId="0" borderId="49" xfId="199" applyNumberFormat="1" applyFont="1" applyFill="1" applyBorder="1" applyAlignment="1">
      <alignment vertical="center" wrapText="1"/>
    </xf>
    <xf numFmtId="4" fontId="140" fillId="0" borderId="20" xfId="199" applyNumberFormat="1" applyFont="1" applyFill="1" applyBorder="1" applyAlignment="1">
      <alignment vertical="center" wrapText="1"/>
    </xf>
    <xf numFmtId="40" fontId="140" fillId="30" borderId="49" xfId="199" applyNumberFormat="1" applyFont="1" applyFill="1" applyBorder="1" applyAlignment="1">
      <alignment vertical="center" wrapText="1"/>
    </xf>
    <xf numFmtId="4" fontId="140" fillId="30" borderId="40" xfId="199" applyNumberFormat="1" applyFont="1" applyFill="1" applyBorder="1" applyAlignment="1">
      <alignment vertical="center"/>
    </xf>
    <xf numFmtId="40" fontId="140" fillId="0" borderId="49" xfId="207" applyNumberFormat="1" applyFont="1" applyFill="1" applyBorder="1" applyAlignment="1">
      <alignment vertical="center" shrinkToFit="1"/>
    </xf>
    <xf numFmtId="40" fontId="140" fillId="0" borderId="20" xfId="207" applyNumberFormat="1" applyFont="1" applyFill="1" applyBorder="1" applyAlignment="1">
      <alignment vertical="center" shrinkToFit="1"/>
    </xf>
    <xf numFmtId="174" fontId="140" fillId="30" borderId="20" xfId="207" applyFont="1" applyFill="1" applyBorder="1" applyAlignment="1">
      <alignment vertical="center" wrapText="1"/>
    </xf>
    <xf numFmtId="174" fontId="140" fillId="0" borderId="25" xfId="207" applyFont="1" applyFill="1" applyBorder="1" applyAlignment="1">
      <alignment vertical="center" wrapText="1"/>
    </xf>
    <xf numFmtId="0" fontId="0" fillId="0" borderId="68" xfId="357" applyFont="1" applyFill="1" applyBorder="1" applyAlignment="1">
      <alignment vertical="center"/>
    </xf>
    <xf numFmtId="0" fontId="2" fillId="0" borderId="27" xfId="357" applyFont="1" applyFill="1" applyBorder="1" applyAlignment="1">
      <alignment horizontal="center" vertical="center"/>
    </xf>
    <xf numFmtId="0" fontId="2" fillId="0" borderId="59" xfId="357" applyFont="1" applyFill="1" applyBorder="1" applyAlignment="1">
      <alignment vertical="center"/>
    </xf>
    <xf numFmtId="0" fontId="2" fillId="0" borderId="70" xfId="357" applyFont="1" applyFill="1" applyBorder="1" applyAlignment="1">
      <alignment vertical="center"/>
    </xf>
    <xf numFmtId="176" fontId="151" fillId="0" borderId="20" xfId="199" applyNumberFormat="1" applyFont="1" applyFill="1" applyBorder="1" applyAlignment="1">
      <alignment horizontal="center" vertical="center"/>
    </xf>
    <xf numFmtId="0" fontId="140" fillId="0" borderId="20" xfId="0" applyFont="1" applyFill="1" applyBorder="1" applyAlignment="1">
      <alignment horizontal="center" vertical="center" wrapText="1"/>
    </xf>
    <xf numFmtId="0" fontId="140" fillId="0" borderId="69" xfId="0" applyFont="1" applyFill="1" applyBorder="1" applyAlignment="1">
      <alignment vertical="center" wrapText="1"/>
    </xf>
    <xf numFmtId="9" fontId="140" fillId="0" borderId="20" xfId="253" applyFont="1" applyFill="1" applyBorder="1" applyAlignment="1">
      <alignment horizontal="right" vertical="center"/>
    </xf>
    <xf numFmtId="9" fontId="140" fillId="0" borderId="58" xfId="253" applyFont="1" applyFill="1" applyBorder="1" applyAlignment="1">
      <alignment horizontal="left" vertical="center"/>
    </xf>
    <xf numFmtId="9" fontId="140" fillId="0" borderId="58" xfId="253" applyFont="1" applyFill="1" applyBorder="1" applyAlignment="1">
      <alignment horizontal="right" vertical="center"/>
    </xf>
    <xf numFmtId="0" fontId="140" fillId="0" borderId="20" xfId="354" applyFont="1" applyFill="1" applyBorder="1" applyAlignment="1" applyProtection="1">
      <alignment horizontal="center" vertical="center"/>
    </xf>
    <xf numFmtId="0" fontId="140" fillId="0" borderId="69" xfId="341" applyFont="1" applyFill="1" applyBorder="1" applyAlignment="1">
      <alignment vertical="center"/>
    </xf>
    <xf numFmtId="0" fontId="140" fillId="0" borderId="58" xfId="341" applyFont="1" applyFill="1" applyBorder="1">
      <alignment vertical="center"/>
    </xf>
    <xf numFmtId="0" fontId="140" fillId="0" borderId="58" xfId="341" applyFont="1" applyFill="1" applyBorder="1" applyAlignment="1">
      <alignment horizontal="center" vertical="center"/>
    </xf>
    <xf numFmtId="0" fontId="140" fillId="0" borderId="69" xfId="341" applyFont="1" applyFill="1" applyBorder="1">
      <alignment vertical="center"/>
    </xf>
    <xf numFmtId="0" fontId="140" fillId="0" borderId="69" xfId="341" applyFont="1" applyFill="1" applyBorder="1" applyAlignment="1">
      <alignment vertical="center" wrapText="1"/>
    </xf>
    <xf numFmtId="40" fontId="140" fillId="0" borderId="26" xfId="202" applyFont="1" applyFill="1" applyBorder="1" applyAlignment="1" applyProtection="1">
      <alignment horizontal="left" vertical="center"/>
    </xf>
    <xf numFmtId="40" fontId="140" fillId="0" borderId="26" xfId="202" applyFont="1" applyFill="1" applyBorder="1" applyAlignment="1" applyProtection="1">
      <alignment horizontal="right" vertical="center"/>
    </xf>
    <xf numFmtId="40" fontId="140" fillId="0" borderId="26" xfId="202" applyFont="1" applyFill="1" applyBorder="1" applyAlignment="1" applyProtection="1">
      <alignment vertical="center"/>
    </xf>
    <xf numFmtId="49" fontId="2" fillId="0" borderId="78" xfId="345" applyNumberFormat="1" applyFont="1" applyFill="1" applyBorder="1" applyAlignment="1">
      <alignment horizontal="center" vertical="center"/>
    </xf>
    <xf numFmtId="0" fontId="0" fillId="0" borderId="78" xfId="345" applyFont="1" applyFill="1" applyBorder="1" applyAlignment="1">
      <alignment horizontal="center" vertical="center" wrapText="1"/>
    </xf>
    <xf numFmtId="0" fontId="1" fillId="0" borderId="77" xfId="345" applyFont="1" applyFill="1" applyBorder="1" applyAlignment="1">
      <alignment horizontal="center" vertical="center" wrapText="1"/>
    </xf>
    <xf numFmtId="0" fontId="1" fillId="0" borderId="49" xfId="345" applyFont="1" applyFill="1" applyBorder="1" applyAlignment="1">
      <alignment horizontal="center" vertical="center"/>
    </xf>
    <xf numFmtId="0" fontId="1" fillId="0" borderId="77" xfId="345" applyFont="1" applyFill="1" applyBorder="1" applyAlignment="1">
      <alignment vertical="center"/>
    </xf>
    <xf numFmtId="176" fontId="1" fillId="0" borderId="77" xfId="345" applyNumberFormat="1" applyFont="1" applyFill="1" applyBorder="1" applyAlignment="1">
      <alignment vertical="center"/>
    </xf>
    <xf numFmtId="176" fontId="0" fillId="0" borderId="49" xfId="196" applyNumberFormat="1" applyFont="1" applyFill="1" applyBorder="1" applyAlignment="1">
      <alignment horizontal="center" vertical="center" shrinkToFit="1"/>
    </xf>
    <xf numFmtId="176" fontId="0" fillId="0" borderId="49" xfId="196" applyNumberFormat="1" applyFont="1" applyFill="1" applyBorder="1" applyAlignment="1">
      <alignment vertical="center" shrinkToFit="1"/>
    </xf>
    <xf numFmtId="49" fontId="1" fillId="0" borderId="69" xfId="345" applyNumberFormat="1" applyFont="1" applyFill="1" applyBorder="1" applyAlignment="1">
      <alignment horizontal="center" vertical="center"/>
    </xf>
    <xf numFmtId="176" fontId="139" fillId="0" borderId="20" xfId="196" applyNumberFormat="1" applyFont="1" applyFill="1" applyBorder="1" applyAlignment="1">
      <alignment vertical="center" shrinkToFit="1"/>
    </xf>
    <xf numFmtId="49" fontId="2" fillId="0" borderId="83" xfId="345" applyNumberFormat="1" applyFont="1" applyFill="1" applyBorder="1" applyAlignment="1">
      <alignment horizontal="center" vertical="center"/>
    </xf>
    <xf numFmtId="0" fontId="1" fillId="0" borderId="83" xfId="345" applyFont="1" applyFill="1" applyBorder="1" applyAlignment="1">
      <alignment horizontal="center" vertical="center" wrapText="1"/>
    </xf>
    <xf numFmtId="0" fontId="1" fillId="0" borderId="74" xfId="345" applyFont="1" applyFill="1" applyBorder="1" applyAlignment="1">
      <alignment horizontal="center" vertical="center" wrapText="1"/>
    </xf>
    <xf numFmtId="0" fontId="1" fillId="0" borderId="40" xfId="345" applyFont="1" applyFill="1" applyBorder="1" applyAlignment="1">
      <alignment vertical="center"/>
    </xf>
    <xf numFmtId="0" fontId="1" fillId="0" borderId="74" xfId="345" applyFont="1" applyFill="1" applyBorder="1" applyAlignment="1">
      <alignment vertical="center"/>
    </xf>
    <xf numFmtId="176" fontId="0" fillId="0" borderId="40" xfId="196" applyNumberFormat="1" applyFont="1" applyFill="1" applyBorder="1" applyAlignment="1">
      <alignment vertical="center" shrinkToFit="1"/>
    </xf>
    <xf numFmtId="0" fontId="1" fillId="25" borderId="78" xfId="354" applyFont="1" applyFill="1" applyBorder="1" applyAlignment="1" applyProtection="1">
      <alignment vertical="center"/>
    </xf>
    <xf numFmtId="0" fontId="1" fillId="25" borderId="77" xfId="345" applyFont="1" applyFill="1" applyBorder="1" applyAlignment="1">
      <alignment vertical="center"/>
    </xf>
    <xf numFmtId="0" fontId="1" fillId="25" borderId="69" xfId="354" applyFont="1" applyFill="1" applyBorder="1" applyAlignment="1" applyProtection="1">
      <alignment vertical="center"/>
    </xf>
    <xf numFmtId="0" fontId="1" fillId="25" borderId="58" xfId="345" applyFont="1" applyFill="1" applyBorder="1" applyAlignment="1">
      <alignment vertical="center"/>
    </xf>
    <xf numFmtId="218" fontId="54" fillId="25" borderId="58" xfId="207" applyNumberFormat="1" applyFont="1" applyFill="1" applyBorder="1" applyAlignment="1">
      <alignment vertical="center"/>
    </xf>
    <xf numFmtId="40" fontId="54" fillId="25" borderId="58" xfId="335" applyNumberFormat="1" applyFont="1" applyFill="1" applyBorder="1" applyAlignment="1">
      <alignment vertical="center"/>
    </xf>
    <xf numFmtId="192" fontId="54" fillId="25" borderId="58" xfId="196" applyNumberFormat="1" applyFont="1" applyFill="1" applyBorder="1" applyAlignment="1">
      <alignment vertical="center"/>
    </xf>
    <xf numFmtId="0" fontId="147" fillId="0" borderId="0" xfId="0" applyFont="1" applyFill="1" applyAlignment="1">
      <alignment vertical="center"/>
    </xf>
    <xf numFmtId="0" fontId="147" fillId="0" borderId="0" xfId="0" applyFont="1" applyAlignment="1">
      <alignment vertical="center"/>
    </xf>
    <xf numFmtId="49" fontId="140" fillId="0" borderId="25" xfId="196" applyNumberFormat="1" applyFont="1" applyFill="1" applyBorder="1" applyAlignment="1">
      <alignment horizontal="center" vertical="center"/>
    </xf>
    <xf numFmtId="0" fontId="140" fillId="0" borderId="0" xfId="0" applyFont="1" applyAlignment="1">
      <alignment vertical="center"/>
    </xf>
    <xf numFmtId="0" fontId="140" fillId="0" borderId="0" xfId="0" applyFont="1" applyFill="1" applyAlignment="1">
      <alignment vertical="center"/>
    </xf>
    <xf numFmtId="1" fontId="147" fillId="38" borderId="9" xfId="0" applyNumberFormat="1" applyFont="1" applyFill="1" applyBorder="1" applyAlignment="1">
      <alignment horizontal="center" vertical="center" shrinkToFit="1"/>
    </xf>
    <xf numFmtId="0" fontId="147" fillId="38" borderId="64" xfId="0" applyFont="1" applyFill="1" applyBorder="1" applyAlignment="1">
      <alignment vertical="center"/>
    </xf>
    <xf numFmtId="0" fontId="147" fillId="38" borderId="9" xfId="245" applyFont="1" applyFill="1" applyBorder="1" applyAlignment="1">
      <alignment horizontal="center" vertical="center"/>
    </xf>
    <xf numFmtId="176" fontId="147" fillId="38" borderId="9" xfId="196" applyNumberFormat="1" applyFont="1" applyFill="1" applyBorder="1" applyAlignment="1">
      <alignment vertical="center" shrinkToFit="1"/>
    </xf>
    <xf numFmtId="49" fontId="140" fillId="0" borderId="9" xfId="196" applyNumberFormat="1" applyFont="1" applyFill="1" applyBorder="1" applyAlignment="1">
      <alignment horizontal="center" vertical="center"/>
    </xf>
    <xf numFmtId="9" fontId="140" fillId="0" borderId="7" xfId="250" applyFont="1" applyFill="1" applyBorder="1" applyAlignment="1">
      <alignment horizontal="center" vertical="center"/>
    </xf>
    <xf numFmtId="40" fontId="140" fillId="25" borderId="9" xfId="0" applyNumberFormat="1" applyFont="1" applyFill="1" applyBorder="1" applyAlignment="1">
      <alignment vertical="center"/>
    </xf>
    <xf numFmtId="172" fontId="147" fillId="38" borderId="9" xfId="196" applyFont="1" applyFill="1" applyBorder="1" applyAlignment="1">
      <alignment vertical="center" shrinkToFit="1"/>
    </xf>
    <xf numFmtId="176" fontId="147" fillId="0" borderId="9" xfId="196" applyNumberFormat="1" applyFont="1" applyBorder="1" applyAlignment="1">
      <alignment vertical="center" shrinkToFit="1"/>
    </xf>
    <xf numFmtId="49" fontId="155" fillId="0" borderId="25" xfId="196" applyNumberFormat="1" applyFont="1" applyFill="1" applyBorder="1" applyAlignment="1">
      <alignment horizontal="center" vertical="center"/>
    </xf>
    <xf numFmtId="4" fontId="140" fillId="0" borderId="27" xfId="199" applyNumberFormat="1" applyFont="1" applyFill="1" applyBorder="1" applyAlignment="1">
      <alignment vertical="center" shrinkToFit="1"/>
    </xf>
    <xf numFmtId="4" fontId="147" fillId="29" borderId="9" xfId="0" applyNumberFormat="1" applyFont="1" applyFill="1" applyBorder="1" applyAlignment="1">
      <alignment horizontal="center" vertical="center" wrapText="1"/>
    </xf>
    <xf numFmtId="176" fontId="147" fillId="0" borderId="64" xfId="199" applyNumberFormat="1" applyFont="1" applyFill="1" applyBorder="1" applyAlignment="1">
      <alignment horizontal="center" vertical="center" shrinkToFit="1"/>
    </xf>
    <xf numFmtId="4" fontId="147" fillId="0" borderId="64" xfId="199" applyNumberFormat="1" applyFont="1" applyFill="1" applyBorder="1" applyAlignment="1">
      <alignment vertical="center"/>
    </xf>
    <xf numFmtId="176" fontId="147" fillId="0" borderId="26" xfId="199" applyNumberFormat="1" applyFont="1" applyFill="1" applyBorder="1" applyAlignment="1">
      <alignment vertical="center" shrinkToFit="1"/>
    </xf>
    <xf numFmtId="40" fontId="140" fillId="0" borderId="0" xfId="0" applyNumberFormat="1" applyFont="1" applyFill="1" applyAlignment="1">
      <alignment vertical="center" shrinkToFit="1"/>
    </xf>
    <xf numFmtId="40" fontId="147" fillId="0" borderId="0" xfId="0" applyNumberFormat="1" applyFont="1" applyFill="1" applyAlignment="1">
      <alignment vertical="center" shrinkToFit="1"/>
    </xf>
    <xf numFmtId="0" fontId="140" fillId="0" borderId="69" xfId="0" applyFont="1" applyFill="1" applyBorder="1" applyAlignment="1">
      <alignment horizontal="center" vertical="center" wrapText="1"/>
    </xf>
    <xf numFmtId="40" fontId="1" fillId="0" borderId="0" xfId="196" applyNumberFormat="1" applyFont="1" applyFill="1" applyBorder="1" applyAlignment="1">
      <alignment vertical="center"/>
    </xf>
    <xf numFmtId="40" fontId="0" fillId="0" borderId="58" xfId="207" applyNumberFormat="1" applyFont="1" applyFill="1" applyBorder="1" applyAlignment="1">
      <alignment vertical="center"/>
    </xf>
    <xf numFmtId="0" fontId="152" fillId="0" borderId="75" xfId="0" applyFont="1" applyFill="1" applyBorder="1" applyAlignment="1">
      <alignment vertical="center"/>
    </xf>
    <xf numFmtId="0" fontId="140" fillId="0" borderId="76" xfId="0" applyFont="1" applyFill="1" applyBorder="1" applyAlignment="1">
      <alignment vertical="center"/>
    </xf>
    <xf numFmtId="4" fontId="147" fillId="0" borderId="72" xfId="199" applyNumberFormat="1" applyFont="1" applyFill="1" applyBorder="1" applyAlignment="1">
      <alignment vertical="center" shrinkToFit="1"/>
    </xf>
    <xf numFmtId="4" fontId="147" fillId="0" borderId="76" xfId="199" applyNumberFormat="1" applyFont="1" applyFill="1" applyBorder="1" applyAlignment="1">
      <alignment vertical="center" shrinkToFit="1"/>
    </xf>
    <xf numFmtId="0" fontId="140" fillId="0" borderId="58" xfId="357" applyFont="1" applyFill="1" applyBorder="1" applyAlignment="1">
      <alignment vertical="center"/>
    </xf>
    <xf numFmtId="0" fontId="140" fillId="0" borderId="69" xfId="0" applyFont="1" applyFill="1" applyBorder="1" applyAlignment="1">
      <alignment horizontal="center" vertical="center"/>
    </xf>
    <xf numFmtId="0" fontId="140" fillId="0" borderId="72" xfId="0" applyFont="1" applyFill="1" applyBorder="1" applyAlignment="1">
      <alignment vertical="center"/>
    </xf>
    <xf numFmtId="0" fontId="140" fillId="0" borderId="68" xfId="0" applyFont="1" applyFill="1" applyBorder="1" applyAlignment="1">
      <alignment horizontal="center" vertical="center"/>
    </xf>
    <xf numFmtId="4" fontId="140" fillId="0" borderId="58" xfId="199" applyNumberFormat="1" applyFont="1" applyFill="1" applyBorder="1" applyAlignment="1">
      <alignment horizontal="center" vertical="center"/>
    </xf>
    <xf numFmtId="9" fontId="153" fillId="0" borderId="0" xfId="253" applyFont="1" applyFill="1" applyBorder="1" applyAlignment="1">
      <alignment horizontal="center" vertical="center"/>
    </xf>
    <xf numFmtId="40" fontId="140" fillId="0" borderId="0" xfId="0" applyNumberFormat="1" applyFont="1" applyFill="1" applyBorder="1" applyAlignment="1">
      <alignment vertical="center" shrinkToFit="1"/>
    </xf>
    <xf numFmtId="40" fontId="140" fillId="0" borderId="58" xfId="207" applyNumberFormat="1" applyFont="1" applyFill="1" applyBorder="1" applyAlignment="1">
      <alignment vertical="center" shrinkToFit="1"/>
    </xf>
    <xf numFmtId="174" fontId="140" fillId="0" borderId="0" xfId="195" applyFont="1" applyFill="1" applyBorder="1" applyAlignment="1">
      <alignment vertical="center"/>
    </xf>
    <xf numFmtId="4" fontId="147" fillId="38" borderId="9" xfId="199" applyNumberFormat="1" applyFont="1" applyFill="1" applyBorder="1" applyAlignment="1">
      <alignment vertical="center" shrinkToFit="1"/>
    </xf>
    <xf numFmtId="176" fontId="147" fillId="38" borderId="9" xfId="199" applyNumberFormat="1" applyFont="1" applyFill="1" applyBorder="1" applyAlignment="1">
      <alignment horizontal="center" vertical="center"/>
    </xf>
    <xf numFmtId="176" fontId="147" fillId="0" borderId="7" xfId="199" applyNumberFormat="1" applyFont="1" applyFill="1" applyBorder="1" applyAlignment="1">
      <alignment horizontal="center" vertical="center" shrinkToFit="1"/>
    </xf>
    <xf numFmtId="9" fontId="147" fillId="31" borderId="9" xfId="253" applyFont="1" applyFill="1" applyBorder="1" applyAlignment="1">
      <alignment horizontal="center" vertical="center"/>
    </xf>
    <xf numFmtId="0" fontId="140" fillId="0" borderId="73" xfId="0" applyFont="1" applyFill="1" applyBorder="1" applyAlignment="1">
      <alignment vertical="center"/>
    </xf>
    <xf numFmtId="176" fontId="147" fillId="0" borderId="72" xfId="199" applyNumberFormat="1" applyFont="1" applyFill="1" applyBorder="1" applyAlignment="1">
      <alignment vertical="center"/>
    </xf>
    <xf numFmtId="176" fontId="147" fillId="0" borderId="76" xfId="199" applyNumberFormat="1" applyFont="1" applyFill="1" applyBorder="1" applyAlignment="1">
      <alignment vertical="center"/>
    </xf>
    <xf numFmtId="4" fontId="140" fillId="0" borderId="20" xfId="199" applyNumberFormat="1" applyFont="1" applyFill="1" applyBorder="1" applyAlignment="1">
      <alignment horizontal="centerContinuous" vertical="center"/>
    </xf>
    <xf numFmtId="4" fontId="140" fillId="0" borderId="58" xfId="199" applyNumberFormat="1" applyFont="1" applyFill="1" applyBorder="1" applyAlignment="1">
      <alignment horizontal="centerContinuous" vertical="center"/>
    </xf>
    <xf numFmtId="0" fontId="147" fillId="0" borderId="20" xfId="0" applyFont="1" applyFill="1" applyBorder="1" applyAlignment="1">
      <alignment horizontal="center" vertical="center"/>
    </xf>
    <xf numFmtId="0" fontId="147" fillId="0" borderId="58" xfId="0" applyFont="1" applyFill="1" applyBorder="1" applyAlignment="1">
      <alignment horizontal="center" vertical="center"/>
    </xf>
    <xf numFmtId="0" fontId="140" fillId="0" borderId="20" xfId="357" applyFont="1" applyFill="1" applyBorder="1" applyAlignment="1">
      <alignment vertical="center"/>
    </xf>
    <xf numFmtId="40" fontId="140" fillId="0" borderId="44" xfId="0" applyNumberFormat="1" applyFont="1" applyFill="1" applyBorder="1" applyAlignment="1">
      <alignment vertical="center" shrinkToFit="1"/>
    </xf>
    <xf numFmtId="176" fontId="147" fillId="0" borderId="76" xfId="199" applyNumberFormat="1" applyFont="1" applyFill="1" applyBorder="1" applyAlignment="1">
      <alignment horizontal="center" vertical="center" shrinkToFit="1"/>
    </xf>
    <xf numFmtId="176" fontId="147" fillId="0" borderId="58" xfId="199" applyNumberFormat="1" applyFont="1" applyFill="1" applyBorder="1" applyAlignment="1">
      <alignment horizontal="center" vertical="center" shrinkToFit="1"/>
    </xf>
    <xf numFmtId="0" fontId="156" fillId="0" borderId="0" xfId="349" applyFont="1" applyAlignment="1">
      <alignment vertical="center"/>
    </xf>
    <xf numFmtId="0" fontId="147" fillId="0" borderId="0" xfId="349" applyFont="1" applyAlignment="1">
      <alignment vertical="center"/>
    </xf>
    <xf numFmtId="174" fontId="140" fillId="0" borderId="0" xfId="195" applyFont="1" applyFill="1" applyAlignment="1">
      <alignment vertical="center"/>
    </xf>
    <xf numFmtId="176" fontId="147" fillId="0" borderId="73" xfId="199" applyNumberFormat="1" applyFont="1" applyFill="1" applyBorder="1" applyAlignment="1">
      <alignment horizontal="center" vertical="center" shrinkToFit="1"/>
    </xf>
    <xf numFmtId="0" fontId="140" fillId="31" borderId="72" xfId="0" applyFont="1" applyFill="1" applyBorder="1" applyAlignment="1">
      <alignment horizontal="center" vertical="center"/>
    </xf>
    <xf numFmtId="176" fontId="147" fillId="0" borderId="68" xfId="199" applyNumberFormat="1" applyFont="1" applyFill="1" applyBorder="1" applyAlignment="1">
      <alignment horizontal="center" vertical="center" shrinkToFit="1"/>
    </xf>
    <xf numFmtId="0" fontId="140" fillId="31" borderId="20" xfId="0" applyFont="1" applyFill="1" applyBorder="1" applyAlignment="1">
      <alignment horizontal="center" vertical="center"/>
    </xf>
    <xf numFmtId="198" fontId="158" fillId="31" borderId="20" xfId="355" applyFont="1" applyFill="1" applyBorder="1" applyAlignment="1">
      <alignment vertical="center"/>
    </xf>
    <xf numFmtId="198" fontId="155" fillId="31" borderId="20" xfId="355" applyFont="1" applyFill="1" applyBorder="1" applyAlignment="1">
      <alignment vertical="center"/>
    </xf>
    <xf numFmtId="174" fontId="147" fillId="0" borderId="9" xfId="195" applyFont="1" applyFill="1" applyBorder="1" applyAlignment="1">
      <alignment vertical="center"/>
    </xf>
    <xf numFmtId="40" fontId="139" fillId="35" borderId="20" xfId="207" applyNumberFormat="1" applyFont="1" applyFill="1" applyBorder="1" applyAlignment="1">
      <alignment horizontal="right" vertical="center" wrapText="1"/>
    </xf>
    <xf numFmtId="217" fontId="139" fillId="0" borderId="20" xfId="207" applyNumberFormat="1" applyFont="1" applyFill="1" applyBorder="1" applyAlignment="1">
      <alignment vertical="center"/>
    </xf>
    <xf numFmtId="38" fontId="139" fillId="35" borderId="20" xfId="207" applyNumberFormat="1" applyFont="1" applyFill="1" applyBorder="1" applyAlignment="1">
      <alignment horizontal="right" vertical="center" wrapText="1"/>
    </xf>
    <xf numFmtId="174" fontId="139" fillId="31" borderId="20" xfId="207" applyFont="1" applyFill="1" applyBorder="1" applyAlignment="1">
      <alignment horizontal="right" vertical="center" wrapText="1"/>
    </xf>
    <xf numFmtId="38" fontId="139" fillId="35" borderId="20" xfId="197" applyFont="1" applyFill="1" applyBorder="1" applyAlignment="1" applyProtection="1">
      <alignment vertical="center" wrapText="1"/>
    </xf>
    <xf numFmtId="0" fontId="140" fillId="0" borderId="0" xfId="349" applyFont="1" applyAlignment="1">
      <alignment vertical="center"/>
    </xf>
    <xf numFmtId="0" fontId="151" fillId="0" borderId="0" xfId="349" applyFont="1" applyAlignment="1">
      <alignment vertical="center"/>
    </xf>
    <xf numFmtId="49" fontId="0" fillId="0" borderId="20" xfId="0" applyNumberFormat="1" applyFont="1" applyFill="1" applyBorder="1" applyAlignment="1">
      <alignment horizontal="center" vertical="center"/>
    </xf>
    <xf numFmtId="40" fontId="0" fillId="0" borderId="28" xfId="207" applyNumberFormat="1" applyFont="1" applyFill="1" applyBorder="1" applyAlignment="1">
      <alignment vertical="center" shrinkToFit="1"/>
    </xf>
    <xf numFmtId="0" fontId="48" fillId="31" borderId="26" xfId="0" applyFont="1" applyFill="1" applyBorder="1" applyAlignment="1">
      <alignment horizontal="center" vertical="center"/>
    </xf>
    <xf numFmtId="9" fontId="48" fillId="31" borderId="26" xfId="253" applyFont="1" applyFill="1" applyBorder="1" applyAlignment="1">
      <alignment horizontal="center" vertical="center"/>
    </xf>
    <xf numFmtId="9" fontId="1" fillId="36" borderId="20" xfId="253" applyFont="1" applyFill="1" applyBorder="1" applyAlignment="1">
      <alignment vertical="center" wrapText="1"/>
    </xf>
    <xf numFmtId="4" fontId="0" fillId="0" borderId="20" xfId="0" applyNumberFormat="1" applyFont="1" applyFill="1" applyBorder="1" applyAlignment="1">
      <alignment vertical="center" wrapText="1"/>
    </xf>
    <xf numFmtId="4" fontId="0" fillId="30" borderId="20" xfId="0" applyNumberFormat="1" applyFont="1" applyFill="1" applyBorder="1" applyAlignment="1">
      <alignment vertical="center" wrapText="1"/>
    </xf>
    <xf numFmtId="9" fontId="0" fillId="0" borderId="20" xfId="253" applyFont="1" applyFill="1" applyBorder="1" applyAlignment="1">
      <alignment horizontal="center" vertical="center" wrapText="1"/>
    </xf>
    <xf numFmtId="4" fontId="0" fillId="26" borderId="20" xfId="0" applyNumberFormat="1" applyFont="1" applyFill="1" applyBorder="1" applyAlignment="1">
      <alignment vertical="center" wrapText="1"/>
    </xf>
    <xf numFmtId="40" fontId="1" fillId="30" borderId="20" xfId="199" applyNumberFormat="1" applyFont="1" applyFill="1" applyBorder="1" applyAlignment="1">
      <alignment vertical="center" wrapText="1"/>
    </xf>
    <xf numFmtId="4" fontId="0" fillId="0" borderId="25" xfId="0" applyNumberFormat="1" applyFont="1" applyFill="1" applyBorder="1" applyAlignment="1">
      <alignment horizontal="left" vertical="center" wrapText="1"/>
    </xf>
    <xf numFmtId="4" fontId="0" fillId="0" borderId="28" xfId="0" applyNumberFormat="1" applyFont="1" applyFill="1" applyBorder="1" applyAlignment="1">
      <alignment horizontal="left" vertical="center" wrapText="1"/>
    </xf>
    <xf numFmtId="9" fontId="0" fillId="0" borderId="26" xfId="253" applyFont="1" applyFill="1" applyBorder="1" applyAlignment="1">
      <alignment vertical="center" wrapText="1"/>
    </xf>
    <xf numFmtId="4" fontId="0" fillId="0" borderId="26" xfId="199" applyNumberFormat="1" applyFont="1" applyFill="1" applyBorder="1" applyAlignment="1">
      <alignment vertical="center" wrapText="1"/>
    </xf>
    <xf numFmtId="0" fontId="48" fillId="0" borderId="26" xfId="0" applyFont="1" applyFill="1" applyBorder="1" applyAlignment="1">
      <alignment vertical="center"/>
    </xf>
    <xf numFmtId="165" fontId="140" fillId="0" borderId="58" xfId="210" applyNumberFormat="1" applyFont="1" applyFill="1" applyBorder="1" applyAlignment="1" applyProtection="1">
      <alignment vertical="center" wrapText="1"/>
      <protection locked="0"/>
    </xf>
    <xf numFmtId="0" fontId="139" fillId="0" borderId="68" xfId="0" applyFont="1" applyFill="1" applyBorder="1" applyAlignment="1">
      <alignment vertical="center"/>
    </xf>
    <xf numFmtId="174" fontId="140" fillId="0" borderId="20" xfId="195" applyFont="1" applyFill="1" applyBorder="1" applyAlignment="1">
      <alignment vertical="center"/>
    </xf>
    <xf numFmtId="174" fontId="140" fillId="0" borderId="20" xfId="195" applyFont="1" applyFill="1" applyBorder="1" applyAlignment="1">
      <alignment horizontal="left" vertical="center"/>
    </xf>
    <xf numFmtId="38" fontId="139" fillId="35" borderId="20" xfId="208" applyNumberFormat="1" applyFont="1" applyFill="1" applyBorder="1" applyAlignment="1">
      <alignment horizontal="right" vertical="center" wrapText="1"/>
    </xf>
    <xf numFmtId="174" fontId="139" fillId="31" borderId="20" xfId="208" applyFont="1" applyFill="1" applyBorder="1" applyAlignment="1">
      <alignment horizontal="right" vertical="center" wrapText="1"/>
    </xf>
    <xf numFmtId="49" fontId="155" fillId="0" borderId="61" xfId="352" applyNumberFormat="1" applyFont="1" applyBorder="1" applyAlignment="1">
      <alignment horizontal="center" vertical="center"/>
    </xf>
    <xf numFmtId="0" fontId="159" fillId="0" borderId="61" xfId="352" applyFont="1" applyBorder="1" applyAlignment="1">
      <alignment horizontal="center" vertical="center"/>
    </xf>
    <xf numFmtId="0" fontId="160" fillId="0" borderId="61" xfId="352" applyFont="1" applyBorder="1" applyAlignment="1">
      <alignment horizontal="center" vertical="center"/>
    </xf>
    <xf numFmtId="0" fontId="155" fillId="0" borderId="61" xfId="352" applyFont="1" applyBorder="1" applyAlignment="1">
      <alignment vertical="center" wrapText="1"/>
    </xf>
    <xf numFmtId="0" fontId="140" fillId="0" borderId="0" xfId="352" applyFont="1" applyAlignment="1">
      <alignment vertical="center"/>
    </xf>
    <xf numFmtId="49" fontId="155" fillId="0" borderId="15" xfId="352" applyNumberFormat="1" applyFont="1" applyBorder="1" applyAlignment="1">
      <alignment horizontal="center" vertical="center"/>
    </xf>
    <xf numFmtId="0" fontId="140" fillId="0" borderId="42" xfId="352" applyFont="1" applyBorder="1" applyAlignment="1">
      <alignment vertical="center"/>
    </xf>
    <xf numFmtId="0" fontId="140" fillId="0" borderId="44" xfId="352" applyFont="1" applyBorder="1" applyAlignment="1">
      <alignment vertical="center"/>
    </xf>
    <xf numFmtId="0" fontId="140" fillId="0" borderId="43" xfId="352" applyFont="1" applyBorder="1" applyAlignment="1">
      <alignment vertical="center"/>
    </xf>
    <xf numFmtId="0" fontId="160" fillId="0" borderId="15" xfId="352" applyFont="1" applyBorder="1" applyAlignment="1">
      <alignment horizontal="center" vertical="center"/>
    </xf>
    <xf numFmtId="0" fontId="159" fillId="0" borderId="15" xfId="352" applyFont="1" applyBorder="1" applyAlignment="1">
      <alignment horizontal="center" vertical="center"/>
    </xf>
    <xf numFmtId="0" fontId="155" fillId="0" borderId="15" xfId="352" applyFont="1" applyBorder="1" applyAlignment="1">
      <alignment vertical="center"/>
    </xf>
    <xf numFmtId="49" fontId="140" fillId="0" borderId="61" xfId="351" applyNumberFormat="1" applyFont="1" applyBorder="1" applyAlignment="1">
      <alignment horizontal="center" vertical="center"/>
    </xf>
    <xf numFmtId="0" fontId="161" fillId="0" borderId="61" xfId="351" applyFont="1" applyBorder="1" applyAlignment="1">
      <alignment horizontal="center" vertical="center"/>
    </xf>
    <xf numFmtId="0" fontId="160" fillId="0" borderId="61" xfId="351" applyFont="1" applyBorder="1" applyAlignment="1">
      <alignment horizontal="center" vertical="center"/>
    </xf>
    <xf numFmtId="0" fontId="140" fillId="0" borderId="61" xfId="351" applyFont="1" applyBorder="1" applyAlignment="1">
      <alignment vertical="center" wrapText="1"/>
    </xf>
    <xf numFmtId="0" fontId="140" fillId="0" borderId="0" xfId="351" applyFont="1" applyAlignment="1">
      <alignment vertical="center"/>
    </xf>
    <xf numFmtId="49" fontId="140" fillId="0" borderId="15" xfId="351" applyNumberFormat="1" applyFont="1" applyBorder="1" applyAlignment="1">
      <alignment horizontal="center" vertical="center"/>
    </xf>
    <xf numFmtId="0" fontId="140" fillId="0" borderId="42" xfId="351" applyFont="1" applyBorder="1" applyAlignment="1">
      <alignment vertical="center"/>
    </xf>
    <xf numFmtId="0" fontId="140" fillId="0" borderId="44" xfId="351" applyFont="1" applyBorder="1" applyAlignment="1">
      <alignment vertical="center"/>
    </xf>
    <xf numFmtId="0" fontId="140" fillId="0" borderId="43" xfId="351" applyFont="1" applyBorder="1" applyAlignment="1">
      <alignment vertical="center"/>
    </xf>
    <xf numFmtId="0" fontId="161" fillId="0" borderId="15" xfId="351" applyFont="1" applyBorder="1" applyAlignment="1">
      <alignment horizontal="center" vertical="center"/>
    </xf>
    <xf numFmtId="0" fontId="160" fillId="0" borderId="15" xfId="351" applyFont="1" applyBorder="1" applyAlignment="1">
      <alignment horizontal="center" vertical="center"/>
    </xf>
    <xf numFmtId="0" fontId="140" fillId="0" borderId="15" xfId="351" applyFont="1" applyBorder="1" applyAlignment="1">
      <alignment vertical="center" wrapText="1"/>
    </xf>
    <xf numFmtId="0" fontId="140" fillId="0" borderId="61" xfId="351" applyFont="1" applyBorder="1" applyAlignment="1">
      <alignment horizontal="center" vertical="center" wrapText="1"/>
    </xf>
    <xf numFmtId="217" fontId="1" fillId="0" borderId="20" xfId="195" applyNumberFormat="1" applyFont="1" applyFill="1" applyBorder="1" applyAlignment="1">
      <alignment vertical="center"/>
    </xf>
    <xf numFmtId="0" fontId="140" fillId="0" borderId="69" xfId="0" quotePrefix="1" applyFont="1" applyFill="1" applyBorder="1" applyAlignment="1">
      <alignment vertical="center" wrapText="1"/>
    </xf>
    <xf numFmtId="0" fontId="140" fillId="0" borderId="69" xfId="354" applyNumberFormat="1" applyFont="1" applyFill="1" applyBorder="1" applyAlignment="1" applyProtection="1">
      <alignment vertical="center"/>
    </xf>
    <xf numFmtId="0" fontId="140" fillId="0" borderId="69" xfId="0" quotePrefix="1" applyFont="1" applyFill="1" applyBorder="1" applyAlignment="1">
      <alignment vertical="center"/>
    </xf>
    <xf numFmtId="0" fontId="140" fillId="0" borderId="69" xfId="354" applyFont="1" applyFill="1" applyBorder="1" applyAlignment="1">
      <alignment vertical="center"/>
    </xf>
    <xf numFmtId="0" fontId="0" fillId="0" borderId="69" xfId="357" applyFont="1" applyFill="1" applyBorder="1" applyAlignment="1">
      <alignment vertical="center"/>
    </xf>
    <xf numFmtId="4" fontId="140" fillId="0" borderId="20" xfId="199" applyNumberFormat="1" applyFont="1" applyFill="1" applyBorder="1" applyAlignment="1">
      <alignment horizontal="center" vertical="center"/>
    </xf>
    <xf numFmtId="0" fontId="0" fillId="0" borderId="20" xfId="0" applyFont="1" applyFill="1" applyBorder="1" applyAlignment="1">
      <alignment horizontal="center" vertical="center"/>
    </xf>
    <xf numFmtId="4" fontId="0" fillId="0" borderId="20" xfId="199" applyNumberFormat="1" applyFont="1" applyFill="1" applyBorder="1" applyAlignment="1">
      <alignment vertical="center"/>
    </xf>
    <xf numFmtId="0" fontId="140" fillId="0" borderId="40" xfId="0" applyFont="1" applyFill="1" applyBorder="1" applyAlignment="1">
      <alignment horizontal="center" vertical="center"/>
    </xf>
    <xf numFmtId="0" fontId="140" fillId="0" borderId="79" xfId="0" applyFont="1" applyFill="1" applyBorder="1" applyAlignment="1">
      <alignment vertical="center"/>
    </xf>
    <xf numFmtId="0" fontId="140" fillId="0" borderId="84" xfId="357" applyFont="1" applyFill="1" applyBorder="1" applyAlignment="1">
      <alignment vertical="center"/>
    </xf>
    <xf numFmtId="0" fontId="0" fillId="0" borderId="68" xfId="0" applyFont="1" applyFill="1" applyBorder="1" applyAlignment="1">
      <alignment vertical="center"/>
    </xf>
    <xf numFmtId="0" fontId="147" fillId="0" borderId="49" xfId="0" applyFont="1" applyFill="1" applyBorder="1" applyAlignment="1">
      <alignment vertical="center"/>
    </xf>
    <xf numFmtId="0" fontId="147" fillId="0" borderId="40" xfId="357" applyFont="1" applyFill="1" applyBorder="1" applyAlignment="1">
      <alignment horizontal="center" vertical="center"/>
    </xf>
    <xf numFmtId="174" fontId="140" fillId="31" borderId="20" xfId="208" applyFont="1" applyFill="1" applyBorder="1" applyAlignment="1">
      <alignment horizontal="right" vertical="center" wrapText="1"/>
    </xf>
    <xf numFmtId="217" fontId="1" fillId="0" borderId="0" xfId="195" applyNumberFormat="1" applyFont="1" applyFill="1" applyBorder="1" applyAlignment="1">
      <alignment horizontal="center" vertical="center"/>
    </xf>
    <xf numFmtId="217" fontId="1" fillId="0" borderId="44" xfId="195" applyNumberFormat="1" applyFont="1" applyFill="1" applyBorder="1" applyAlignment="1">
      <alignment horizontal="center" vertical="center"/>
    </xf>
    <xf numFmtId="217" fontId="2" fillId="0" borderId="72" xfId="195" applyNumberFormat="1" applyFont="1" applyFill="1" applyBorder="1" applyAlignment="1">
      <alignment horizontal="center" vertical="center" shrinkToFit="1"/>
    </xf>
    <xf numFmtId="217" fontId="2" fillId="0" borderId="20" xfId="195" applyNumberFormat="1" applyFont="1" applyFill="1" applyBorder="1" applyAlignment="1">
      <alignment horizontal="center" vertical="center" shrinkToFit="1"/>
    </xf>
    <xf numFmtId="217" fontId="1" fillId="0" borderId="20" xfId="195" applyNumberFormat="1" applyFont="1" applyFill="1" applyBorder="1" applyAlignment="1">
      <alignment horizontal="center" vertical="center" shrinkToFit="1"/>
    </xf>
    <xf numFmtId="217" fontId="1" fillId="0" borderId="27" xfId="195" applyNumberFormat="1" applyFont="1" applyFill="1" applyBorder="1" applyAlignment="1">
      <alignment horizontal="center" vertical="center" shrinkToFit="1"/>
    </xf>
    <xf numFmtId="217" fontId="2" fillId="0" borderId="9" xfId="195" applyNumberFormat="1" applyFont="1" applyFill="1" applyBorder="1" applyAlignment="1">
      <alignment horizontal="center" vertical="center" shrinkToFit="1"/>
    </xf>
    <xf numFmtId="217" fontId="1" fillId="0" borderId="72" xfId="195" applyNumberFormat="1" applyFont="1" applyFill="1" applyBorder="1" applyAlignment="1">
      <alignment horizontal="center" vertical="center" shrinkToFit="1"/>
    </xf>
    <xf numFmtId="217" fontId="2" fillId="0" borderId="20" xfId="195" applyNumberFormat="1" applyFont="1" applyFill="1" applyBorder="1" applyAlignment="1">
      <alignment horizontal="center" vertical="center"/>
    </xf>
    <xf numFmtId="217" fontId="2" fillId="0" borderId="72" xfId="195" applyNumberFormat="1" applyFont="1" applyFill="1" applyBorder="1" applyAlignment="1">
      <alignment horizontal="center" vertical="center"/>
    </xf>
    <xf numFmtId="217" fontId="1" fillId="0" borderId="20" xfId="207" applyNumberFormat="1" applyFont="1" applyFill="1" applyBorder="1" applyAlignment="1">
      <alignment vertical="center"/>
    </xf>
    <xf numFmtId="217" fontId="1" fillId="0" borderId="20" xfId="207" applyNumberFormat="1" applyFont="1" applyFill="1" applyBorder="1" applyAlignment="1">
      <alignment horizontal="center" vertical="center"/>
    </xf>
    <xf numFmtId="217" fontId="2" fillId="0" borderId="9" xfId="207" applyNumberFormat="1" applyFont="1" applyFill="1" applyBorder="1" applyAlignment="1">
      <alignment vertical="center"/>
    </xf>
    <xf numFmtId="217" fontId="1" fillId="0" borderId="9" xfId="207" applyNumberFormat="1" applyFont="1" applyFill="1" applyBorder="1" applyAlignment="1">
      <alignment vertical="center"/>
    </xf>
    <xf numFmtId="217" fontId="2" fillId="0" borderId="72" xfId="195" applyNumberFormat="1" applyFont="1" applyFill="1" applyBorder="1" applyAlignment="1">
      <alignment vertical="center"/>
    </xf>
    <xf numFmtId="217" fontId="1" fillId="0" borderId="26" xfId="207" applyNumberFormat="1" applyFont="1" applyFill="1" applyBorder="1" applyAlignment="1">
      <alignment vertical="center"/>
    </xf>
    <xf numFmtId="217" fontId="2" fillId="0" borderId="72" xfId="207" applyNumberFormat="1" applyFont="1" applyFill="1" applyBorder="1" applyAlignment="1">
      <alignment vertical="center"/>
    </xf>
    <xf numFmtId="217" fontId="2" fillId="0" borderId="20" xfId="195" applyNumberFormat="1" applyFont="1" applyFill="1" applyBorder="1" applyAlignment="1">
      <alignment vertical="center"/>
    </xf>
    <xf numFmtId="217" fontId="2" fillId="0" borderId="27" xfId="195" applyNumberFormat="1" applyFont="1" applyFill="1" applyBorder="1" applyAlignment="1">
      <alignment vertical="center"/>
    </xf>
    <xf numFmtId="217" fontId="2" fillId="0" borderId="9" xfId="195" applyNumberFormat="1" applyFont="1" applyFill="1" applyBorder="1" applyAlignment="1">
      <alignment vertical="center"/>
    </xf>
    <xf numFmtId="217" fontId="2" fillId="0" borderId="49" xfId="195" applyNumberFormat="1" applyFont="1" applyFill="1" applyBorder="1" applyAlignment="1">
      <alignment vertical="center"/>
    </xf>
    <xf numFmtId="217" fontId="1" fillId="0" borderId="72" xfId="195" applyNumberFormat="1" applyFont="1" applyFill="1" applyBorder="1" applyAlignment="1">
      <alignment vertical="center"/>
    </xf>
    <xf numFmtId="217" fontId="1" fillId="0" borderId="49" xfId="207" applyNumberFormat="1" applyFont="1" applyFill="1" applyBorder="1" applyAlignment="1">
      <alignment vertical="center"/>
    </xf>
    <xf numFmtId="217" fontId="1" fillId="0" borderId="40" xfId="207" applyNumberFormat="1" applyFont="1" applyFill="1" applyBorder="1" applyAlignment="1">
      <alignment vertical="center"/>
    </xf>
    <xf numFmtId="217" fontId="1" fillId="0" borderId="0" xfId="195" applyNumberFormat="1" applyFont="1" applyFill="1" applyBorder="1" applyAlignment="1">
      <alignment vertical="center"/>
    </xf>
    <xf numFmtId="176" fontId="139" fillId="22" borderId="20" xfId="199" applyNumberFormat="1" applyFont="1" applyFill="1" applyBorder="1" applyAlignment="1">
      <alignment horizontal="right" vertical="center"/>
    </xf>
    <xf numFmtId="40" fontId="139" fillId="22" borderId="20" xfId="207" applyNumberFormat="1" applyFont="1" applyFill="1" applyBorder="1" applyAlignment="1">
      <alignment horizontal="right" vertical="center"/>
    </xf>
    <xf numFmtId="176" fontId="139" fillId="0" borderId="20" xfId="199" applyNumberFormat="1" applyFont="1" applyFill="1" applyBorder="1" applyAlignment="1">
      <alignment horizontal="right" vertical="center"/>
    </xf>
    <xf numFmtId="176" fontId="139" fillId="22" borderId="27" xfId="199" applyNumberFormat="1" applyFont="1" applyFill="1" applyBorder="1" applyAlignment="1">
      <alignment horizontal="right" vertical="center"/>
    </xf>
    <xf numFmtId="0" fontId="140" fillId="0" borderId="58" xfId="0" applyFont="1" applyFill="1" applyBorder="1" applyAlignment="1">
      <alignment vertical="center" wrapText="1"/>
    </xf>
    <xf numFmtId="10" fontId="0" fillId="0" borderId="20" xfId="196" applyNumberFormat="1" applyFont="1" applyFill="1" applyBorder="1" applyAlignment="1">
      <alignment vertical="center" shrinkToFit="1"/>
    </xf>
    <xf numFmtId="40" fontId="0" fillId="0" borderId="9" xfId="0" applyNumberFormat="1" applyFont="1" applyFill="1" applyBorder="1" applyAlignment="1">
      <alignment horizontal="center" vertical="center"/>
    </xf>
    <xf numFmtId="217" fontId="0" fillId="0" borderId="20" xfId="195" applyNumberFormat="1" applyFont="1" applyFill="1" applyBorder="1" applyAlignment="1">
      <alignment vertical="center"/>
    </xf>
    <xf numFmtId="40" fontId="1" fillId="0" borderId="26" xfId="0" applyNumberFormat="1" applyFont="1" applyFill="1" applyBorder="1" applyAlignment="1">
      <alignment vertical="center"/>
    </xf>
    <xf numFmtId="0" fontId="139" fillId="0" borderId="26" xfId="0" applyFont="1" applyFill="1" applyBorder="1" applyAlignment="1">
      <alignment vertical="center"/>
    </xf>
    <xf numFmtId="0" fontId="139" fillId="0" borderId="9" xfId="0" applyFont="1" applyFill="1" applyBorder="1" applyAlignment="1">
      <alignment vertical="center"/>
    </xf>
    <xf numFmtId="49" fontId="1" fillId="0" borderId="20" xfId="196" applyNumberFormat="1" applyFont="1" applyFill="1" applyBorder="1" applyAlignment="1">
      <alignment horizontal="center" vertical="center"/>
    </xf>
    <xf numFmtId="49" fontId="0" fillId="0" borderId="20" xfId="196" applyNumberFormat="1" applyFont="1" applyFill="1" applyBorder="1" applyAlignment="1">
      <alignment horizontal="center" vertical="center"/>
    </xf>
    <xf numFmtId="49" fontId="0" fillId="0" borderId="58" xfId="196" applyNumberFormat="1" applyFont="1" applyFill="1" applyBorder="1" applyAlignment="1">
      <alignment horizontal="center" vertical="center"/>
    </xf>
    <xf numFmtId="49" fontId="1" fillId="0" borderId="58" xfId="196" applyNumberFormat="1" applyFont="1" applyFill="1" applyBorder="1" applyAlignment="1">
      <alignment horizontal="center" vertical="center"/>
    </xf>
    <xf numFmtId="0" fontId="147" fillId="0" borderId="40" xfId="357" applyFont="1" applyFill="1" applyBorder="1" applyAlignment="1">
      <alignment vertical="center"/>
    </xf>
    <xf numFmtId="49" fontId="4" fillId="0" borderId="20" xfId="196" applyNumberFormat="1" applyFont="1" applyFill="1" applyBorder="1" applyAlignment="1">
      <alignment horizontal="center" vertical="center"/>
    </xf>
    <xf numFmtId="49" fontId="140" fillId="0" borderId="26" xfId="0" applyNumberFormat="1" applyFont="1" applyFill="1" applyBorder="1" applyAlignment="1">
      <alignment horizontal="center" vertical="center"/>
    </xf>
    <xf numFmtId="9" fontId="153" fillId="0" borderId="26" xfId="253" applyFont="1" applyFill="1" applyBorder="1" applyAlignment="1">
      <alignment horizontal="center" vertical="center"/>
    </xf>
    <xf numFmtId="40" fontId="140" fillId="0" borderId="20" xfId="207" applyNumberFormat="1" applyFont="1" applyFill="1" applyBorder="1" applyAlignment="1">
      <alignment horizontal="right" vertical="center" wrapText="1"/>
    </xf>
    <xf numFmtId="38" fontId="140" fillId="0" borderId="20" xfId="207" applyNumberFormat="1" applyFont="1" applyFill="1" applyBorder="1" applyAlignment="1">
      <alignment horizontal="right" vertical="center" wrapText="1"/>
    </xf>
    <xf numFmtId="174" fontId="140" fillId="0" borderId="82" xfId="207" applyFont="1" applyFill="1" applyBorder="1" applyAlignment="1">
      <alignment horizontal="right" vertical="center" wrapText="1"/>
    </xf>
    <xf numFmtId="9" fontId="140" fillId="0" borderId="20" xfId="253" applyFont="1" applyFill="1" applyBorder="1" applyAlignment="1">
      <alignment vertical="center" wrapText="1"/>
    </xf>
    <xf numFmtId="174" fontId="140" fillId="0" borderId="20" xfId="195" applyFont="1" applyFill="1" applyBorder="1" applyAlignment="1">
      <alignment vertical="center" wrapText="1"/>
    </xf>
    <xf numFmtId="49" fontId="0" fillId="0" borderId="27" xfId="196" applyNumberFormat="1" applyFont="1" applyFill="1" applyBorder="1" applyAlignment="1">
      <alignment horizontal="center" vertical="center"/>
    </xf>
    <xf numFmtId="0" fontId="0" fillId="0" borderId="26" xfId="0" quotePrefix="1" applyFont="1" applyFill="1" applyBorder="1" applyAlignment="1">
      <alignment vertical="center"/>
    </xf>
    <xf numFmtId="191" fontId="2" fillId="22" borderId="0" xfId="345" applyNumberFormat="1" applyFont="1" applyFill="1" applyBorder="1" applyAlignment="1">
      <alignment vertical="center"/>
    </xf>
    <xf numFmtId="0" fontId="140" fillId="0" borderId="68" xfId="0" applyFont="1" applyFill="1" applyBorder="1" applyAlignment="1">
      <alignment vertical="center" wrapText="1"/>
    </xf>
    <xf numFmtId="174" fontId="140" fillId="30" borderId="9" xfId="195" applyFont="1" applyFill="1" applyBorder="1" applyAlignment="1">
      <alignment horizontal="center" vertical="center" wrapText="1"/>
    </xf>
    <xf numFmtId="176" fontId="147" fillId="0" borderId="9" xfId="199" applyNumberFormat="1" applyFont="1" applyFill="1" applyBorder="1" applyAlignment="1">
      <alignment horizontal="center" vertical="center" shrinkToFit="1"/>
    </xf>
    <xf numFmtId="4" fontId="140" fillId="31" borderId="9" xfId="0" applyNumberFormat="1" applyFont="1" applyFill="1" applyBorder="1" applyAlignment="1">
      <alignment horizontal="center" vertical="center" wrapText="1"/>
    </xf>
    <xf numFmtId="49" fontId="139" fillId="0" borderId="20" xfId="0" applyNumberFormat="1" applyFont="1" applyFill="1" applyBorder="1" applyAlignment="1">
      <alignment horizontal="center" vertical="center"/>
    </xf>
    <xf numFmtId="40" fontId="1" fillId="35" borderId="20" xfId="207" applyNumberFormat="1" applyFont="1" applyFill="1" applyBorder="1" applyAlignment="1">
      <alignment horizontal="right" vertical="center" wrapText="1"/>
    </xf>
    <xf numFmtId="38" fontId="1" fillId="35" borderId="20" xfId="208" applyNumberFormat="1" applyFont="1" applyFill="1" applyBorder="1" applyAlignment="1">
      <alignment horizontal="right" vertical="center" wrapText="1"/>
    </xf>
    <xf numFmtId="174" fontId="1" fillId="31" borderId="20" xfId="208" applyFont="1" applyFill="1" applyBorder="1" applyAlignment="1">
      <alignment horizontal="right" vertical="center" wrapText="1"/>
    </xf>
    <xf numFmtId="0" fontId="163" fillId="0" borderId="0" xfId="0" applyFont="1" applyFill="1" applyBorder="1" applyAlignment="1">
      <alignment horizontal="left" vertical="center"/>
    </xf>
    <xf numFmtId="0" fontId="134" fillId="0" borderId="0" xfId="0" applyFont="1" applyFill="1" applyBorder="1" applyAlignment="1">
      <alignment horizontal="center" vertical="center"/>
    </xf>
    <xf numFmtId="49" fontId="149" fillId="0" borderId="0" xfId="0" applyNumberFormat="1" applyFont="1" applyFill="1" applyBorder="1" applyAlignment="1">
      <alignment vertical="center"/>
    </xf>
    <xf numFmtId="174" fontId="0" fillId="0" borderId="0" xfId="195" applyFont="1" applyFill="1" applyBorder="1" applyAlignment="1">
      <alignment vertical="center"/>
    </xf>
    <xf numFmtId="40" fontId="1" fillId="0" borderId="0" xfId="345" applyNumberFormat="1" applyFont="1" applyFill="1" applyBorder="1" applyAlignment="1">
      <alignment horizontal="center" vertical="center" wrapText="1"/>
    </xf>
    <xf numFmtId="38" fontId="1" fillId="0" borderId="0" xfId="345" applyNumberFormat="1" applyFont="1" applyFill="1" applyBorder="1" applyAlignment="1">
      <alignment horizontal="center" vertical="center" wrapText="1"/>
    </xf>
    <xf numFmtId="0" fontId="1" fillId="0" borderId="69" xfId="354" applyFont="1" applyFill="1" applyBorder="1" applyAlignment="1">
      <alignment vertical="center"/>
    </xf>
    <xf numFmtId="0" fontId="1" fillId="0" borderId="68" xfId="0" applyFont="1" applyFill="1" applyBorder="1" applyAlignment="1">
      <alignment vertical="center"/>
    </xf>
    <xf numFmtId="0" fontId="1" fillId="0" borderId="58" xfId="0" applyFont="1" applyFill="1" applyBorder="1" applyAlignment="1">
      <alignment horizontal="center" vertical="center"/>
    </xf>
    <xf numFmtId="4" fontId="1" fillId="0" borderId="20" xfId="199" applyNumberFormat="1" applyFont="1" applyFill="1" applyBorder="1" applyAlignment="1">
      <alignment vertical="center"/>
    </xf>
    <xf numFmtId="40" fontId="1" fillId="0" borderId="20" xfId="207" applyNumberFormat="1" applyFont="1" applyFill="1" applyBorder="1" applyAlignment="1">
      <alignment vertical="center"/>
    </xf>
    <xf numFmtId="0" fontId="1" fillId="0" borderId="69" xfId="0" applyFont="1" applyFill="1" applyBorder="1" applyAlignment="1">
      <alignment vertical="center"/>
    </xf>
    <xf numFmtId="165" fontId="0" fillId="0" borderId="58" xfId="210" applyNumberFormat="1" applyFont="1" applyFill="1" applyBorder="1" applyAlignment="1" applyProtection="1">
      <alignment vertical="center" wrapText="1"/>
      <protection locked="0"/>
    </xf>
    <xf numFmtId="0" fontId="147" fillId="0" borderId="9" xfId="357" applyFont="1" applyFill="1" applyBorder="1" applyAlignment="1">
      <alignment horizontal="center" vertical="center"/>
    </xf>
    <xf numFmtId="49" fontId="140" fillId="0" borderId="20" xfId="196" applyNumberFormat="1" applyFont="1" applyFill="1" applyBorder="1" applyAlignment="1">
      <alignment horizontal="center" vertical="center"/>
    </xf>
    <xf numFmtId="49" fontId="140" fillId="0" borderId="58" xfId="196" applyNumberFormat="1" applyFont="1" applyFill="1" applyBorder="1" applyAlignment="1">
      <alignment horizontal="center" vertical="center"/>
    </xf>
    <xf numFmtId="9" fontId="162" fillId="31" borderId="26" xfId="253" applyFont="1" applyFill="1" applyBorder="1" applyAlignment="1">
      <alignment horizontal="center" vertical="center"/>
    </xf>
    <xf numFmtId="38" fontId="140" fillId="35" borderId="20" xfId="208" applyNumberFormat="1" applyFont="1" applyFill="1" applyBorder="1" applyAlignment="1">
      <alignment horizontal="right" vertical="center" wrapText="1"/>
    </xf>
    <xf numFmtId="0" fontId="140" fillId="0" borderId="68" xfId="0" applyFont="1" applyFill="1" applyBorder="1" applyAlignment="1">
      <alignment vertical="center" wrapText="1"/>
    </xf>
    <xf numFmtId="40" fontId="140" fillId="0" borderId="58" xfId="207" applyNumberFormat="1" applyFont="1" applyFill="1" applyBorder="1" applyAlignment="1">
      <alignment vertical="center" wrapText="1" shrinkToFit="1"/>
    </xf>
    <xf numFmtId="40" fontId="140" fillId="0" borderId="58" xfId="207" applyNumberFormat="1" applyFont="1" applyFill="1" applyBorder="1" applyAlignment="1">
      <alignment horizontal="center" vertical="center" shrinkToFit="1"/>
    </xf>
    <xf numFmtId="165" fontId="140" fillId="0" borderId="68" xfId="210" applyNumberFormat="1" applyFont="1" applyFill="1" applyBorder="1" applyAlignment="1" applyProtection="1">
      <alignment vertical="center" wrapText="1"/>
      <protection locked="0"/>
    </xf>
    <xf numFmtId="0" fontId="0" fillId="0" borderId="69" xfId="354" applyFont="1" applyFill="1" applyBorder="1" applyAlignment="1">
      <alignment vertical="center"/>
    </xf>
    <xf numFmtId="43" fontId="1" fillId="0" borderId="20" xfId="195" applyNumberFormat="1" applyFont="1" applyFill="1" applyBorder="1" applyAlignment="1">
      <alignment vertical="center"/>
    </xf>
    <xf numFmtId="0" fontId="142" fillId="0" borderId="61" xfId="353" applyFont="1" applyFill="1" applyBorder="1" applyAlignment="1">
      <alignment horizontal="center" vertical="center"/>
    </xf>
    <xf numFmtId="0" fontId="142" fillId="0" borderId="15" xfId="353" applyFont="1" applyFill="1" applyBorder="1" applyAlignment="1">
      <alignment horizontal="center" vertical="center"/>
    </xf>
    <xf numFmtId="0" fontId="143" fillId="0" borderId="65" xfId="353" applyFont="1" applyFill="1" applyBorder="1" applyAlignment="1">
      <alignment horizontal="center" vertical="center"/>
    </xf>
    <xf numFmtId="0" fontId="142" fillId="0" borderId="44" xfId="353" applyFont="1" applyFill="1" applyBorder="1" applyAlignment="1">
      <alignment horizontal="center" vertical="center"/>
    </xf>
    <xf numFmtId="0" fontId="143" fillId="0" borderId="0" xfId="353" applyFont="1" applyFill="1" applyAlignment="1">
      <alignment vertical="center"/>
    </xf>
    <xf numFmtId="0" fontId="142" fillId="0" borderId="0" xfId="353" applyFont="1" applyFill="1" applyBorder="1" applyAlignment="1">
      <alignment vertical="center"/>
    </xf>
    <xf numFmtId="0" fontId="119" fillId="0" borderId="0" xfId="353" applyFont="1" applyFill="1" applyAlignment="1">
      <alignment vertical="center"/>
    </xf>
    <xf numFmtId="0" fontId="142" fillId="0" borderId="44" xfId="353" applyFont="1" applyFill="1" applyBorder="1" applyAlignment="1">
      <alignment vertical="center"/>
    </xf>
    <xf numFmtId="0" fontId="3" fillId="0" borderId="25" xfId="353" applyFont="1" applyFill="1" applyBorder="1" applyAlignment="1">
      <alignment vertical="center"/>
    </xf>
    <xf numFmtId="0" fontId="3" fillId="0" borderId="0" xfId="353" applyFont="1" applyFill="1" applyBorder="1" applyAlignment="1">
      <alignment vertical="center"/>
    </xf>
    <xf numFmtId="0" fontId="143" fillId="0" borderId="0" xfId="353" applyFont="1" applyFill="1" applyBorder="1" applyAlignment="1">
      <alignment vertical="center"/>
    </xf>
    <xf numFmtId="0" fontId="142" fillId="0" borderId="26" xfId="353" applyFont="1" applyFill="1" applyBorder="1" applyAlignment="1">
      <alignment vertical="center"/>
    </xf>
    <xf numFmtId="0" fontId="119" fillId="0" borderId="25" xfId="353" applyFont="1" applyFill="1" applyBorder="1" applyAlignment="1">
      <alignment vertical="center"/>
    </xf>
    <xf numFmtId="0" fontId="119" fillId="0" borderId="0" xfId="353" applyFont="1" applyFill="1" applyBorder="1" applyAlignment="1">
      <alignment vertical="center"/>
    </xf>
    <xf numFmtId="0" fontId="143" fillId="0" borderId="44" xfId="353" applyFont="1" applyFill="1" applyBorder="1" applyAlignment="1">
      <alignment vertical="center"/>
    </xf>
    <xf numFmtId="0" fontId="142" fillId="0" borderId="15" xfId="353" applyFont="1" applyFill="1" applyBorder="1" applyAlignment="1">
      <alignment horizontal="left" vertical="center" shrinkToFit="1"/>
    </xf>
    <xf numFmtId="0" fontId="142" fillId="0" borderId="15" xfId="353" applyFont="1" applyFill="1" applyBorder="1" applyAlignment="1">
      <alignment vertical="center"/>
    </xf>
    <xf numFmtId="217" fontId="94" fillId="0" borderId="0" xfId="195" applyNumberFormat="1" applyFont="1"/>
    <xf numFmtId="3" fontId="138" fillId="35" borderId="20" xfId="355" applyNumberFormat="1" applyFont="1" applyFill="1" applyBorder="1" applyAlignment="1">
      <alignment vertical="center"/>
    </xf>
    <xf numFmtId="217" fontId="1" fillId="39" borderId="20" xfId="207" applyNumberFormat="1" applyFont="1" applyFill="1" applyBorder="1" applyAlignment="1">
      <alignment vertical="center"/>
    </xf>
    <xf numFmtId="4" fontId="139" fillId="0" borderId="20" xfId="199" applyNumberFormat="1" applyFont="1" applyFill="1" applyBorder="1" applyAlignment="1">
      <alignment vertical="center"/>
    </xf>
    <xf numFmtId="4" fontId="139" fillId="0" borderId="58" xfId="199" applyNumberFormat="1" applyFont="1" applyFill="1" applyBorder="1" applyAlignment="1">
      <alignment vertical="center"/>
    </xf>
    <xf numFmtId="40" fontId="139" fillId="0" borderId="20" xfId="202" applyFont="1" applyFill="1" applyBorder="1" applyAlignment="1" applyProtection="1">
      <alignment horizontal="left" vertical="center"/>
    </xf>
    <xf numFmtId="0" fontId="167" fillId="0" borderId="26" xfId="353" applyFont="1" applyFill="1" applyBorder="1" applyAlignment="1">
      <alignment horizontal="left" vertical="center"/>
    </xf>
    <xf numFmtId="0" fontId="147" fillId="38" borderId="9" xfId="0" applyFont="1" applyFill="1" applyBorder="1" applyAlignment="1">
      <alignment horizontal="center" vertical="center" shrinkToFit="1"/>
    </xf>
    <xf numFmtId="0" fontId="1" fillId="25" borderId="59" xfId="354" applyFont="1" applyFill="1" applyBorder="1" applyAlignment="1" applyProtection="1">
      <alignment vertical="center"/>
    </xf>
    <xf numFmtId="0" fontId="1" fillId="25" borderId="60" xfId="345" applyFont="1" applyFill="1" applyBorder="1" applyAlignment="1">
      <alignment vertical="center"/>
    </xf>
    <xf numFmtId="38" fontId="54" fillId="25" borderId="60" xfId="335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176" fontId="2" fillId="0" borderId="0" xfId="196" applyNumberFormat="1" applyFont="1" applyFill="1" applyBorder="1" applyAlignment="1">
      <alignment horizontal="center" vertical="center"/>
    </xf>
    <xf numFmtId="0" fontId="164" fillId="0" borderId="0" xfId="0" applyFont="1" applyFill="1" applyBorder="1" applyAlignment="1">
      <alignment vertical="center"/>
    </xf>
    <xf numFmtId="0" fontId="140" fillId="0" borderId="0" xfId="0" applyFont="1" applyFill="1" applyBorder="1" applyAlignment="1">
      <alignment horizontal="center" vertical="center" wrapText="1"/>
    </xf>
    <xf numFmtId="179" fontId="2" fillId="0" borderId="0" xfId="0" applyNumberFormat="1" applyFont="1" applyFill="1" applyBorder="1" applyAlignment="1">
      <alignment vertical="center"/>
    </xf>
    <xf numFmtId="0" fontId="140" fillId="0" borderId="0" xfId="0" applyNumberFormat="1" applyFont="1" applyFill="1" applyBorder="1" applyAlignment="1">
      <alignment horizontal="left" vertical="center" wrapText="1"/>
    </xf>
    <xf numFmtId="38" fontId="140" fillId="0" borderId="0" xfId="204" applyNumberFormat="1" applyFont="1" applyFill="1" applyBorder="1" applyProtection="1">
      <alignment vertical="center"/>
    </xf>
    <xf numFmtId="40" fontId="140" fillId="0" borderId="0" xfId="0" applyNumberFormat="1" applyFont="1" applyFill="1" applyBorder="1" applyAlignment="1">
      <alignment vertical="center"/>
    </xf>
    <xf numFmtId="40" fontId="140" fillId="0" borderId="0" xfId="195" applyNumberFormat="1" applyFont="1" applyFill="1" applyBorder="1" applyAlignment="1">
      <alignment horizontal="right" vertical="center" wrapText="1"/>
    </xf>
    <xf numFmtId="174" fontId="140" fillId="0" borderId="0" xfId="195" applyFont="1" applyFill="1" applyBorder="1" applyAlignment="1">
      <alignment horizontal="right" vertical="center" wrapText="1"/>
    </xf>
    <xf numFmtId="40" fontId="0" fillId="0" borderId="0" xfId="195" applyNumberFormat="1" applyFont="1" applyFill="1" applyBorder="1" applyAlignment="1">
      <alignment vertical="center"/>
    </xf>
    <xf numFmtId="0" fontId="140" fillId="0" borderId="0" xfId="0" applyNumberFormat="1" applyFont="1" applyFill="1" applyBorder="1" applyAlignment="1">
      <alignment horizontal="left" vertical="center"/>
    </xf>
    <xf numFmtId="40" fontId="140" fillId="0" borderId="0" xfId="201" applyNumberFormat="1" applyFont="1" applyFill="1" applyBorder="1" applyAlignment="1">
      <alignment horizontal="right" vertical="center" wrapText="1"/>
    </xf>
    <xf numFmtId="40" fontId="140" fillId="0" borderId="0" xfId="0" applyNumberFormat="1" applyFont="1" applyFill="1" applyBorder="1" applyAlignment="1">
      <alignment horizontal="center" vertical="center"/>
    </xf>
    <xf numFmtId="176" fontId="1" fillId="0" borderId="0" xfId="199" applyNumberFormat="1" applyFont="1" applyFill="1" applyBorder="1" applyAlignment="1">
      <alignment vertical="center" shrinkToFit="1"/>
    </xf>
    <xf numFmtId="0" fontId="139" fillId="0" borderId="0" xfId="0" applyNumberFormat="1" applyFont="1" applyFill="1" applyBorder="1" applyAlignment="1">
      <alignment horizontal="left" vertical="center"/>
    </xf>
    <xf numFmtId="40" fontId="147" fillId="0" borderId="0" xfId="202" applyNumberFormat="1" applyFont="1" applyFill="1" applyBorder="1" applyAlignment="1">
      <alignment horizontal="right" vertical="center"/>
    </xf>
    <xf numFmtId="40" fontId="147" fillId="0" borderId="0" xfId="201" applyNumberFormat="1" applyFont="1" applyFill="1" applyBorder="1" applyAlignment="1">
      <alignment horizontal="right" vertical="center"/>
    </xf>
    <xf numFmtId="40" fontId="147" fillId="0" borderId="0" xfId="201" applyNumberFormat="1" applyFont="1" applyFill="1" applyBorder="1" applyAlignment="1">
      <alignment horizontal="left" vertical="center"/>
    </xf>
    <xf numFmtId="40" fontId="2" fillId="0" borderId="0" xfId="0" applyNumberFormat="1" applyFont="1" applyFill="1" applyBorder="1" applyAlignment="1">
      <alignment vertical="center"/>
    </xf>
    <xf numFmtId="0" fontId="2" fillId="0" borderId="0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vertical="center" shrinkToFit="1"/>
    </xf>
    <xf numFmtId="217" fontId="2" fillId="0" borderId="0" xfId="207" applyNumberFormat="1" applyFont="1" applyFill="1" applyBorder="1" applyAlignment="1">
      <alignment vertical="center" shrinkToFit="1"/>
    </xf>
    <xf numFmtId="38" fontId="2" fillId="0" borderId="0" xfId="0" applyNumberFormat="1" applyFont="1" applyFill="1" applyBorder="1" applyAlignment="1">
      <alignment vertical="center" wrapText="1"/>
    </xf>
    <xf numFmtId="40" fontId="1" fillId="0" borderId="0" xfId="345" applyNumberFormat="1" applyFont="1" applyFill="1" applyBorder="1" applyAlignment="1">
      <alignment vertical="center" wrapText="1"/>
    </xf>
    <xf numFmtId="38" fontId="1" fillId="0" borderId="0" xfId="345" applyNumberFormat="1" applyFont="1" applyFill="1" applyBorder="1" applyAlignment="1">
      <alignment vertical="center" wrapText="1"/>
    </xf>
    <xf numFmtId="219" fontId="0" fillId="0" borderId="0" xfId="196" applyNumberFormat="1" applyFont="1" applyAlignment="1">
      <alignment horizontal="right" vertical="center" shrinkToFit="1"/>
    </xf>
    <xf numFmtId="218" fontId="140" fillId="22" borderId="0" xfId="195" applyNumberFormat="1" applyFont="1" applyFill="1" applyBorder="1" applyAlignment="1">
      <alignment horizontal="center" vertical="center"/>
    </xf>
    <xf numFmtId="218" fontId="147" fillId="22" borderId="49" xfId="195" applyNumberFormat="1" applyFont="1" applyFill="1" applyBorder="1" applyAlignment="1">
      <alignment horizontal="center" vertical="center" shrinkToFit="1"/>
    </xf>
    <xf numFmtId="218" fontId="147" fillId="22" borderId="20" xfId="195" applyNumberFormat="1" applyFont="1" applyFill="1" applyBorder="1" applyAlignment="1">
      <alignment horizontal="center" vertical="center" shrinkToFit="1"/>
    </xf>
    <xf numFmtId="218" fontId="140" fillId="22" borderId="20" xfId="195" applyNumberFormat="1" applyFont="1" applyFill="1" applyBorder="1" applyAlignment="1">
      <alignment horizontal="center" vertical="center" shrinkToFit="1"/>
    </xf>
    <xf numFmtId="218" fontId="140" fillId="22" borderId="27" xfId="195" applyNumberFormat="1" applyFont="1" applyFill="1" applyBorder="1" applyAlignment="1">
      <alignment horizontal="center" vertical="center" shrinkToFit="1"/>
    </xf>
    <xf numFmtId="218" fontId="147" fillId="38" borderId="9" xfId="195" applyNumberFormat="1" applyFont="1" applyFill="1" applyBorder="1" applyAlignment="1">
      <alignment horizontal="center" vertical="center" shrinkToFit="1"/>
    </xf>
    <xf numFmtId="218" fontId="140" fillId="22" borderId="72" xfId="195" applyNumberFormat="1" applyFont="1" applyFill="1" applyBorder="1" applyAlignment="1">
      <alignment horizontal="center" vertical="center" shrinkToFit="1"/>
    </xf>
    <xf numFmtId="218" fontId="147" fillId="0" borderId="9" xfId="195" applyNumberFormat="1" applyFont="1" applyFill="1" applyBorder="1" applyAlignment="1">
      <alignment horizontal="center" vertical="center" shrinkToFit="1"/>
    </xf>
    <xf numFmtId="218" fontId="147" fillId="22" borderId="20" xfId="195" applyNumberFormat="1" applyFont="1" applyFill="1" applyBorder="1" applyAlignment="1">
      <alignment horizontal="center" vertical="center"/>
    </xf>
    <xf numFmtId="218" fontId="147" fillId="0" borderId="72" xfId="195" applyNumberFormat="1" applyFont="1" applyFill="1" applyBorder="1" applyAlignment="1">
      <alignment horizontal="center" vertical="center"/>
    </xf>
    <xf numFmtId="218" fontId="140" fillId="0" borderId="20" xfId="195" applyNumberFormat="1" applyFont="1" applyFill="1" applyBorder="1" applyAlignment="1">
      <alignment vertical="center"/>
    </xf>
    <xf numFmtId="218" fontId="140" fillId="0" borderId="58" xfId="195" applyNumberFormat="1" applyFont="1" applyFill="1" applyBorder="1" applyAlignment="1" applyProtection="1">
      <alignment vertical="center"/>
    </xf>
    <xf numFmtId="218" fontId="140" fillId="0" borderId="68" xfId="195" applyNumberFormat="1" applyFont="1" applyFill="1" applyBorder="1" applyAlignment="1">
      <alignment horizontal="center" vertical="center"/>
    </xf>
    <xf numFmtId="218" fontId="147" fillId="38" borderId="9" xfId="195" applyNumberFormat="1" applyFont="1" applyFill="1" applyBorder="1" applyAlignment="1">
      <alignment vertical="center"/>
    </xf>
    <xf numFmtId="218" fontId="140" fillId="0" borderId="58" xfId="195" applyNumberFormat="1" applyFont="1" applyFill="1" applyBorder="1" applyAlignment="1">
      <alignment vertical="center"/>
    </xf>
    <xf numFmtId="218" fontId="140" fillId="0" borderId="9" xfId="195" applyNumberFormat="1" applyFont="1" applyFill="1" applyBorder="1" applyAlignment="1">
      <alignment vertical="center"/>
    </xf>
    <xf numFmtId="218" fontId="147" fillId="0" borderId="72" xfId="195" applyNumberFormat="1" applyFont="1" applyFill="1" applyBorder="1" applyAlignment="1">
      <alignment vertical="center"/>
    </xf>
    <xf numFmtId="218" fontId="0" fillId="0" borderId="20" xfId="195" applyNumberFormat="1" applyFont="1" applyFill="1" applyBorder="1" applyAlignment="1">
      <alignment vertical="center"/>
    </xf>
    <xf numFmtId="218" fontId="140" fillId="0" borderId="20" xfId="195" applyNumberFormat="1" applyFont="1" applyFill="1" applyBorder="1" applyAlignment="1" applyProtection="1">
      <alignment vertical="center"/>
    </xf>
    <xf numFmtId="218" fontId="140" fillId="0" borderId="26" xfId="195" applyNumberFormat="1" applyFont="1" applyFill="1" applyBorder="1" applyAlignment="1">
      <alignment vertical="center"/>
    </xf>
    <xf numFmtId="218" fontId="1" fillId="0" borderId="20" xfId="195" applyNumberFormat="1" applyFont="1" applyFill="1" applyBorder="1" applyAlignment="1" applyProtection="1">
      <alignment vertical="center"/>
    </xf>
    <xf numFmtId="218" fontId="147" fillId="0" borderId="20" xfId="195" applyNumberFormat="1" applyFont="1" applyFill="1" applyBorder="1" applyAlignment="1">
      <alignment vertical="center"/>
    </xf>
    <xf numFmtId="218" fontId="147" fillId="0" borderId="27" xfId="195" applyNumberFormat="1" applyFont="1" applyFill="1" applyBorder="1" applyAlignment="1">
      <alignment vertical="center"/>
    </xf>
    <xf numFmtId="218" fontId="147" fillId="0" borderId="49" xfId="195" applyNumberFormat="1" applyFont="1" applyFill="1" applyBorder="1" applyAlignment="1">
      <alignment vertical="center"/>
    </xf>
    <xf numFmtId="218" fontId="147" fillId="0" borderId="20" xfId="195" applyNumberFormat="1" applyFont="1" applyFill="1" applyBorder="1" applyAlignment="1">
      <alignment horizontal="center" vertical="center"/>
    </xf>
    <xf numFmtId="218" fontId="140" fillId="0" borderId="72" xfId="195" applyNumberFormat="1" applyFont="1" applyFill="1" applyBorder="1" applyAlignment="1">
      <alignment vertical="center"/>
    </xf>
    <xf numFmtId="218" fontId="147" fillId="22" borderId="72" xfId="195" applyNumberFormat="1" applyFont="1" applyFill="1" applyBorder="1" applyAlignment="1">
      <alignment horizontal="center" vertical="center"/>
    </xf>
    <xf numFmtId="218" fontId="140" fillId="0" borderId="40" xfId="195" applyNumberFormat="1" applyFont="1" applyFill="1" applyBorder="1" applyAlignment="1">
      <alignment vertical="center"/>
    </xf>
    <xf numFmtId="218" fontId="140" fillId="0" borderId="49" xfId="195" applyNumberFormat="1" applyFont="1" applyFill="1" applyBorder="1" applyAlignment="1">
      <alignment vertical="center"/>
    </xf>
    <xf numFmtId="218" fontId="140" fillId="0" borderId="0" xfId="195" applyNumberFormat="1" applyFont="1" applyFill="1" applyBorder="1" applyAlignment="1">
      <alignment horizontal="center" vertical="center"/>
    </xf>
    <xf numFmtId="218" fontId="140" fillId="0" borderId="0" xfId="195" applyNumberFormat="1" applyFont="1" applyFill="1" applyBorder="1" applyAlignment="1">
      <alignment vertical="center"/>
    </xf>
    <xf numFmtId="0" fontId="160" fillId="0" borderId="0" xfId="352" applyFont="1" applyAlignment="1">
      <alignment horizontal="center" vertical="center"/>
    </xf>
    <xf numFmtId="0" fontId="160" fillId="0" borderId="0" xfId="352" applyFont="1" applyAlignment="1">
      <alignment vertical="center"/>
    </xf>
    <xf numFmtId="0" fontId="160" fillId="0" borderId="62" xfId="352" applyFont="1" applyBorder="1" applyAlignment="1">
      <alignment horizontal="center" vertical="center"/>
    </xf>
    <xf numFmtId="0" fontId="168" fillId="0" borderId="61" xfId="352" quotePrefix="1" applyFont="1" applyBorder="1" applyAlignment="1">
      <alignment horizontal="center" vertical="center"/>
    </xf>
    <xf numFmtId="0" fontId="168" fillId="0" borderId="15" xfId="352" quotePrefix="1" applyFont="1" applyBorder="1" applyAlignment="1">
      <alignment horizontal="center" vertical="center"/>
    </xf>
    <xf numFmtId="0" fontId="160" fillId="0" borderId="9" xfId="352" applyFont="1" applyBorder="1" applyAlignment="1">
      <alignment horizontal="center" vertical="center"/>
    </xf>
    <xf numFmtId="0" fontId="160" fillId="0" borderId="26" xfId="352" applyFont="1" applyBorder="1" applyAlignment="1">
      <alignment horizontal="center" vertical="center"/>
    </xf>
    <xf numFmtId="0" fontId="159" fillId="0" borderId="26" xfId="352" applyFont="1" applyBorder="1" applyAlignment="1">
      <alignment horizontal="center" vertical="center"/>
    </xf>
    <xf numFmtId="0" fontId="160" fillId="0" borderId="28" xfId="352" applyFont="1" applyBorder="1" applyAlignment="1">
      <alignment horizontal="center" vertical="center"/>
    </xf>
    <xf numFmtId="0" fontId="160" fillId="0" borderId="43" xfId="352" applyFont="1" applyBorder="1" applyAlignment="1">
      <alignment horizontal="center" vertical="center"/>
    </xf>
    <xf numFmtId="0" fontId="160" fillId="0" borderId="63" xfId="352" applyFont="1" applyBorder="1" applyAlignment="1">
      <alignment horizontal="center" vertical="center"/>
    </xf>
    <xf numFmtId="0" fontId="159" fillId="0" borderId="9" xfId="352" applyFont="1" applyBorder="1" applyAlignment="1">
      <alignment horizontal="center" vertical="center"/>
    </xf>
    <xf numFmtId="0" fontId="160" fillId="0" borderId="9" xfId="352" quotePrefix="1" applyFont="1" applyBorder="1" applyAlignment="1">
      <alignment horizontal="center" vertical="center"/>
    </xf>
    <xf numFmtId="0" fontId="160" fillId="0" borderId="63" xfId="352" quotePrefix="1" applyFont="1" applyBorder="1" applyAlignment="1">
      <alignment horizontal="center" vertical="center"/>
    </xf>
    <xf numFmtId="0" fontId="159" fillId="0" borderId="61" xfId="352" applyFont="1" applyFill="1" applyBorder="1" applyAlignment="1">
      <alignment horizontal="center" vertical="center"/>
    </xf>
    <xf numFmtId="0" fontId="160" fillId="0" borderId="61" xfId="352" applyFont="1" applyFill="1" applyBorder="1" applyAlignment="1">
      <alignment horizontal="center" vertical="center"/>
    </xf>
    <xf numFmtId="0" fontId="159" fillId="0" borderId="15" xfId="352" applyFont="1" applyFill="1" applyBorder="1" applyAlignment="1">
      <alignment horizontal="center" vertical="center"/>
    </xf>
    <xf numFmtId="0" fontId="160" fillId="0" borderId="15" xfId="352" applyFont="1" applyFill="1" applyBorder="1" applyAlignment="1">
      <alignment horizontal="center" vertical="center"/>
    </xf>
    <xf numFmtId="0" fontId="160" fillId="0" borderId="66" xfId="352" applyFont="1" applyBorder="1" applyAlignment="1">
      <alignment horizontal="center" vertical="center"/>
    </xf>
    <xf numFmtId="0" fontId="169" fillId="0" borderId="58" xfId="0" applyFont="1" applyFill="1" applyBorder="1" applyAlignment="1">
      <alignment vertical="center"/>
    </xf>
    <xf numFmtId="0" fontId="140" fillId="36" borderId="0" xfId="0" applyFont="1" applyFill="1" applyBorder="1" applyAlignment="1">
      <alignment vertical="center"/>
    </xf>
    <xf numFmtId="176" fontId="139" fillId="0" borderId="20" xfId="196" applyNumberFormat="1" applyFont="1" applyFill="1" applyBorder="1" applyAlignment="1">
      <alignment horizontal="right" vertical="center" shrinkToFit="1"/>
    </xf>
    <xf numFmtId="0" fontId="170" fillId="0" borderId="61" xfId="352" applyFont="1" applyFill="1" applyBorder="1" applyAlignment="1">
      <alignment horizontal="center" vertical="center"/>
    </xf>
    <xf numFmtId="40" fontId="0" fillId="0" borderId="20" xfId="207" applyNumberFormat="1" applyFont="1" applyFill="1" applyBorder="1" applyAlignment="1">
      <alignment vertical="center"/>
    </xf>
    <xf numFmtId="4" fontId="140" fillId="39" borderId="20" xfId="199" applyNumberFormat="1" applyFont="1" applyFill="1" applyBorder="1" applyAlignment="1">
      <alignment vertical="center"/>
    </xf>
    <xf numFmtId="4" fontId="1" fillId="39" borderId="20" xfId="199" applyNumberFormat="1" applyFont="1" applyFill="1" applyBorder="1" applyAlignment="1">
      <alignment vertical="center"/>
    </xf>
    <xf numFmtId="0" fontId="140" fillId="39" borderId="69" xfId="0" applyFont="1" applyFill="1" applyBorder="1" applyAlignment="1">
      <alignment vertical="center"/>
    </xf>
    <xf numFmtId="0" fontId="140" fillId="39" borderId="58" xfId="0" applyFont="1" applyFill="1" applyBorder="1" applyAlignment="1">
      <alignment vertical="center"/>
    </xf>
    <xf numFmtId="218" fontId="140" fillId="39" borderId="20" xfId="195" applyNumberFormat="1" applyFont="1" applyFill="1" applyBorder="1" applyAlignment="1">
      <alignment vertical="center"/>
    </xf>
    <xf numFmtId="4" fontId="140" fillId="39" borderId="58" xfId="199" applyNumberFormat="1" applyFont="1" applyFill="1" applyBorder="1" applyAlignment="1">
      <alignment vertical="center"/>
    </xf>
    <xf numFmtId="49" fontId="140" fillId="39" borderId="20" xfId="0" applyNumberFormat="1" applyFont="1" applyFill="1" applyBorder="1" applyAlignment="1">
      <alignment horizontal="center" vertical="center"/>
    </xf>
    <xf numFmtId="49" fontId="0" fillId="39" borderId="58" xfId="196" applyNumberFormat="1" applyFont="1" applyFill="1" applyBorder="1" applyAlignment="1">
      <alignment horizontal="center" vertical="center"/>
    </xf>
    <xf numFmtId="0" fontId="140" fillId="39" borderId="20" xfId="0" applyFont="1" applyFill="1" applyBorder="1" applyAlignment="1">
      <alignment horizontal="center" vertical="center"/>
    </xf>
    <xf numFmtId="40" fontId="140" fillId="39" borderId="58" xfId="207" applyNumberFormat="1" applyFont="1" applyFill="1" applyBorder="1" applyAlignment="1">
      <alignment vertical="center"/>
    </xf>
    <xf numFmtId="0" fontId="139" fillId="0" borderId="0" xfId="349" applyFont="1" applyAlignment="1">
      <alignment vertical="center"/>
    </xf>
    <xf numFmtId="218" fontId="1" fillId="39" borderId="20" xfId="195" applyNumberFormat="1" applyFont="1" applyFill="1" applyBorder="1" applyAlignment="1" applyProtection="1">
      <alignment vertical="center"/>
    </xf>
    <xf numFmtId="218" fontId="140" fillId="39" borderId="20" xfId="195" applyNumberFormat="1" applyFont="1" applyFill="1" applyBorder="1" applyAlignment="1" applyProtection="1">
      <alignment vertical="center"/>
    </xf>
    <xf numFmtId="217" fontId="140" fillId="0" borderId="0" xfId="195" applyNumberFormat="1" applyFont="1" applyFill="1" applyBorder="1" applyAlignment="1">
      <alignment horizontal="center" vertical="center"/>
    </xf>
    <xf numFmtId="217" fontId="140" fillId="0" borderId="0" xfId="195" applyNumberFormat="1" applyFont="1" applyFill="1" applyBorder="1" applyAlignment="1">
      <alignment vertical="center"/>
    </xf>
    <xf numFmtId="220" fontId="140" fillId="0" borderId="0" xfId="0" applyNumberFormat="1" applyFont="1" applyFill="1" applyBorder="1" applyAlignment="1">
      <alignment vertical="center"/>
    </xf>
    <xf numFmtId="221" fontId="140" fillId="0" borderId="0" xfId="0" applyNumberFormat="1" applyFont="1" applyFill="1" applyBorder="1" applyAlignment="1">
      <alignment vertical="center"/>
    </xf>
    <xf numFmtId="0" fontId="4" fillId="39" borderId="0" xfId="356" applyFont="1" applyFill="1"/>
    <xf numFmtId="177" fontId="4" fillId="39" borderId="0" xfId="337" applyNumberFormat="1" applyFont="1" applyFill="1" applyAlignment="1"/>
    <xf numFmtId="0" fontId="94" fillId="39" borderId="26" xfId="356" applyFont="1" applyFill="1" applyBorder="1" applyAlignment="1">
      <alignment horizontal="center"/>
    </xf>
    <xf numFmtId="177" fontId="94" fillId="39" borderId="26" xfId="337" applyNumberFormat="1" applyFont="1" applyFill="1" applyBorder="1" applyAlignment="1"/>
    <xf numFmtId="0" fontId="94" fillId="39" borderId="20" xfId="356" applyFont="1" applyFill="1" applyBorder="1" applyAlignment="1">
      <alignment horizontal="center"/>
    </xf>
    <xf numFmtId="177" fontId="94" fillId="39" borderId="20" xfId="337" applyNumberFormat="1" applyFont="1" applyFill="1" applyBorder="1" applyAlignment="1"/>
    <xf numFmtId="0" fontId="98" fillId="39" borderId="20" xfId="356" applyFont="1" applyFill="1" applyBorder="1" applyAlignment="1">
      <alignment horizontal="center"/>
    </xf>
    <xf numFmtId="177" fontId="98" fillId="39" borderId="20" xfId="337" applyNumberFormat="1" applyFont="1" applyFill="1" applyBorder="1" applyAlignment="1"/>
    <xf numFmtId="177" fontId="127" fillId="39" borderId="20" xfId="337" applyNumberFormat="1" applyFont="1" applyFill="1" applyBorder="1" applyAlignment="1"/>
    <xf numFmtId="177" fontId="148" fillId="39" borderId="20" xfId="337" applyNumberFormat="1" applyFont="1" applyFill="1" applyBorder="1" applyAlignment="1"/>
    <xf numFmtId="0" fontId="166" fillId="39" borderId="20" xfId="356" applyFont="1" applyFill="1" applyBorder="1" applyAlignment="1">
      <alignment horizontal="center"/>
    </xf>
    <xf numFmtId="177" fontId="94" fillId="39" borderId="20" xfId="337" applyNumberFormat="1" applyFont="1" applyFill="1" applyBorder="1" applyAlignment="1">
      <alignment horizontal="right"/>
    </xf>
    <xf numFmtId="0" fontId="94" fillId="39" borderId="15" xfId="356" applyFont="1" applyFill="1" applyBorder="1" applyAlignment="1">
      <alignment horizontal="center"/>
    </xf>
    <xf numFmtId="177" fontId="94" fillId="39" borderId="15" xfId="337" applyNumberFormat="1" applyFont="1" applyFill="1" applyBorder="1" applyAlignment="1"/>
    <xf numFmtId="0" fontId="4" fillId="39" borderId="49" xfId="356" applyFont="1" applyFill="1" applyBorder="1"/>
    <xf numFmtId="177" fontId="4" fillId="39" borderId="49" xfId="337" applyNumberFormat="1" applyFont="1" applyFill="1" applyBorder="1" applyAlignment="1"/>
    <xf numFmtId="0" fontId="4" fillId="39" borderId="20" xfId="356" applyFont="1" applyFill="1" applyBorder="1"/>
    <xf numFmtId="177" fontId="4" fillId="39" borderId="20" xfId="337" applyNumberFormat="1" applyFont="1" applyFill="1" applyBorder="1" applyAlignment="1"/>
    <xf numFmtId="177" fontId="4" fillId="39" borderId="20" xfId="335" applyNumberFormat="1" applyFont="1" applyFill="1" applyBorder="1" applyAlignment="1"/>
    <xf numFmtId="199" fontId="4" fillId="39" borderId="20" xfId="324" applyNumberFormat="1" applyFont="1" applyFill="1" applyBorder="1" applyAlignment="1"/>
    <xf numFmtId="199" fontId="4" fillId="39" borderId="20" xfId="356" applyNumberFormat="1" applyFont="1" applyFill="1" applyBorder="1"/>
    <xf numFmtId="199" fontId="4" fillId="39" borderId="27" xfId="356" applyNumberFormat="1" applyFont="1" applyFill="1" applyBorder="1"/>
    <xf numFmtId="199" fontId="4" fillId="39" borderId="40" xfId="356" applyNumberFormat="1" applyFont="1" applyFill="1" applyBorder="1"/>
    <xf numFmtId="0" fontId="140" fillId="40" borderId="69" xfId="0" applyFont="1" applyFill="1" applyBorder="1" applyAlignment="1">
      <alignment vertical="center"/>
    </xf>
    <xf numFmtId="9" fontId="158" fillId="40" borderId="20" xfId="253" applyFont="1" applyFill="1" applyBorder="1" applyAlignment="1">
      <alignment horizontal="center" vertical="center"/>
    </xf>
    <xf numFmtId="0" fontId="0" fillId="0" borderId="7" xfId="349" applyFont="1" applyBorder="1" applyAlignment="1">
      <alignment vertical="center"/>
    </xf>
    <xf numFmtId="49" fontId="120" fillId="0" borderId="0" xfId="350" applyNumberFormat="1" applyFont="1" applyAlignment="1">
      <alignment horizontal="center"/>
    </xf>
    <xf numFmtId="0" fontId="165" fillId="0" borderId="0" xfId="350" applyFont="1" applyAlignment="1">
      <alignment vertical="center" wrapText="1"/>
    </xf>
    <xf numFmtId="0" fontId="46" fillId="0" borderId="0" xfId="350" applyFont="1" applyAlignment="1">
      <alignment vertical="center" wrapText="1"/>
    </xf>
    <xf numFmtId="0" fontId="140" fillId="0" borderId="65" xfId="351" applyFont="1" applyBorder="1" applyAlignment="1">
      <alignment vertical="center" wrapText="1"/>
    </xf>
    <xf numFmtId="0" fontId="140" fillId="0" borderId="71" xfId="351" applyFont="1" applyBorder="1" applyAlignment="1">
      <alignment vertical="center" wrapText="1"/>
    </xf>
    <xf numFmtId="0" fontId="140" fillId="0" borderId="63" xfId="351" applyFont="1" applyBorder="1" applyAlignment="1">
      <alignment vertical="center" wrapText="1"/>
    </xf>
    <xf numFmtId="0" fontId="4" fillId="0" borderId="65" xfId="352" applyFont="1" applyBorder="1" applyAlignment="1">
      <alignment vertical="center" wrapText="1"/>
    </xf>
    <xf numFmtId="0" fontId="4" fillId="0" borderId="71" xfId="352" applyFont="1" applyBorder="1" applyAlignment="1">
      <alignment vertical="center" wrapText="1"/>
    </xf>
    <xf numFmtId="0" fontId="4" fillId="0" borderId="63" xfId="352" applyFont="1" applyBorder="1" applyAlignment="1">
      <alignment vertical="center" wrapText="1"/>
    </xf>
    <xf numFmtId="0" fontId="46" fillId="0" borderId="67" xfId="352" applyFont="1" applyBorder="1" applyAlignment="1">
      <alignment vertical="top" wrapText="1"/>
    </xf>
    <xf numFmtId="0" fontId="140" fillId="0" borderId="65" xfId="352" applyFont="1" applyBorder="1" applyAlignment="1">
      <alignment vertical="center" wrapText="1"/>
    </xf>
    <xf numFmtId="0" fontId="140" fillId="0" borderId="71" xfId="352" applyFont="1" applyBorder="1" applyAlignment="1">
      <alignment vertical="center" wrapText="1"/>
    </xf>
    <xf numFmtId="0" fontId="140" fillId="0" borderId="63" xfId="352" applyFont="1" applyBorder="1" applyAlignment="1">
      <alignment vertical="center" wrapText="1"/>
    </xf>
    <xf numFmtId="0" fontId="46" fillId="0" borderId="1" xfId="352" applyFont="1" applyBorder="1" applyAlignment="1">
      <alignment vertical="center" wrapText="1"/>
    </xf>
    <xf numFmtId="0" fontId="46" fillId="0" borderId="7" xfId="352" applyFont="1" applyBorder="1" applyAlignment="1">
      <alignment vertical="center" wrapText="1"/>
    </xf>
    <xf numFmtId="0" fontId="46" fillId="0" borderId="64" xfId="352" applyFont="1" applyBorder="1" applyAlignment="1">
      <alignment vertical="center" wrapText="1"/>
    </xf>
    <xf numFmtId="0" fontId="4" fillId="0" borderId="25" xfId="352" applyFont="1" applyBorder="1" applyAlignment="1">
      <alignment vertical="center" wrapText="1"/>
    </xf>
    <xf numFmtId="0" fontId="4" fillId="0" borderId="0" xfId="352" applyFont="1" applyBorder="1" applyAlignment="1">
      <alignment vertical="center" wrapText="1"/>
    </xf>
    <xf numFmtId="0" fontId="4" fillId="0" borderId="28" xfId="352" applyFont="1" applyBorder="1" applyAlignment="1">
      <alignment vertical="center" wrapText="1"/>
    </xf>
    <xf numFmtId="0" fontId="50" fillId="0" borderId="0" xfId="352" applyFont="1" applyAlignment="1">
      <alignment shrinkToFit="1"/>
    </xf>
    <xf numFmtId="0" fontId="25" fillId="0" borderId="85" xfId="352" applyFont="1" applyBorder="1" applyAlignment="1">
      <alignment horizontal="center" vertical="center"/>
    </xf>
    <xf numFmtId="0" fontId="25" fillId="0" borderId="86" xfId="352" applyFont="1" applyBorder="1" applyAlignment="1">
      <alignment horizontal="center" vertical="center"/>
    </xf>
    <xf numFmtId="0" fontId="25" fillId="0" borderId="87" xfId="352" applyFont="1" applyBorder="1" applyAlignment="1">
      <alignment horizontal="center" vertical="center"/>
    </xf>
    <xf numFmtId="0" fontId="4" fillId="0" borderId="88" xfId="352" applyFont="1" applyBorder="1" applyAlignment="1">
      <alignment vertical="center" wrapText="1"/>
    </xf>
    <xf numFmtId="0" fontId="4" fillId="0" borderId="89" xfId="352" applyFont="1" applyBorder="1" applyAlignment="1">
      <alignment vertical="center" wrapText="1"/>
    </xf>
    <xf numFmtId="0" fontId="4" fillId="0" borderId="90" xfId="352" applyFont="1" applyBorder="1" applyAlignment="1">
      <alignment vertical="center" wrapText="1"/>
    </xf>
    <xf numFmtId="0" fontId="124" fillId="0" borderId="61" xfId="352" applyFont="1" applyBorder="1" applyAlignment="1">
      <alignment vertical="center" wrapText="1"/>
    </xf>
    <xf numFmtId="0" fontId="124" fillId="0" borderId="15" xfId="352" applyFont="1" applyBorder="1" applyAlignment="1">
      <alignment vertical="center" wrapText="1"/>
    </xf>
    <xf numFmtId="0" fontId="91" fillId="0" borderId="91" xfId="356" applyFont="1" applyBorder="1" applyAlignment="1">
      <alignment horizontal="center" vertical="center" wrapText="1"/>
    </xf>
    <xf numFmtId="0" fontId="91" fillId="0" borderId="30" xfId="356" applyFont="1" applyBorder="1" applyAlignment="1">
      <alignment horizontal="center" vertical="center" wrapText="1"/>
    </xf>
    <xf numFmtId="0" fontId="92" fillId="0" borderId="30" xfId="356" applyFont="1" applyBorder="1" applyAlignment="1">
      <alignment horizontal="center" vertical="center" wrapText="1"/>
    </xf>
    <xf numFmtId="0" fontId="92" fillId="0" borderId="31" xfId="356" applyFont="1" applyBorder="1" applyAlignment="1">
      <alignment horizontal="center" vertical="center" wrapText="1"/>
    </xf>
    <xf numFmtId="0" fontId="92" fillId="0" borderId="92" xfId="356" applyFont="1" applyBorder="1" applyAlignment="1">
      <alignment horizontal="center" vertical="center" wrapText="1"/>
    </xf>
    <xf numFmtId="0" fontId="92" fillId="0" borderId="6" xfId="356" applyFont="1" applyBorder="1" applyAlignment="1">
      <alignment horizontal="center" vertical="center" wrapText="1"/>
    </xf>
    <xf numFmtId="0" fontId="92" fillId="0" borderId="93" xfId="356" applyFont="1" applyBorder="1" applyAlignment="1">
      <alignment horizontal="center" vertical="center" wrapText="1"/>
    </xf>
    <xf numFmtId="40" fontId="0" fillId="0" borderId="9" xfId="0" applyNumberFormat="1" applyFill="1" applyBorder="1" applyAlignment="1">
      <alignment horizontal="center" vertical="center"/>
    </xf>
    <xf numFmtId="40" fontId="1" fillId="0" borderId="9" xfId="0" applyNumberFormat="1" applyFont="1" applyFill="1" applyBorder="1" applyAlignment="1">
      <alignment horizontal="center" vertical="center"/>
    </xf>
    <xf numFmtId="0" fontId="49" fillId="27" borderId="0" xfId="345" applyFont="1" applyFill="1" applyBorder="1" applyAlignment="1">
      <alignment horizontal="center" vertical="center"/>
    </xf>
    <xf numFmtId="40" fontId="1" fillId="27" borderId="9" xfId="345" applyNumberFormat="1" applyFont="1" applyFill="1" applyBorder="1" applyAlignment="1">
      <alignment horizontal="center" vertical="center" wrapText="1"/>
    </xf>
    <xf numFmtId="38" fontId="1" fillId="27" borderId="9" xfId="345" applyNumberFormat="1" applyFont="1" applyFill="1" applyBorder="1" applyAlignment="1">
      <alignment horizontal="center" vertical="center" wrapText="1"/>
    </xf>
    <xf numFmtId="0" fontId="2" fillId="38" borderId="1" xfId="345" applyFont="1" applyFill="1" applyBorder="1" applyAlignment="1">
      <alignment horizontal="center" vertical="center"/>
    </xf>
    <xf numFmtId="0" fontId="2" fillId="38" borderId="7" xfId="345" applyFont="1" applyFill="1" applyBorder="1" applyAlignment="1">
      <alignment horizontal="center" vertical="center"/>
    </xf>
    <xf numFmtId="0" fontId="2" fillId="38" borderId="64" xfId="345" applyFont="1" applyFill="1" applyBorder="1" applyAlignment="1">
      <alignment horizontal="center" vertical="center"/>
    </xf>
    <xf numFmtId="0" fontId="1" fillId="0" borderId="0" xfId="357" applyFont="1" applyFill="1" applyBorder="1" applyAlignment="1">
      <alignment horizontal="left" vertical="center" wrapText="1"/>
    </xf>
    <xf numFmtId="0" fontId="2" fillId="38" borderId="1" xfId="0" applyFont="1" applyFill="1" applyBorder="1" applyAlignment="1">
      <alignment horizontal="left" vertical="center"/>
    </xf>
    <xf numFmtId="0" fontId="2" fillId="38" borderId="64" xfId="0" applyFont="1" applyFill="1" applyBorder="1" applyAlignment="1">
      <alignment horizontal="left" vertical="center"/>
    </xf>
    <xf numFmtId="0" fontId="4" fillId="0" borderId="1" xfId="345" applyFont="1" applyFill="1" applyBorder="1" applyAlignment="1">
      <alignment horizontal="center" vertical="center" wrapText="1"/>
    </xf>
    <xf numFmtId="0" fontId="4" fillId="0" borderId="7" xfId="345" applyFont="1" applyFill="1" applyBorder="1" applyAlignment="1">
      <alignment horizontal="center" vertical="center" wrapText="1"/>
    </xf>
    <xf numFmtId="0" fontId="4" fillId="0" borderId="64" xfId="345" applyFont="1" applyFill="1" applyBorder="1" applyAlignment="1">
      <alignment horizontal="center" vertical="center" wrapText="1"/>
    </xf>
    <xf numFmtId="0" fontId="2" fillId="0" borderId="65" xfId="0" applyFont="1" applyBorder="1" applyAlignment="1">
      <alignment horizontal="center" vertical="center"/>
    </xf>
    <xf numFmtId="0" fontId="2" fillId="0" borderId="63" xfId="0" applyFont="1" applyBorder="1" applyAlignment="1">
      <alignment horizontal="center" vertical="center"/>
    </xf>
    <xf numFmtId="0" fontId="0" fillId="0" borderId="69" xfId="345" applyFont="1" applyFill="1" applyBorder="1" applyAlignment="1">
      <alignment horizontal="center" vertical="center" wrapText="1"/>
    </xf>
    <xf numFmtId="0" fontId="0" fillId="0" borderId="58" xfId="345" applyFont="1" applyFill="1" applyBorder="1" applyAlignment="1">
      <alignment horizontal="center" vertical="center" wrapText="1"/>
    </xf>
    <xf numFmtId="0" fontId="139" fillId="0" borderId="69" xfId="345" applyFont="1" applyFill="1" applyBorder="1" applyAlignment="1">
      <alignment horizontal="center" vertical="center" wrapText="1"/>
    </xf>
    <xf numFmtId="0" fontId="139" fillId="0" borderId="58" xfId="345" applyFont="1" applyFill="1" applyBorder="1" applyAlignment="1">
      <alignment horizontal="center" vertical="center" wrapText="1"/>
    </xf>
    <xf numFmtId="0" fontId="2" fillId="38" borderId="1" xfId="345" applyFont="1" applyFill="1" applyBorder="1" applyAlignment="1">
      <alignment horizontal="center" vertical="center" wrapText="1"/>
    </xf>
    <xf numFmtId="0" fontId="2" fillId="38" borderId="7" xfId="345" applyFont="1" applyFill="1" applyBorder="1" applyAlignment="1">
      <alignment horizontal="center" vertical="center" wrapText="1"/>
    </xf>
    <xf numFmtId="0" fontId="2" fillId="38" borderId="64" xfId="345" applyFont="1" applyFill="1" applyBorder="1" applyAlignment="1">
      <alignment horizontal="center" vertical="center" wrapText="1"/>
    </xf>
    <xf numFmtId="0" fontId="1" fillId="0" borderId="69" xfId="345" applyFont="1" applyFill="1" applyBorder="1" applyAlignment="1">
      <alignment horizontal="center" vertical="center" wrapText="1"/>
    </xf>
    <xf numFmtId="0" fontId="1" fillId="0" borderId="58" xfId="345" applyFont="1" applyFill="1" applyBorder="1" applyAlignment="1">
      <alignment horizontal="center" vertical="center" wrapText="1"/>
    </xf>
    <xf numFmtId="0" fontId="147" fillId="0" borderId="61" xfId="0" applyFont="1" applyFill="1" applyBorder="1" applyAlignment="1">
      <alignment horizontal="center" vertical="center" shrinkToFit="1"/>
    </xf>
    <xf numFmtId="0" fontId="147" fillId="0" borderId="15" xfId="0" applyFont="1" applyFill="1" applyBorder="1" applyAlignment="1">
      <alignment horizontal="center" vertical="center" shrinkToFit="1"/>
    </xf>
    <xf numFmtId="0" fontId="147" fillId="22" borderId="63" xfId="0" applyFont="1" applyFill="1" applyBorder="1" applyAlignment="1">
      <alignment horizontal="center" vertical="center" shrinkToFit="1"/>
    </xf>
    <xf numFmtId="0" fontId="147" fillId="22" borderId="43" xfId="0" applyFont="1" applyFill="1" applyBorder="1" applyAlignment="1">
      <alignment horizontal="center" vertical="center" shrinkToFit="1"/>
    </xf>
    <xf numFmtId="218" fontId="147" fillId="22" borderId="61" xfId="195" applyNumberFormat="1" applyFont="1" applyFill="1" applyBorder="1" applyAlignment="1">
      <alignment horizontal="center" vertical="center" shrinkToFit="1"/>
    </xf>
    <xf numFmtId="218" fontId="147" fillId="22" borderId="15" xfId="195" applyNumberFormat="1" applyFont="1" applyFill="1" applyBorder="1" applyAlignment="1">
      <alignment horizontal="center" vertical="center" shrinkToFit="1"/>
    </xf>
    <xf numFmtId="176" fontId="147" fillId="22" borderId="61" xfId="199" applyNumberFormat="1" applyFont="1" applyFill="1" applyBorder="1" applyAlignment="1">
      <alignment horizontal="center" vertical="center"/>
    </xf>
    <xf numFmtId="176" fontId="147" fillId="22" borderId="15" xfId="199" applyNumberFormat="1" applyFont="1" applyFill="1" applyBorder="1" applyAlignment="1">
      <alignment horizontal="center" vertical="center"/>
    </xf>
    <xf numFmtId="217" fontId="2" fillId="0" borderId="61" xfId="195" applyNumberFormat="1" applyFont="1" applyFill="1" applyBorder="1" applyAlignment="1">
      <alignment horizontal="center" vertical="center" shrinkToFit="1"/>
    </xf>
    <xf numFmtId="217" fontId="2" fillId="0" borderId="15" xfId="195" applyNumberFormat="1" applyFont="1" applyFill="1" applyBorder="1" applyAlignment="1">
      <alignment horizontal="center" vertical="center" shrinkToFit="1"/>
    </xf>
    <xf numFmtId="4" fontId="140" fillId="26" borderId="9" xfId="0" applyNumberFormat="1" applyFont="1" applyFill="1" applyBorder="1" applyAlignment="1">
      <alignment horizontal="center" vertical="center" wrapText="1"/>
    </xf>
    <xf numFmtId="4" fontId="140" fillId="27" borderId="9" xfId="0" applyNumberFormat="1" applyFont="1" applyFill="1" applyBorder="1" applyAlignment="1">
      <alignment horizontal="center" vertical="center" wrapText="1"/>
    </xf>
    <xf numFmtId="0" fontId="147" fillId="0" borderId="69" xfId="0" applyFont="1" applyFill="1" applyBorder="1" applyAlignment="1">
      <alignment vertical="center" wrapText="1"/>
    </xf>
    <xf numFmtId="0" fontId="140" fillId="0" borderId="68" xfId="0" applyFont="1" applyFill="1" applyBorder="1" applyAlignment="1">
      <alignment vertical="center" wrapText="1"/>
    </xf>
    <xf numFmtId="176" fontId="147" fillId="0" borderId="9" xfId="199" applyNumberFormat="1" applyFont="1" applyFill="1" applyBorder="1" applyAlignment="1">
      <alignment horizontal="center" vertical="center" shrinkToFit="1"/>
    </xf>
    <xf numFmtId="9" fontId="140" fillId="0" borderId="69" xfId="253" applyFont="1" applyFill="1" applyBorder="1" applyAlignment="1">
      <alignment horizontal="center" vertical="center"/>
    </xf>
    <xf numFmtId="9" fontId="140" fillId="0" borderId="58" xfId="253" applyFont="1" applyFill="1" applyBorder="1" applyAlignment="1">
      <alignment horizontal="center" vertical="center"/>
    </xf>
    <xf numFmtId="0" fontId="140" fillId="31" borderId="61" xfId="0" applyFont="1" applyFill="1" applyBorder="1" applyAlignment="1">
      <alignment horizontal="center" vertical="center"/>
    </xf>
    <xf numFmtId="0" fontId="140" fillId="31" borderId="15" xfId="0" applyFont="1" applyFill="1" applyBorder="1" applyAlignment="1">
      <alignment horizontal="center" vertical="center"/>
    </xf>
    <xf numFmtId="174" fontId="140" fillId="30" borderId="9" xfId="195" applyFont="1" applyFill="1" applyBorder="1" applyAlignment="1">
      <alignment horizontal="center" vertical="center" wrapText="1"/>
    </xf>
    <xf numFmtId="0" fontId="147" fillId="22" borderId="65" xfId="0" applyFont="1" applyFill="1" applyBorder="1" applyAlignment="1">
      <alignment horizontal="center" vertical="center"/>
    </xf>
    <xf numFmtId="0" fontId="147" fillId="22" borderId="63" xfId="0" applyFont="1" applyFill="1" applyBorder="1" applyAlignment="1">
      <alignment horizontal="center" vertical="center"/>
    </xf>
    <xf numFmtId="0" fontId="147" fillId="22" borderId="42" xfId="0" applyFont="1" applyFill="1" applyBorder="1" applyAlignment="1">
      <alignment horizontal="center" vertical="center"/>
    </xf>
    <xf numFmtId="0" fontId="147" fillId="22" borderId="43" xfId="0" applyFont="1" applyFill="1" applyBorder="1" applyAlignment="1">
      <alignment horizontal="center" vertical="center"/>
    </xf>
    <xf numFmtId="0" fontId="142" fillId="0" borderId="61" xfId="353" applyFont="1" applyFill="1" applyBorder="1" applyAlignment="1">
      <alignment horizontal="center" vertical="center"/>
    </xf>
    <xf numFmtId="0" fontId="142" fillId="0" borderId="15" xfId="353" applyFont="1" applyFill="1" applyBorder="1" applyAlignment="1">
      <alignment horizontal="center" vertical="center"/>
    </xf>
    <xf numFmtId="0" fontId="143" fillId="0" borderId="65" xfId="353" applyFont="1" applyFill="1" applyBorder="1" applyAlignment="1">
      <alignment horizontal="center" vertical="center"/>
    </xf>
    <xf numFmtId="0" fontId="143" fillId="0" borderId="63" xfId="353" applyFont="1" applyFill="1" applyBorder="1" applyAlignment="1">
      <alignment horizontal="center" vertical="center"/>
    </xf>
    <xf numFmtId="0" fontId="142" fillId="0" borderId="44" xfId="353" applyFont="1" applyFill="1" applyBorder="1" applyAlignment="1">
      <alignment horizontal="center" vertical="center"/>
    </xf>
  </cellXfs>
  <cellStyles count="375">
    <cellStyle name="_x0001_" xfId="1"/>
    <cellStyle name=",." xfId="2"/>
    <cellStyle name="､@ｯ・BQSUM" xfId="3"/>
    <cellStyle name="､@ｯ・BQSUM(D)" xfId="4"/>
    <cellStyle name="､@ｯ・BQSUM_exclude Sptic tank R2_2-6-PH1A-Cost M&amp;E 25MAY07" xfId="5"/>
    <cellStyle name="､d､ﾀｦ・BQSUM" xfId="6"/>
    <cellStyle name="､d､ﾀｦ・BQSUM(D)" xfId="7"/>
    <cellStyle name="?? [0.00]_ 2 weeks" xfId="8"/>
    <cellStyle name="?? [0]_1202" xfId="9"/>
    <cellStyle name="???" xfId="10"/>
    <cellStyle name="?_x001d_??%U©÷u&amp;H©÷9_x0008_?_x0009_s_x000a__x0007__x0001__x0001_" xfId="11"/>
    <cellStyle name="???? [0.00]_ 2 weeks" xfId="12"/>
    <cellStyle name="??????" xfId="13"/>
    <cellStyle name="???????" xfId="14"/>
    <cellStyle name="????????????" xfId="15"/>
    <cellStyle name="????????????DEC.4,97)-1_" xfId="16"/>
    <cellStyle name="????????????DEC.4,97)-1a" xfId="17"/>
    <cellStyle name="???????_Ojitex????" xfId="18"/>
    <cellStyle name="???????fcv1(DE" xfId="19"/>
    <cellStyle name="????_ 2 weeks" xfId="20"/>
    <cellStyle name="???_HOBONG" xfId="21"/>
    <cellStyle name="??_ 2 weeks" xfId="22"/>
    <cellStyle name="??_kc-elec system check list" xfId="23"/>
    <cellStyle name="??·?`??" xfId="24"/>
    <cellStyle name="????`?" xfId="25"/>
    <cellStyle name="??e?`?f" xfId="26"/>
    <cellStyle name="??A? [0]_ÿÿÿÿÿÿ_1_¢¬???¢â? " xfId="27"/>
    <cellStyle name="??A?_ÿÿÿÿÿÿ_1_¢¬???¢â? " xfId="28"/>
    <cellStyle name="?@?ｷBQSUM" xfId="29"/>
    <cellStyle name="?@?ｷBQSUM(D)" xfId="30"/>
    <cellStyle name="?@?ｷBQSUM_?? study" xfId="31"/>
    <cellStyle name="?¡±¢¥?_?¨ù??¢´¢¥_¢¬???¢â? " xfId="32"/>
    <cellStyle name="?d???ｷBQSUM" xfId="33"/>
    <cellStyle name="?d???ｷBQSUM(D)" xfId="34"/>
    <cellStyle name="?ðÇ%U?&amp;H?_x0008_?s_x000a__x0007__x0001__x0001_" xfId="35"/>
    <cellStyle name="?f??BQSUM" xfId="36"/>
    <cellStyle name="?f??BQSUM(D)" xfId="37"/>
    <cellStyle name="_Book1" xfId="38"/>
    <cellStyle name="_Book1_1" xfId="39"/>
    <cellStyle name="_Book1_Book1" xfId="40"/>
    <cellStyle name="_Book1_HNI-93-0019 Taisei (Hanoi) Electronics Viet Nam Factory" xfId="41"/>
    <cellStyle name="_Book1_HNI-93-0019 Taisei (Hanoi) Electronics Vietnam factory" xfId="42"/>
    <cellStyle name="_Book1_HNI-93-0019 Taisei (Hanoi) Electronics Vietnam factory_Outline for CORONA" xfId="43"/>
    <cellStyle name="_Book1_HNI-93-0143 A Sewing Vietnam Factory(Cover Page)" xfId="44"/>
    <cellStyle name="_Book1_RHYTHM PHASE-2工事概要" xfId="45"/>
    <cellStyle name="_Book1_RHYTHM PHASE-2工事概要_Outline for CORONA" xfId="46"/>
    <cellStyle name="_FORM Scope of works_condition" xfId="47"/>
    <cellStyle name="_HNI-93-0019 Taisei (Hanoi) Electronics Viet Nam Factory" xfId="48"/>
    <cellStyle name="_HNI-93-0019 Taisei (Hanoi) Electronics Vietnam factory" xfId="49"/>
    <cellStyle name="_HNI-93-0019 Taisei (Hanoi) Electronics Vietnam factory_Outline for CORONA" xfId="50"/>
    <cellStyle name="_HNI-93-0143 A Sewing Vietnam Factory(Cover Page)" xfId="51"/>
    <cellStyle name="_JIKKOYOSAN-NET-R4-Maeda-Toyo Denso-26mar07（計算根拠）" xfId="52"/>
    <cellStyle name="_KT (2)" xfId="53"/>
    <cellStyle name="_KT (2)_1" xfId="54"/>
    <cellStyle name="_KT (2)_1_Book1" xfId="55"/>
    <cellStyle name="_KT (2)_1_HNI-93-0019 Taisei (Hanoi) Electronics Viet Nam Factory" xfId="56"/>
    <cellStyle name="_KT (2)_1_HNI-93-0019 Taisei (Hanoi) Electronics Vietnam factory" xfId="57"/>
    <cellStyle name="_KT (2)_1_HNI-93-0019 Taisei (Hanoi) Electronics Vietnam factory_Outline for CORONA" xfId="58"/>
    <cellStyle name="_KT (2)_1_HNI-93-0143 A Sewing Vietnam Factory(Cover Page)" xfId="59"/>
    <cellStyle name="_KT (2)_1_RHYTHM PHASE-2工事概要" xfId="60"/>
    <cellStyle name="_KT (2)_1_RHYTHM PHASE-2工事概要_Outline for CORONA" xfId="61"/>
    <cellStyle name="_KT (2)_2" xfId="62"/>
    <cellStyle name="_KT (2)_2_TG-TH" xfId="63"/>
    <cellStyle name="_KT (2)_2_TG-TH_Book1" xfId="64"/>
    <cellStyle name="_KT (2)_3" xfId="65"/>
    <cellStyle name="_KT (2)_3_TG-TH" xfId="66"/>
    <cellStyle name="_KT (2)_3_TG-TH_Book1" xfId="67"/>
    <cellStyle name="_KT (2)_3_TG-TH_Book1_1" xfId="68"/>
    <cellStyle name="_KT (2)_3_TG-TH_Book1_Book1" xfId="69"/>
    <cellStyle name="_KT (2)_3_TG-TH_Book1_HNI-93-0019 Taisei (Hanoi) Electronics Viet Nam Factory" xfId="70"/>
    <cellStyle name="_KT (2)_3_TG-TH_Book1_HNI-93-0019 Taisei (Hanoi) Electronics Vietnam factory" xfId="71"/>
    <cellStyle name="_KT (2)_3_TG-TH_Book1_HNI-93-0019 Taisei (Hanoi) Electronics Vietnam factory_Outline for CORONA" xfId="72"/>
    <cellStyle name="_KT (2)_3_TG-TH_Book1_HNI-93-0143 A Sewing Vietnam Factory(Cover Page)" xfId="73"/>
    <cellStyle name="_KT (2)_3_TG-TH_Book1_RHYTHM PHASE-2工事概要" xfId="74"/>
    <cellStyle name="_KT (2)_3_TG-TH_Book1_RHYTHM PHASE-2工事概要_Outline for CORONA" xfId="75"/>
    <cellStyle name="_KT (2)_3_TG-TH_HNI-93-0019 Taisei (Hanoi) Electronics Viet Nam Factory" xfId="76"/>
    <cellStyle name="_KT (2)_3_TG-TH_HNI-93-0019 Taisei (Hanoi) Electronics Vietnam factory" xfId="77"/>
    <cellStyle name="_KT (2)_3_TG-TH_HNI-93-0019 Taisei (Hanoi) Electronics Vietnam factory_Outline for CORONA" xfId="78"/>
    <cellStyle name="_KT (2)_3_TG-TH_HNI-93-0143 A Sewing Vietnam Factory(Cover Page)" xfId="79"/>
    <cellStyle name="_KT (2)_3_TG-TH_RHYTHM PHASE-2工事概要" xfId="80"/>
    <cellStyle name="_KT (2)_3_TG-TH_RHYTHM PHASE-2工事概要_Outline for CORONA" xfId="81"/>
    <cellStyle name="_KT (2)_4" xfId="82"/>
    <cellStyle name="_KT (2)_4_Book1" xfId="83"/>
    <cellStyle name="_KT (2)_4_TG-TH" xfId="84"/>
    <cellStyle name="_KT (2)_5" xfId="85"/>
    <cellStyle name="_KT (2)_5_Book1" xfId="86"/>
    <cellStyle name="_KT (2)_Book1" xfId="87"/>
    <cellStyle name="_KT (2)_Book1_1" xfId="88"/>
    <cellStyle name="_KT (2)_Book1_Book1" xfId="89"/>
    <cellStyle name="_KT (2)_Book1_HNI-93-0019 Taisei (Hanoi) Electronics Viet Nam Factory" xfId="90"/>
    <cellStyle name="_KT (2)_Book1_HNI-93-0019 Taisei (Hanoi) Electronics Vietnam factory" xfId="91"/>
    <cellStyle name="_KT (2)_Book1_HNI-93-0019 Taisei (Hanoi) Electronics Vietnam factory_Outline for CORONA" xfId="92"/>
    <cellStyle name="_KT (2)_Book1_HNI-93-0143 A Sewing Vietnam Factory(Cover Page)" xfId="93"/>
    <cellStyle name="_KT (2)_Book1_RHYTHM PHASE-2工事概要" xfId="94"/>
    <cellStyle name="_KT (2)_Book1_RHYTHM PHASE-2工事概要_Outline for CORONA" xfId="95"/>
    <cellStyle name="_KT (2)_HNI-93-0019 Taisei (Hanoi) Electronics Viet Nam Factory" xfId="96"/>
    <cellStyle name="_KT (2)_HNI-93-0019 Taisei (Hanoi) Electronics Vietnam factory" xfId="97"/>
    <cellStyle name="_KT (2)_HNI-93-0019 Taisei (Hanoi) Electronics Vietnam factory_Outline for CORONA" xfId="98"/>
    <cellStyle name="_KT (2)_HNI-93-0143 A Sewing Vietnam Factory(Cover Page)" xfId="99"/>
    <cellStyle name="_KT (2)_RHYTHM PHASE-2工事概要" xfId="100"/>
    <cellStyle name="_KT (2)_RHYTHM PHASE-2工事概要_Outline for CORONA" xfId="101"/>
    <cellStyle name="_KT (2)_TG-TH" xfId="102"/>
    <cellStyle name="_KT_TG" xfId="103"/>
    <cellStyle name="_KT_TG_1" xfId="104"/>
    <cellStyle name="_KT_TG_1_Book1" xfId="105"/>
    <cellStyle name="_KT_TG_2" xfId="106"/>
    <cellStyle name="_KT_TG_2_Book1" xfId="107"/>
    <cellStyle name="_KT_TG_3" xfId="108"/>
    <cellStyle name="_KT_TG_4" xfId="109"/>
    <cellStyle name="_KT_TG_4_Book1" xfId="110"/>
    <cellStyle name="_KT_TG_4_HNI-93-0019 Taisei (Hanoi) Electronics Viet Nam Factory" xfId="111"/>
    <cellStyle name="_KT_TG_4_HNI-93-0019 Taisei (Hanoi) Electronics Vietnam factory" xfId="112"/>
    <cellStyle name="_KT_TG_4_HNI-93-0019 Taisei (Hanoi) Electronics Vietnam factory_Outline for CORONA" xfId="113"/>
    <cellStyle name="_KT_TG_4_HNI-93-0143 A Sewing Vietnam Factory(Cover Page)" xfId="114"/>
    <cellStyle name="_KT_TG_4_RHYTHM PHASE-2工事概要" xfId="115"/>
    <cellStyle name="_KT_TG_4_RHYTHM PHASE-2工事概要_Outline for CORONA" xfId="116"/>
    <cellStyle name="_NET-R0-OMURON-2Jan06" xfId="117"/>
    <cellStyle name="_NET-R0-OMURON-2Jan06 (1)" xfId="118"/>
    <cellStyle name="_NET-R9-TOMIYA-15dec06-rev1" xfId="119"/>
    <cellStyle name="_x0001__Outline for CORONA" xfId="120"/>
    <cellStyle name="_Reference Outline" xfId="121"/>
    <cellStyle name="_RHYTHM PHASE-2工事概要" xfId="122"/>
    <cellStyle name="_RHYTHM PHASE-2工事概要_Outline for CORONA" xfId="123"/>
    <cellStyle name="_SUB-R1-AIDEN-16dec06-SUMMARY" xfId="124"/>
    <cellStyle name="_TG-TH" xfId="125"/>
    <cellStyle name="_TG-TH_1" xfId="126"/>
    <cellStyle name="_TG-TH_1_Book1" xfId="127"/>
    <cellStyle name="_TG-TH_2" xfId="128"/>
    <cellStyle name="_TG-TH_2_Book1" xfId="129"/>
    <cellStyle name="_TG-TH_3" xfId="130"/>
    <cellStyle name="_TG-TH_3_Book1" xfId="131"/>
    <cellStyle name="_TG-TH_3_HNI-93-0019 Taisei (Hanoi) Electronics Viet Nam Factory" xfId="132"/>
    <cellStyle name="_TG-TH_3_HNI-93-0019 Taisei (Hanoi) Electronics Vietnam factory" xfId="133"/>
    <cellStyle name="_TG-TH_3_HNI-93-0019 Taisei (Hanoi) Electronics Vietnam factory_Outline for CORONA" xfId="134"/>
    <cellStyle name="_TG-TH_3_HNI-93-0143 A Sewing Vietnam Factory(Cover Page)" xfId="135"/>
    <cellStyle name="_TG-TH_3_RHYTHM PHASE-2工事概要" xfId="136"/>
    <cellStyle name="_TG-TH_3_RHYTHM PHASE-2工事概要_Outline for CORONA" xfId="137"/>
    <cellStyle name="_TG-TH_4" xfId="138"/>
    <cellStyle name="_四変テック減額案（SEC-M&amp;E）-rev" xfId="139"/>
    <cellStyle name="’Ê‰Ý [0.00]_Add and Red2" xfId="140"/>
    <cellStyle name="’Ê‰Ý_Add and Red2" xfId="141"/>
    <cellStyle name="–¢’è‹`" xfId="142"/>
    <cellStyle name="•\Ž¦Ï‚Ý‚ÌƒnƒCƒp[ƒŠƒ“ƒN" xfId="143"/>
    <cellStyle name="•W€_’ •[01" xfId="144"/>
    <cellStyle name="•W_¯–ì" xfId="145"/>
    <cellStyle name="\¦ÏÝÌnCp[N" xfId="146"/>
    <cellStyle name="aOe [0.00]_s-ns-bq" xfId="147"/>
    <cellStyle name="aOe_s-ns-bq" xfId="148"/>
    <cellStyle name="ÊÝ [0.00]_ÝõO[v" xfId="149"/>
    <cellStyle name="EY [0.00]_CONDITION (2)" xfId="150"/>
    <cellStyle name="ÊÝ_ÝõO[v" xfId="151"/>
    <cellStyle name="EY_CONDITION (2)" xfId="152"/>
    <cellStyle name="nCp[N" xfId="153"/>
    <cellStyle name="W_ [01" xfId="154"/>
    <cellStyle name="¹éºÐÀ²_±âÅ¸" xfId="155"/>
    <cellStyle name="20% - 强调文字颜色 1" xfId="156"/>
    <cellStyle name="20% - 强调文字颜色 2" xfId="157"/>
    <cellStyle name="20% - 强调文字颜色 3" xfId="158"/>
    <cellStyle name="20% - 强调文字颜色 4" xfId="159"/>
    <cellStyle name="20% - 强调文字颜色 5" xfId="160"/>
    <cellStyle name="20% - 强调文字颜色 6" xfId="161"/>
    <cellStyle name="40% - 强调文字颜色 1" xfId="162"/>
    <cellStyle name="40% - 强调文字颜色 2" xfId="163"/>
    <cellStyle name="40% - 强调文字颜色 3" xfId="164"/>
    <cellStyle name="40% - 强调文字颜色 4" xfId="165"/>
    <cellStyle name="40% - 强调文字颜色 5" xfId="166"/>
    <cellStyle name="40% - 强调文字颜色 6" xfId="167"/>
    <cellStyle name="60% - 强调文字颜色 1" xfId="168"/>
    <cellStyle name="60% - 强调文字颜色 2" xfId="169"/>
    <cellStyle name="60% - 强调文字颜色 3" xfId="170"/>
    <cellStyle name="60% - 强调文字颜色 4" xfId="171"/>
    <cellStyle name="60% - 强调文字颜色 5" xfId="172"/>
    <cellStyle name="60% - 强调文字颜色 6" xfId="173"/>
    <cellStyle name="ÅëÈ­ [0]_±âÅ¸" xfId="174"/>
    <cellStyle name="AeE­ [0]_INQUIRY ¿μ¾÷AßAø " xfId="175"/>
    <cellStyle name="ÅëÈ­ [0]_ÿÿÿÿÿÿ" xfId="176"/>
    <cellStyle name="ÅëÈ­_±âÅ¸" xfId="177"/>
    <cellStyle name="AeE­_INQUIRY ¿µ¾÷AßAø " xfId="178"/>
    <cellStyle name="ÅëÈ­_ÿÿÿÿÿÿ" xfId="179"/>
    <cellStyle name="APPEAR" xfId="180"/>
    <cellStyle name="ÄÞ¸¶ [0]_±âÅ¸" xfId="181"/>
    <cellStyle name="AÞ¸¶ [0]_INQUIRY ¿?¾÷AßAø " xfId="182"/>
    <cellStyle name="ÄÞ¸¶ [0]_ÿÿÿÿÿÿ" xfId="183"/>
    <cellStyle name="ÄÞ¸¶_±âÅ¸" xfId="184"/>
    <cellStyle name="AÞ¸¶_INQUIRY ¿?¾÷AßAø " xfId="185"/>
    <cellStyle name="ÄÞ¸¶_ÿÿÿÿÿÿ" xfId="186"/>
    <cellStyle name="AutoFormat Options" xfId="187"/>
    <cellStyle name="C?AØ_¿?¾÷CoE² " xfId="188"/>
    <cellStyle name="Ç¥ÁØ_#2(M17)_1" xfId="189"/>
    <cellStyle name="C￥AØ_¿μ¾÷CoE² " xfId="190"/>
    <cellStyle name="Ç¥ÁØ_°èÈ¹" xfId="191"/>
    <cellStyle name="Calc Currency (0)" xfId="192"/>
    <cellStyle name="category" xfId="193"/>
    <cellStyle name="Cerrency_Sheet2_XANGDAU" xfId="194"/>
    <cellStyle name="Comma" xfId="195" builtinId="3"/>
    <cellStyle name="Comma [0]" xfId="196" builtinId="6"/>
    <cellStyle name="Comma [0] 2" xfId="197"/>
    <cellStyle name="Comma [0] 3" xfId="198"/>
    <cellStyle name="Comma [0] 4" xfId="199"/>
    <cellStyle name="Comma 10" xfId="200"/>
    <cellStyle name="Comma 14" xfId="201"/>
    <cellStyle name="Comma 2" xfId="202"/>
    <cellStyle name="Comma 2 2" xfId="203"/>
    <cellStyle name="Comma 2 3" xfId="204"/>
    <cellStyle name="Comma 3" xfId="205"/>
    <cellStyle name="Comma 3 2" xfId="206"/>
    <cellStyle name="Comma 4" xfId="207"/>
    <cellStyle name="Comma 4 2" xfId="208"/>
    <cellStyle name="Comma0" xfId="209"/>
    <cellStyle name="Currency 2" xfId="210"/>
    <cellStyle name="Currency0" xfId="211"/>
    <cellStyle name="Date" xfId="212"/>
    <cellStyle name="Extensions" xfId="213"/>
    <cellStyle name="Fixed" xfId="214"/>
    <cellStyle name="ƒnƒCƒp[ƒŠƒ“ƒN" xfId="215"/>
    <cellStyle name="Grey" xfId="216"/>
    <cellStyle name="HEADER" xfId="217"/>
    <cellStyle name="Header1" xfId="218"/>
    <cellStyle name="Header2" xfId="219"/>
    <cellStyle name="Heading 1" xfId="220"/>
    <cellStyle name="Heading 2" xfId="221"/>
    <cellStyle name="HIDE" xfId="222"/>
    <cellStyle name="i·0" xfId="223"/>
    <cellStyle name="Input [yellow]" xfId="224"/>
    <cellStyle name="MARK" xfId="225"/>
    <cellStyle name="Milliers [0]_      " xfId="226"/>
    <cellStyle name="Milliers_      " xfId="227"/>
    <cellStyle name="Model" xfId="228"/>
    <cellStyle name="Monétaire [0]_      " xfId="229"/>
    <cellStyle name="Monétaire_      " xfId="230"/>
    <cellStyle name="Mon騁aire [0]_AR1194" xfId="231"/>
    <cellStyle name="Mon騁aire_AR1194" xfId="232"/>
    <cellStyle name="n" xfId="233"/>
    <cellStyle name="Normal" xfId="0" builtinId="0"/>
    <cellStyle name="Normal - Style1" xfId="234"/>
    <cellStyle name="Normal - Style2" xfId="235"/>
    <cellStyle name="Normal - Style3" xfId="236"/>
    <cellStyle name="Normal - Style4" xfId="237"/>
    <cellStyle name="Normal - Style5" xfId="238"/>
    <cellStyle name="Normal - Style6" xfId="239"/>
    <cellStyle name="Normal - Style7" xfId="240"/>
    <cellStyle name="Normal - Style8" xfId="241"/>
    <cellStyle name="Normal 2" xfId="242"/>
    <cellStyle name="Normal 3" xfId="243"/>
    <cellStyle name="Normal 4" xfId="244"/>
    <cellStyle name="Normal_Quotation for building (Trung Nam Hai)_090714_Nippon Express_Quotation (R6)  (1)" xfId="245"/>
    <cellStyle name="Normalny_Format-20.06.02" xfId="246"/>
    <cellStyle name="Œ©Ï-1" xfId="247"/>
    <cellStyle name="Œ…‹æØ‚è [0.00]_Add and Red2" xfId="248"/>
    <cellStyle name="Œ…‹æØ‚è_Add and Red2" xfId="249"/>
    <cellStyle name="Percent" xfId="250" builtinId="5"/>
    <cellStyle name="Percent [2]" xfId="251"/>
    <cellStyle name="Percent 2" xfId="252"/>
    <cellStyle name="Percent 3" xfId="253"/>
    <cellStyle name="PERCENTAGE" xfId="254"/>
    <cellStyle name="Quants" xfId="255"/>
    <cellStyle name="S—_x0008_" xfId="256"/>
    <cellStyle name="subhead" xfId="257"/>
    <cellStyle name="T" xfId="258"/>
    <cellStyle name="th" xfId="259"/>
    <cellStyle name="tof" xfId="260"/>
    <cellStyle name="Tonnes" xfId="261"/>
    <cellStyle name="tot" xfId="262"/>
    <cellStyle name="Total" xfId="263"/>
    <cellStyle name="viet" xfId="264"/>
    <cellStyle name="viet2" xfId="265"/>
    <cellStyle name="ｳfｹBQSUM" xfId="266"/>
    <cellStyle name="ｳfｹBQSUM(D)" xfId="267"/>
    <cellStyle name="スタイル 1" xfId="268"/>
    <cellStyle name="スタイル 10" xfId="269"/>
    <cellStyle name="スタイル 11" xfId="270"/>
    <cellStyle name="スタイル 12" xfId="271"/>
    <cellStyle name="スタイル 13" xfId="272"/>
    <cellStyle name="スタイル 14" xfId="273"/>
    <cellStyle name="スタイル 15" xfId="274"/>
    <cellStyle name="スタイル 16" xfId="275"/>
    <cellStyle name="スタイル 17" xfId="276"/>
    <cellStyle name="スタイル 2" xfId="277"/>
    <cellStyle name="スタイル 3" xfId="278"/>
    <cellStyle name="スタイル 4" xfId="279"/>
    <cellStyle name="スタイル 5" xfId="280"/>
    <cellStyle name="スタイル 6" xfId="281"/>
    <cellStyle name="スタイル 7" xfId="282"/>
    <cellStyle name="スタイル 8" xfId="283"/>
    <cellStyle name="スタイル 9" xfId="284"/>
    <cellStyle name="パーセント 2" xfId="285"/>
    <cellStyle name="パーセント 3" xfId="286"/>
    <cellStyle name="パーセント 4" xfId="287"/>
    <cellStyle name="ハイパーリンク 2" xfId="288"/>
    <cellStyle name=" [0.00]_ Att. 1- Cover" xfId="289"/>
    <cellStyle name="_ Att. 1- Cover" xfId="290"/>
    <cellStyle name="?_ Att. 1- Cover" xfId="291"/>
    <cellStyle name="똿뗦먛귟 [0.00]_PRODUCT DETAIL Q1" xfId="292"/>
    <cellStyle name="똿뗦먛귟_PRODUCT DETAIL Q1" xfId="293"/>
    <cellStyle name="믅됞 [0.00]_PRODUCT DETAIL Q1" xfId="294"/>
    <cellStyle name="믅됞_PRODUCT DETAIL Q1" xfId="295"/>
    <cellStyle name="백분율_95" xfId="296"/>
    <cellStyle name="뷭?_BOOKSHIP" xfId="297"/>
    <cellStyle name="콤마 [0]_1202" xfId="298"/>
    <cellStyle name="콤마_1202" xfId="299"/>
    <cellStyle name="통화 [0]_1202" xfId="300"/>
    <cellStyle name="통화_1202" xfId="301"/>
    <cellStyle name="표준_(정보부문)월별인원계획" xfId="302"/>
    <cellStyle name="一般_00Q3902REV.1" xfId="303"/>
    <cellStyle name="千位分隔[0]_□FM■中国工場モデル内訳00■141005□社内NET提出□" xfId="304"/>
    <cellStyle name="千分位[0]_00Q3902REV.1" xfId="305"/>
    <cellStyle name="千分位_00Q3902REV.1" xfId="306"/>
    <cellStyle name="好" xfId="307"/>
    <cellStyle name="差" xfId="308"/>
    <cellStyle name="常规_Reference Bill of Quantity for TCZ Changings 2008-04-22(lixia)" xfId="309"/>
    <cellStyle name="强调文字颜色 1" xfId="310"/>
    <cellStyle name="强调文字颜色 2" xfId="311"/>
    <cellStyle name="强调文字颜色 3" xfId="312"/>
    <cellStyle name="强调文字颜色 4" xfId="313"/>
    <cellStyle name="强调文字颜色 5" xfId="314"/>
    <cellStyle name="强调文字颜色 6" xfId="315"/>
    <cellStyle name="未定義" xfId="316"/>
    <cellStyle name="标题" xfId="317"/>
    <cellStyle name="标题 1" xfId="318"/>
    <cellStyle name="标题 2" xfId="319"/>
    <cellStyle name="标题 3" xfId="320"/>
    <cellStyle name="标题 4" xfId="321"/>
    <cellStyle name="桁区切り [0.00] 2" xfId="322"/>
    <cellStyle name="桁区切り [0.00] 3" xfId="323"/>
    <cellStyle name="桁区切り [0.00]_New Jikoyosan ver VN-JPN01" xfId="324"/>
    <cellStyle name="桁区切り 2" xfId="325"/>
    <cellStyle name="桁区切り 2 2" xfId="326"/>
    <cellStyle name="桁区切り 2 3" xfId="327"/>
    <cellStyle name="桁区切り 2 4" xfId="328"/>
    <cellStyle name="桁区切り 2 4 2" xfId="329"/>
    <cellStyle name="桁区切り 3" xfId="330"/>
    <cellStyle name="桁区切り 3 2" xfId="331"/>
    <cellStyle name="桁区切り 4" xfId="332"/>
    <cellStyle name="桁区切り 5" xfId="333"/>
    <cellStyle name="桁区切り 6" xfId="334"/>
    <cellStyle name="桁区切り 7" xfId="335"/>
    <cellStyle name="桁区切り 8" xfId="336"/>
    <cellStyle name="桁区切り_Base sillicon trans Cost JP Building (8-Feb-2010)" xfId="337"/>
    <cellStyle name="桁蟻唇Ｆ [0.00]_s-ns-bq" xfId="338"/>
    <cellStyle name="桁蟻唇Ｆ_s-ns-bq" xfId="339"/>
    <cellStyle name="检查单元格" xfId="340"/>
    <cellStyle name="標準 2" xfId="341"/>
    <cellStyle name="標準 2 4" xfId="342"/>
    <cellStyle name="標準 3" xfId="343"/>
    <cellStyle name="標準 4" xfId="344"/>
    <cellStyle name="標準 5" xfId="345"/>
    <cellStyle name="標準_Base sillicon trans Cost JP Building (8-Feb-2010)" xfId="346"/>
    <cellStyle name="標準_Condition" xfId="347"/>
    <cellStyle name="標準_Condition-R3" xfId="348"/>
    <cellStyle name="標準_CP-3-29dec01" xfId="349"/>
    <cellStyle name="標準_CP-3-29dec01_Condition 1" xfId="350"/>
    <cellStyle name="標準_CP-3-29dec01_NET-GOKO 24Apr'08" xfId="351"/>
    <cellStyle name="標準_CP-3-29dec01_NET-GOKO 24Apr'08_R-0 Shimz Kewlie Elect (21-May-2010)" xfId="352"/>
    <cellStyle name="標準_Equipment List" xfId="353"/>
    <cellStyle name="標準_Form net" xfId="354"/>
    <cellStyle name="標準_Kurabe Contract BQ (09062006)" xfId="355"/>
    <cellStyle name="標準_New Jikoyosan ver VN-JPN01" xfId="356"/>
    <cellStyle name="標準_North Star BOQ(1404)" xfId="357"/>
    <cellStyle name="汇总" xfId="358"/>
    <cellStyle name="注释" xfId="359"/>
    <cellStyle name="脱浦 [0.00]_CONDITION (2)" xfId="360"/>
    <cellStyle name="脱浦_CONDITION (2)" xfId="361"/>
    <cellStyle name="解释性文本" xfId="362"/>
    <cellStyle name="警告文本" xfId="363"/>
    <cellStyle name="计算" xfId="364"/>
    <cellStyle name="貨幣 [0]_00Q3902REV.1" xfId="365"/>
    <cellStyle name="貨幣[0]_BRE" xfId="366"/>
    <cellStyle name="貨幣_00Q3902REV.1" xfId="367"/>
    <cellStyle name="输入" xfId="368"/>
    <cellStyle name="输出" xfId="369"/>
    <cellStyle name="适中" xfId="370"/>
    <cellStyle name="通貨 [0.00] 2" xfId="371"/>
    <cellStyle name="通貨 [0.00]_New Jikoyosan ver VN-JPN01" xfId="372"/>
    <cellStyle name="链接单元格" xfId="373"/>
    <cellStyle name="非表示" xfId="374"/>
  </cellStyles>
  <dxfs count="0"/>
  <tableStyles count="0" defaultTableStyle="TableStyleMedium9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5.xml"/><Relationship Id="rId18" Type="http://schemas.openxmlformats.org/officeDocument/2006/relationships/externalLink" Target="externalLinks/externalLink10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4.xml"/><Relationship Id="rId17" Type="http://schemas.openxmlformats.org/officeDocument/2006/relationships/externalLink" Target="externalLinks/externalLink9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8.xml"/><Relationship Id="rId20" Type="http://schemas.openxmlformats.org/officeDocument/2006/relationships/externalLink" Target="externalLinks/externalLink1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7.xml"/><Relationship Id="rId23" Type="http://schemas.openxmlformats.org/officeDocument/2006/relationships/sharedStrings" Target="sharedStrings.xml"/><Relationship Id="rId10" Type="http://schemas.openxmlformats.org/officeDocument/2006/relationships/externalLink" Target="externalLinks/externalLink2.xml"/><Relationship Id="rId19" Type="http://schemas.openxmlformats.org/officeDocument/2006/relationships/externalLink" Target="externalLinks/externalLink1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externalLink" Target="externalLinks/externalLink6.xml"/><Relationship Id="rId22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95250</xdr:colOff>
      <xdr:row>8</xdr:row>
      <xdr:rowOff>38100</xdr:rowOff>
    </xdr:from>
    <xdr:to>
      <xdr:col>4</xdr:col>
      <xdr:colOff>276225</xdr:colOff>
      <xdr:row>10</xdr:row>
      <xdr:rowOff>38100</xdr:rowOff>
    </xdr:to>
    <xdr:sp macro="" textlink="">
      <xdr:nvSpPr>
        <xdr:cNvPr id="1032" name="AutoShape 1"/>
        <xdr:cNvSpPr>
          <a:spLocks/>
        </xdr:cNvSpPr>
      </xdr:nvSpPr>
      <xdr:spPr bwMode="auto">
        <a:xfrm>
          <a:off x="2590800" y="1628775"/>
          <a:ext cx="180975" cy="457200"/>
        </a:xfrm>
        <a:prstGeom prst="rightBrace">
          <a:avLst>
            <a:gd name="adj1" fmla="val 20667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8</xdr:col>
      <xdr:colOff>0</xdr:colOff>
      <xdr:row>1</xdr:row>
      <xdr:rowOff>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6505575" y="18097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altLang="ja-JP" sz="700" b="0" i="0" strike="noStrike">
              <a:solidFill>
                <a:srgbClr val="000000"/>
              </a:solidFill>
              <a:latin typeface="Arial"/>
              <a:cs typeface="Arial"/>
            </a:rPr>
            <a:t>2</a:t>
          </a:r>
        </a:p>
      </xdr:txBody>
    </xdr:sp>
    <xdr:clientData/>
  </xdr:twoCellAnchor>
  <xdr:twoCellAnchor>
    <xdr:from>
      <xdr:col>4</xdr:col>
      <xdr:colOff>57150</xdr:colOff>
      <xdr:row>1</xdr:row>
      <xdr:rowOff>0</xdr:rowOff>
    </xdr:from>
    <xdr:to>
      <xdr:col>4</xdr:col>
      <xdr:colOff>171450</xdr:colOff>
      <xdr:row>1</xdr:row>
      <xdr:rowOff>0</xdr:rowOff>
    </xdr:to>
    <xdr:sp macro="" textlink="">
      <xdr:nvSpPr>
        <xdr:cNvPr id="3" name="Text Box 2"/>
        <xdr:cNvSpPr txBox="1">
          <a:spLocks noChangeArrowheads="1"/>
        </xdr:cNvSpPr>
      </xdr:nvSpPr>
      <xdr:spPr bwMode="auto">
        <a:xfrm>
          <a:off x="2619375" y="180975"/>
          <a:ext cx="114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altLang="ja-JP" sz="700" b="0" i="0" strike="noStrike">
              <a:solidFill>
                <a:srgbClr val="000000"/>
              </a:solidFill>
              <a:latin typeface="Arial"/>
              <a:cs typeface="Arial"/>
            </a:rPr>
            <a:t>A</a:t>
          </a:r>
        </a:p>
      </xdr:txBody>
    </xdr:sp>
    <xdr:clientData/>
  </xdr:twoCellAnchor>
  <xdr:twoCellAnchor>
    <xdr:from>
      <xdr:col>4</xdr:col>
      <xdr:colOff>57150</xdr:colOff>
      <xdr:row>1</xdr:row>
      <xdr:rowOff>0</xdr:rowOff>
    </xdr:from>
    <xdr:to>
      <xdr:col>4</xdr:col>
      <xdr:colOff>171450</xdr:colOff>
      <xdr:row>1</xdr:row>
      <xdr:rowOff>0</xdr:rowOff>
    </xdr:to>
    <xdr:sp macro="" textlink="">
      <xdr:nvSpPr>
        <xdr:cNvPr id="4" name="Text Box 3"/>
        <xdr:cNvSpPr txBox="1">
          <a:spLocks noChangeArrowheads="1"/>
        </xdr:cNvSpPr>
      </xdr:nvSpPr>
      <xdr:spPr bwMode="auto">
        <a:xfrm>
          <a:off x="2619375" y="180975"/>
          <a:ext cx="114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altLang="ja-JP" sz="700" b="0" i="0" strike="noStrike">
              <a:solidFill>
                <a:srgbClr val="000000"/>
              </a:solidFill>
              <a:latin typeface="Arial"/>
              <a:cs typeface="Arial"/>
            </a:rPr>
            <a:t>BB</a:t>
          </a:r>
        </a:p>
      </xdr:txBody>
    </xdr:sp>
    <xdr:clientData/>
  </xdr:twoCellAnchor>
  <xdr:twoCellAnchor>
    <xdr:from>
      <xdr:col>4</xdr:col>
      <xdr:colOff>57150</xdr:colOff>
      <xdr:row>1</xdr:row>
      <xdr:rowOff>0</xdr:rowOff>
    </xdr:from>
    <xdr:to>
      <xdr:col>4</xdr:col>
      <xdr:colOff>159256</xdr:colOff>
      <xdr:row>1</xdr:row>
      <xdr:rowOff>0</xdr:rowOff>
    </xdr:to>
    <xdr:sp macro="" textlink="">
      <xdr:nvSpPr>
        <xdr:cNvPr id="5" name="Text Box 4"/>
        <xdr:cNvSpPr txBox="1">
          <a:spLocks noChangeArrowheads="1"/>
        </xdr:cNvSpPr>
      </xdr:nvSpPr>
      <xdr:spPr bwMode="auto">
        <a:xfrm>
          <a:off x="2619375" y="180975"/>
          <a:ext cx="1047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altLang="ja-JP" sz="700" b="0" i="0" strike="noStrike">
              <a:solidFill>
                <a:srgbClr val="000000"/>
              </a:solidFill>
              <a:latin typeface="Arial"/>
              <a:cs typeface="Arial"/>
            </a:rPr>
            <a:t>C</a:t>
          </a:r>
        </a:p>
      </xdr:txBody>
    </xdr:sp>
    <xdr:clientData/>
  </xdr:twoCellAnchor>
  <xdr:twoCellAnchor>
    <xdr:from>
      <xdr:col>4</xdr:col>
      <xdr:colOff>57150</xdr:colOff>
      <xdr:row>1</xdr:row>
      <xdr:rowOff>0</xdr:rowOff>
    </xdr:from>
    <xdr:to>
      <xdr:col>4</xdr:col>
      <xdr:colOff>171450</xdr:colOff>
      <xdr:row>1</xdr:row>
      <xdr:rowOff>0</xdr:rowOff>
    </xdr:to>
    <xdr:sp macro="" textlink="">
      <xdr:nvSpPr>
        <xdr:cNvPr id="6" name="Text Box 5"/>
        <xdr:cNvSpPr txBox="1">
          <a:spLocks noChangeArrowheads="1"/>
        </xdr:cNvSpPr>
      </xdr:nvSpPr>
      <xdr:spPr bwMode="auto">
        <a:xfrm>
          <a:off x="2619375" y="180975"/>
          <a:ext cx="114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altLang="ja-JP" sz="700" b="0" i="0" strike="noStrike">
              <a:solidFill>
                <a:srgbClr val="000000"/>
              </a:solidFill>
              <a:latin typeface="Arial"/>
              <a:cs typeface="Arial"/>
            </a:rPr>
            <a:t>DD</a:t>
          </a:r>
        </a:p>
      </xdr:txBody>
    </xdr:sp>
    <xdr:clientData/>
  </xdr:twoCellAnchor>
  <xdr:twoCellAnchor>
    <xdr:from>
      <xdr:col>4</xdr:col>
      <xdr:colOff>57150</xdr:colOff>
      <xdr:row>1</xdr:row>
      <xdr:rowOff>0</xdr:rowOff>
    </xdr:from>
    <xdr:to>
      <xdr:col>4</xdr:col>
      <xdr:colOff>171450</xdr:colOff>
      <xdr:row>1</xdr:row>
      <xdr:rowOff>0</xdr:rowOff>
    </xdr:to>
    <xdr:sp macro="" textlink="">
      <xdr:nvSpPr>
        <xdr:cNvPr id="7" name="Text Box 6"/>
        <xdr:cNvSpPr txBox="1">
          <a:spLocks noChangeArrowheads="1"/>
        </xdr:cNvSpPr>
      </xdr:nvSpPr>
      <xdr:spPr bwMode="auto">
        <a:xfrm>
          <a:off x="2619375" y="180975"/>
          <a:ext cx="114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altLang="ja-JP" sz="700" b="0" i="0" strike="noStrike">
              <a:solidFill>
                <a:srgbClr val="000000"/>
              </a:solidFill>
              <a:latin typeface="Arial"/>
              <a:cs typeface="Arial"/>
            </a:rPr>
            <a:t>E</a:t>
          </a:r>
        </a:p>
      </xdr:txBody>
    </xdr:sp>
    <xdr:clientData/>
  </xdr:twoCellAnchor>
  <xdr:twoCellAnchor>
    <xdr:from>
      <xdr:col>8</xdr:col>
      <xdr:colOff>0</xdr:colOff>
      <xdr:row>1</xdr:row>
      <xdr:rowOff>0</xdr:rowOff>
    </xdr:from>
    <xdr:to>
      <xdr:col>8</xdr:col>
      <xdr:colOff>0</xdr:colOff>
      <xdr:row>1</xdr:row>
      <xdr:rowOff>0</xdr:rowOff>
    </xdr:to>
    <xdr:sp macro="" textlink="">
      <xdr:nvSpPr>
        <xdr:cNvPr id="8" name="Text Box 7"/>
        <xdr:cNvSpPr txBox="1">
          <a:spLocks noChangeArrowheads="1"/>
        </xdr:cNvSpPr>
      </xdr:nvSpPr>
      <xdr:spPr bwMode="auto">
        <a:xfrm>
          <a:off x="6505575" y="18097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altLang="ja-JP" sz="700" b="0" i="0" strike="noStrike">
              <a:solidFill>
                <a:srgbClr val="000000"/>
              </a:solidFill>
              <a:latin typeface="Arial"/>
              <a:cs typeface="Arial"/>
            </a:rPr>
            <a:t>2</a:t>
          </a:r>
        </a:p>
      </xdr:txBody>
    </xdr:sp>
    <xdr:clientData/>
  </xdr:twoCellAnchor>
  <xdr:twoCellAnchor>
    <xdr:from>
      <xdr:col>8</xdr:col>
      <xdr:colOff>0</xdr:colOff>
      <xdr:row>1</xdr:row>
      <xdr:rowOff>0</xdr:rowOff>
    </xdr:from>
    <xdr:to>
      <xdr:col>8</xdr:col>
      <xdr:colOff>0</xdr:colOff>
      <xdr:row>1</xdr:row>
      <xdr:rowOff>0</xdr:rowOff>
    </xdr:to>
    <xdr:sp macro="" textlink="">
      <xdr:nvSpPr>
        <xdr:cNvPr id="9" name="Text Box 8"/>
        <xdr:cNvSpPr txBox="1">
          <a:spLocks noChangeArrowheads="1"/>
        </xdr:cNvSpPr>
      </xdr:nvSpPr>
      <xdr:spPr bwMode="auto">
        <a:xfrm>
          <a:off x="6505575" y="18097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altLang="ja-JP" sz="700" b="0" i="0" strike="noStrike">
              <a:solidFill>
                <a:srgbClr val="000000"/>
              </a:solidFill>
              <a:latin typeface="Arial"/>
              <a:cs typeface="Arial"/>
            </a:rPr>
            <a:t>2</a:t>
          </a:r>
        </a:p>
      </xdr:txBody>
    </xdr:sp>
    <xdr:clientData/>
  </xdr:twoCellAnchor>
  <xdr:twoCellAnchor>
    <xdr:from>
      <xdr:col>4</xdr:col>
      <xdr:colOff>57150</xdr:colOff>
      <xdr:row>1</xdr:row>
      <xdr:rowOff>0</xdr:rowOff>
    </xdr:from>
    <xdr:to>
      <xdr:col>4</xdr:col>
      <xdr:colOff>171450</xdr:colOff>
      <xdr:row>1</xdr:row>
      <xdr:rowOff>0</xdr:rowOff>
    </xdr:to>
    <xdr:sp macro="" textlink="">
      <xdr:nvSpPr>
        <xdr:cNvPr id="10" name="Text Box 9"/>
        <xdr:cNvSpPr txBox="1">
          <a:spLocks noChangeArrowheads="1"/>
        </xdr:cNvSpPr>
      </xdr:nvSpPr>
      <xdr:spPr bwMode="auto">
        <a:xfrm>
          <a:off x="2619375" y="180975"/>
          <a:ext cx="114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altLang="ja-JP" sz="700" b="0" i="0" strike="noStrike">
              <a:solidFill>
                <a:srgbClr val="000000"/>
              </a:solidFill>
              <a:latin typeface="Arial"/>
              <a:cs typeface="Arial"/>
            </a:rPr>
            <a:t>A</a:t>
          </a:r>
        </a:p>
      </xdr:txBody>
    </xdr:sp>
    <xdr:clientData/>
  </xdr:twoCellAnchor>
  <xdr:twoCellAnchor>
    <xdr:from>
      <xdr:col>4</xdr:col>
      <xdr:colOff>57150</xdr:colOff>
      <xdr:row>1</xdr:row>
      <xdr:rowOff>0</xdr:rowOff>
    </xdr:from>
    <xdr:to>
      <xdr:col>4</xdr:col>
      <xdr:colOff>171450</xdr:colOff>
      <xdr:row>1</xdr:row>
      <xdr:rowOff>0</xdr:rowOff>
    </xdr:to>
    <xdr:sp macro="" textlink="">
      <xdr:nvSpPr>
        <xdr:cNvPr id="11" name="Text Box 10"/>
        <xdr:cNvSpPr txBox="1">
          <a:spLocks noChangeArrowheads="1"/>
        </xdr:cNvSpPr>
      </xdr:nvSpPr>
      <xdr:spPr bwMode="auto">
        <a:xfrm>
          <a:off x="2619375" y="180975"/>
          <a:ext cx="114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altLang="ja-JP" sz="700" b="0" i="0" strike="noStrike">
              <a:solidFill>
                <a:srgbClr val="000000"/>
              </a:solidFill>
              <a:latin typeface="Arial"/>
              <a:cs typeface="Arial"/>
            </a:rPr>
            <a:t>BB</a:t>
          </a:r>
        </a:p>
      </xdr:txBody>
    </xdr:sp>
    <xdr:clientData/>
  </xdr:twoCellAnchor>
  <xdr:twoCellAnchor>
    <xdr:from>
      <xdr:col>4</xdr:col>
      <xdr:colOff>57150</xdr:colOff>
      <xdr:row>1</xdr:row>
      <xdr:rowOff>0</xdr:rowOff>
    </xdr:from>
    <xdr:to>
      <xdr:col>4</xdr:col>
      <xdr:colOff>159256</xdr:colOff>
      <xdr:row>1</xdr:row>
      <xdr:rowOff>0</xdr:rowOff>
    </xdr:to>
    <xdr:sp macro="" textlink="">
      <xdr:nvSpPr>
        <xdr:cNvPr id="12" name="Text Box 11"/>
        <xdr:cNvSpPr txBox="1">
          <a:spLocks noChangeArrowheads="1"/>
        </xdr:cNvSpPr>
      </xdr:nvSpPr>
      <xdr:spPr bwMode="auto">
        <a:xfrm>
          <a:off x="2619375" y="180975"/>
          <a:ext cx="1047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altLang="ja-JP" sz="700" b="0" i="0" strike="noStrike">
              <a:solidFill>
                <a:srgbClr val="000000"/>
              </a:solidFill>
              <a:latin typeface="Arial"/>
              <a:cs typeface="Arial"/>
            </a:rPr>
            <a:t>C</a:t>
          </a:r>
        </a:p>
      </xdr:txBody>
    </xdr:sp>
    <xdr:clientData/>
  </xdr:twoCellAnchor>
  <xdr:twoCellAnchor>
    <xdr:from>
      <xdr:col>4</xdr:col>
      <xdr:colOff>57150</xdr:colOff>
      <xdr:row>1</xdr:row>
      <xdr:rowOff>0</xdr:rowOff>
    </xdr:from>
    <xdr:to>
      <xdr:col>4</xdr:col>
      <xdr:colOff>171450</xdr:colOff>
      <xdr:row>1</xdr:row>
      <xdr:rowOff>0</xdr:rowOff>
    </xdr:to>
    <xdr:sp macro="" textlink="">
      <xdr:nvSpPr>
        <xdr:cNvPr id="13" name="Text Box 12"/>
        <xdr:cNvSpPr txBox="1">
          <a:spLocks noChangeArrowheads="1"/>
        </xdr:cNvSpPr>
      </xdr:nvSpPr>
      <xdr:spPr bwMode="auto">
        <a:xfrm>
          <a:off x="2619375" y="180975"/>
          <a:ext cx="114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altLang="ja-JP" sz="700" b="0" i="0" strike="noStrike">
              <a:solidFill>
                <a:srgbClr val="000000"/>
              </a:solidFill>
              <a:latin typeface="Arial"/>
              <a:cs typeface="Arial"/>
            </a:rPr>
            <a:t>DD</a:t>
          </a:r>
        </a:p>
      </xdr:txBody>
    </xdr:sp>
    <xdr:clientData/>
  </xdr:twoCellAnchor>
  <xdr:twoCellAnchor>
    <xdr:from>
      <xdr:col>4</xdr:col>
      <xdr:colOff>57150</xdr:colOff>
      <xdr:row>1</xdr:row>
      <xdr:rowOff>0</xdr:rowOff>
    </xdr:from>
    <xdr:to>
      <xdr:col>4</xdr:col>
      <xdr:colOff>171450</xdr:colOff>
      <xdr:row>1</xdr:row>
      <xdr:rowOff>0</xdr:rowOff>
    </xdr:to>
    <xdr:sp macro="" textlink="">
      <xdr:nvSpPr>
        <xdr:cNvPr id="14" name="Text Box 13"/>
        <xdr:cNvSpPr txBox="1">
          <a:spLocks noChangeArrowheads="1"/>
        </xdr:cNvSpPr>
      </xdr:nvSpPr>
      <xdr:spPr bwMode="auto">
        <a:xfrm>
          <a:off x="2619375" y="180975"/>
          <a:ext cx="114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altLang="ja-JP" sz="700" b="0" i="0" strike="noStrike">
              <a:solidFill>
                <a:srgbClr val="000000"/>
              </a:solidFill>
              <a:latin typeface="Arial"/>
              <a:cs typeface="Arial"/>
            </a:rPr>
            <a:t>E</a:t>
          </a:r>
        </a:p>
      </xdr:txBody>
    </xdr:sp>
    <xdr:clientData/>
  </xdr:twoCellAnchor>
  <xdr:twoCellAnchor>
    <xdr:from>
      <xdr:col>8</xdr:col>
      <xdr:colOff>0</xdr:colOff>
      <xdr:row>1</xdr:row>
      <xdr:rowOff>0</xdr:rowOff>
    </xdr:from>
    <xdr:to>
      <xdr:col>8</xdr:col>
      <xdr:colOff>0</xdr:colOff>
      <xdr:row>1</xdr:row>
      <xdr:rowOff>0</xdr:rowOff>
    </xdr:to>
    <xdr:sp macro="" textlink="">
      <xdr:nvSpPr>
        <xdr:cNvPr id="15" name="Text Box 1"/>
        <xdr:cNvSpPr txBox="1">
          <a:spLocks noChangeArrowheads="1"/>
        </xdr:cNvSpPr>
      </xdr:nvSpPr>
      <xdr:spPr bwMode="auto">
        <a:xfrm>
          <a:off x="6696075" y="18097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altLang="ja-JP" sz="700" b="0" i="0" strike="noStrike">
              <a:solidFill>
                <a:srgbClr val="000000"/>
              </a:solidFill>
              <a:latin typeface="Arial"/>
              <a:cs typeface="Arial"/>
            </a:rPr>
            <a:t>2</a:t>
          </a:r>
        </a:p>
      </xdr:txBody>
    </xdr:sp>
    <xdr:clientData/>
  </xdr:twoCellAnchor>
  <xdr:twoCellAnchor>
    <xdr:from>
      <xdr:col>4</xdr:col>
      <xdr:colOff>57150</xdr:colOff>
      <xdr:row>1</xdr:row>
      <xdr:rowOff>0</xdr:rowOff>
    </xdr:from>
    <xdr:to>
      <xdr:col>4</xdr:col>
      <xdr:colOff>171450</xdr:colOff>
      <xdr:row>1</xdr:row>
      <xdr:rowOff>0</xdr:rowOff>
    </xdr:to>
    <xdr:sp macro="" textlink="">
      <xdr:nvSpPr>
        <xdr:cNvPr id="16" name="Text Box 2"/>
        <xdr:cNvSpPr txBox="1">
          <a:spLocks noChangeArrowheads="1"/>
        </xdr:cNvSpPr>
      </xdr:nvSpPr>
      <xdr:spPr bwMode="auto">
        <a:xfrm>
          <a:off x="2619375" y="180975"/>
          <a:ext cx="114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altLang="ja-JP" sz="700" b="0" i="0" strike="noStrike">
              <a:solidFill>
                <a:srgbClr val="000000"/>
              </a:solidFill>
              <a:latin typeface="Arial"/>
              <a:cs typeface="Arial"/>
            </a:rPr>
            <a:t>A</a:t>
          </a:r>
        </a:p>
      </xdr:txBody>
    </xdr:sp>
    <xdr:clientData/>
  </xdr:twoCellAnchor>
  <xdr:twoCellAnchor>
    <xdr:from>
      <xdr:col>4</xdr:col>
      <xdr:colOff>57150</xdr:colOff>
      <xdr:row>1</xdr:row>
      <xdr:rowOff>0</xdr:rowOff>
    </xdr:from>
    <xdr:to>
      <xdr:col>4</xdr:col>
      <xdr:colOff>171450</xdr:colOff>
      <xdr:row>1</xdr:row>
      <xdr:rowOff>0</xdr:rowOff>
    </xdr:to>
    <xdr:sp macro="" textlink="">
      <xdr:nvSpPr>
        <xdr:cNvPr id="17" name="Text Box 3"/>
        <xdr:cNvSpPr txBox="1">
          <a:spLocks noChangeArrowheads="1"/>
        </xdr:cNvSpPr>
      </xdr:nvSpPr>
      <xdr:spPr bwMode="auto">
        <a:xfrm>
          <a:off x="2619375" y="180975"/>
          <a:ext cx="114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altLang="ja-JP" sz="700" b="0" i="0" strike="noStrike">
              <a:solidFill>
                <a:srgbClr val="000000"/>
              </a:solidFill>
              <a:latin typeface="Arial"/>
              <a:cs typeface="Arial"/>
            </a:rPr>
            <a:t>BB</a:t>
          </a:r>
        </a:p>
      </xdr:txBody>
    </xdr:sp>
    <xdr:clientData/>
  </xdr:twoCellAnchor>
  <xdr:twoCellAnchor>
    <xdr:from>
      <xdr:col>4</xdr:col>
      <xdr:colOff>57150</xdr:colOff>
      <xdr:row>1</xdr:row>
      <xdr:rowOff>0</xdr:rowOff>
    </xdr:from>
    <xdr:to>
      <xdr:col>4</xdr:col>
      <xdr:colOff>159256</xdr:colOff>
      <xdr:row>1</xdr:row>
      <xdr:rowOff>0</xdr:rowOff>
    </xdr:to>
    <xdr:sp macro="" textlink="">
      <xdr:nvSpPr>
        <xdr:cNvPr id="18" name="Text Box 4"/>
        <xdr:cNvSpPr txBox="1">
          <a:spLocks noChangeArrowheads="1"/>
        </xdr:cNvSpPr>
      </xdr:nvSpPr>
      <xdr:spPr bwMode="auto">
        <a:xfrm>
          <a:off x="2619375" y="180975"/>
          <a:ext cx="1047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altLang="ja-JP" sz="700" b="0" i="0" strike="noStrike">
              <a:solidFill>
                <a:srgbClr val="000000"/>
              </a:solidFill>
              <a:latin typeface="Arial"/>
              <a:cs typeface="Arial"/>
            </a:rPr>
            <a:t>C</a:t>
          </a:r>
        </a:p>
      </xdr:txBody>
    </xdr:sp>
    <xdr:clientData/>
  </xdr:twoCellAnchor>
  <xdr:twoCellAnchor>
    <xdr:from>
      <xdr:col>4</xdr:col>
      <xdr:colOff>57150</xdr:colOff>
      <xdr:row>1</xdr:row>
      <xdr:rowOff>0</xdr:rowOff>
    </xdr:from>
    <xdr:to>
      <xdr:col>4</xdr:col>
      <xdr:colOff>171450</xdr:colOff>
      <xdr:row>1</xdr:row>
      <xdr:rowOff>0</xdr:rowOff>
    </xdr:to>
    <xdr:sp macro="" textlink="">
      <xdr:nvSpPr>
        <xdr:cNvPr id="19" name="Text Box 5"/>
        <xdr:cNvSpPr txBox="1">
          <a:spLocks noChangeArrowheads="1"/>
        </xdr:cNvSpPr>
      </xdr:nvSpPr>
      <xdr:spPr bwMode="auto">
        <a:xfrm>
          <a:off x="2619375" y="180975"/>
          <a:ext cx="114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altLang="ja-JP" sz="700" b="0" i="0" strike="noStrike">
              <a:solidFill>
                <a:srgbClr val="000000"/>
              </a:solidFill>
              <a:latin typeface="Arial"/>
              <a:cs typeface="Arial"/>
            </a:rPr>
            <a:t>DD</a:t>
          </a:r>
        </a:p>
      </xdr:txBody>
    </xdr:sp>
    <xdr:clientData/>
  </xdr:twoCellAnchor>
  <xdr:twoCellAnchor>
    <xdr:from>
      <xdr:col>4</xdr:col>
      <xdr:colOff>57150</xdr:colOff>
      <xdr:row>1</xdr:row>
      <xdr:rowOff>0</xdr:rowOff>
    </xdr:from>
    <xdr:to>
      <xdr:col>4</xdr:col>
      <xdr:colOff>171450</xdr:colOff>
      <xdr:row>1</xdr:row>
      <xdr:rowOff>0</xdr:rowOff>
    </xdr:to>
    <xdr:sp macro="" textlink="">
      <xdr:nvSpPr>
        <xdr:cNvPr id="20" name="Text Box 6"/>
        <xdr:cNvSpPr txBox="1">
          <a:spLocks noChangeArrowheads="1"/>
        </xdr:cNvSpPr>
      </xdr:nvSpPr>
      <xdr:spPr bwMode="auto">
        <a:xfrm>
          <a:off x="2619375" y="180975"/>
          <a:ext cx="114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altLang="ja-JP" sz="700" b="0" i="0" strike="noStrike">
              <a:solidFill>
                <a:srgbClr val="000000"/>
              </a:solidFill>
              <a:latin typeface="Arial"/>
              <a:cs typeface="Arial"/>
            </a:rPr>
            <a:t>E</a:t>
          </a:r>
        </a:p>
      </xdr:txBody>
    </xdr:sp>
    <xdr:clientData/>
  </xdr:twoCellAnchor>
  <xdr:twoCellAnchor>
    <xdr:from>
      <xdr:col>8</xdr:col>
      <xdr:colOff>0</xdr:colOff>
      <xdr:row>1</xdr:row>
      <xdr:rowOff>0</xdr:rowOff>
    </xdr:from>
    <xdr:to>
      <xdr:col>8</xdr:col>
      <xdr:colOff>0</xdr:colOff>
      <xdr:row>1</xdr:row>
      <xdr:rowOff>0</xdr:rowOff>
    </xdr:to>
    <xdr:sp macro="" textlink="">
      <xdr:nvSpPr>
        <xdr:cNvPr id="21" name="Text Box 7"/>
        <xdr:cNvSpPr txBox="1">
          <a:spLocks noChangeArrowheads="1"/>
        </xdr:cNvSpPr>
      </xdr:nvSpPr>
      <xdr:spPr bwMode="auto">
        <a:xfrm>
          <a:off x="6696075" y="18097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altLang="ja-JP" sz="700" b="0" i="0" strike="noStrike">
              <a:solidFill>
                <a:srgbClr val="000000"/>
              </a:solidFill>
              <a:latin typeface="Arial"/>
              <a:cs typeface="Arial"/>
            </a:rPr>
            <a:t>2</a:t>
          </a:r>
        </a:p>
      </xdr:txBody>
    </xdr:sp>
    <xdr:clientData/>
  </xdr:twoCellAnchor>
  <xdr:twoCellAnchor>
    <xdr:from>
      <xdr:col>8</xdr:col>
      <xdr:colOff>0</xdr:colOff>
      <xdr:row>1</xdr:row>
      <xdr:rowOff>0</xdr:rowOff>
    </xdr:from>
    <xdr:to>
      <xdr:col>8</xdr:col>
      <xdr:colOff>0</xdr:colOff>
      <xdr:row>1</xdr:row>
      <xdr:rowOff>0</xdr:rowOff>
    </xdr:to>
    <xdr:sp macro="" textlink="">
      <xdr:nvSpPr>
        <xdr:cNvPr id="22" name="Text Box 8"/>
        <xdr:cNvSpPr txBox="1">
          <a:spLocks noChangeArrowheads="1"/>
        </xdr:cNvSpPr>
      </xdr:nvSpPr>
      <xdr:spPr bwMode="auto">
        <a:xfrm>
          <a:off x="6696075" y="18097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altLang="ja-JP" sz="700" b="0" i="0" strike="noStrike">
              <a:solidFill>
                <a:srgbClr val="000000"/>
              </a:solidFill>
              <a:latin typeface="Arial"/>
              <a:cs typeface="Arial"/>
            </a:rPr>
            <a:t>2</a:t>
          </a:r>
        </a:p>
      </xdr:txBody>
    </xdr:sp>
    <xdr:clientData/>
  </xdr:twoCellAnchor>
  <xdr:twoCellAnchor>
    <xdr:from>
      <xdr:col>4</xdr:col>
      <xdr:colOff>57150</xdr:colOff>
      <xdr:row>1</xdr:row>
      <xdr:rowOff>0</xdr:rowOff>
    </xdr:from>
    <xdr:to>
      <xdr:col>4</xdr:col>
      <xdr:colOff>171450</xdr:colOff>
      <xdr:row>1</xdr:row>
      <xdr:rowOff>0</xdr:rowOff>
    </xdr:to>
    <xdr:sp macro="" textlink="">
      <xdr:nvSpPr>
        <xdr:cNvPr id="23" name="Text Box 9"/>
        <xdr:cNvSpPr txBox="1">
          <a:spLocks noChangeArrowheads="1"/>
        </xdr:cNvSpPr>
      </xdr:nvSpPr>
      <xdr:spPr bwMode="auto">
        <a:xfrm>
          <a:off x="2619375" y="180975"/>
          <a:ext cx="114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altLang="ja-JP" sz="700" b="0" i="0" strike="noStrike">
              <a:solidFill>
                <a:srgbClr val="000000"/>
              </a:solidFill>
              <a:latin typeface="Arial"/>
              <a:cs typeface="Arial"/>
            </a:rPr>
            <a:t>A</a:t>
          </a:r>
        </a:p>
      </xdr:txBody>
    </xdr:sp>
    <xdr:clientData/>
  </xdr:twoCellAnchor>
  <xdr:twoCellAnchor>
    <xdr:from>
      <xdr:col>4</xdr:col>
      <xdr:colOff>57150</xdr:colOff>
      <xdr:row>1</xdr:row>
      <xdr:rowOff>0</xdr:rowOff>
    </xdr:from>
    <xdr:to>
      <xdr:col>4</xdr:col>
      <xdr:colOff>171450</xdr:colOff>
      <xdr:row>1</xdr:row>
      <xdr:rowOff>0</xdr:rowOff>
    </xdr:to>
    <xdr:sp macro="" textlink="">
      <xdr:nvSpPr>
        <xdr:cNvPr id="24" name="Text Box 10"/>
        <xdr:cNvSpPr txBox="1">
          <a:spLocks noChangeArrowheads="1"/>
        </xdr:cNvSpPr>
      </xdr:nvSpPr>
      <xdr:spPr bwMode="auto">
        <a:xfrm>
          <a:off x="2619375" y="180975"/>
          <a:ext cx="114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altLang="ja-JP" sz="700" b="0" i="0" strike="noStrike">
              <a:solidFill>
                <a:srgbClr val="000000"/>
              </a:solidFill>
              <a:latin typeface="Arial"/>
              <a:cs typeface="Arial"/>
            </a:rPr>
            <a:t>BB</a:t>
          </a:r>
        </a:p>
      </xdr:txBody>
    </xdr:sp>
    <xdr:clientData/>
  </xdr:twoCellAnchor>
  <xdr:twoCellAnchor>
    <xdr:from>
      <xdr:col>4</xdr:col>
      <xdr:colOff>57150</xdr:colOff>
      <xdr:row>1</xdr:row>
      <xdr:rowOff>0</xdr:rowOff>
    </xdr:from>
    <xdr:to>
      <xdr:col>4</xdr:col>
      <xdr:colOff>159256</xdr:colOff>
      <xdr:row>1</xdr:row>
      <xdr:rowOff>0</xdr:rowOff>
    </xdr:to>
    <xdr:sp macro="" textlink="">
      <xdr:nvSpPr>
        <xdr:cNvPr id="25" name="Text Box 11"/>
        <xdr:cNvSpPr txBox="1">
          <a:spLocks noChangeArrowheads="1"/>
        </xdr:cNvSpPr>
      </xdr:nvSpPr>
      <xdr:spPr bwMode="auto">
        <a:xfrm>
          <a:off x="2619375" y="180975"/>
          <a:ext cx="1047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altLang="ja-JP" sz="700" b="0" i="0" strike="noStrike">
              <a:solidFill>
                <a:srgbClr val="000000"/>
              </a:solidFill>
              <a:latin typeface="Arial"/>
              <a:cs typeface="Arial"/>
            </a:rPr>
            <a:t>C</a:t>
          </a:r>
        </a:p>
      </xdr:txBody>
    </xdr:sp>
    <xdr:clientData/>
  </xdr:twoCellAnchor>
  <xdr:twoCellAnchor>
    <xdr:from>
      <xdr:col>4</xdr:col>
      <xdr:colOff>57150</xdr:colOff>
      <xdr:row>1</xdr:row>
      <xdr:rowOff>0</xdr:rowOff>
    </xdr:from>
    <xdr:to>
      <xdr:col>4</xdr:col>
      <xdr:colOff>171450</xdr:colOff>
      <xdr:row>1</xdr:row>
      <xdr:rowOff>0</xdr:rowOff>
    </xdr:to>
    <xdr:sp macro="" textlink="">
      <xdr:nvSpPr>
        <xdr:cNvPr id="26" name="Text Box 12"/>
        <xdr:cNvSpPr txBox="1">
          <a:spLocks noChangeArrowheads="1"/>
        </xdr:cNvSpPr>
      </xdr:nvSpPr>
      <xdr:spPr bwMode="auto">
        <a:xfrm>
          <a:off x="2619375" y="180975"/>
          <a:ext cx="114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altLang="ja-JP" sz="700" b="0" i="0" strike="noStrike">
              <a:solidFill>
                <a:srgbClr val="000000"/>
              </a:solidFill>
              <a:latin typeface="Arial"/>
              <a:cs typeface="Arial"/>
            </a:rPr>
            <a:t>DD</a:t>
          </a:r>
        </a:p>
      </xdr:txBody>
    </xdr:sp>
    <xdr:clientData/>
  </xdr:twoCellAnchor>
  <xdr:twoCellAnchor>
    <xdr:from>
      <xdr:col>4</xdr:col>
      <xdr:colOff>57150</xdr:colOff>
      <xdr:row>1</xdr:row>
      <xdr:rowOff>0</xdr:rowOff>
    </xdr:from>
    <xdr:to>
      <xdr:col>4</xdr:col>
      <xdr:colOff>171450</xdr:colOff>
      <xdr:row>1</xdr:row>
      <xdr:rowOff>0</xdr:rowOff>
    </xdr:to>
    <xdr:sp macro="" textlink="">
      <xdr:nvSpPr>
        <xdr:cNvPr id="27" name="Text Box 13"/>
        <xdr:cNvSpPr txBox="1">
          <a:spLocks noChangeArrowheads="1"/>
        </xdr:cNvSpPr>
      </xdr:nvSpPr>
      <xdr:spPr bwMode="auto">
        <a:xfrm>
          <a:off x="2619375" y="180975"/>
          <a:ext cx="114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altLang="ja-JP" sz="700" b="0" i="0" strike="noStrike">
              <a:solidFill>
                <a:srgbClr val="000000"/>
              </a:solidFill>
              <a:latin typeface="Arial"/>
              <a:cs typeface="Arial"/>
            </a:rPr>
            <a:t>E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77</xdr:row>
      <xdr:rowOff>0</xdr:rowOff>
    </xdr:from>
    <xdr:to>
      <xdr:col>14</xdr:col>
      <xdr:colOff>295275</xdr:colOff>
      <xdr:row>79</xdr:row>
      <xdr:rowOff>9525</xdr:rowOff>
    </xdr:to>
    <xdr:sp macro="" textlink="">
      <xdr:nvSpPr>
        <xdr:cNvPr id="3115" name="AutoShape 1" descr="price_charts_director"/>
        <xdr:cNvSpPr>
          <a:spLocks noChangeAspect="1" noChangeArrowheads="1"/>
        </xdr:cNvSpPr>
      </xdr:nvSpPr>
      <xdr:spPr bwMode="auto">
        <a:xfrm>
          <a:off x="17668875" y="20593050"/>
          <a:ext cx="295275" cy="542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</xdr:col>
      <xdr:colOff>0</xdr:colOff>
      <xdr:row>77</xdr:row>
      <xdr:rowOff>0</xdr:rowOff>
    </xdr:from>
    <xdr:to>
      <xdr:col>15</xdr:col>
      <xdr:colOff>295275</xdr:colOff>
      <xdr:row>79</xdr:row>
      <xdr:rowOff>9525</xdr:rowOff>
    </xdr:to>
    <xdr:sp macro="" textlink="">
      <xdr:nvSpPr>
        <xdr:cNvPr id="3116" name="AutoShape 2" descr="price_charts_director"/>
        <xdr:cNvSpPr>
          <a:spLocks noChangeAspect="1" noChangeArrowheads="1"/>
        </xdr:cNvSpPr>
      </xdr:nvSpPr>
      <xdr:spPr bwMode="auto">
        <a:xfrm>
          <a:off x="18278475" y="20593050"/>
          <a:ext cx="295275" cy="542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77</xdr:row>
      <xdr:rowOff>0</xdr:rowOff>
    </xdr:from>
    <xdr:to>
      <xdr:col>14</xdr:col>
      <xdr:colOff>295275</xdr:colOff>
      <xdr:row>79</xdr:row>
      <xdr:rowOff>9525</xdr:rowOff>
    </xdr:to>
    <xdr:sp macro="" textlink="">
      <xdr:nvSpPr>
        <xdr:cNvPr id="3117" name="AutoShape 3" descr="price_charts_director"/>
        <xdr:cNvSpPr>
          <a:spLocks noChangeAspect="1" noChangeArrowheads="1"/>
        </xdr:cNvSpPr>
      </xdr:nvSpPr>
      <xdr:spPr bwMode="auto">
        <a:xfrm>
          <a:off x="17668875" y="20593050"/>
          <a:ext cx="295275" cy="542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77</xdr:row>
      <xdr:rowOff>0</xdr:rowOff>
    </xdr:from>
    <xdr:to>
      <xdr:col>14</xdr:col>
      <xdr:colOff>295275</xdr:colOff>
      <xdr:row>78</xdr:row>
      <xdr:rowOff>76200</xdr:rowOff>
    </xdr:to>
    <xdr:sp macro="" textlink="">
      <xdr:nvSpPr>
        <xdr:cNvPr id="3118" name="AutoShape 4" descr="price_charts_director"/>
        <xdr:cNvSpPr>
          <a:spLocks noChangeAspect="1" noChangeArrowheads="1"/>
        </xdr:cNvSpPr>
      </xdr:nvSpPr>
      <xdr:spPr bwMode="auto">
        <a:xfrm>
          <a:off x="17668875" y="20593050"/>
          <a:ext cx="2952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</xdr:col>
      <xdr:colOff>0</xdr:colOff>
      <xdr:row>77</xdr:row>
      <xdr:rowOff>0</xdr:rowOff>
    </xdr:from>
    <xdr:to>
      <xdr:col>15</xdr:col>
      <xdr:colOff>295275</xdr:colOff>
      <xdr:row>78</xdr:row>
      <xdr:rowOff>76200</xdr:rowOff>
    </xdr:to>
    <xdr:sp macro="" textlink="">
      <xdr:nvSpPr>
        <xdr:cNvPr id="3119" name="AutoShape 5" descr="price_charts_director"/>
        <xdr:cNvSpPr>
          <a:spLocks noChangeAspect="1" noChangeArrowheads="1"/>
        </xdr:cNvSpPr>
      </xdr:nvSpPr>
      <xdr:spPr bwMode="auto">
        <a:xfrm>
          <a:off x="18278475" y="20593050"/>
          <a:ext cx="2952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77</xdr:row>
      <xdr:rowOff>0</xdr:rowOff>
    </xdr:from>
    <xdr:to>
      <xdr:col>14</xdr:col>
      <xdr:colOff>295275</xdr:colOff>
      <xdr:row>78</xdr:row>
      <xdr:rowOff>76200</xdr:rowOff>
    </xdr:to>
    <xdr:sp macro="" textlink="">
      <xdr:nvSpPr>
        <xdr:cNvPr id="3120" name="AutoShape 6" descr="price_charts_director"/>
        <xdr:cNvSpPr>
          <a:spLocks noChangeAspect="1" noChangeArrowheads="1"/>
        </xdr:cNvSpPr>
      </xdr:nvSpPr>
      <xdr:spPr bwMode="auto">
        <a:xfrm>
          <a:off x="17668875" y="20593050"/>
          <a:ext cx="2952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ENDER\6-SPC-4\Cost\R-1%20Cost%20SPC%20LT-1%20Ph-4%20Factory%20ME%2016%20Apr%202014%20(P.%20ANH)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Project\2014\9-%20Saigon%20Precision%20Ph-4\3-%20Rev-2%20(May-2014)\Tender\7-%20Tender%20&amp;%20Discount%2016-Jul\Cut%20price%20R-4%20Cost%20SPC%20LT-1%20Ph-4%20Factory%20ME%20(16-July-2014)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Project\2014\9-%20Saigon%20Precision%20Ph-4\3-%20Rev-2%20(May-2014)\BOQ\TENDER\6-SPC-4\Cost\R-1%20Cost%20SPC%20LT-1%20Ph-4%20Factory%20ME%2016%20Apr%202014%20(P.%20ANH)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Project\2014\9-%20Saigon%20Precision%20Ph-4\3-%20Rev-2%20(May-2014)\Tender\4-Tender%2029-June-2014%20(Add%20Water%20leak-Cancel)\R-2.2%20Cost%20SPC%20LT-1%20Ph-4%20Factory%20ME%20(29-Jun-2014)%20ORIGI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Project\2014\9-%20Saigon%20Precision%20Ph-4\3-%20Rev-2%20(May-2014)\Tender\8-%20Tender%20Rev%20Shmz%20Instruction%20(22-July)\R-4.2%20with%20VE%20(26-Jul)\R-4.2%20Cost%20SPC%20LT-1%20Ph-4%20Factory%20M&amp;E%20(24-July-2014)%20with%20V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Project\2014\9-%20Saigon%20Precision%20Ph-4\2-%20Rev1.1%20with%20VE%20(20-Apr-2014)\R-1.1%20Cost%20SPC%20LT-1%20Ph-4%20Factory%20ME%20(21-Apr-2013)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AppData\Local\Microsoft\Windows\INetCache\IE\OGB3RHKN\R-6.1%20Cost%20SPC%20LT-1%20Ph-4%20Factory%20M&amp;E%20(4-Sep-2014)%20-%20from%20Mr.%20Thng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Project\2014\9-%20Saigon%20Precision%20Ph-4\3-%20Rev-2%20(May-2014)\Tender\7-%20Tender%20&amp;%20Discount%2016-Jul\Cut%20price%20R-4%20Cost%20SPC%20LT-1%20Ph-4%20Factory%20ME%20(22-July-2014)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nh%20Nguyen\AppData\Local\Microsoft\Windows\Temporary%20Internet%20Files\Content.Outlook\XRAM3V7L\R-0%20Cost%20SPC%20LT-1%20Ph-4%20Factory%20ME%20(19-Dec-2011)%20P.ANH%20-2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Project\2014\9-%20Saigon%20Precision%20Ph-4\3-%20Rev-2%20(May-2014)\BOQ\R-2%20Cost%20SPC%20LT-1%20Ph-4%20Factory%20ME%20(18-Jun-2014)%20DINH%20LINH%20Origin%20&amp;%20Tender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Project\2014\9-%20Saigon%20Precision%20Ph-4\3-%20Rev-2%20(May-2014)\BOQ\Users\Anh%20Nguyen\AppData\Local\Microsoft\Windows\Temporary%20Internet%20Files\Content.Outlook\XRAM3V7L\R-0%20Cost%20SPC%20LT-1%20Ph-4%20Factory%20ME%20(19-Dec-2011)%20P.ANH%20-2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Project\2014\9-%20Saigon%20Precision%20Ph-4\3-%20Rev-2%20(May-2014)\BOQ\TENDER\SPC%203%20Ext\SUB\Copy%20of%20R-1%20Cost%20SPC%20LT-1%20Ph-3%20Extension%20Factory%20ME%20(19-Dec-2011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Condition-1"/>
      <sheetName val="Condition-2"/>
      <sheetName val="M&amp;E Expenses"/>
      <sheetName val="Summary E&amp;M"/>
      <sheetName val="Elect (R0)"/>
      <sheetName val="Mech (R0)"/>
      <sheetName val="Elect Maker"/>
      <sheetName val="XL4Test5"/>
      <sheetName val="Mech Maker"/>
    </sheetNames>
    <sheetDataSet>
      <sheetData sheetId="0" refreshError="1">
        <row r="11">
          <cell r="D11" t="str">
            <v>SAIGON PRECISION LT1 PHASE-4 FACTORY</v>
          </cell>
        </row>
      </sheetData>
      <sheetData sheetId="1" refreshError="1"/>
      <sheetData sheetId="2" refreshError="1"/>
      <sheetData sheetId="3" refreshError="1"/>
      <sheetData sheetId="4" refreshError="1">
        <row r="94">
          <cell r="R94">
            <v>1.25</v>
          </cell>
        </row>
        <row r="98">
          <cell r="K98">
            <v>1.05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Review condition 16-Jul"/>
      <sheetName val="Condition-1"/>
      <sheetName val="Condition-2"/>
      <sheetName val="M&amp;E Expenses"/>
      <sheetName val="Summary E&amp;M (Origin)"/>
      <sheetName val="Elect (Origin)"/>
      <sheetName val="Mech (Origin)"/>
      <sheetName val="Elect Maker"/>
      <sheetName val="XL4Test5"/>
      <sheetName val="Mech Make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102">
          <cell r="M102">
            <v>20800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Condition-1"/>
      <sheetName val="Condition-2"/>
      <sheetName val="M&amp;E Expenses"/>
      <sheetName val="Summary E&amp;M"/>
      <sheetName val="Elect (R0)"/>
      <sheetName val="Mech (R0)"/>
      <sheetName val="Elect Maker"/>
      <sheetName val="XL4Test5"/>
      <sheetName val="Mech Maker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94">
          <cell r="R94">
            <v>1.25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Condition-1"/>
      <sheetName val="Condition-2"/>
      <sheetName val="M&amp;E Expenses"/>
      <sheetName val="Summary E&amp;M (Origin)"/>
      <sheetName val="Elect (Origin)"/>
      <sheetName val="Mech (Origin)"/>
      <sheetName val="Elect Maker"/>
      <sheetName val="XL4Test5"/>
      <sheetName val="Mech Maker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101">
          <cell r="M101">
            <v>20800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Condition-1"/>
      <sheetName val="Condition-2"/>
      <sheetName val="M&amp;E Expenses"/>
      <sheetName val="Summary E&amp;M (Compair R4-R3) "/>
      <sheetName val="Summary E&amp;M (Origin)"/>
      <sheetName val="Elect R-4"/>
      <sheetName val="Elect-VE"/>
      <sheetName val="Mech R-4"/>
      <sheetName val="Mech-Option"/>
      <sheetName val="Mech-VE"/>
      <sheetName val="Elect Maker"/>
      <sheetName val="XL4Test5"/>
      <sheetName val="Mech Make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100">
          <cell r="K100">
            <v>1.05</v>
          </cell>
        </row>
        <row r="101">
          <cell r="K101">
            <v>1.05</v>
          </cell>
        </row>
        <row r="103">
          <cell r="O103">
            <v>20800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Condition-1"/>
      <sheetName val="Condition-2"/>
      <sheetName val="M&amp;E Expenses"/>
      <sheetName val="Summary E&amp;M"/>
      <sheetName val="Elect (Cu)"/>
      <sheetName val="Elect (Option-AL)"/>
      <sheetName val="Mech "/>
      <sheetName val="Elect Maker"/>
      <sheetName val="XL4Test5"/>
      <sheetName val="Mech Maker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104">
          <cell r="M104">
            <v>20800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Condition-1"/>
      <sheetName val="Condition-2"/>
      <sheetName val="M&amp;E Expenses"/>
      <sheetName val="Summary E&amp;M"/>
      <sheetName val="Elect R-6"/>
      <sheetName val="Mech R-6"/>
      <sheetName val="Mech-Option"/>
      <sheetName val="Elect Maker"/>
      <sheetName val="XL4Test5"/>
      <sheetName val="Mech Maker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7">
          <cell r="Q7" t="str">
            <v>111E-1</v>
          </cell>
        </row>
        <row r="100">
          <cell r="K100">
            <v>1.05</v>
          </cell>
        </row>
        <row r="101">
          <cell r="K101">
            <v>1.05</v>
          </cell>
        </row>
        <row r="103">
          <cell r="O103">
            <v>20800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Review condition 16-Jul"/>
      <sheetName val="Condition-1"/>
      <sheetName val="Condition-2"/>
      <sheetName val="M&amp;E Expenses"/>
      <sheetName val="Summary E&amp;M (Origin)"/>
      <sheetName val="Elect (Origin)"/>
      <sheetName val="Mech (Origin)"/>
      <sheetName val="Elect Maker"/>
      <sheetName val="XL4Test5"/>
      <sheetName val="Mech Make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102">
          <cell r="M102">
            <v>20800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Condition-1"/>
      <sheetName val="Condition-2"/>
      <sheetName val="M&amp;E Expenses"/>
      <sheetName val="Summary E&amp;M"/>
      <sheetName val="Elect (R0)"/>
      <sheetName val="Mech (R0)"/>
      <sheetName val="Elect Maker"/>
      <sheetName val="XL4Test5"/>
      <sheetName val="Mech Maker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91">
          <cell r="K91">
            <v>1.05</v>
          </cell>
        </row>
        <row r="94">
          <cell r="R94">
            <v>1.25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Condition-1"/>
      <sheetName val="Condition-2"/>
      <sheetName val="M&amp;E Expenses"/>
      <sheetName val="Summary E&amp;M"/>
      <sheetName val="Elect (Option Cu)"/>
      <sheetName val="Elect (Original-AL)"/>
      <sheetName val="Mech "/>
      <sheetName val="Elect Maker"/>
      <sheetName val="XL4Test5"/>
      <sheetName val="Mech Maker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104">
          <cell r="M104">
            <v>20800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Condition-1"/>
      <sheetName val="Condition-2"/>
      <sheetName val="M&amp;E Expenses"/>
      <sheetName val="Summary E&amp;M"/>
      <sheetName val="Elect (R0)"/>
      <sheetName val="Mech (R0)"/>
      <sheetName val="Elect Maker"/>
      <sheetName val="XL4Test5"/>
      <sheetName val="Mech Maker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91">
          <cell r="K91">
            <v>1.05</v>
          </cell>
        </row>
        <row r="94">
          <cell r="R94">
            <v>1.25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Condition-1"/>
      <sheetName val="Condition-2"/>
      <sheetName val="M&amp;E Expenses"/>
      <sheetName val="Summary E&amp;M"/>
      <sheetName val="Elect (R1)"/>
      <sheetName val="Mech (R1)"/>
      <sheetName val="Elect Maker"/>
      <sheetName val="XL4Test5"/>
      <sheetName val="Mech Maker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94">
          <cell r="R94">
            <v>1.25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printerSettings" Target="../printerSettings/printerSettings1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printerSettings" Target="../printerSettings/printerSettings1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3"/>
  <sheetViews>
    <sheetView view="pageBreakPreview" topLeftCell="A7" zoomScaleNormal="75" workbookViewId="0">
      <selection activeCell="J20" sqref="J20"/>
    </sheetView>
  </sheetViews>
  <sheetFormatPr defaultRowHeight="14.25"/>
  <cols>
    <col min="1" max="1" width="21.42578125" style="104" customWidth="1"/>
    <col min="2" max="2" width="7.42578125" style="104" customWidth="1"/>
    <col min="3" max="3" width="12.42578125" style="104" customWidth="1"/>
    <col min="4" max="4" width="11.28515625" style="104" customWidth="1"/>
    <col min="5" max="5" width="9.140625" style="104"/>
    <col min="6" max="6" width="17.5703125" style="104" customWidth="1"/>
    <col min="7" max="11" width="9.140625" style="104"/>
    <col min="12" max="12" width="12.42578125" style="104" customWidth="1"/>
    <col min="13" max="16384" width="9.140625" style="104"/>
  </cols>
  <sheetData>
    <row r="1" spans="4:12" s="98" customFormat="1" ht="16.5" customHeight="1">
      <c r="I1" s="99" t="s">
        <v>161</v>
      </c>
      <c r="J1" s="100" t="s">
        <v>1348</v>
      </c>
      <c r="K1" s="99"/>
      <c r="L1" s="99"/>
    </row>
    <row r="2" spans="4:12" s="98" customFormat="1" ht="16.5" customHeight="1">
      <c r="I2" s="99" t="s">
        <v>162</v>
      </c>
      <c r="J2" s="100" t="s">
        <v>1349</v>
      </c>
      <c r="K2" s="99"/>
      <c r="L2" s="101"/>
    </row>
    <row r="3" spans="4:12" s="98" customFormat="1" ht="16.5" customHeight="1">
      <c r="I3" s="102" t="s">
        <v>163</v>
      </c>
      <c r="J3" s="1401" t="s">
        <v>1350</v>
      </c>
      <c r="K3" s="101"/>
      <c r="L3" s="101"/>
    </row>
    <row r="4" spans="4:12" s="98" customFormat="1" ht="16.5" customHeight="1">
      <c r="J4" s="103"/>
    </row>
    <row r="5" spans="4:12" s="98" customFormat="1" ht="16.5" customHeight="1">
      <c r="J5" s="103"/>
    </row>
    <row r="6" spans="4:12" s="98" customFormat="1" ht="16.5" customHeight="1">
      <c r="J6" s="103"/>
    </row>
    <row r="7" spans="4:12" s="98" customFormat="1" ht="16.5" customHeight="1">
      <c r="J7" s="103"/>
    </row>
    <row r="8" spans="4:12" s="98" customFormat="1" ht="16.5" customHeight="1">
      <c r="J8" s="103"/>
    </row>
    <row r="9" spans="4:12" s="98" customFormat="1" ht="16.5" customHeight="1">
      <c r="J9" s="103"/>
    </row>
    <row r="10" spans="4:12" s="98" customFormat="1" ht="16.5" customHeight="1">
      <c r="J10" s="103"/>
    </row>
    <row r="11" spans="4:12" s="98" customFormat="1" ht="16.5" customHeight="1"/>
    <row r="12" spans="4:12" ht="45">
      <c r="D12" s="105" t="s">
        <v>164</v>
      </c>
      <c r="K12" s="98"/>
      <c r="L12" s="98"/>
    </row>
    <row r="13" spans="4:12" s="98" customFormat="1" ht="12.75"/>
    <row r="14" spans="4:12" s="98" customFormat="1" ht="12.75"/>
    <row r="15" spans="4:12" s="98" customFormat="1" ht="12.75"/>
    <row r="16" spans="4:12" s="98" customFormat="1" ht="12.75"/>
    <row r="17" spans="3:12" s="98" customFormat="1" ht="12.75"/>
    <row r="18" spans="3:12" ht="24" customHeight="1">
      <c r="C18" s="98" t="s">
        <v>165</v>
      </c>
      <c r="D18" s="106" t="s">
        <v>1345</v>
      </c>
    </row>
    <row r="19" spans="3:12" ht="24" customHeight="1">
      <c r="D19" s="106" t="s">
        <v>1346</v>
      </c>
    </row>
    <row r="20" spans="3:12" ht="18" customHeight="1">
      <c r="D20" s="117"/>
    </row>
    <row r="21" spans="3:12" ht="19.5" customHeight="1">
      <c r="C21" s="98" t="s">
        <v>166</v>
      </c>
      <c r="D21" s="107" t="s">
        <v>1347</v>
      </c>
    </row>
    <row r="22" spans="3:12" s="98" customFormat="1" ht="12.75"/>
    <row r="23" spans="3:12" s="98" customFormat="1" ht="12.75"/>
    <row r="24" spans="3:12" ht="18.75" customHeight="1">
      <c r="C24" s="98" t="s">
        <v>167</v>
      </c>
      <c r="D24" s="104" t="s">
        <v>1304</v>
      </c>
      <c r="G24" s="104" t="s">
        <v>620</v>
      </c>
    </row>
    <row r="25" spans="3:12" ht="18.75" customHeight="1">
      <c r="C25" s="1101"/>
      <c r="D25" s="1102" t="str">
        <f>J1</f>
        <v>${reportDate}</v>
      </c>
      <c r="E25" s="1102"/>
      <c r="F25" s="1102"/>
      <c r="G25" s="1086" t="s">
        <v>1338</v>
      </c>
      <c r="H25" s="1086"/>
      <c r="I25" s="1086"/>
      <c r="J25" s="1086"/>
      <c r="K25" s="1086"/>
      <c r="L25" s="1086"/>
    </row>
    <row r="26" spans="3:12" s="98" customFormat="1" ht="15.75" customHeight="1">
      <c r="D26" s="1086"/>
      <c r="E26" s="109"/>
      <c r="F26" s="104"/>
      <c r="G26" s="1086" t="s">
        <v>1339</v>
      </c>
      <c r="H26" s="1086"/>
      <c r="I26" s="1086"/>
      <c r="J26" s="1369"/>
      <c r="K26" s="1369"/>
      <c r="L26" s="1369"/>
    </row>
    <row r="27" spans="3:12" s="98" customFormat="1" ht="15.75" customHeight="1">
      <c r="D27" s="1086"/>
      <c r="E27" s="109"/>
      <c r="F27" s="104"/>
      <c r="G27" s="104"/>
      <c r="H27" s="104"/>
      <c r="I27" s="104"/>
    </row>
    <row r="28" spans="3:12" s="98" customFormat="1" ht="15.75" customHeight="1">
      <c r="D28" s="1086"/>
      <c r="E28" s="109"/>
      <c r="F28" s="104"/>
      <c r="G28" s="104"/>
      <c r="H28" s="104"/>
      <c r="I28" s="104"/>
    </row>
    <row r="29" spans="3:12" s="98" customFormat="1" ht="15.75" customHeight="1">
      <c r="D29" s="1086"/>
      <c r="E29" s="109"/>
      <c r="F29" s="104"/>
      <c r="G29" s="104"/>
      <c r="H29" s="104"/>
      <c r="I29" s="104"/>
    </row>
    <row r="30" spans="3:12" s="98" customFormat="1" ht="15.75" customHeight="1">
      <c r="D30" s="1086"/>
      <c r="E30" s="109"/>
      <c r="F30" s="104"/>
      <c r="G30" s="104"/>
      <c r="H30" s="104"/>
      <c r="I30" s="104"/>
    </row>
    <row r="31" spans="3:12" s="98" customFormat="1" ht="15.75" customHeight="1">
      <c r="D31" s="1086"/>
      <c r="E31" s="109"/>
      <c r="F31" s="104"/>
      <c r="G31" s="104"/>
      <c r="H31" s="104"/>
      <c r="I31" s="104"/>
    </row>
    <row r="32" spans="3:12" s="98" customFormat="1" ht="15.75" customHeight="1">
      <c r="D32" s="1086"/>
      <c r="E32" s="109"/>
      <c r="F32" s="104"/>
      <c r="G32" s="104"/>
      <c r="H32" s="104"/>
      <c r="I32" s="104"/>
    </row>
    <row r="33" spans="4:12" s="98" customFormat="1" ht="15.75" customHeight="1">
      <c r="D33" s="1086"/>
      <c r="E33" s="109"/>
      <c r="F33" s="104"/>
      <c r="G33" s="104"/>
      <c r="H33" s="104"/>
      <c r="I33" s="104"/>
    </row>
    <row r="34" spans="4:12" s="98" customFormat="1" ht="15.75" customHeight="1">
      <c r="D34" s="1086"/>
      <c r="E34" s="109"/>
      <c r="F34" s="104"/>
      <c r="G34" s="104"/>
      <c r="H34" s="104"/>
      <c r="I34" s="104"/>
    </row>
    <row r="35" spans="4:12" s="98" customFormat="1" ht="15.75" customHeight="1">
      <c r="D35" s="1086"/>
      <c r="E35" s="109"/>
      <c r="F35" s="104"/>
      <c r="G35" s="104"/>
      <c r="H35" s="104"/>
      <c r="I35" s="104"/>
    </row>
    <row r="36" spans="4:12" s="98" customFormat="1" ht="15.75" customHeight="1">
      <c r="D36" s="1086"/>
      <c r="E36" s="109"/>
      <c r="F36" s="104"/>
      <c r="G36" s="104"/>
      <c r="H36" s="104"/>
      <c r="I36" s="104"/>
    </row>
    <row r="37" spans="4:12" s="98" customFormat="1" ht="15.75" customHeight="1">
      <c r="D37" s="1086"/>
      <c r="E37" s="109"/>
      <c r="F37" s="104"/>
      <c r="G37" s="104"/>
      <c r="H37" s="104"/>
      <c r="I37" s="104"/>
    </row>
    <row r="38" spans="4:12" s="98" customFormat="1" ht="15.75" customHeight="1">
      <c r="D38" s="1086"/>
      <c r="E38" s="109"/>
      <c r="F38" s="104"/>
      <c r="G38" s="104"/>
      <c r="H38" s="104"/>
      <c r="I38" s="104"/>
    </row>
    <row r="39" spans="4:12" s="98" customFormat="1" ht="15.75" customHeight="1">
      <c r="D39" s="1086"/>
      <c r="E39" s="109"/>
      <c r="F39" s="104"/>
      <c r="G39" s="104"/>
      <c r="H39" s="104"/>
      <c r="I39" s="104"/>
    </row>
    <row r="40" spans="4:12" s="98" customFormat="1" ht="15.75" customHeight="1">
      <c r="D40" s="1086"/>
      <c r="E40" s="109"/>
      <c r="F40" s="104"/>
      <c r="G40" s="104"/>
      <c r="H40" s="104"/>
      <c r="I40" s="104"/>
    </row>
    <row r="41" spans="4:12" s="98" customFormat="1" ht="15.75" customHeight="1">
      <c r="D41" s="1086"/>
      <c r="E41" s="109"/>
      <c r="F41" s="104"/>
      <c r="G41" s="104"/>
      <c r="H41" s="104"/>
      <c r="I41" s="104"/>
    </row>
    <row r="42" spans="4:12" s="98" customFormat="1" ht="15.75" customHeight="1">
      <c r="D42" s="1086"/>
      <c r="E42" s="109"/>
      <c r="F42" s="104"/>
      <c r="G42" s="104"/>
      <c r="H42" s="104"/>
      <c r="I42" s="104"/>
    </row>
    <row r="43" spans="4:12" s="98" customFormat="1" ht="20.25" customHeight="1">
      <c r="D43" s="1086"/>
      <c r="E43" s="109"/>
      <c r="F43" s="104"/>
      <c r="G43" s="104"/>
      <c r="H43" s="104"/>
      <c r="I43" s="104"/>
    </row>
    <row r="44" spans="4:12" s="98" customFormat="1" ht="15">
      <c r="D44" s="104"/>
      <c r="E44" s="109" t="s">
        <v>937</v>
      </c>
      <c r="F44" s="104"/>
      <c r="G44" s="104"/>
      <c r="H44" s="104"/>
      <c r="I44" s="104"/>
    </row>
    <row r="45" spans="4:12" s="110" customFormat="1" ht="21.75" customHeight="1">
      <c r="D45" s="108"/>
      <c r="E45" s="111"/>
      <c r="F45" s="108"/>
      <c r="G45" s="1087" t="s">
        <v>1337</v>
      </c>
      <c r="H45" s="108"/>
      <c r="I45" s="108"/>
    </row>
    <row r="46" spans="4:12" s="98" customFormat="1" ht="19.5" customHeight="1">
      <c r="G46" s="103" t="s">
        <v>168</v>
      </c>
      <c r="I46" s="103"/>
    </row>
    <row r="47" spans="4:12" s="98" customFormat="1" ht="19.5" customHeight="1">
      <c r="G47" s="112" t="s">
        <v>710</v>
      </c>
      <c r="I47" s="112"/>
      <c r="J47" s="112"/>
      <c r="K47" s="112"/>
      <c r="L47" s="112"/>
    </row>
    <row r="48" spans="4:12" s="98" customFormat="1" ht="19.5" customHeight="1">
      <c r="G48" s="112" t="s">
        <v>711</v>
      </c>
      <c r="H48" s="113"/>
      <c r="I48" s="113"/>
      <c r="J48" s="113"/>
    </row>
    <row r="49" spans="7:12" ht="19.5" customHeight="1">
      <c r="G49" s="104" t="s">
        <v>901</v>
      </c>
      <c r="H49" s="113"/>
      <c r="I49" s="113"/>
      <c r="J49" s="113"/>
      <c r="K49" s="113"/>
      <c r="L49" s="113"/>
    </row>
    <row r="50" spans="7:12" s="114" customFormat="1" ht="19.5" customHeight="1">
      <c r="G50" s="104" t="s">
        <v>902</v>
      </c>
      <c r="H50" s="113"/>
      <c r="I50" s="113"/>
      <c r="J50" s="113"/>
      <c r="K50" s="113"/>
      <c r="L50" s="113"/>
    </row>
    <row r="51" spans="7:12" ht="19.5" customHeight="1">
      <c r="G51" s="104" t="s">
        <v>903</v>
      </c>
      <c r="H51" s="113"/>
      <c r="I51" s="113"/>
      <c r="J51" s="113"/>
      <c r="K51" s="113"/>
    </row>
    <row r="52" spans="7:12" ht="19.5" customHeight="1">
      <c r="G52" s="104" t="s">
        <v>904</v>
      </c>
    </row>
    <row r="53" spans="7:12" ht="19.5" customHeight="1"/>
  </sheetData>
  <customSheetViews>
    <customSheetView guid="{29ADDA07-E427-4C12-A26F-16DB0F983414}" scale="75" showPageBreaks="1" view="pageBreakPreview">
      <selection activeCell="G32" sqref="G32"/>
      <pageMargins left="0.31" right="0.17" top="0.56000000000000005" bottom="0.31" header="0.32" footer="0.16"/>
      <pageSetup paperSize="9" scale="70" orientation="portrait" r:id="rId1"/>
      <headerFooter alignWithMargins="0"/>
    </customSheetView>
  </customSheetViews>
  <phoneticPr fontId="52"/>
  <pageMargins left="0.31" right="0.17" top="0.56000000000000005" bottom="0.31" header="0.32" footer="0.16"/>
  <pageSetup paperSize="9" scale="70" orientation="portrait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tabSelected="1" view="pageBreakPreview" zoomScaleNormal="100" zoomScaleSheetLayoutView="90" workbookViewId="0">
      <selection activeCell="Q7" sqref="Q7"/>
    </sheetView>
  </sheetViews>
  <sheetFormatPr defaultRowHeight="12.75"/>
  <cols>
    <col min="1" max="1" width="5.28515625" style="181" customWidth="1"/>
    <col min="2" max="9" width="10.7109375" style="174" customWidth="1"/>
    <col min="10" max="16384" width="9.140625" style="174"/>
  </cols>
  <sheetData>
    <row r="1" spans="1:9" ht="20.25" customHeight="1">
      <c r="A1" s="1402" t="s">
        <v>491</v>
      </c>
      <c r="B1" s="1402"/>
      <c r="C1" s="1402"/>
      <c r="D1" s="1402"/>
      <c r="E1" s="1402"/>
      <c r="F1" s="1402"/>
      <c r="G1" s="1402"/>
      <c r="H1" s="1402"/>
      <c r="I1" s="1402"/>
    </row>
    <row r="2" spans="1:9" s="176" customFormat="1" ht="15" customHeight="1">
      <c r="A2" s="175"/>
    </row>
    <row r="3" spans="1:9" s="176" customFormat="1" ht="15" customHeight="1">
      <c r="A3" s="177">
        <v>1</v>
      </c>
      <c r="B3" s="176" t="s">
        <v>492</v>
      </c>
    </row>
    <row r="4" spans="1:9" s="176" customFormat="1" ht="15" customHeight="1">
      <c r="A4" s="178" t="s">
        <v>493</v>
      </c>
      <c r="B4" s="176" t="s">
        <v>1351</v>
      </c>
    </row>
    <row r="5" spans="1:9" s="176" customFormat="1" ht="15" customHeight="1">
      <c r="A5" s="178"/>
      <c r="B5" s="176" t="s">
        <v>494</v>
      </c>
    </row>
    <row r="6" spans="1:9" s="176" customFormat="1" ht="15" customHeight="1">
      <c r="A6" s="178" t="s">
        <v>495</v>
      </c>
      <c r="B6" s="179" t="s">
        <v>496</v>
      </c>
    </row>
    <row r="7" spans="1:9" s="176" customFormat="1" ht="15" customHeight="1">
      <c r="A7" s="175"/>
    </row>
    <row r="8" spans="1:9" s="176" customFormat="1" ht="15" customHeight="1">
      <c r="A8" s="175"/>
      <c r="B8" s="180"/>
    </row>
    <row r="9" spans="1:9" ht="18" customHeight="1">
      <c r="A9" s="181" t="s">
        <v>406</v>
      </c>
      <c r="B9" s="174" t="s">
        <v>497</v>
      </c>
    </row>
    <row r="10" spans="1:9" ht="18" customHeight="1">
      <c r="B10" s="174" t="s">
        <v>498</v>
      </c>
      <c r="C10" s="287" t="s">
        <v>1352</v>
      </c>
      <c r="D10" s="288"/>
      <c r="E10" s="289"/>
      <c r="F10" s="1403" t="s">
        <v>1354</v>
      </c>
      <c r="G10" s="1403"/>
      <c r="H10" s="1403"/>
      <c r="I10" s="1403"/>
    </row>
    <row r="11" spans="1:9" ht="18" customHeight="1">
      <c r="A11" s="182"/>
      <c r="B11" s="174" t="s">
        <v>499</v>
      </c>
      <c r="C11" s="287" t="s">
        <v>1353</v>
      </c>
      <c r="D11" s="288"/>
      <c r="E11" s="289"/>
      <c r="F11" s="1403"/>
      <c r="G11" s="1403"/>
      <c r="H11" s="1403"/>
      <c r="I11" s="1403"/>
    </row>
    <row r="12" spans="1:9" ht="18" customHeight="1"/>
    <row r="13" spans="1:9" ht="30" customHeight="1">
      <c r="B13" s="1404" t="s">
        <v>500</v>
      </c>
      <c r="C13" s="1404"/>
      <c r="D13" s="1404"/>
      <c r="E13" s="1404"/>
      <c r="F13" s="1404"/>
      <c r="G13" s="1404"/>
      <c r="H13" s="1404"/>
      <c r="I13" s="183"/>
    </row>
    <row r="14" spans="1:9" ht="18" customHeight="1">
      <c r="B14" s="174" t="s">
        <v>501</v>
      </c>
    </row>
    <row r="15" spans="1:9" ht="18" customHeight="1">
      <c r="B15" s="174" t="s">
        <v>502</v>
      </c>
    </row>
    <row r="16" spans="1:9" ht="18" customHeight="1">
      <c r="B16" s="174" t="s">
        <v>503</v>
      </c>
    </row>
    <row r="17" spans="1:9" ht="18" customHeight="1"/>
    <row r="18" spans="1:9" ht="18" customHeight="1">
      <c r="A18" s="181" t="s">
        <v>408</v>
      </c>
      <c r="B18" s="174" t="s">
        <v>504</v>
      </c>
    </row>
    <row r="19" spans="1:9" s="185" customFormat="1" ht="18" customHeight="1">
      <c r="A19" s="184"/>
      <c r="B19" s="185" t="s">
        <v>505</v>
      </c>
    </row>
    <row r="20" spans="1:9" s="185" customFormat="1" ht="18" customHeight="1">
      <c r="A20" s="184"/>
      <c r="B20" s="186" t="s">
        <v>117</v>
      </c>
      <c r="C20" s="187"/>
      <c r="D20" s="187"/>
      <c r="E20" s="187"/>
      <c r="F20" s="187"/>
      <c r="G20" s="187"/>
      <c r="H20" s="187"/>
      <c r="I20" s="186"/>
    </row>
    <row r="21" spans="1:9" s="185" customFormat="1" ht="18" customHeight="1">
      <c r="A21" s="184"/>
      <c r="B21" s="186" t="s">
        <v>118</v>
      </c>
      <c r="C21" s="188"/>
      <c r="D21" s="187"/>
      <c r="E21" s="187"/>
      <c r="F21" s="187"/>
      <c r="G21" s="187"/>
      <c r="H21" s="187"/>
      <c r="I21" s="187"/>
    </row>
    <row r="22" spans="1:9" s="185" customFormat="1" ht="18.75" customHeight="1">
      <c r="A22" s="184"/>
      <c r="B22" s="186" t="s">
        <v>506</v>
      </c>
      <c r="C22" s="186"/>
      <c r="D22" s="189"/>
      <c r="E22" s="190"/>
      <c r="F22" s="190"/>
      <c r="G22" s="190"/>
      <c r="H22" s="187"/>
      <c r="I22" s="187"/>
    </row>
    <row r="23" spans="1:9" s="185" customFormat="1" ht="18.75" customHeight="1">
      <c r="A23" s="184"/>
      <c r="B23" s="186" t="s">
        <v>507</v>
      </c>
      <c r="C23" s="188"/>
      <c r="D23" s="187"/>
      <c r="E23" s="187"/>
      <c r="F23" s="187"/>
      <c r="G23" s="187"/>
      <c r="H23" s="187"/>
      <c r="I23" s="187"/>
    </row>
    <row r="24" spans="1:9" ht="18" customHeight="1"/>
    <row r="25" spans="1:9" ht="18" customHeight="1">
      <c r="A25" s="181" t="s">
        <v>410</v>
      </c>
      <c r="B25" s="174" t="s">
        <v>508</v>
      </c>
    </row>
    <row r="26" spans="1:9" ht="18" customHeight="1">
      <c r="B26" s="174" t="s">
        <v>1303</v>
      </c>
    </row>
    <row r="27" spans="1:9" ht="18" customHeight="1">
      <c r="B27" s="174" t="s">
        <v>509</v>
      </c>
    </row>
    <row r="28" spans="1:9" ht="18" customHeight="1">
      <c r="B28" s="174" t="s">
        <v>510</v>
      </c>
    </row>
    <row r="29" spans="1:9" ht="18" customHeight="1">
      <c r="B29" s="174" t="s">
        <v>511</v>
      </c>
    </row>
    <row r="30" spans="1:9" ht="18" customHeight="1"/>
    <row r="31" spans="1:9" ht="18" customHeight="1">
      <c r="A31" s="181" t="s">
        <v>411</v>
      </c>
      <c r="B31" s="174" t="s">
        <v>512</v>
      </c>
    </row>
    <row r="32" spans="1:9" ht="18" customHeight="1">
      <c r="B32" s="174" t="s">
        <v>516</v>
      </c>
    </row>
    <row r="33" spans="1:14" ht="18" customHeight="1">
      <c r="B33" s="174" t="s">
        <v>513</v>
      </c>
    </row>
    <row r="34" spans="1:14" ht="18" customHeight="1"/>
    <row r="35" spans="1:14" ht="18" customHeight="1">
      <c r="A35" s="181" t="s">
        <v>528</v>
      </c>
      <c r="B35" s="174" t="s">
        <v>514</v>
      </c>
    </row>
    <row r="36" spans="1:14" ht="18" customHeight="1">
      <c r="B36" s="191" t="s">
        <v>515</v>
      </c>
      <c r="C36" s="191"/>
      <c r="D36" s="191"/>
      <c r="E36" s="191"/>
      <c r="F36" s="191"/>
      <c r="G36" s="191"/>
      <c r="H36" s="191"/>
      <c r="I36" s="191"/>
      <c r="J36" s="191"/>
      <c r="K36" s="191"/>
      <c r="L36" s="191"/>
      <c r="M36" s="191"/>
      <c r="N36" s="191"/>
    </row>
    <row r="37" spans="1:14" ht="16.5" customHeight="1">
      <c r="B37" s="191"/>
      <c r="C37" s="191"/>
      <c r="D37" s="191"/>
      <c r="E37" s="191"/>
      <c r="F37" s="191"/>
      <c r="G37" s="191"/>
      <c r="H37" s="191"/>
      <c r="I37" s="191"/>
      <c r="J37" s="191"/>
      <c r="K37" s="191"/>
      <c r="L37" s="191"/>
      <c r="M37" s="191"/>
      <c r="N37" s="191"/>
    </row>
    <row r="38" spans="1:14" ht="16.5" customHeight="1">
      <c r="A38" s="181" t="s">
        <v>529</v>
      </c>
      <c r="B38" s="174" t="s">
        <v>517</v>
      </c>
    </row>
    <row r="39" spans="1:14" ht="16.5" customHeight="1">
      <c r="B39" s="174" t="s">
        <v>138</v>
      </c>
    </row>
    <row r="40" spans="1:14" ht="16.5" customHeight="1">
      <c r="B40" s="174" t="s">
        <v>518</v>
      </c>
    </row>
    <row r="41" spans="1:14" ht="16.5" customHeight="1">
      <c r="B41" s="174" t="s">
        <v>519</v>
      </c>
    </row>
    <row r="42" spans="1:14" ht="16.5" customHeight="1">
      <c r="A42" s="213"/>
      <c r="B42" s="211"/>
    </row>
    <row r="43" spans="1:14" ht="16.5" customHeight="1">
      <c r="A43" s="212"/>
      <c r="B43" s="211"/>
    </row>
    <row r="44" spans="1:14" ht="16.5" customHeight="1"/>
    <row r="45" spans="1:14" ht="16.5" customHeight="1"/>
    <row r="46" spans="1:14" ht="16.5" customHeight="1"/>
    <row r="47" spans="1:14" ht="16.5" customHeight="1"/>
    <row r="48" spans="1:14" ht="16.5" customHeight="1"/>
  </sheetData>
  <customSheetViews>
    <customSheetView guid="{29ADDA07-E427-4C12-A26F-16DB0F983414}" scale="90" showPageBreaks="1" view="pageBreakPreview" topLeftCell="A22">
      <selection activeCell="C12" sqref="C12"/>
      <pageMargins left="0.70866141732283472" right="0.70866141732283472" top="0.74803149606299213" bottom="0.74803149606299213" header="0.31496062992125984" footer="0.31496062992125984"/>
      <pageSetup paperSize="9" scale="96" orientation="portrait" r:id="rId1"/>
    </customSheetView>
  </customSheetViews>
  <mergeCells count="3">
    <mergeCell ref="A1:I1"/>
    <mergeCell ref="F10:I11"/>
    <mergeCell ref="B13:H13"/>
  </mergeCells>
  <phoneticPr fontId="52"/>
  <pageMargins left="0.70866141732283472" right="0.70866141732283472" top="0.74803149606299213" bottom="0.74803149606299213" header="0.31496062992125984" footer="0.31496062992125984"/>
  <pageSetup paperSize="9" scale="96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80"/>
  <sheetViews>
    <sheetView view="pageBreakPreview" topLeftCell="A254" zoomScale="80" zoomScaleNormal="100" zoomScaleSheetLayoutView="80" workbookViewId="0">
      <selection activeCell="G145" sqref="G145"/>
    </sheetView>
  </sheetViews>
  <sheetFormatPr defaultRowHeight="12.75"/>
  <cols>
    <col min="1" max="1" width="5.7109375" style="219" customWidth="1"/>
    <col min="2" max="2" width="8.7109375" style="655" customWidth="1"/>
    <col min="3" max="3" width="6.7109375" style="655" customWidth="1"/>
    <col min="4" max="4" width="15.28515625" style="655" customWidth="1"/>
    <col min="5" max="5" width="12.7109375" style="655" customWidth="1"/>
    <col min="6" max="6" width="16.5703125" style="655" customWidth="1"/>
    <col min="7" max="7" width="10" style="219" customWidth="1"/>
    <col min="8" max="10" width="10" style="1128" customWidth="1"/>
    <col min="11" max="11" width="20.5703125" style="219" customWidth="1"/>
    <col min="12" max="18" width="9.140625" style="219"/>
    <col min="19" max="19" width="9" style="219" customWidth="1"/>
    <col min="20" max="16384" width="9.140625" style="219"/>
  </cols>
  <sheetData>
    <row r="1" spans="1:11" ht="26.1" customHeight="1">
      <c r="A1" s="216" t="s">
        <v>530</v>
      </c>
      <c r="B1" s="651" t="s">
        <v>531</v>
      </c>
      <c r="C1" s="652"/>
      <c r="D1" s="652"/>
      <c r="E1" s="652"/>
      <c r="F1" s="652"/>
      <c r="G1" s="218"/>
      <c r="H1" s="1335"/>
      <c r="I1" s="1335"/>
      <c r="J1" s="1335"/>
      <c r="K1" s="217"/>
    </row>
    <row r="2" spans="1:11" ht="20.100000000000001" customHeight="1">
      <c r="A2" s="216"/>
      <c r="B2" s="653" t="s">
        <v>532</v>
      </c>
      <c r="C2" s="652"/>
      <c r="D2" s="652"/>
      <c r="E2" s="652"/>
      <c r="F2" s="654" t="s">
        <v>533</v>
      </c>
      <c r="G2" s="1421" t="s">
        <v>534</v>
      </c>
      <c r="H2" s="1421"/>
      <c r="I2" s="1421"/>
      <c r="J2" s="1421"/>
      <c r="K2" s="1421"/>
    </row>
    <row r="3" spans="1:11" ht="20.100000000000001" customHeight="1">
      <c r="A3" s="216"/>
      <c r="B3" s="652"/>
      <c r="C3" s="652"/>
      <c r="D3" s="652"/>
      <c r="E3" s="652"/>
      <c r="F3" s="654" t="s">
        <v>535</v>
      </c>
      <c r="G3" s="217" t="s">
        <v>708</v>
      </c>
      <c r="I3" s="1336"/>
    </row>
    <row r="4" spans="1:11" ht="20.100000000000001" customHeight="1">
      <c r="A4" s="216"/>
      <c r="B4" s="652"/>
      <c r="C4" s="652"/>
      <c r="D4" s="652"/>
      <c r="E4" s="652"/>
      <c r="F4" s="654" t="s">
        <v>536</v>
      </c>
      <c r="G4" s="217" t="s">
        <v>537</v>
      </c>
      <c r="I4" s="1336"/>
    </row>
    <row r="5" spans="1:11" ht="20.100000000000001" customHeight="1">
      <c r="A5" s="216"/>
      <c r="B5" s="652"/>
      <c r="C5" s="652"/>
      <c r="D5" s="652"/>
      <c r="E5" s="652"/>
      <c r="F5" s="654" t="s">
        <v>538</v>
      </c>
      <c r="G5" s="217" t="s">
        <v>539</v>
      </c>
      <c r="I5" s="1336"/>
    </row>
    <row r="6" spans="1:11" ht="21" customHeight="1">
      <c r="A6" s="220"/>
      <c r="B6" s="652"/>
      <c r="C6" s="652" t="s">
        <v>811</v>
      </c>
      <c r="D6" s="652"/>
      <c r="E6" s="652"/>
      <c r="F6" s="652"/>
      <c r="G6" s="218"/>
      <c r="H6" s="1335"/>
      <c r="I6" s="1335"/>
      <c r="J6" s="1335"/>
      <c r="K6" s="217"/>
    </row>
    <row r="7" spans="1:11" ht="26.1" customHeight="1" thickBot="1">
      <c r="A7" s="221" t="s">
        <v>318</v>
      </c>
      <c r="B7" s="1422" t="s">
        <v>540</v>
      </c>
      <c r="C7" s="1423"/>
      <c r="D7" s="1423"/>
      <c r="E7" s="1423"/>
      <c r="F7" s="1424"/>
      <c r="G7" s="222" t="s">
        <v>541</v>
      </c>
      <c r="H7" s="1337" t="s">
        <v>542</v>
      </c>
      <c r="I7" s="1337" t="s">
        <v>543</v>
      </c>
      <c r="J7" s="1337" t="s">
        <v>544</v>
      </c>
      <c r="K7" s="222" t="s">
        <v>325</v>
      </c>
    </row>
    <row r="8" spans="1:11" ht="26.1" customHeight="1" thickTop="1">
      <c r="A8" s="223" t="s">
        <v>399</v>
      </c>
      <c r="B8" s="1425" t="s">
        <v>812</v>
      </c>
      <c r="C8" s="1426"/>
      <c r="D8" s="1426"/>
      <c r="E8" s="1426"/>
      <c r="F8" s="1427"/>
      <c r="G8" s="224"/>
      <c r="H8" s="1133"/>
      <c r="I8" s="1133"/>
      <c r="J8" s="1133"/>
      <c r="K8" s="225"/>
    </row>
    <row r="9" spans="1:11">
      <c r="A9" s="226"/>
      <c r="B9" s="656" t="s">
        <v>545</v>
      </c>
      <c r="C9" s="657"/>
      <c r="D9" s="657"/>
      <c r="E9" s="657"/>
      <c r="F9" s="658"/>
      <c r="G9" s="228" t="s">
        <v>546</v>
      </c>
      <c r="H9" s="1338" t="s">
        <v>546</v>
      </c>
      <c r="I9" s="1338" t="s">
        <v>546</v>
      </c>
      <c r="J9" s="1338" t="s">
        <v>546</v>
      </c>
      <c r="K9" s="229" t="s">
        <v>547</v>
      </c>
    </row>
    <row r="10" spans="1:11">
      <c r="A10" s="223"/>
      <c r="B10" s="659" t="s">
        <v>813</v>
      </c>
      <c r="C10" s="660"/>
      <c r="D10" s="660"/>
      <c r="E10" s="660"/>
      <c r="F10" s="661"/>
      <c r="G10" s="230" t="s">
        <v>546</v>
      </c>
      <c r="H10" s="1339" t="s">
        <v>546</v>
      </c>
      <c r="I10" s="1339" t="s">
        <v>546</v>
      </c>
      <c r="J10" s="1339" t="s">
        <v>546</v>
      </c>
      <c r="K10" s="225" t="s">
        <v>547</v>
      </c>
    </row>
    <row r="11" spans="1:11" ht="15">
      <c r="A11" s="226"/>
      <c r="B11" s="656" t="s">
        <v>814</v>
      </c>
      <c r="C11" s="657"/>
      <c r="D11" s="657"/>
      <c r="E11" s="657"/>
      <c r="F11" s="658"/>
      <c r="G11" s="228" t="s">
        <v>546</v>
      </c>
      <c r="H11" s="1125"/>
      <c r="I11" s="1126"/>
      <c r="J11" s="1125" t="s">
        <v>548</v>
      </c>
      <c r="K11" s="229"/>
    </row>
    <row r="12" spans="1:11">
      <c r="A12" s="223"/>
      <c r="B12" s="659" t="s">
        <v>549</v>
      </c>
      <c r="C12" s="660"/>
      <c r="D12" s="660"/>
      <c r="E12" s="660"/>
      <c r="F12" s="661"/>
      <c r="G12" s="230"/>
      <c r="H12" s="1339"/>
      <c r="I12" s="1339"/>
      <c r="J12" s="1339"/>
      <c r="K12" s="225"/>
    </row>
    <row r="13" spans="1:11" ht="26.1" customHeight="1">
      <c r="A13" s="233"/>
      <c r="B13" s="662"/>
      <c r="C13" s="663"/>
      <c r="D13" s="663"/>
      <c r="E13" s="663"/>
      <c r="F13" s="664"/>
      <c r="G13" s="235"/>
      <c r="H13" s="1340"/>
      <c r="I13" s="1340"/>
      <c r="J13" s="1340"/>
      <c r="K13" s="236"/>
    </row>
    <row r="14" spans="1:11" ht="15">
      <c r="A14" s="226" t="s">
        <v>404</v>
      </c>
      <c r="B14" s="656" t="s">
        <v>550</v>
      </c>
      <c r="C14" s="657"/>
      <c r="D14" s="657"/>
      <c r="E14" s="657"/>
      <c r="F14" s="658"/>
      <c r="G14" s="232"/>
      <c r="H14" s="1126"/>
      <c r="I14" s="1126"/>
      <c r="J14" s="1126"/>
      <c r="K14" s="229"/>
    </row>
    <row r="15" spans="1:11" ht="15">
      <c r="A15" s="223"/>
      <c r="B15" s="659" t="s">
        <v>551</v>
      </c>
      <c r="C15" s="660"/>
      <c r="D15" s="660"/>
      <c r="E15" s="660"/>
      <c r="F15" s="661"/>
      <c r="G15" s="237"/>
      <c r="H15" s="1341"/>
      <c r="I15" s="1133"/>
      <c r="J15" s="1341"/>
      <c r="K15" s="225"/>
    </row>
    <row r="16" spans="1:11" ht="15">
      <c r="A16" s="226"/>
      <c r="B16" s="656" t="s">
        <v>552</v>
      </c>
      <c r="C16" s="657"/>
      <c r="D16" s="657"/>
      <c r="E16" s="657"/>
      <c r="F16" s="658"/>
      <c r="G16" s="231"/>
      <c r="H16" s="1125"/>
      <c r="I16" s="1126"/>
      <c r="J16" s="1125" t="s">
        <v>548</v>
      </c>
      <c r="K16" s="1428"/>
    </row>
    <row r="17" spans="1:11" ht="15">
      <c r="A17" s="223"/>
      <c r="B17" s="659" t="s">
        <v>553</v>
      </c>
      <c r="C17" s="660"/>
      <c r="D17" s="660"/>
      <c r="E17" s="660"/>
      <c r="F17" s="661"/>
      <c r="G17" s="239"/>
      <c r="H17" s="1342"/>
      <c r="I17" s="1133"/>
      <c r="J17" s="1342"/>
      <c r="K17" s="1429"/>
    </row>
    <row r="18" spans="1:11" ht="15">
      <c r="A18" s="226"/>
      <c r="B18" s="656" t="s">
        <v>815</v>
      </c>
      <c r="C18" s="657"/>
      <c r="D18" s="657"/>
      <c r="E18" s="657"/>
      <c r="F18" s="658"/>
      <c r="G18" s="232"/>
      <c r="H18" s="1125"/>
      <c r="I18" s="1126"/>
      <c r="J18" s="1125" t="s">
        <v>548</v>
      </c>
      <c r="K18" s="229"/>
    </row>
    <row r="19" spans="1:11" ht="15">
      <c r="A19" s="223"/>
      <c r="B19" s="659" t="s">
        <v>554</v>
      </c>
      <c r="C19" s="660"/>
      <c r="D19" s="660"/>
      <c r="E19" s="660"/>
      <c r="F19" s="661"/>
      <c r="G19" s="239"/>
      <c r="H19" s="1342"/>
      <c r="I19" s="1133"/>
      <c r="J19" s="1342"/>
      <c r="K19" s="225"/>
    </row>
    <row r="20" spans="1:11" ht="15">
      <c r="A20" s="226"/>
      <c r="B20" s="656" t="s">
        <v>555</v>
      </c>
      <c r="C20" s="657"/>
      <c r="D20" s="657"/>
      <c r="E20" s="657"/>
      <c r="F20" s="658"/>
      <c r="G20" s="232"/>
      <c r="H20" s="1125" t="s">
        <v>548</v>
      </c>
      <c r="I20" s="1126"/>
      <c r="J20" s="1126"/>
      <c r="K20" s="229"/>
    </row>
    <row r="21" spans="1:11" ht="15">
      <c r="A21" s="223"/>
      <c r="B21" s="659" t="s">
        <v>556</v>
      </c>
      <c r="C21" s="660"/>
      <c r="D21" s="660"/>
      <c r="E21" s="660"/>
      <c r="F21" s="661"/>
      <c r="G21" s="239"/>
      <c r="H21" s="1342"/>
      <c r="I21" s="1133"/>
      <c r="J21" s="1342"/>
      <c r="K21" s="225"/>
    </row>
    <row r="22" spans="1:11" ht="15">
      <c r="A22" s="226"/>
      <c r="B22" s="656" t="s">
        <v>557</v>
      </c>
      <c r="C22" s="657"/>
      <c r="D22" s="657"/>
      <c r="E22" s="657"/>
      <c r="F22" s="658"/>
      <c r="G22" s="232"/>
      <c r="H22" s="1125" t="s">
        <v>548</v>
      </c>
      <c r="I22" s="1126"/>
      <c r="J22" s="1126"/>
      <c r="K22" s="229"/>
    </row>
    <row r="23" spans="1:11" ht="15">
      <c r="A23" s="241"/>
      <c r="B23" s="665" t="s">
        <v>558</v>
      </c>
      <c r="C23" s="666"/>
      <c r="D23" s="666"/>
      <c r="E23" s="666"/>
      <c r="F23" s="667"/>
      <c r="G23" s="237"/>
      <c r="H23" s="1342"/>
      <c r="I23" s="1341"/>
      <c r="J23" s="1341"/>
      <c r="K23" s="242"/>
    </row>
    <row r="24" spans="1:11" ht="15">
      <c r="A24" s="226"/>
      <c r="B24" s="656" t="s">
        <v>559</v>
      </c>
      <c r="C24" s="657"/>
      <c r="D24" s="657"/>
      <c r="E24" s="657"/>
      <c r="F24" s="658"/>
      <c r="G24" s="231" t="s">
        <v>548</v>
      </c>
      <c r="H24" s="1125"/>
      <c r="I24" s="1126"/>
      <c r="J24" s="1126"/>
      <c r="K24" s="229" t="s">
        <v>560</v>
      </c>
    </row>
    <row r="25" spans="1:11" ht="15">
      <c r="A25" s="241"/>
      <c r="B25" s="665" t="s">
        <v>561</v>
      </c>
      <c r="C25" s="666"/>
      <c r="D25" s="666"/>
      <c r="E25" s="666"/>
      <c r="F25" s="667"/>
      <c r="G25" s="239"/>
      <c r="H25" s="1342"/>
      <c r="I25" s="1341"/>
      <c r="J25" s="1341"/>
      <c r="K25" s="243" t="s">
        <v>562</v>
      </c>
    </row>
    <row r="26" spans="1:11" ht="15" customHeight="1">
      <c r="A26" s="226"/>
      <c r="B26" s="656" t="s">
        <v>563</v>
      </c>
      <c r="C26" s="657"/>
      <c r="D26" s="657"/>
      <c r="E26" s="657"/>
      <c r="F26" s="658"/>
      <c r="G26" s="231"/>
      <c r="H26" s="1125"/>
      <c r="I26" s="1125" t="s">
        <v>548</v>
      </c>
      <c r="J26" s="1126"/>
      <c r="K26" s="229" t="s">
        <v>560</v>
      </c>
    </row>
    <row r="27" spans="1:11" ht="15">
      <c r="A27" s="241"/>
      <c r="B27" s="665" t="s">
        <v>564</v>
      </c>
      <c r="C27" s="666"/>
      <c r="D27" s="666"/>
      <c r="E27" s="666"/>
      <c r="F27" s="667"/>
      <c r="G27" s="239"/>
      <c r="H27" s="1342"/>
      <c r="I27" s="1342"/>
      <c r="J27" s="1341"/>
      <c r="K27" s="243" t="s">
        <v>562</v>
      </c>
    </row>
    <row r="28" spans="1:11" ht="26.1" customHeight="1">
      <c r="A28" s="233"/>
      <c r="B28" s="662"/>
      <c r="C28" s="663"/>
      <c r="D28" s="663"/>
      <c r="E28" s="663"/>
      <c r="F28" s="664"/>
      <c r="G28" s="235"/>
      <c r="H28" s="1340"/>
      <c r="I28" s="1340"/>
      <c r="J28" s="1340"/>
      <c r="K28" s="236"/>
    </row>
    <row r="29" spans="1:11" ht="15">
      <c r="A29" s="226" t="s">
        <v>478</v>
      </c>
      <c r="B29" s="656" t="s">
        <v>565</v>
      </c>
      <c r="C29" s="657"/>
      <c r="D29" s="657"/>
      <c r="E29" s="657"/>
      <c r="F29" s="658"/>
      <c r="G29" s="232"/>
      <c r="H29" s="1126"/>
      <c r="I29" s="1126"/>
      <c r="J29" s="1126"/>
      <c r="K29" s="229"/>
    </row>
    <row r="30" spans="1:11" ht="15">
      <c r="A30" s="223"/>
      <c r="B30" s="659" t="s">
        <v>566</v>
      </c>
      <c r="C30" s="660"/>
      <c r="D30" s="660"/>
      <c r="E30" s="660"/>
      <c r="F30" s="661"/>
      <c r="G30" s="224"/>
      <c r="H30" s="1341"/>
      <c r="I30" s="1133"/>
      <c r="J30" s="1133"/>
      <c r="K30" s="225"/>
    </row>
    <row r="31" spans="1:11" ht="15">
      <c r="A31" s="226"/>
      <c r="B31" s="656" t="s">
        <v>567</v>
      </c>
      <c r="C31" s="657"/>
      <c r="D31" s="657"/>
      <c r="E31" s="657"/>
      <c r="F31" s="658"/>
      <c r="G31" s="232"/>
      <c r="H31" s="1125" t="s">
        <v>548</v>
      </c>
      <c r="I31" s="1126"/>
      <c r="J31" s="1126"/>
      <c r="K31" s="229"/>
    </row>
    <row r="32" spans="1:11" ht="15">
      <c r="A32" s="241"/>
      <c r="B32" s="659" t="s">
        <v>568</v>
      </c>
      <c r="C32" s="660"/>
      <c r="D32" s="660"/>
      <c r="E32" s="660"/>
      <c r="F32" s="661"/>
      <c r="G32" s="237"/>
      <c r="H32" s="1342"/>
      <c r="I32" s="1341"/>
      <c r="J32" s="1341"/>
      <c r="K32" s="242"/>
    </row>
    <row r="33" spans="1:11" ht="15">
      <c r="A33" s="226"/>
      <c r="B33" s="656" t="s">
        <v>569</v>
      </c>
      <c r="C33" s="657"/>
      <c r="D33" s="657"/>
      <c r="E33" s="657"/>
      <c r="F33" s="658"/>
      <c r="G33" s="232"/>
      <c r="H33" s="1125" t="s">
        <v>548</v>
      </c>
      <c r="I33" s="1126"/>
      <c r="J33" s="1126"/>
      <c r="K33" s="229"/>
    </row>
    <row r="34" spans="1:11" ht="15">
      <c r="A34" s="241"/>
      <c r="B34" s="659" t="s">
        <v>570</v>
      </c>
      <c r="C34" s="660"/>
      <c r="D34" s="660"/>
      <c r="E34" s="660"/>
      <c r="F34" s="661"/>
      <c r="G34" s="237"/>
      <c r="H34" s="1342"/>
      <c r="I34" s="1341"/>
      <c r="J34" s="1341"/>
      <c r="K34" s="242"/>
    </row>
    <row r="35" spans="1:11" ht="15">
      <c r="A35" s="226"/>
      <c r="B35" s="1408" t="s">
        <v>571</v>
      </c>
      <c r="C35" s="1409"/>
      <c r="D35" s="1409"/>
      <c r="E35" s="1409"/>
      <c r="F35" s="1410"/>
      <c r="G35" s="232"/>
      <c r="H35" s="1125" t="s">
        <v>548</v>
      </c>
      <c r="I35" s="1126"/>
      <c r="J35" s="1126"/>
      <c r="K35" s="229"/>
    </row>
    <row r="36" spans="1:11" ht="15">
      <c r="A36" s="223"/>
      <c r="B36" s="659" t="s">
        <v>572</v>
      </c>
      <c r="C36" s="669"/>
      <c r="D36" s="669"/>
      <c r="E36" s="669"/>
      <c r="F36" s="670"/>
      <c r="G36" s="224"/>
      <c r="H36" s="1342"/>
      <c r="I36" s="1133"/>
      <c r="J36" s="1133"/>
      <c r="K36" s="225"/>
    </row>
    <row r="37" spans="1:11" ht="15">
      <c r="A37" s="226"/>
      <c r="B37" s="656" t="s">
        <v>573</v>
      </c>
      <c r="C37" s="657"/>
      <c r="D37" s="657"/>
      <c r="E37" s="657"/>
      <c r="F37" s="658"/>
      <c r="G37" s="232"/>
      <c r="H37" s="1125" t="s">
        <v>548</v>
      </c>
      <c r="I37" s="1126"/>
      <c r="J37" s="1126"/>
      <c r="K37" s="229"/>
    </row>
    <row r="38" spans="1:11" ht="15">
      <c r="A38" s="223"/>
      <c r="B38" s="659" t="s">
        <v>574</v>
      </c>
      <c r="C38" s="660"/>
      <c r="D38" s="660"/>
      <c r="E38" s="660"/>
      <c r="F38" s="661"/>
      <c r="G38" s="224"/>
      <c r="H38" s="1342"/>
      <c r="I38" s="1133"/>
      <c r="J38" s="1133"/>
      <c r="K38" s="225"/>
    </row>
    <row r="39" spans="1:11" ht="15">
      <c r="A39" s="226"/>
      <c r="B39" s="656" t="s">
        <v>575</v>
      </c>
      <c r="C39" s="657"/>
      <c r="D39" s="657"/>
      <c r="E39" s="657"/>
      <c r="F39" s="658"/>
      <c r="G39" s="232"/>
      <c r="H39" s="1125" t="s">
        <v>548</v>
      </c>
      <c r="I39" s="1126"/>
      <c r="J39" s="1126"/>
      <c r="K39" s="229"/>
    </row>
    <row r="40" spans="1:11" ht="15">
      <c r="A40" s="223"/>
      <c r="B40" s="659" t="s">
        <v>576</v>
      </c>
      <c r="C40" s="660"/>
      <c r="D40" s="660"/>
      <c r="E40" s="660"/>
      <c r="F40" s="661"/>
      <c r="G40" s="224"/>
      <c r="H40" s="1342"/>
      <c r="I40" s="1133"/>
      <c r="J40" s="1133"/>
      <c r="K40" s="225"/>
    </row>
    <row r="41" spans="1:11" ht="15">
      <c r="A41" s="226"/>
      <c r="B41" s="656" t="s">
        <v>577</v>
      </c>
      <c r="C41" s="657"/>
      <c r="D41" s="657"/>
      <c r="E41" s="657"/>
      <c r="F41" s="658"/>
      <c r="G41" s="232"/>
      <c r="H41" s="1125" t="s">
        <v>548</v>
      </c>
      <c r="I41" s="1126"/>
      <c r="J41" s="1126"/>
      <c r="K41" s="229"/>
    </row>
    <row r="42" spans="1:11" ht="15">
      <c r="A42" s="223"/>
      <c r="B42" s="659" t="s">
        <v>578</v>
      </c>
      <c r="C42" s="660"/>
      <c r="D42" s="660"/>
      <c r="E42" s="660"/>
      <c r="F42" s="661"/>
      <c r="G42" s="224"/>
      <c r="H42" s="1342"/>
      <c r="I42" s="1133"/>
      <c r="J42" s="1133"/>
      <c r="K42" s="225"/>
    </row>
    <row r="43" spans="1:11" ht="15">
      <c r="A43" s="226"/>
      <c r="B43" s="656" t="s">
        <v>579</v>
      </c>
      <c r="C43" s="657"/>
      <c r="D43" s="657"/>
      <c r="E43" s="657"/>
      <c r="F43" s="658"/>
      <c r="G43" s="232"/>
      <c r="H43" s="1125" t="s">
        <v>548</v>
      </c>
      <c r="I43" s="1126"/>
      <c r="J43" s="1126"/>
      <c r="K43" s="229"/>
    </row>
    <row r="44" spans="1:11" ht="15">
      <c r="A44" s="223"/>
      <c r="B44" s="659" t="s">
        <v>580</v>
      </c>
      <c r="C44" s="660"/>
      <c r="D44" s="660"/>
      <c r="E44" s="660"/>
      <c r="F44" s="660"/>
      <c r="G44" s="224"/>
      <c r="H44" s="1342"/>
      <c r="I44" s="1341"/>
      <c r="J44" s="1133"/>
      <c r="K44" s="225"/>
    </row>
    <row r="45" spans="1:11" ht="15">
      <c r="A45" s="244"/>
      <c r="B45" s="1408" t="s">
        <v>581</v>
      </c>
      <c r="C45" s="1409"/>
      <c r="D45" s="1409"/>
      <c r="E45" s="1409"/>
      <c r="F45" s="1409"/>
      <c r="G45" s="245"/>
      <c r="H45" s="1125" t="s">
        <v>548</v>
      </c>
      <c r="I45" s="1125"/>
      <c r="J45" s="1126"/>
      <c r="K45" s="229"/>
    </row>
    <row r="46" spans="1:11" ht="15">
      <c r="A46" s="246"/>
      <c r="B46" s="659" t="s">
        <v>582</v>
      </c>
      <c r="C46" s="669"/>
      <c r="D46" s="669"/>
      <c r="E46" s="669"/>
      <c r="F46" s="669"/>
      <c r="G46" s="247"/>
      <c r="H46" s="1342"/>
      <c r="I46" s="1342"/>
      <c r="J46" s="1133"/>
      <c r="K46" s="225"/>
    </row>
    <row r="47" spans="1:11" ht="15">
      <c r="A47" s="226"/>
      <c r="B47" s="656" t="s">
        <v>583</v>
      </c>
      <c r="C47" s="657"/>
      <c r="D47" s="657"/>
      <c r="E47" s="657"/>
      <c r="F47" s="658"/>
      <c r="G47" s="232"/>
      <c r="H47" s="1125" t="s">
        <v>548</v>
      </c>
      <c r="I47" s="1126"/>
      <c r="J47" s="1126"/>
      <c r="K47" s="229"/>
    </row>
    <row r="48" spans="1:11" ht="15">
      <c r="A48" s="223"/>
      <c r="B48" s="659" t="s">
        <v>584</v>
      </c>
      <c r="C48" s="660"/>
      <c r="D48" s="660"/>
      <c r="E48" s="660"/>
      <c r="F48" s="661"/>
      <c r="G48" s="224"/>
      <c r="H48" s="1134"/>
      <c r="I48" s="1133"/>
      <c r="J48" s="1133"/>
      <c r="K48" s="225"/>
    </row>
    <row r="49" spans="1:11" ht="15">
      <c r="A49" s="226"/>
      <c r="B49" s="656" t="s">
        <v>585</v>
      </c>
      <c r="C49" s="657"/>
      <c r="D49" s="657"/>
      <c r="E49" s="657"/>
      <c r="F49" s="658"/>
      <c r="G49" s="232"/>
      <c r="H49" s="1125" t="s">
        <v>548</v>
      </c>
      <c r="I49" s="1126"/>
      <c r="J49" s="1126"/>
      <c r="K49" s="229"/>
    </row>
    <row r="50" spans="1:11" ht="15">
      <c r="A50" s="223"/>
      <c r="B50" s="659" t="s">
        <v>586</v>
      </c>
      <c r="C50" s="660"/>
      <c r="D50" s="660"/>
      <c r="E50" s="660"/>
      <c r="F50" s="661"/>
      <c r="G50" s="224"/>
      <c r="H50" s="1134"/>
      <c r="I50" s="1133"/>
      <c r="J50" s="1133"/>
      <c r="K50" s="225"/>
    </row>
    <row r="51" spans="1:11" ht="15">
      <c r="A51" s="241"/>
      <c r="B51" s="665" t="s">
        <v>587</v>
      </c>
      <c r="C51" s="666"/>
      <c r="D51" s="666"/>
      <c r="E51" s="666"/>
      <c r="F51" s="666"/>
      <c r="G51" s="237"/>
      <c r="H51" s="1342" t="s">
        <v>548</v>
      </c>
      <c r="I51" s="1342"/>
      <c r="J51" s="1343"/>
      <c r="K51" s="249" t="s">
        <v>588</v>
      </c>
    </row>
    <row r="52" spans="1:11" ht="15">
      <c r="A52" s="241"/>
      <c r="B52" s="665" t="s">
        <v>589</v>
      </c>
      <c r="C52" s="666"/>
      <c r="D52" s="666"/>
      <c r="E52" s="666"/>
      <c r="F52" s="666"/>
      <c r="G52" s="237"/>
      <c r="H52" s="1342"/>
      <c r="I52" s="1342"/>
      <c r="J52" s="1343"/>
      <c r="K52" s="249" t="s">
        <v>590</v>
      </c>
    </row>
    <row r="53" spans="1:11" ht="15.75" customHeight="1">
      <c r="A53" s="226"/>
      <c r="B53" s="656" t="s">
        <v>591</v>
      </c>
      <c r="C53" s="657"/>
      <c r="D53" s="657"/>
      <c r="E53" s="657"/>
      <c r="F53" s="658"/>
      <c r="G53" s="231"/>
      <c r="H53" s="1125"/>
      <c r="I53" s="1126"/>
      <c r="J53" s="1125" t="s">
        <v>548</v>
      </c>
      <c r="K53" s="229"/>
    </row>
    <row r="54" spans="1:11" ht="15">
      <c r="A54" s="241"/>
      <c r="B54" s="665" t="s">
        <v>592</v>
      </c>
      <c r="C54" s="666"/>
      <c r="D54" s="666"/>
      <c r="E54" s="666"/>
      <c r="F54" s="666"/>
      <c r="G54" s="237"/>
      <c r="H54" s="1342"/>
      <c r="I54" s="1342"/>
      <c r="J54" s="1343"/>
      <c r="K54" s="250"/>
    </row>
    <row r="55" spans="1:11" ht="12.75" customHeight="1">
      <c r="A55" s="233"/>
      <c r="B55" s="662"/>
      <c r="C55" s="663"/>
      <c r="D55" s="663"/>
      <c r="E55" s="663"/>
      <c r="F55" s="664"/>
      <c r="G55" s="235"/>
      <c r="H55" s="1340"/>
      <c r="I55" s="1340"/>
      <c r="J55" s="1340"/>
      <c r="K55" s="236"/>
    </row>
    <row r="56" spans="1:11" ht="12.75" customHeight="1">
      <c r="A56" s="226" t="s">
        <v>593</v>
      </c>
      <c r="B56" s="656" t="s">
        <v>594</v>
      </c>
      <c r="C56" s="657"/>
      <c r="D56" s="657"/>
      <c r="E56" s="657"/>
      <c r="F56" s="658"/>
      <c r="G56" s="232"/>
      <c r="H56" s="1126"/>
      <c r="I56" s="1126"/>
      <c r="J56" s="1126"/>
      <c r="K56" s="245" t="s">
        <v>595</v>
      </c>
    </row>
    <row r="57" spans="1:11" ht="15">
      <c r="A57" s="223"/>
      <c r="B57" s="659" t="s">
        <v>596</v>
      </c>
      <c r="C57" s="660"/>
      <c r="D57" s="660"/>
      <c r="E57" s="660"/>
      <c r="F57" s="660"/>
      <c r="G57" s="224"/>
      <c r="H57" s="1134"/>
      <c r="I57" s="1134"/>
      <c r="J57" s="1344"/>
      <c r="K57" s="240" t="s">
        <v>597</v>
      </c>
    </row>
    <row r="58" spans="1:11" ht="15">
      <c r="A58" s="226"/>
      <c r="B58" s="656" t="s">
        <v>598</v>
      </c>
      <c r="C58" s="657"/>
      <c r="D58" s="657"/>
      <c r="E58" s="657"/>
      <c r="F58" s="658"/>
      <c r="G58" s="232"/>
      <c r="H58" s="1125" t="s">
        <v>548</v>
      </c>
      <c r="I58" s="1126"/>
      <c r="J58" s="1126"/>
      <c r="K58" s="229" t="s">
        <v>599</v>
      </c>
    </row>
    <row r="59" spans="1:11" ht="15">
      <c r="A59" s="223"/>
      <c r="B59" s="659" t="s">
        <v>600</v>
      </c>
      <c r="C59" s="660"/>
      <c r="D59" s="660"/>
      <c r="E59" s="660"/>
      <c r="F59" s="660"/>
      <c r="G59" s="224"/>
      <c r="H59" s="1134"/>
      <c r="I59" s="1134"/>
      <c r="J59" s="1344"/>
      <c r="K59" s="240" t="s">
        <v>601</v>
      </c>
    </row>
    <row r="60" spans="1:11" ht="15">
      <c r="A60" s="226"/>
      <c r="B60" s="656" t="s">
        <v>602</v>
      </c>
      <c r="C60" s="657"/>
      <c r="D60" s="657"/>
      <c r="E60" s="657"/>
      <c r="F60" s="658"/>
      <c r="G60" s="232"/>
      <c r="H60" s="1125" t="s">
        <v>548</v>
      </c>
      <c r="I60" s="1125"/>
      <c r="J60" s="1126"/>
      <c r="K60" s="245"/>
    </row>
    <row r="61" spans="1:11" ht="15">
      <c r="A61" s="223"/>
      <c r="B61" s="659" t="s">
        <v>603</v>
      </c>
      <c r="C61" s="660"/>
      <c r="D61" s="660"/>
      <c r="E61" s="660"/>
      <c r="F61" s="660"/>
      <c r="G61" s="224"/>
      <c r="H61" s="1134"/>
      <c r="I61" s="1134"/>
      <c r="J61" s="1344"/>
      <c r="K61" s="240"/>
    </row>
    <row r="62" spans="1:11" ht="15">
      <c r="A62" s="226"/>
      <c r="B62" s="656" t="s">
        <v>604</v>
      </c>
      <c r="C62" s="657"/>
      <c r="D62" s="657"/>
      <c r="E62" s="657"/>
      <c r="F62" s="658"/>
      <c r="G62" s="232"/>
      <c r="H62" s="1125" t="s">
        <v>548</v>
      </c>
      <c r="I62" s="1126"/>
      <c r="J62" s="1126"/>
      <c r="K62" s="229"/>
    </row>
    <row r="63" spans="1:11" ht="15">
      <c r="A63" s="223"/>
      <c r="B63" s="659" t="s">
        <v>605</v>
      </c>
      <c r="C63" s="660"/>
      <c r="D63" s="660"/>
      <c r="E63" s="660"/>
      <c r="F63" s="660"/>
      <c r="G63" s="224"/>
      <c r="H63" s="1134"/>
      <c r="I63" s="1134"/>
      <c r="J63" s="1344"/>
      <c r="K63" s="240"/>
    </row>
    <row r="64" spans="1:11" ht="15">
      <c r="A64" s="226"/>
      <c r="B64" s="656" t="s">
        <v>606</v>
      </c>
      <c r="C64" s="657"/>
      <c r="D64" s="657"/>
      <c r="E64" s="657"/>
      <c r="F64" s="658"/>
      <c r="G64" s="232"/>
      <c r="H64" s="1125" t="s">
        <v>548</v>
      </c>
      <c r="I64" s="1126"/>
      <c r="J64" s="1126"/>
      <c r="K64" s="229"/>
    </row>
    <row r="65" spans="1:11" ht="15">
      <c r="A65" s="223"/>
      <c r="B65" s="659" t="s">
        <v>607</v>
      </c>
      <c r="C65" s="660"/>
      <c r="D65" s="660"/>
      <c r="E65" s="660"/>
      <c r="F65" s="660"/>
      <c r="G65" s="224"/>
      <c r="H65" s="1134"/>
      <c r="I65" s="1134"/>
      <c r="J65" s="1344"/>
      <c r="K65" s="240"/>
    </row>
    <row r="66" spans="1:11" ht="15">
      <c r="A66" s="226"/>
      <c r="B66" s="656" t="s">
        <v>608</v>
      </c>
      <c r="C66" s="657"/>
      <c r="D66" s="657"/>
      <c r="E66" s="657"/>
      <c r="F66" s="658"/>
      <c r="G66" s="232"/>
      <c r="H66" s="1125" t="s">
        <v>548</v>
      </c>
      <c r="I66" s="1126"/>
      <c r="J66" s="1126"/>
      <c r="K66" s="229"/>
    </row>
    <row r="67" spans="1:11" ht="15">
      <c r="A67" s="223"/>
      <c r="B67" s="659" t="s">
        <v>609</v>
      </c>
      <c r="C67" s="660"/>
      <c r="D67" s="660"/>
      <c r="E67" s="660"/>
      <c r="F67" s="660"/>
      <c r="G67" s="224"/>
      <c r="H67" s="1134"/>
      <c r="I67" s="1134"/>
      <c r="J67" s="1344"/>
      <c r="K67" s="240"/>
    </row>
    <row r="68" spans="1:11" ht="15">
      <c r="A68" s="226"/>
      <c r="B68" s="656" t="s">
        <v>610</v>
      </c>
      <c r="C68" s="657"/>
      <c r="D68" s="657"/>
      <c r="E68" s="657"/>
      <c r="F68" s="658"/>
      <c r="G68" s="232"/>
      <c r="H68" s="1125" t="s">
        <v>548</v>
      </c>
      <c r="I68" s="1126"/>
      <c r="J68" s="1126"/>
      <c r="K68" s="229"/>
    </row>
    <row r="69" spans="1:11" ht="15">
      <c r="A69" s="223"/>
      <c r="B69" s="659" t="s">
        <v>611</v>
      </c>
      <c r="C69" s="660"/>
      <c r="D69" s="660"/>
      <c r="E69" s="660"/>
      <c r="F69" s="660"/>
      <c r="G69" s="224"/>
      <c r="H69" s="1134"/>
      <c r="I69" s="1134"/>
      <c r="J69" s="1344"/>
      <c r="K69" s="240"/>
    </row>
    <row r="70" spans="1:11" ht="15">
      <c r="A70" s="226"/>
      <c r="B70" s="656" t="s">
        <v>612</v>
      </c>
      <c r="C70" s="657"/>
      <c r="D70" s="657"/>
      <c r="E70" s="657"/>
      <c r="F70" s="658"/>
      <c r="G70" s="232"/>
      <c r="H70" s="1125" t="s">
        <v>548</v>
      </c>
      <c r="I70" s="1125"/>
      <c r="J70" s="1126"/>
      <c r="K70" s="229"/>
    </row>
    <row r="71" spans="1:11" ht="15">
      <c r="A71" s="223"/>
      <c r="B71" s="659" t="s">
        <v>613</v>
      </c>
      <c r="C71" s="660"/>
      <c r="D71" s="660"/>
      <c r="E71" s="660"/>
      <c r="F71" s="660"/>
      <c r="G71" s="224"/>
      <c r="H71" s="1134"/>
      <c r="I71" s="1134"/>
      <c r="J71" s="1344"/>
      <c r="K71" s="240"/>
    </row>
    <row r="72" spans="1:11" ht="26.1" customHeight="1">
      <c r="A72" s="226"/>
      <c r="B72" s="1408" t="s">
        <v>614</v>
      </c>
      <c r="C72" s="1409"/>
      <c r="D72" s="1409"/>
      <c r="E72" s="1409"/>
      <c r="F72" s="1410"/>
      <c r="G72" s="251"/>
      <c r="H72" s="1125" t="s">
        <v>548</v>
      </c>
      <c r="I72" s="1345"/>
      <c r="J72" s="1345"/>
      <c r="K72" s="229"/>
    </row>
    <row r="73" spans="1:11" ht="15">
      <c r="A73" s="241"/>
      <c r="B73" s="1418" t="s">
        <v>816</v>
      </c>
      <c r="C73" s="1419"/>
      <c r="D73" s="1419"/>
      <c r="E73" s="1419"/>
      <c r="F73" s="1420"/>
      <c r="G73" s="252"/>
      <c r="H73" s="1342"/>
      <c r="I73" s="1343"/>
      <c r="J73" s="1343"/>
      <c r="K73" s="242"/>
    </row>
    <row r="74" spans="1:11" ht="24" customHeight="1">
      <c r="A74" s="253"/>
      <c r="B74" s="1415" t="s">
        <v>615</v>
      </c>
      <c r="C74" s="1416"/>
      <c r="D74" s="1416"/>
      <c r="E74" s="1416"/>
      <c r="F74" s="1416"/>
      <c r="G74" s="1416"/>
      <c r="H74" s="1416"/>
      <c r="I74" s="1416"/>
      <c r="J74" s="1417"/>
      <c r="K74" s="227"/>
    </row>
    <row r="75" spans="1:11" ht="24" customHeight="1">
      <c r="A75" s="253"/>
      <c r="B75" s="1415" t="s">
        <v>616</v>
      </c>
      <c r="C75" s="1416"/>
      <c r="D75" s="1416"/>
      <c r="E75" s="1416"/>
      <c r="F75" s="1416"/>
      <c r="G75" s="1416"/>
      <c r="H75" s="1416"/>
      <c r="I75" s="1416"/>
      <c r="J75" s="1417"/>
      <c r="K75" s="227"/>
    </row>
    <row r="76" spans="1:11" ht="12.75" customHeight="1">
      <c r="A76" s="254"/>
      <c r="B76" s="662"/>
      <c r="C76" s="663"/>
      <c r="D76" s="663"/>
      <c r="E76" s="663"/>
      <c r="F76" s="663"/>
      <c r="G76" s="235"/>
      <c r="H76" s="1340"/>
      <c r="I76" s="1340"/>
      <c r="J76" s="1340"/>
      <c r="K76" s="234"/>
    </row>
    <row r="77" spans="1:11" ht="15">
      <c r="A77" s="226" t="s">
        <v>617</v>
      </c>
      <c r="B77" s="656" t="s">
        <v>618</v>
      </c>
      <c r="C77" s="657"/>
      <c r="D77" s="657"/>
      <c r="E77" s="657"/>
      <c r="F77" s="658"/>
      <c r="G77" s="232"/>
      <c r="H77" s="1125" t="s">
        <v>548</v>
      </c>
      <c r="I77" s="1126"/>
      <c r="J77" s="1126"/>
      <c r="K77" s="229"/>
    </row>
    <row r="78" spans="1:11" ht="15">
      <c r="A78" s="223"/>
      <c r="B78" s="659" t="s">
        <v>619</v>
      </c>
      <c r="C78" s="660"/>
      <c r="D78" s="660"/>
      <c r="E78" s="660"/>
      <c r="F78" s="660"/>
      <c r="G78" s="224"/>
      <c r="H78" s="1134"/>
      <c r="I78" s="1134"/>
      <c r="J78" s="1344"/>
      <c r="K78" s="240"/>
    </row>
    <row r="79" spans="1:11" ht="15">
      <c r="A79" s="226"/>
      <c r="B79" s="656" t="s">
        <v>0</v>
      </c>
      <c r="C79" s="657"/>
      <c r="D79" s="657"/>
      <c r="E79" s="657"/>
      <c r="F79" s="658"/>
      <c r="G79" s="231"/>
      <c r="H79" s="1125" t="s">
        <v>548</v>
      </c>
      <c r="I79" s="1126"/>
      <c r="J79" s="1126"/>
      <c r="K79" s="245"/>
    </row>
    <row r="80" spans="1:11" ht="15">
      <c r="A80" s="223"/>
      <c r="B80" s="659" t="s">
        <v>1</v>
      </c>
      <c r="C80" s="660"/>
      <c r="D80" s="660"/>
      <c r="E80" s="660"/>
      <c r="F80" s="660"/>
      <c r="G80" s="224"/>
      <c r="H80" s="1134"/>
      <c r="I80" s="1134"/>
      <c r="J80" s="1344"/>
      <c r="K80" s="240"/>
    </row>
    <row r="81" spans="1:11" ht="15">
      <c r="A81" s="226"/>
      <c r="B81" s="656" t="s">
        <v>2</v>
      </c>
      <c r="C81" s="657"/>
      <c r="D81" s="657"/>
      <c r="E81" s="657"/>
      <c r="F81" s="658"/>
      <c r="G81" s="232"/>
      <c r="H81" s="1125" t="s">
        <v>548</v>
      </c>
      <c r="I81" s="1126"/>
      <c r="J81" s="1126"/>
      <c r="K81" s="229"/>
    </row>
    <row r="82" spans="1:11" ht="15">
      <c r="A82" s="223"/>
      <c r="B82" s="659" t="s">
        <v>817</v>
      </c>
      <c r="C82" s="660"/>
      <c r="D82" s="660"/>
      <c r="E82" s="660"/>
      <c r="F82" s="661"/>
      <c r="G82" s="239"/>
      <c r="H82" s="1342"/>
      <c r="I82" s="1133"/>
      <c r="J82" s="1133"/>
      <c r="K82" s="247"/>
    </row>
    <row r="83" spans="1:11" ht="15">
      <c r="A83" s="226"/>
      <c r="B83" s="656" t="s">
        <v>3</v>
      </c>
      <c r="C83" s="657"/>
      <c r="D83" s="657"/>
      <c r="E83" s="657"/>
      <c r="F83" s="658"/>
      <c r="G83" s="232"/>
      <c r="H83" s="1125" t="s">
        <v>548</v>
      </c>
      <c r="I83" s="1126"/>
      <c r="J83" s="1126"/>
      <c r="K83" s="229"/>
    </row>
    <row r="84" spans="1:11" ht="15">
      <c r="A84" s="223"/>
      <c r="B84" s="659" t="s">
        <v>818</v>
      </c>
      <c r="C84" s="660"/>
      <c r="D84" s="660"/>
      <c r="E84" s="660"/>
      <c r="F84" s="661"/>
      <c r="G84" s="239"/>
      <c r="H84" s="1342"/>
      <c r="I84" s="1133"/>
      <c r="J84" s="1133"/>
      <c r="K84" s="247"/>
    </row>
    <row r="85" spans="1:11" ht="15">
      <c r="A85" s="226"/>
      <c r="B85" s="656" t="s">
        <v>4</v>
      </c>
      <c r="C85" s="657"/>
      <c r="D85" s="657"/>
      <c r="E85" s="657"/>
      <c r="F85" s="658"/>
      <c r="G85" s="231"/>
      <c r="H85" s="1125" t="s">
        <v>548</v>
      </c>
      <c r="I85" s="1126"/>
      <c r="J85" s="1126"/>
      <c r="K85" s="229"/>
    </row>
    <row r="86" spans="1:11" ht="15">
      <c r="A86" s="223"/>
      <c r="B86" s="659" t="s">
        <v>819</v>
      </c>
      <c r="C86" s="660"/>
      <c r="D86" s="660"/>
      <c r="E86" s="660"/>
      <c r="F86" s="661"/>
      <c r="G86" s="239"/>
      <c r="H86" s="1342"/>
      <c r="I86" s="1133"/>
      <c r="J86" s="1133"/>
      <c r="K86" s="247"/>
    </row>
    <row r="87" spans="1:11" ht="15">
      <c r="A87" s="241" t="s">
        <v>5</v>
      </c>
      <c r="B87" s="665" t="s">
        <v>6</v>
      </c>
      <c r="C87" s="666"/>
      <c r="D87" s="666"/>
      <c r="E87" s="666"/>
      <c r="F87" s="667"/>
      <c r="G87" s="232"/>
      <c r="H87" s="1126"/>
      <c r="I87" s="1341"/>
      <c r="J87" s="1341"/>
      <c r="K87" s="242"/>
    </row>
    <row r="88" spans="1:11" ht="15">
      <c r="A88" s="223"/>
      <c r="B88" s="659" t="s">
        <v>7</v>
      </c>
      <c r="C88" s="660"/>
      <c r="D88" s="660"/>
      <c r="E88" s="660"/>
      <c r="F88" s="661"/>
      <c r="G88" s="239"/>
      <c r="H88" s="1342"/>
      <c r="I88" s="1133"/>
      <c r="J88" s="1133"/>
      <c r="K88" s="247"/>
    </row>
    <row r="89" spans="1:11" ht="15">
      <c r="A89" s="226"/>
      <c r="B89" s="656" t="s">
        <v>8</v>
      </c>
      <c r="C89" s="657"/>
      <c r="D89" s="657"/>
      <c r="E89" s="657"/>
      <c r="F89" s="658"/>
      <c r="G89" s="232"/>
      <c r="H89" s="1126"/>
      <c r="I89" s="1126"/>
      <c r="J89" s="1126"/>
      <c r="K89" s="229"/>
    </row>
    <row r="90" spans="1:11" ht="15">
      <c r="A90" s="223"/>
      <c r="B90" s="659" t="s">
        <v>820</v>
      </c>
      <c r="C90" s="660"/>
      <c r="D90" s="660"/>
      <c r="E90" s="660"/>
      <c r="F90" s="661"/>
      <c r="G90" s="239"/>
      <c r="H90" s="1342"/>
      <c r="I90" s="1133"/>
      <c r="J90" s="1133"/>
      <c r="K90" s="247"/>
    </row>
    <row r="91" spans="1:11" ht="15">
      <c r="A91" s="226"/>
      <c r="B91" s="656" t="s">
        <v>9</v>
      </c>
      <c r="C91" s="657"/>
      <c r="D91" s="657"/>
      <c r="E91" s="657"/>
      <c r="F91" s="658"/>
      <c r="G91" s="232"/>
      <c r="H91" s="1125" t="s">
        <v>548</v>
      </c>
      <c r="I91" s="1126"/>
      <c r="J91" s="1126"/>
      <c r="K91" s="229"/>
    </row>
    <row r="92" spans="1:11" ht="15">
      <c r="A92" s="223"/>
      <c r="B92" s="659" t="s">
        <v>821</v>
      </c>
      <c r="C92" s="660"/>
      <c r="D92" s="660"/>
      <c r="E92" s="660"/>
      <c r="F92" s="661"/>
      <c r="G92" s="239"/>
      <c r="H92" s="1342"/>
      <c r="I92" s="1133"/>
      <c r="J92" s="1133"/>
      <c r="K92" s="247"/>
    </row>
    <row r="93" spans="1:11" ht="15">
      <c r="A93" s="226"/>
      <c r="B93" s="656" t="s">
        <v>10</v>
      </c>
      <c r="C93" s="657"/>
      <c r="D93" s="657"/>
      <c r="E93" s="657"/>
      <c r="F93" s="658"/>
      <c r="G93" s="232"/>
      <c r="H93" s="1125" t="s">
        <v>548</v>
      </c>
      <c r="I93" s="1126"/>
      <c r="J93" s="1126"/>
      <c r="K93" s="229"/>
    </row>
    <row r="94" spans="1:11" ht="15">
      <c r="A94" s="223"/>
      <c r="B94" s="659" t="s">
        <v>822</v>
      </c>
      <c r="C94" s="660"/>
      <c r="D94" s="660"/>
      <c r="E94" s="660"/>
      <c r="F94" s="661"/>
      <c r="G94" s="239"/>
      <c r="H94" s="1342"/>
      <c r="I94" s="1133"/>
      <c r="J94" s="1133"/>
      <c r="K94" s="247"/>
    </row>
    <row r="95" spans="1:11" ht="15">
      <c r="A95" s="226"/>
      <c r="B95" s="656" t="s">
        <v>11</v>
      </c>
      <c r="C95" s="657"/>
      <c r="D95" s="657"/>
      <c r="E95" s="657"/>
      <c r="F95" s="658"/>
      <c r="G95" s="232"/>
      <c r="H95" s="1126"/>
      <c r="I95" s="1126"/>
      <c r="J95" s="1125" t="s">
        <v>548</v>
      </c>
      <c r="K95" s="229"/>
    </row>
    <row r="96" spans="1:11" ht="15">
      <c r="A96" s="223"/>
      <c r="B96" s="659" t="s">
        <v>823</v>
      </c>
      <c r="C96" s="660"/>
      <c r="D96" s="660"/>
      <c r="E96" s="660"/>
      <c r="F96" s="661"/>
      <c r="G96" s="239"/>
      <c r="H96" s="1342"/>
      <c r="I96" s="1133"/>
      <c r="J96" s="1133"/>
      <c r="K96" s="247"/>
    </row>
    <row r="97" spans="1:11" ht="15">
      <c r="A97" s="226"/>
      <c r="B97" s="656" t="s">
        <v>12</v>
      </c>
      <c r="C97" s="657"/>
      <c r="D97" s="657"/>
      <c r="E97" s="657"/>
      <c r="F97" s="658"/>
      <c r="G97" s="232"/>
      <c r="H97" s="1126"/>
      <c r="I97" s="1126"/>
      <c r="J97" s="1125" t="s">
        <v>548</v>
      </c>
      <c r="K97" s="229"/>
    </row>
    <row r="98" spans="1:11" ht="15">
      <c r="A98" s="223"/>
      <c r="B98" s="659" t="s">
        <v>824</v>
      </c>
      <c r="C98" s="660"/>
      <c r="D98" s="660"/>
      <c r="E98" s="660"/>
      <c r="F98" s="661"/>
      <c r="G98" s="239"/>
      <c r="H98" s="1342"/>
      <c r="I98" s="1133"/>
      <c r="J98" s="1133"/>
      <c r="K98" s="247"/>
    </row>
    <row r="99" spans="1:11" ht="15">
      <c r="A99" s="226"/>
      <c r="B99" s="656" t="s">
        <v>13</v>
      </c>
      <c r="C99" s="657"/>
      <c r="D99" s="657"/>
      <c r="E99" s="657"/>
      <c r="F99" s="658"/>
      <c r="G99" s="232"/>
      <c r="H99" s="1126"/>
      <c r="I99" s="1126"/>
      <c r="J99" s="1126"/>
      <c r="K99" s="229"/>
    </row>
    <row r="100" spans="1:11" ht="15">
      <c r="A100" s="223"/>
      <c r="B100" s="659" t="s">
        <v>825</v>
      </c>
      <c r="C100" s="660"/>
      <c r="D100" s="660"/>
      <c r="E100" s="660"/>
      <c r="F100" s="661"/>
      <c r="G100" s="239"/>
      <c r="H100" s="1342"/>
      <c r="I100" s="1133"/>
      <c r="J100" s="1133"/>
      <c r="K100" s="247"/>
    </row>
    <row r="101" spans="1:11" ht="24.75" customHeight="1">
      <c r="A101" s="226"/>
      <c r="B101" s="1408" t="s">
        <v>14</v>
      </c>
      <c r="C101" s="1409"/>
      <c r="D101" s="1409"/>
      <c r="E101" s="1409"/>
      <c r="F101" s="1410"/>
      <c r="G101" s="232"/>
      <c r="H101" s="1125" t="s">
        <v>548</v>
      </c>
      <c r="I101" s="1126"/>
      <c r="J101" s="1126"/>
      <c r="K101" s="229"/>
    </row>
    <row r="102" spans="1:11" ht="15">
      <c r="A102" s="223"/>
      <c r="B102" s="659" t="s">
        <v>15</v>
      </c>
      <c r="C102" s="660"/>
      <c r="D102" s="660"/>
      <c r="E102" s="660"/>
      <c r="F102" s="661"/>
      <c r="G102" s="239"/>
      <c r="H102" s="1342"/>
      <c r="I102" s="1133"/>
      <c r="J102" s="1133"/>
      <c r="K102" s="247"/>
    </row>
    <row r="103" spans="1:11" ht="15">
      <c r="A103" s="226"/>
      <c r="B103" s="656" t="s">
        <v>16</v>
      </c>
      <c r="C103" s="657"/>
      <c r="D103" s="657"/>
      <c r="E103" s="657"/>
      <c r="F103" s="658"/>
      <c r="G103" s="232"/>
      <c r="H103" s="1125" t="s">
        <v>548</v>
      </c>
      <c r="I103" s="1126"/>
      <c r="J103" s="1126"/>
      <c r="K103" s="229"/>
    </row>
    <row r="104" spans="1:11" ht="15">
      <c r="A104" s="223"/>
      <c r="B104" s="659" t="s">
        <v>826</v>
      </c>
      <c r="C104" s="660"/>
      <c r="D104" s="660"/>
      <c r="E104" s="660"/>
      <c r="F104" s="661"/>
      <c r="G104" s="239"/>
      <c r="H104" s="1342"/>
      <c r="I104" s="1133"/>
      <c r="J104" s="1133"/>
      <c r="K104" s="247"/>
    </row>
    <row r="105" spans="1:11" ht="15">
      <c r="A105" s="241"/>
      <c r="B105" s="665" t="s">
        <v>17</v>
      </c>
      <c r="C105" s="666"/>
      <c r="D105" s="666"/>
      <c r="E105" s="666"/>
      <c r="F105" s="667"/>
      <c r="G105" s="231"/>
      <c r="H105" s="1125" t="s">
        <v>548</v>
      </c>
      <c r="I105" s="1341"/>
      <c r="J105" s="1341"/>
      <c r="K105" s="242"/>
    </row>
    <row r="106" spans="1:11" ht="15">
      <c r="A106" s="223"/>
      <c r="B106" s="659" t="s">
        <v>827</v>
      </c>
      <c r="C106" s="660"/>
      <c r="D106" s="660"/>
      <c r="E106" s="660"/>
      <c r="F106" s="661"/>
      <c r="G106" s="239"/>
      <c r="H106" s="1342"/>
      <c r="I106" s="1133"/>
      <c r="J106" s="1133"/>
      <c r="K106" s="247"/>
    </row>
    <row r="107" spans="1:11" ht="15">
      <c r="A107" s="226"/>
      <c r="B107" s="656" t="s">
        <v>18</v>
      </c>
      <c r="C107" s="657"/>
      <c r="D107" s="657"/>
      <c r="E107" s="657"/>
      <c r="F107" s="658"/>
      <c r="G107" s="232"/>
      <c r="H107" s="1126"/>
      <c r="I107" s="1126"/>
      <c r="J107" s="1126"/>
      <c r="K107" s="229"/>
    </row>
    <row r="108" spans="1:11" ht="15">
      <c r="A108" s="223"/>
      <c r="B108" s="659" t="s">
        <v>828</v>
      </c>
      <c r="C108" s="660"/>
      <c r="D108" s="660"/>
      <c r="E108" s="660"/>
      <c r="F108" s="661"/>
      <c r="G108" s="239"/>
      <c r="H108" s="1342"/>
      <c r="I108" s="1133"/>
      <c r="J108" s="1133"/>
      <c r="K108" s="247"/>
    </row>
    <row r="109" spans="1:11" ht="15">
      <c r="A109" s="226"/>
      <c r="B109" s="656" t="s">
        <v>19</v>
      </c>
      <c r="C109" s="657"/>
      <c r="D109" s="657"/>
      <c r="E109" s="657"/>
      <c r="F109" s="658"/>
      <c r="G109" s="231" t="s">
        <v>548</v>
      </c>
      <c r="H109" s="1126"/>
      <c r="I109" s="1126"/>
      <c r="J109" s="1126"/>
      <c r="K109" s="229"/>
    </row>
    <row r="110" spans="1:11" ht="15">
      <c r="A110" s="223"/>
      <c r="B110" s="659" t="s">
        <v>829</v>
      </c>
      <c r="C110" s="660"/>
      <c r="D110" s="660"/>
      <c r="E110" s="660"/>
      <c r="F110" s="661"/>
      <c r="G110" s="239"/>
      <c r="H110" s="1342"/>
      <c r="I110" s="1133"/>
      <c r="J110" s="1133"/>
      <c r="K110" s="247"/>
    </row>
    <row r="111" spans="1:11" ht="15">
      <c r="A111" s="226"/>
      <c r="B111" s="656" t="s">
        <v>20</v>
      </c>
      <c r="C111" s="657"/>
      <c r="D111" s="657"/>
      <c r="E111" s="657"/>
      <c r="F111" s="658"/>
      <c r="G111" s="231" t="s">
        <v>548</v>
      </c>
      <c r="H111" s="1126"/>
      <c r="I111" s="1126"/>
      <c r="J111" s="1126"/>
      <c r="K111" s="229"/>
    </row>
    <row r="112" spans="1:11" ht="15">
      <c r="A112" s="223"/>
      <c r="B112" s="659" t="s">
        <v>830</v>
      </c>
      <c r="C112" s="660"/>
      <c r="D112" s="660"/>
      <c r="E112" s="660"/>
      <c r="F112" s="661"/>
      <c r="G112" s="239"/>
      <c r="H112" s="1342"/>
      <c r="I112" s="1133"/>
      <c r="J112" s="1133"/>
      <c r="K112" s="247"/>
    </row>
    <row r="113" spans="1:11" ht="25.5">
      <c r="A113" s="226"/>
      <c r="B113" s="656" t="s">
        <v>21</v>
      </c>
      <c r="C113" s="657"/>
      <c r="D113" s="657"/>
      <c r="E113" s="657"/>
      <c r="F113" s="658"/>
      <c r="G113" s="231" t="s">
        <v>548</v>
      </c>
      <c r="H113" s="1126"/>
      <c r="I113" s="1126"/>
      <c r="J113" s="1126"/>
      <c r="K113" s="245" t="s">
        <v>22</v>
      </c>
    </row>
    <row r="114" spans="1:11" ht="15">
      <c r="A114" s="223"/>
      <c r="B114" s="659" t="s">
        <v>831</v>
      </c>
      <c r="C114" s="660"/>
      <c r="D114" s="660"/>
      <c r="E114" s="660"/>
      <c r="F114" s="661"/>
      <c r="G114" s="239"/>
      <c r="H114" s="1342"/>
      <c r="I114" s="1133"/>
      <c r="J114" s="1133"/>
      <c r="K114" s="240" t="s">
        <v>23</v>
      </c>
    </row>
    <row r="115" spans="1:11" ht="15">
      <c r="A115" s="233"/>
      <c r="B115" s="662"/>
      <c r="C115" s="663"/>
      <c r="D115" s="663"/>
      <c r="E115" s="663"/>
      <c r="F115" s="664"/>
      <c r="G115" s="235"/>
      <c r="H115" s="1340"/>
      <c r="I115" s="1340"/>
      <c r="J115" s="1346"/>
      <c r="K115" s="236"/>
    </row>
    <row r="116" spans="1:11" ht="15">
      <c r="A116" s="226" t="s">
        <v>24</v>
      </c>
      <c r="B116" s="656" t="s">
        <v>25</v>
      </c>
      <c r="C116" s="657"/>
      <c r="D116" s="657"/>
      <c r="E116" s="657"/>
      <c r="F116" s="658"/>
      <c r="G116" s="232"/>
      <c r="H116" s="1126"/>
      <c r="I116" s="1126"/>
      <c r="J116" s="1126"/>
      <c r="K116" s="229"/>
    </row>
    <row r="117" spans="1:11" ht="15">
      <c r="A117" s="223"/>
      <c r="B117" s="659" t="s">
        <v>26</v>
      </c>
      <c r="C117" s="660"/>
      <c r="D117" s="660"/>
      <c r="E117" s="660"/>
      <c r="F117" s="661"/>
      <c r="G117" s="239"/>
      <c r="H117" s="1342"/>
      <c r="I117" s="1133"/>
      <c r="J117" s="1133"/>
      <c r="K117" s="247"/>
    </row>
    <row r="118" spans="1:11" ht="15">
      <c r="A118" s="226"/>
      <c r="B118" s="656" t="s">
        <v>27</v>
      </c>
      <c r="C118" s="657"/>
      <c r="D118" s="657"/>
      <c r="E118" s="657"/>
      <c r="F118" s="658"/>
      <c r="G118" s="232"/>
      <c r="H118" s="1126"/>
      <c r="I118" s="1126"/>
      <c r="J118" s="1126"/>
      <c r="K118" s="229"/>
    </row>
    <row r="119" spans="1:11" ht="15">
      <c r="A119" s="223"/>
      <c r="B119" s="659" t="s">
        <v>832</v>
      </c>
      <c r="C119" s="660"/>
      <c r="D119" s="660"/>
      <c r="E119" s="660"/>
      <c r="F119" s="661"/>
      <c r="G119" s="239"/>
      <c r="H119" s="1342"/>
      <c r="I119" s="1133"/>
      <c r="J119" s="1133"/>
      <c r="K119" s="247"/>
    </row>
    <row r="120" spans="1:11" ht="15">
      <c r="A120" s="226"/>
      <c r="B120" s="656" t="s">
        <v>833</v>
      </c>
      <c r="C120" s="657"/>
      <c r="D120" s="657"/>
      <c r="E120" s="657"/>
      <c r="F120" s="658"/>
      <c r="G120" s="231"/>
      <c r="H120" s="1125" t="s">
        <v>548</v>
      </c>
      <c r="I120" s="1126"/>
      <c r="J120" s="1125"/>
      <c r="K120" s="238"/>
    </row>
    <row r="121" spans="1:11" ht="15">
      <c r="A121" s="223"/>
      <c r="B121" s="659" t="s">
        <v>834</v>
      </c>
      <c r="C121" s="660"/>
      <c r="D121" s="660"/>
      <c r="E121" s="660"/>
      <c r="F121" s="661"/>
      <c r="G121" s="239"/>
      <c r="H121" s="1342"/>
      <c r="I121" s="1133"/>
      <c r="J121" s="1133"/>
      <c r="K121" s="247"/>
    </row>
    <row r="122" spans="1:11" ht="15">
      <c r="A122" s="226"/>
      <c r="B122" s="656" t="s">
        <v>28</v>
      </c>
      <c r="C122" s="657"/>
      <c r="D122" s="657"/>
      <c r="E122" s="657"/>
      <c r="F122" s="658"/>
      <c r="G122" s="231"/>
      <c r="H122" s="1125" t="s">
        <v>548</v>
      </c>
      <c r="I122" s="1126"/>
      <c r="J122" s="1126"/>
      <c r="K122" s="229"/>
    </row>
    <row r="123" spans="1:11" ht="15">
      <c r="A123" s="223"/>
      <c r="B123" s="659" t="s">
        <v>835</v>
      </c>
      <c r="C123" s="660"/>
      <c r="D123" s="660"/>
      <c r="E123" s="660"/>
      <c r="F123" s="661"/>
      <c r="G123" s="248"/>
      <c r="H123" s="1134"/>
      <c r="I123" s="1133"/>
      <c r="J123" s="1133"/>
      <c r="K123" s="247"/>
    </row>
    <row r="124" spans="1:11" ht="15">
      <c r="A124" s="241"/>
      <c r="B124" s="665" t="s">
        <v>29</v>
      </c>
      <c r="C124" s="666"/>
      <c r="D124" s="666"/>
      <c r="E124" s="666"/>
      <c r="F124" s="667"/>
      <c r="G124" s="237"/>
      <c r="H124" s="1341"/>
      <c r="I124" s="1341"/>
      <c r="J124" s="1341"/>
      <c r="K124" s="242"/>
    </row>
    <row r="125" spans="1:11" ht="15">
      <c r="A125" s="223"/>
      <c r="B125" s="659" t="s">
        <v>836</v>
      </c>
      <c r="C125" s="660"/>
      <c r="D125" s="660"/>
      <c r="E125" s="660"/>
      <c r="F125" s="661"/>
      <c r="G125" s="239"/>
      <c r="H125" s="1342"/>
      <c r="I125" s="1133"/>
      <c r="J125" s="1133"/>
      <c r="K125" s="247"/>
    </row>
    <row r="126" spans="1:11" ht="38.25">
      <c r="A126" s="226"/>
      <c r="B126" s="656" t="s">
        <v>30</v>
      </c>
      <c r="C126" s="657"/>
      <c r="D126" s="657"/>
      <c r="E126" s="657"/>
      <c r="F126" s="658"/>
      <c r="G126" s="231"/>
      <c r="H126" s="1126"/>
      <c r="I126" s="1126"/>
      <c r="J126" s="1125" t="s">
        <v>548</v>
      </c>
      <c r="K126" s="245" t="s">
        <v>31</v>
      </c>
    </row>
    <row r="127" spans="1:11" ht="38.25">
      <c r="A127" s="223"/>
      <c r="B127" s="659" t="s">
        <v>837</v>
      </c>
      <c r="C127" s="660"/>
      <c r="D127" s="660"/>
      <c r="E127" s="660"/>
      <c r="F127" s="661"/>
      <c r="G127" s="239"/>
      <c r="H127" s="1342"/>
      <c r="I127" s="1133"/>
      <c r="J127" s="1133"/>
      <c r="K127" s="247" t="s">
        <v>32</v>
      </c>
    </row>
    <row r="128" spans="1:11" ht="15">
      <c r="A128" s="226"/>
      <c r="B128" s="656" t="s">
        <v>33</v>
      </c>
      <c r="C128" s="657"/>
      <c r="D128" s="657"/>
      <c r="E128" s="657"/>
      <c r="F128" s="658"/>
      <c r="G128" s="231"/>
      <c r="H128" s="1125"/>
      <c r="I128" s="1126"/>
      <c r="J128" s="1125" t="s">
        <v>548</v>
      </c>
      <c r="K128" s="229" t="s">
        <v>34</v>
      </c>
    </row>
    <row r="129" spans="1:11" ht="15">
      <c r="A129" s="223"/>
      <c r="B129" s="659" t="s">
        <v>838</v>
      </c>
      <c r="C129" s="660"/>
      <c r="D129" s="660"/>
      <c r="E129" s="660"/>
      <c r="F129" s="661"/>
      <c r="G129" s="239"/>
      <c r="H129" s="1342"/>
      <c r="I129" s="1133"/>
      <c r="J129" s="1342"/>
      <c r="K129" s="240" t="s">
        <v>35</v>
      </c>
    </row>
    <row r="130" spans="1:11" ht="15">
      <c r="A130" s="226"/>
      <c r="B130" s="656" t="s">
        <v>36</v>
      </c>
      <c r="C130" s="657"/>
      <c r="D130" s="657"/>
      <c r="E130" s="657"/>
      <c r="F130" s="658"/>
      <c r="G130" s="231"/>
      <c r="H130" s="1125" t="s">
        <v>548</v>
      </c>
      <c r="I130" s="1126"/>
      <c r="J130" s="1126"/>
      <c r="K130" s="245" t="s">
        <v>37</v>
      </c>
    </row>
    <row r="131" spans="1:11" ht="15">
      <c r="A131" s="223"/>
      <c r="B131" s="659" t="s">
        <v>835</v>
      </c>
      <c r="C131" s="660"/>
      <c r="D131" s="660"/>
      <c r="E131" s="660"/>
      <c r="F131" s="661"/>
      <c r="G131" s="248"/>
      <c r="H131" s="1134"/>
      <c r="I131" s="1133"/>
      <c r="J131" s="1133"/>
      <c r="K131" s="240" t="s">
        <v>38</v>
      </c>
    </row>
    <row r="132" spans="1:11" ht="15">
      <c r="A132" s="226"/>
      <c r="B132" s="656" t="s">
        <v>39</v>
      </c>
      <c r="C132" s="657"/>
      <c r="D132" s="657"/>
      <c r="E132" s="657"/>
      <c r="F132" s="658"/>
      <c r="G132" s="232"/>
      <c r="H132" s="1126"/>
      <c r="I132" s="1126"/>
      <c r="J132" s="1126"/>
      <c r="K132" s="229"/>
    </row>
    <row r="133" spans="1:11" ht="15">
      <c r="A133" s="223"/>
      <c r="B133" s="659" t="s">
        <v>839</v>
      </c>
      <c r="C133" s="660"/>
      <c r="D133" s="660"/>
      <c r="E133" s="660"/>
      <c r="F133" s="661"/>
      <c r="G133" s="248"/>
      <c r="H133" s="1134"/>
      <c r="I133" s="1133"/>
      <c r="J133" s="1133"/>
      <c r="K133" s="247"/>
    </row>
    <row r="134" spans="1:11" ht="15">
      <c r="A134" s="226"/>
      <c r="B134" s="656" t="s">
        <v>40</v>
      </c>
      <c r="C134" s="657"/>
      <c r="D134" s="657"/>
      <c r="E134" s="657"/>
      <c r="F134" s="658"/>
      <c r="G134" s="231"/>
      <c r="H134" s="1125" t="s">
        <v>548</v>
      </c>
      <c r="I134" s="1125"/>
      <c r="J134" s="1126"/>
      <c r="K134" s="245"/>
    </row>
    <row r="135" spans="1:11" ht="15">
      <c r="A135" s="223"/>
      <c r="B135" s="659" t="s">
        <v>840</v>
      </c>
      <c r="C135" s="660"/>
      <c r="D135" s="660"/>
      <c r="E135" s="660"/>
      <c r="F135" s="661"/>
      <c r="G135" s="248"/>
      <c r="H135" s="1134"/>
      <c r="I135" s="1133"/>
      <c r="J135" s="1133"/>
      <c r="K135" s="247"/>
    </row>
    <row r="136" spans="1:11" ht="15">
      <c r="A136" s="226"/>
      <c r="B136" s="656" t="s">
        <v>41</v>
      </c>
      <c r="C136" s="657"/>
      <c r="D136" s="657"/>
      <c r="E136" s="657"/>
      <c r="F136" s="658"/>
      <c r="G136" s="232"/>
      <c r="H136" s="1125" t="s">
        <v>548</v>
      </c>
      <c r="I136" s="1126"/>
      <c r="J136" s="1126"/>
      <c r="K136" s="229"/>
    </row>
    <row r="137" spans="1:11" ht="15">
      <c r="A137" s="223"/>
      <c r="B137" s="659" t="s">
        <v>841</v>
      </c>
      <c r="C137" s="660"/>
      <c r="D137" s="660"/>
      <c r="E137" s="660"/>
      <c r="F137" s="661"/>
      <c r="G137" s="248"/>
      <c r="H137" s="1134"/>
      <c r="I137" s="1133"/>
      <c r="J137" s="1133"/>
      <c r="K137" s="247"/>
    </row>
    <row r="138" spans="1:11" ht="15">
      <c r="A138" s="226"/>
      <c r="B138" s="656" t="s">
        <v>42</v>
      </c>
      <c r="C138" s="657"/>
      <c r="D138" s="657"/>
      <c r="E138" s="657"/>
      <c r="F138" s="658"/>
      <c r="G138" s="232"/>
      <c r="H138" s="1125" t="s">
        <v>548</v>
      </c>
      <c r="I138" s="1126"/>
      <c r="J138" s="1126"/>
      <c r="K138" s="229"/>
    </row>
    <row r="139" spans="1:11" ht="15">
      <c r="A139" s="223"/>
      <c r="B139" s="659" t="s">
        <v>842</v>
      </c>
      <c r="C139" s="660"/>
      <c r="D139" s="660"/>
      <c r="E139" s="660"/>
      <c r="F139" s="661"/>
      <c r="G139" s="248"/>
      <c r="H139" s="1134"/>
      <c r="I139" s="1133"/>
      <c r="J139" s="1133"/>
      <c r="K139" s="247"/>
    </row>
    <row r="140" spans="1:11" ht="15">
      <c r="A140" s="226"/>
      <c r="B140" s="656" t="s">
        <v>43</v>
      </c>
      <c r="C140" s="657"/>
      <c r="D140" s="657"/>
      <c r="E140" s="657"/>
      <c r="F140" s="658"/>
      <c r="G140" s="232"/>
      <c r="H140" s="1125" t="s">
        <v>548</v>
      </c>
      <c r="I140" s="1126"/>
      <c r="J140" s="1126"/>
      <c r="K140" s="229"/>
    </row>
    <row r="141" spans="1:11" ht="15">
      <c r="A141" s="223"/>
      <c r="B141" s="659" t="s">
        <v>835</v>
      </c>
      <c r="C141" s="660"/>
      <c r="D141" s="660"/>
      <c r="E141" s="660"/>
      <c r="F141" s="661"/>
      <c r="G141" s="248"/>
      <c r="H141" s="1134"/>
      <c r="I141" s="1133"/>
      <c r="J141" s="1133"/>
      <c r="K141" s="247"/>
    </row>
    <row r="142" spans="1:11" ht="15">
      <c r="A142" s="226"/>
      <c r="B142" s="662"/>
      <c r="C142" s="657"/>
      <c r="D142" s="657"/>
      <c r="E142" s="657"/>
      <c r="F142" s="658"/>
      <c r="G142" s="232"/>
      <c r="H142" s="1126"/>
      <c r="I142" s="1347"/>
      <c r="J142" s="1348"/>
      <c r="K142" s="236"/>
    </row>
    <row r="143" spans="1:11" ht="15">
      <c r="A143" s="226" t="s">
        <v>44</v>
      </c>
      <c r="B143" s="656" t="s">
        <v>45</v>
      </c>
      <c r="C143" s="657"/>
      <c r="D143" s="657"/>
      <c r="E143" s="657"/>
      <c r="F143" s="658"/>
      <c r="G143" s="232"/>
      <c r="H143" s="1126"/>
      <c r="I143" s="1126"/>
      <c r="J143" s="1126"/>
      <c r="K143" s="229"/>
    </row>
    <row r="144" spans="1:11" ht="15">
      <c r="A144" s="223"/>
      <c r="B144" s="659" t="s">
        <v>46</v>
      </c>
      <c r="C144" s="660"/>
      <c r="D144" s="660"/>
      <c r="E144" s="660"/>
      <c r="F144" s="661"/>
      <c r="G144" s="248"/>
      <c r="H144" s="1134"/>
      <c r="I144" s="1133"/>
      <c r="J144" s="1133"/>
      <c r="K144" s="247"/>
    </row>
    <row r="145" spans="1:11" s="339" customFormat="1" ht="15">
      <c r="A145" s="337"/>
      <c r="B145" s="673" t="s">
        <v>843</v>
      </c>
      <c r="C145" s="674"/>
      <c r="D145" s="674"/>
      <c r="E145" s="674"/>
      <c r="F145" s="675"/>
      <c r="G145" s="1357" t="s">
        <v>548</v>
      </c>
      <c r="H145" s="1349"/>
      <c r="I145" s="1350"/>
      <c r="J145" s="1350"/>
      <c r="K145" s="338" t="s">
        <v>47</v>
      </c>
    </row>
    <row r="146" spans="1:11" s="339" customFormat="1" ht="15">
      <c r="A146" s="340"/>
      <c r="B146" s="676" t="s">
        <v>844</v>
      </c>
      <c r="C146" s="677"/>
      <c r="D146" s="677"/>
      <c r="E146" s="677"/>
      <c r="F146" s="678"/>
      <c r="G146" s="341"/>
      <c r="H146" s="1351"/>
      <c r="I146" s="1352"/>
      <c r="J146" s="1352"/>
      <c r="K146" s="342" t="s">
        <v>48</v>
      </c>
    </row>
    <row r="147" spans="1:11" ht="15">
      <c r="A147" s="226"/>
      <c r="B147" s="656" t="s">
        <v>49</v>
      </c>
      <c r="C147" s="657"/>
      <c r="D147" s="657"/>
      <c r="E147" s="657"/>
      <c r="F147" s="658"/>
      <c r="G147" s="231"/>
      <c r="H147" s="1125" t="s">
        <v>548</v>
      </c>
      <c r="I147" s="1345"/>
      <c r="J147" s="1345"/>
      <c r="K147" s="245" t="s">
        <v>50</v>
      </c>
    </row>
    <row r="148" spans="1:11" ht="15">
      <c r="A148" s="223"/>
      <c r="B148" s="659" t="s">
        <v>845</v>
      </c>
      <c r="C148" s="660"/>
      <c r="D148" s="660"/>
      <c r="E148" s="660"/>
      <c r="F148" s="661"/>
      <c r="G148" s="248"/>
      <c r="H148" s="1134"/>
      <c r="I148" s="1133"/>
      <c r="J148" s="1133"/>
      <c r="K148" s="240" t="s">
        <v>51</v>
      </c>
    </row>
    <row r="149" spans="1:11" ht="15">
      <c r="A149" s="226"/>
      <c r="B149" s="656" t="s">
        <v>52</v>
      </c>
      <c r="C149" s="657"/>
      <c r="D149" s="657"/>
      <c r="E149" s="657"/>
      <c r="F149" s="658"/>
      <c r="G149" s="231"/>
      <c r="H149" s="1125" t="s">
        <v>548</v>
      </c>
      <c r="I149" s="1126"/>
      <c r="J149" s="1126"/>
      <c r="K149" s="245"/>
    </row>
    <row r="150" spans="1:11" ht="15">
      <c r="A150" s="223"/>
      <c r="B150" s="659" t="s">
        <v>846</v>
      </c>
      <c r="C150" s="660"/>
      <c r="D150" s="660"/>
      <c r="E150" s="660"/>
      <c r="F150" s="661"/>
      <c r="G150" s="248"/>
      <c r="H150" s="1134"/>
      <c r="I150" s="1133"/>
      <c r="J150" s="1133"/>
      <c r="K150" s="247"/>
    </row>
    <row r="151" spans="1:11" ht="25.5">
      <c r="A151" s="226"/>
      <c r="B151" s="656" t="s">
        <v>53</v>
      </c>
      <c r="C151" s="657"/>
      <c r="D151" s="657"/>
      <c r="E151" s="657"/>
      <c r="F151" s="658"/>
      <c r="G151" s="231"/>
      <c r="H151" s="1125" t="s">
        <v>548</v>
      </c>
      <c r="I151" s="1126"/>
      <c r="J151" s="1126"/>
      <c r="K151" s="245" t="s">
        <v>54</v>
      </c>
    </row>
    <row r="152" spans="1:11" ht="24">
      <c r="A152" s="223"/>
      <c r="B152" s="659" t="s">
        <v>847</v>
      </c>
      <c r="C152" s="660"/>
      <c r="D152" s="660"/>
      <c r="E152" s="660"/>
      <c r="F152" s="661"/>
      <c r="G152" s="248"/>
      <c r="H152" s="1134"/>
      <c r="I152" s="1133"/>
      <c r="J152" s="1133"/>
      <c r="K152" s="240" t="s">
        <v>55</v>
      </c>
    </row>
    <row r="153" spans="1:11" ht="24" customHeight="1">
      <c r="A153" s="226"/>
      <c r="B153" s="1408" t="s">
        <v>56</v>
      </c>
      <c r="C153" s="1409"/>
      <c r="D153" s="1409"/>
      <c r="E153" s="1409"/>
      <c r="F153" s="1410"/>
      <c r="G153" s="232"/>
      <c r="H153" s="1125" t="s">
        <v>548</v>
      </c>
      <c r="I153" s="1126"/>
      <c r="J153" s="1126"/>
      <c r="K153" s="229" t="s">
        <v>57</v>
      </c>
    </row>
    <row r="154" spans="1:11" ht="15">
      <c r="A154" s="223"/>
      <c r="B154" s="659" t="s">
        <v>848</v>
      </c>
      <c r="C154" s="660"/>
      <c r="D154" s="660"/>
      <c r="E154" s="660"/>
      <c r="F154" s="661"/>
      <c r="G154" s="248"/>
      <c r="H154" s="1134"/>
      <c r="I154" s="1133"/>
      <c r="J154" s="1133"/>
      <c r="K154" s="240" t="s">
        <v>58</v>
      </c>
    </row>
    <row r="155" spans="1:11" ht="15">
      <c r="A155" s="226"/>
      <c r="B155" s="656" t="s">
        <v>59</v>
      </c>
      <c r="C155" s="657"/>
      <c r="D155" s="657"/>
      <c r="E155" s="657"/>
      <c r="F155" s="658"/>
      <c r="G155" s="232"/>
      <c r="H155" s="1125" t="s">
        <v>548</v>
      </c>
      <c r="I155" s="1126"/>
      <c r="J155" s="1126"/>
      <c r="K155" s="229" t="s">
        <v>57</v>
      </c>
    </row>
    <row r="156" spans="1:11" ht="15">
      <c r="A156" s="223"/>
      <c r="B156" s="659" t="s">
        <v>849</v>
      </c>
      <c r="C156" s="660"/>
      <c r="D156" s="660"/>
      <c r="E156" s="660"/>
      <c r="F156" s="661"/>
      <c r="G156" s="248"/>
      <c r="H156" s="1134"/>
      <c r="I156" s="1133"/>
      <c r="J156" s="1133"/>
      <c r="K156" s="240" t="s">
        <v>58</v>
      </c>
    </row>
    <row r="157" spans="1:11" ht="13.5">
      <c r="A157" s="226"/>
      <c r="B157" s="656" t="s">
        <v>60</v>
      </c>
      <c r="C157" s="657"/>
      <c r="D157" s="657"/>
      <c r="E157" s="657"/>
      <c r="F157" s="658"/>
      <c r="G157" s="231"/>
      <c r="H157" s="1125" t="s">
        <v>547</v>
      </c>
      <c r="I157" s="1125"/>
      <c r="J157" s="1125"/>
      <c r="K157" s="245"/>
    </row>
    <row r="158" spans="1:11" ht="15">
      <c r="A158" s="223"/>
      <c r="B158" s="659" t="s">
        <v>850</v>
      </c>
      <c r="C158" s="660"/>
      <c r="D158" s="660"/>
      <c r="E158" s="660"/>
      <c r="F158" s="661"/>
      <c r="G158" s="248"/>
      <c r="H158" s="1134"/>
      <c r="I158" s="1133"/>
      <c r="J158" s="1133"/>
      <c r="K158" s="247"/>
    </row>
    <row r="159" spans="1:11" ht="13.5">
      <c r="A159" s="226"/>
      <c r="B159" s="656" t="s">
        <v>61</v>
      </c>
      <c r="C159" s="657"/>
      <c r="D159" s="657"/>
      <c r="E159" s="657"/>
      <c r="F159" s="658"/>
      <c r="G159" s="231"/>
      <c r="H159" s="1125" t="s">
        <v>547</v>
      </c>
      <c r="I159" s="1125"/>
      <c r="J159" s="1125"/>
      <c r="K159" s="245"/>
    </row>
    <row r="160" spans="1:11" ht="15">
      <c r="A160" s="223"/>
      <c r="B160" s="659" t="s">
        <v>845</v>
      </c>
      <c r="C160" s="660"/>
      <c r="D160" s="660"/>
      <c r="E160" s="660"/>
      <c r="F160" s="661"/>
      <c r="G160" s="248"/>
      <c r="H160" s="1134"/>
      <c r="I160" s="1133"/>
      <c r="J160" s="1133"/>
      <c r="K160" s="247"/>
    </row>
    <row r="161" spans="1:11" ht="15">
      <c r="A161" s="226"/>
      <c r="B161" s="656" t="s">
        <v>62</v>
      </c>
      <c r="C161" s="657"/>
      <c r="D161" s="657"/>
      <c r="E161" s="657"/>
      <c r="F161" s="658"/>
      <c r="G161" s="231" t="s">
        <v>548</v>
      </c>
      <c r="H161" s="1126"/>
      <c r="I161" s="1126"/>
      <c r="J161" s="1126"/>
      <c r="K161" s="229"/>
    </row>
    <row r="162" spans="1:11" ht="15">
      <c r="A162" s="223"/>
      <c r="B162" s="659" t="s">
        <v>851</v>
      </c>
      <c r="C162" s="660"/>
      <c r="D162" s="660"/>
      <c r="E162" s="660"/>
      <c r="F162" s="661"/>
      <c r="G162" s="248"/>
      <c r="H162" s="1134"/>
      <c r="I162" s="1133"/>
      <c r="J162" s="1133"/>
      <c r="K162" s="247"/>
    </row>
    <row r="163" spans="1:11" ht="15">
      <c r="A163" s="226"/>
      <c r="B163" s="656" t="s">
        <v>63</v>
      </c>
      <c r="C163" s="657"/>
      <c r="D163" s="657"/>
      <c r="E163" s="657"/>
      <c r="F163" s="658"/>
      <c r="G163" s="231" t="s">
        <v>548</v>
      </c>
      <c r="H163" s="1126"/>
      <c r="I163" s="1126"/>
      <c r="J163" s="1126"/>
      <c r="K163" s="229"/>
    </row>
    <row r="164" spans="1:11" ht="15">
      <c r="A164" s="223"/>
      <c r="B164" s="659" t="s">
        <v>852</v>
      </c>
      <c r="C164" s="660"/>
      <c r="D164" s="660"/>
      <c r="E164" s="660"/>
      <c r="F164" s="661"/>
      <c r="G164" s="248"/>
      <c r="H164" s="1134"/>
      <c r="I164" s="1133"/>
      <c r="J164" s="1133"/>
      <c r="K164" s="247"/>
    </row>
    <row r="165" spans="1:11" ht="15">
      <c r="A165" s="226"/>
      <c r="B165" s="656" t="s">
        <v>64</v>
      </c>
      <c r="C165" s="657"/>
      <c r="D165" s="657"/>
      <c r="E165" s="657"/>
      <c r="F165" s="658"/>
      <c r="G165" s="231" t="s">
        <v>548</v>
      </c>
      <c r="H165" s="1126"/>
      <c r="I165" s="1126"/>
      <c r="J165" s="1126"/>
      <c r="K165" s="229"/>
    </row>
    <row r="166" spans="1:11" ht="15">
      <c r="A166" s="223"/>
      <c r="B166" s="659" t="s">
        <v>853</v>
      </c>
      <c r="C166" s="660"/>
      <c r="D166" s="660"/>
      <c r="E166" s="660"/>
      <c r="F166" s="661"/>
      <c r="G166" s="248"/>
      <c r="H166" s="1134"/>
      <c r="I166" s="1133"/>
      <c r="J166" s="1133"/>
      <c r="K166" s="247"/>
    </row>
    <row r="167" spans="1:11" ht="15">
      <c r="A167" s="226"/>
      <c r="B167" s="656" t="s">
        <v>65</v>
      </c>
      <c r="C167" s="657"/>
      <c r="D167" s="657"/>
      <c r="E167" s="657"/>
      <c r="F167" s="658"/>
      <c r="G167" s="231" t="s">
        <v>548</v>
      </c>
      <c r="H167" s="1125" t="s">
        <v>548</v>
      </c>
      <c r="I167" s="1125" t="s">
        <v>548</v>
      </c>
      <c r="J167" s="1126"/>
      <c r="K167" s="229"/>
    </row>
    <row r="168" spans="1:11" ht="15">
      <c r="A168" s="223"/>
      <c r="B168" s="659" t="s">
        <v>854</v>
      </c>
      <c r="C168" s="660"/>
      <c r="D168" s="660"/>
      <c r="E168" s="660"/>
      <c r="F168" s="661"/>
      <c r="G168" s="248"/>
      <c r="H168" s="1134"/>
      <c r="I168" s="1133"/>
      <c r="J168" s="1133"/>
      <c r="K168" s="247"/>
    </row>
    <row r="169" spans="1:11" ht="12.75" customHeight="1">
      <c r="A169" s="255"/>
      <c r="B169" s="672"/>
      <c r="C169" s="679"/>
      <c r="D169" s="679"/>
      <c r="E169" s="679"/>
      <c r="F169" s="671"/>
      <c r="G169" s="237"/>
      <c r="H169" s="1341"/>
      <c r="I169" s="1341"/>
      <c r="J169" s="1341"/>
      <c r="K169" s="237"/>
    </row>
    <row r="170" spans="1:11" ht="26.1" customHeight="1">
      <c r="A170" s="241"/>
      <c r="B170" s="665"/>
      <c r="C170" s="680" t="s">
        <v>318</v>
      </c>
      <c r="D170" s="681" t="s">
        <v>855</v>
      </c>
      <c r="E170" s="681" t="s">
        <v>856</v>
      </c>
      <c r="F170" s="667"/>
      <c r="G170" s="237"/>
      <c r="H170" s="1341"/>
      <c r="I170" s="1341"/>
      <c r="J170" s="1341"/>
      <c r="K170" s="250" t="s">
        <v>66</v>
      </c>
    </row>
    <row r="171" spans="1:11" ht="26.1" customHeight="1">
      <c r="A171" s="241"/>
      <c r="B171" s="668"/>
      <c r="C171" s="680">
        <v>1</v>
      </c>
      <c r="D171" s="682" t="s">
        <v>857</v>
      </c>
      <c r="E171" s="683" t="s">
        <v>858</v>
      </c>
      <c r="F171" s="668"/>
      <c r="G171" s="237"/>
      <c r="H171" s="1341"/>
      <c r="I171" s="1341"/>
      <c r="J171" s="1341"/>
      <c r="K171" s="243" t="s">
        <v>67</v>
      </c>
    </row>
    <row r="172" spans="1:11" ht="26.1" customHeight="1">
      <c r="A172" s="241"/>
      <c r="B172" s="665"/>
      <c r="C172" s="680">
        <v>2</v>
      </c>
      <c r="D172" s="682" t="s">
        <v>859</v>
      </c>
      <c r="E172" s="683"/>
      <c r="F172" s="667"/>
      <c r="G172" s="237"/>
      <c r="H172" s="1341"/>
      <c r="I172" s="1341"/>
      <c r="J172" s="1341"/>
      <c r="K172" s="242"/>
    </row>
    <row r="173" spans="1:11" ht="26.1" customHeight="1">
      <c r="A173" s="241"/>
      <c r="B173" s="665"/>
      <c r="C173" s="680">
        <v>3</v>
      </c>
      <c r="D173" s="682" t="s">
        <v>860</v>
      </c>
      <c r="E173" s="683"/>
      <c r="F173" s="667"/>
      <c r="G173" s="237"/>
      <c r="H173" s="1341"/>
      <c r="I173" s="1341"/>
      <c r="J173" s="1341"/>
      <c r="K173" s="242"/>
    </row>
    <row r="174" spans="1:11" ht="26.1" customHeight="1">
      <c r="A174" s="241"/>
      <c r="B174" s="668"/>
      <c r="C174" s="684">
        <v>4</v>
      </c>
      <c r="D174" s="685" t="s">
        <v>861</v>
      </c>
      <c r="E174" s="686"/>
      <c r="F174" s="668"/>
      <c r="G174" s="237"/>
      <c r="H174" s="1341"/>
      <c r="I174" s="1341"/>
      <c r="J174" s="1341"/>
      <c r="K174" s="242"/>
    </row>
    <row r="175" spans="1:11" ht="26.1" customHeight="1">
      <c r="A175" s="241"/>
      <c r="B175" s="668"/>
      <c r="C175" s="680">
        <v>5</v>
      </c>
      <c r="D175" s="685" t="s">
        <v>861</v>
      </c>
      <c r="E175" s="683"/>
      <c r="F175" s="668"/>
      <c r="G175" s="237"/>
      <c r="H175" s="1341"/>
      <c r="I175" s="1341"/>
      <c r="J175" s="1341"/>
      <c r="K175" s="242"/>
    </row>
    <row r="176" spans="1:11" ht="26.1" customHeight="1">
      <c r="A176" s="241"/>
      <c r="B176" s="665"/>
      <c r="C176" s="680">
        <v>6</v>
      </c>
      <c r="D176" s="682" t="s">
        <v>862</v>
      </c>
      <c r="E176" s="683"/>
      <c r="F176" s="667"/>
      <c r="G176" s="237"/>
      <c r="H176" s="1341"/>
      <c r="I176" s="1341"/>
      <c r="J176" s="1341"/>
      <c r="K176" s="242"/>
    </row>
    <row r="177" spans="1:11" ht="26.1" customHeight="1">
      <c r="A177" s="241"/>
      <c r="B177" s="665"/>
      <c r="C177" s="680">
        <v>7</v>
      </c>
      <c r="D177" s="682" t="s">
        <v>863</v>
      </c>
      <c r="E177" s="683"/>
      <c r="F177" s="667"/>
      <c r="G177" s="237"/>
      <c r="H177" s="1341"/>
      <c r="I177" s="1341"/>
      <c r="J177" s="1341"/>
      <c r="K177" s="242"/>
    </row>
    <row r="178" spans="1:11" ht="26.1" customHeight="1">
      <c r="A178" s="241"/>
      <c r="B178" s="665"/>
      <c r="C178" s="680">
        <v>8</v>
      </c>
      <c r="D178" s="682" t="s">
        <v>864</v>
      </c>
      <c r="E178" s="683"/>
      <c r="F178" s="667"/>
      <c r="G178" s="237"/>
      <c r="H178" s="1341"/>
      <c r="I178" s="1341"/>
      <c r="J178" s="1341"/>
      <c r="K178" s="242"/>
    </row>
    <row r="179" spans="1:11" ht="26.1" customHeight="1">
      <c r="A179" s="241"/>
      <c r="B179" s="665"/>
      <c r="C179" s="680">
        <v>9</v>
      </c>
      <c r="D179" s="682" t="s">
        <v>865</v>
      </c>
      <c r="E179" s="683"/>
      <c r="F179" s="667"/>
      <c r="G179" s="237"/>
      <c r="H179" s="1341"/>
      <c r="I179" s="1341"/>
      <c r="J179" s="1341"/>
      <c r="K179" s="242"/>
    </row>
    <row r="180" spans="1:11" ht="26.1" customHeight="1">
      <c r="A180" s="241"/>
      <c r="B180" s="665"/>
      <c r="C180" s="680">
        <v>10</v>
      </c>
      <c r="D180" s="682" t="s">
        <v>866</v>
      </c>
      <c r="E180" s="683"/>
      <c r="F180" s="667"/>
      <c r="G180" s="237"/>
      <c r="H180" s="1341"/>
      <c r="I180" s="1341"/>
      <c r="J180" s="1341"/>
      <c r="K180" s="242"/>
    </row>
    <row r="181" spans="1:11" ht="26.1" customHeight="1">
      <c r="A181" s="241"/>
      <c r="B181" s="665"/>
      <c r="C181" s="680">
        <v>11</v>
      </c>
      <c r="D181" s="682" t="s">
        <v>867</v>
      </c>
      <c r="E181" s="683"/>
      <c r="F181" s="667"/>
      <c r="G181" s="237"/>
      <c r="H181" s="1341"/>
      <c r="I181" s="1341"/>
      <c r="J181" s="1341"/>
      <c r="K181" s="242"/>
    </row>
    <row r="182" spans="1:11" ht="26.1" customHeight="1">
      <c r="A182" s="241"/>
      <c r="B182" s="665"/>
      <c r="C182" s="680">
        <v>12</v>
      </c>
      <c r="D182" s="682" t="s">
        <v>868</v>
      </c>
      <c r="E182" s="683"/>
      <c r="F182" s="667"/>
      <c r="G182" s="237"/>
      <c r="H182" s="1341"/>
      <c r="I182" s="1341"/>
      <c r="J182" s="1341"/>
      <c r="K182" s="242"/>
    </row>
    <row r="183" spans="1:11" ht="26.1" customHeight="1">
      <c r="A183" s="241"/>
      <c r="B183" s="665"/>
      <c r="C183" s="680">
        <v>13</v>
      </c>
      <c r="D183" s="682" t="s">
        <v>869</v>
      </c>
      <c r="E183" s="683"/>
      <c r="F183" s="667"/>
      <c r="G183" s="237"/>
      <c r="H183" s="1341"/>
      <c r="I183" s="1341"/>
      <c r="J183" s="1341"/>
      <c r="K183" s="242"/>
    </row>
    <row r="184" spans="1:11" ht="26.1" customHeight="1">
      <c r="A184" s="241"/>
      <c r="B184" s="665"/>
      <c r="C184" s="680">
        <v>14</v>
      </c>
      <c r="D184" s="682" t="s">
        <v>870</v>
      </c>
      <c r="E184" s="683"/>
      <c r="F184" s="666"/>
      <c r="G184" s="237"/>
      <c r="H184" s="1343"/>
      <c r="I184" s="1341"/>
      <c r="J184" s="1341"/>
      <c r="K184" s="242"/>
    </row>
    <row r="185" spans="1:11" ht="26.1" customHeight="1">
      <c r="A185" s="241"/>
      <c r="B185" s="665"/>
      <c r="C185" s="680">
        <v>15</v>
      </c>
      <c r="D185" s="683"/>
      <c r="E185" s="683"/>
      <c r="F185" s="667"/>
      <c r="G185" s="237"/>
      <c r="H185" s="1341"/>
      <c r="I185" s="1341"/>
      <c r="J185" s="1341"/>
      <c r="K185" s="242"/>
    </row>
    <row r="186" spans="1:11" ht="18" customHeight="1">
      <c r="A186" s="223"/>
      <c r="B186" s="659"/>
      <c r="C186" s="687"/>
      <c r="D186" s="660"/>
      <c r="E186" s="660"/>
      <c r="F186" s="661"/>
      <c r="G186" s="224"/>
      <c r="H186" s="1133"/>
      <c r="I186" s="1133"/>
      <c r="J186" s="1133"/>
      <c r="K186" s="225"/>
    </row>
    <row r="187" spans="1:11" ht="15">
      <c r="A187" s="226"/>
      <c r="B187" s="656" t="s">
        <v>68</v>
      </c>
      <c r="C187" s="657"/>
      <c r="D187" s="657"/>
      <c r="E187" s="657"/>
      <c r="F187" s="658"/>
      <c r="G187" s="231"/>
      <c r="H187" s="1125" t="s">
        <v>548</v>
      </c>
      <c r="I187" s="1125"/>
      <c r="J187" s="1126"/>
      <c r="K187" s="229"/>
    </row>
    <row r="188" spans="1:11" ht="15">
      <c r="A188" s="223"/>
      <c r="B188" s="659" t="s">
        <v>871</v>
      </c>
      <c r="C188" s="660"/>
      <c r="D188" s="660"/>
      <c r="E188" s="660"/>
      <c r="F188" s="661"/>
      <c r="G188" s="248"/>
      <c r="H188" s="1134"/>
      <c r="I188" s="1133"/>
      <c r="J188" s="1133"/>
      <c r="K188" s="247"/>
    </row>
    <row r="189" spans="1:11" ht="15">
      <c r="A189" s="226"/>
      <c r="B189" s="656" t="s">
        <v>69</v>
      </c>
      <c r="C189" s="657"/>
      <c r="D189" s="657"/>
      <c r="E189" s="657"/>
      <c r="F189" s="658"/>
      <c r="G189" s="231"/>
      <c r="H189" s="1125" t="s">
        <v>548</v>
      </c>
      <c r="I189" s="1125"/>
      <c r="J189" s="1126"/>
      <c r="K189" s="229"/>
    </row>
    <row r="190" spans="1:11" ht="15">
      <c r="A190" s="223"/>
      <c r="B190" s="659" t="s">
        <v>872</v>
      </c>
      <c r="C190" s="660"/>
      <c r="D190" s="660"/>
      <c r="E190" s="660"/>
      <c r="F190" s="661"/>
      <c r="G190" s="248"/>
      <c r="H190" s="1134"/>
      <c r="I190" s="1133"/>
      <c r="J190" s="1133"/>
      <c r="K190" s="247"/>
    </row>
    <row r="191" spans="1:11" ht="15">
      <c r="A191" s="226"/>
      <c r="B191" s="656" t="s">
        <v>70</v>
      </c>
      <c r="C191" s="657"/>
      <c r="D191" s="657"/>
      <c r="E191" s="657"/>
      <c r="F191" s="658"/>
      <c r="G191" s="231"/>
      <c r="H191" s="1125" t="s">
        <v>548</v>
      </c>
      <c r="I191" s="1125"/>
      <c r="J191" s="1126"/>
      <c r="K191" s="229"/>
    </row>
    <row r="192" spans="1:11" ht="15">
      <c r="A192" s="223"/>
      <c r="B192" s="659" t="s">
        <v>871</v>
      </c>
      <c r="C192" s="660"/>
      <c r="D192" s="660"/>
      <c r="E192" s="660"/>
      <c r="F192" s="661"/>
      <c r="G192" s="248"/>
      <c r="H192" s="1134"/>
      <c r="I192" s="1133"/>
      <c r="J192" s="1133"/>
      <c r="K192" s="247"/>
    </row>
    <row r="193" spans="1:11" ht="24.75" customHeight="1">
      <c r="A193" s="226"/>
      <c r="B193" s="1408" t="s">
        <v>71</v>
      </c>
      <c r="C193" s="1409"/>
      <c r="D193" s="1409"/>
      <c r="E193" s="1409"/>
      <c r="F193" s="1410"/>
      <c r="G193" s="231"/>
      <c r="H193" s="1125" t="s">
        <v>548</v>
      </c>
      <c r="I193" s="1125"/>
      <c r="J193" s="1126"/>
      <c r="K193" s="229"/>
    </row>
    <row r="194" spans="1:11" ht="15">
      <c r="A194" s="223"/>
      <c r="B194" s="659" t="s">
        <v>873</v>
      </c>
      <c r="C194" s="660"/>
      <c r="D194" s="660"/>
      <c r="E194" s="660"/>
      <c r="F194" s="661"/>
      <c r="G194" s="248"/>
      <c r="H194" s="1134"/>
      <c r="I194" s="1133"/>
      <c r="J194" s="1133"/>
      <c r="K194" s="247"/>
    </row>
    <row r="195" spans="1:11" ht="15">
      <c r="A195" s="226"/>
      <c r="B195" s="656" t="s">
        <v>72</v>
      </c>
      <c r="C195" s="657"/>
      <c r="D195" s="657"/>
      <c r="E195" s="657"/>
      <c r="F195" s="658"/>
      <c r="G195" s="232"/>
      <c r="H195" s="1125" t="s">
        <v>548</v>
      </c>
      <c r="I195" s="1126"/>
      <c r="J195" s="1126"/>
      <c r="K195" s="229"/>
    </row>
    <row r="196" spans="1:11" ht="15">
      <c r="A196" s="223"/>
      <c r="B196" s="659" t="s">
        <v>874</v>
      </c>
      <c r="C196" s="660"/>
      <c r="D196" s="660"/>
      <c r="E196" s="660"/>
      <c r="F196" s="661"/>
      <c r="G196" s="248"/>
      <c r="H196" s="1134"/>
      <c r="I196" s="1133"/>
      <c r="J196" s="1133"/>
      <c r="K196" s="247"/>
    </row>
    <row r="197" spans="1:11" ht="15">
      <c r="A197" s="226"/>
      <c r="B197" s="656" t="s">
        <v>73</v>
      </c>
      <c r="C197" s="657"/>
      <c r="D197" s="657"/>
      <c r="E197" s="657"/>
      <c r="F197" s="658"/>
      <c r="G197" s="232"/>
      <c r="H197" s="1125" t="s">
        <v>548</v>
      </c>
      <c r="I197" s="1126"/>
      <c r="J197" s="1126"/>
      <c r="K197" s="229"/>
    </row>
    <row r="198" spans="1:11" ht="15">
      <c r="A198" s="223"/>
      <c r="B198" s="659" t="s">
        <v>875</v>
      </c>
      <c r="C198" s="660"/>
      <c r="D198" s="660"/>
      <c r="E198" s="660"/>
      <c r="F198" s="661"/>
      <c r="G198" s="248"/>
      <c r="H198" s="1134"/>
      <c r="I198" s="1133"/>
      <c r="J198" s="1133"/>
      <c r="K198" s="247"/>
    </row>
    <row r="199" spans="1:11" ht="15">
      <c r="A199" s="226"/>
      <c r="B199" s="656" t="s">
        <v>74</v>
      </c>
      <c r="C199" s="657"/>
      <c r="D199" s="657"/>
      <c r="E199" s="657"/>
      <c r="F199" s="658"/>
      <c r="G199" s="232"/>
      <c r="H199" s="1125" t="s">
        <v>548</v>
      </c>
      <c r="I199" s="1126"/>
      <c r="J199" s="1126"/>
      <c r="K199" s="229"/>
    </row>
    <row r="200" spans="1:11" ht="15">
      <c r="A200" s="223"/>
      <c r="B200" s="659" t="s">
        <v>876</v>
      </c>
      <c r="C200" s="660"/>
      <c r="D200" s="660"/>
      <c r="E200" s="660"/>
      <c r="F200" s="661"/>
      <c r="G200" s="248"/>
      <c r="H200" s="1134"/>
      <c r="I200" s="1133"/>
      <c r="J200" s="1133"/>
      <c r="K200" s="247"/>
    </row>
    <row r="201" spans="1:11" ht="15">
      <c r="A201" s="226"/>
      <c r="B201" s="656" t="s">
        <v>75</v>
      </c>
      <c r="C201" s="657"/>
      <c r="D201" s="657"/>
      <c r="E201" s="657"/>
      <c r="F201" s="658"/>
      <c r="G201" s="232"/>
      <c r="H201" s="1125" t="s">
        <v>548</v>
      </c>
      <c r="I201" s="1126"/>
      <c r="J201" s="1126"/>
      <c r="K201" s="229"/>
    </row>
    <row r="202" spans="1:11" ht="15">
      <c r="A202" s="223"/>
      <c r="B202" s="659" t="s">
        <v>877</v>
      </c>
      <c r="C202" s="660"/>
      <c r="D202" s="660"/>
      <c r="E202" s="660"/>
      <c r="F202" s="661"/>
      <c r="G202" s="248"/>
      <c r="H202" s="1134"/>
      <c r="I202" s="1133"/>
      <c r="J202" s="1133"/>
      <c r="K202" s="247"/>
    </row>
    <row r="203" spans="1:11" ht="25.5">
      <c r="A203" s="226"/>
      <c r="B203" s="1408" t="s">
        <v>76</v>
      </c>
      <c r="C203" s="1409"/>
      <c r="D203" s="1409"/>
      <c r="E203" s="1409"/>
      <c r="F203" s="1410"/>
      <c r="G203" s="231"/>
      <c r="H203" s="1126"/>
      <c r="I203" s="1125" t="s">
        <v>548</v>
      </c>
      <c r="J203" s="1126"/>
      <c r="K203" s="245" t="s">
        <v>77</v>
      </c>
    </row>
    <row r="204" spans="1:11" ht="15">
      <c r="A204" s="223"/>
      <c r="B204" s="659" t="s">
        <v>878</v>
      </c>
      <c r="C204" s="660"/>
      <c r="D204" s="660"/>
      <c r="E204" s="660"/>
      <c r="F204" s="661"/>
      <c r="G204" s="248"/>
      <c r="H204" s="1134"/>
      <c r="I204" s="1133"/>
      <c r="J204" s="1133"/>
      <c r="K204" s="240" t="s">
        <v>78</v>
      </c>
    </row>
    <row r="205" spans="1:11" ht="15">
      <c r="A205" s="226"/>
      <c r="B205" s="656" t="s">
        <v>79</v>
      </c>
      <c r="C205" s="657"/>
      <c r="D205" s="657"/>
      <c r="E205" s="657"/>
      <c r="F205" s="658"/>
      <c r="G205" s="231"/>
      <c r="H205" s="1125" t="s">
        <v>548</v>
      </c>
      <c r="I205" s="1126"/>
      <c r="J205" s="1126"/>
      <c r="K205" s="229"/>
    </row>
    <row r="206" spans="1:11" ht="15">
      <c r="A206" s="223"/>
      <c r="B206" s="659" t="s">
        <v>879</v>
      </c>
      <c r="C206" s="660"/>
      <c r="D206" s="660"/>
      <c r="E206" s="660"/>
      <c r="F206" s="661"/>
      <c r="G206" s="248"/>
      <c r="H206" s="1134"/>
      <c r="I206" s="1133"/>
      <c r="J206" s="1133"/>
      <c r="K206" s="247"/>
    </row>
    <row r="207" spans="1:11" ht="15">
      <c r="A207" s="226"/>
      <c r="B207" s="656" t="s">
        <v>80</v>
      </c>
      <c r="C207" s="657"/>
      <c r="D207" s="657"/>
      <c r="E207" s="657"/>
      <c r="F207" s="658"/>
      <c r="G207" s="231" t="s">
        <v>548</v>
      </c>
      <c r="H207" s="1125"/>
      <c r="I207" s="1126"/>
      <c r="J207" s="1126"/>
      <c r="K207" s="229"/>
    </row>
    <row r="208" spans="1:11" ht="15">
      <c r="A208" s="223"/>
      <c r="B208" s="659" t="s">
        <v>880</v>
      </c>
      <c r="C208" s="660"/>
      <c r="D208" s="660"/>
      <c r="E208" s="660"/>
      <c r="F208" s="661"/>
      <c r="G208" s="248"/>
      <c r="H208" s="1134"/>
      <c r="I208" s="1133"/>
      <c r="J208" s="1133"/>
      <c r="K208" s="247"/>
    </row>
    <row r="209" spans="1:11" ht="15">
      <c r="A209" s="226"/>
      <c r="B209" s="656" t="s">
        <v>881</v>
      </c>
      <c r="C209" s="657"/>
      <c r="D209" s="657"/>
      <c r="E209" s="657"/>
      <c r="F209" s="658"/>
      <c r="G209" s="231" t="s">
        <v>548</v>
      </c>
      <c r="H209" s="1125"/>
      <c r="I209" s="1126"/>
      <c r="J209" s="1126"/>
      <c r="K209" s="229"/>
    </row>
    <row r="210" spans="1:11" ht="15">
      <c r="A210" s="223"/>
      <c r="B210" s="659" t="s">
        <v>882</v>
      </c>
      <c r="C210" s="660"/>
      <c r="D210" s="660"/>
      <c r="E210" s="660"/>
      <c r="F210" s="661"/>
      <c r="G210" s="248"/>
      <c r="H210" s="1134"/>
      <c r="I210" s="1133"/>
      <c r="J210" s="1133"/>
      <c r="K210" s="247"/>
    </row>
    <row r="211" spans="1:11" ht="12" customHeight="1">
      <c r="A211" s="226"/>
      <c r="B211" s="656"/>
      <c r="C211" s="657"/>
      <c r="D211" s="657"/>
      <c r="E211" s="657"/>
      <c r="F211" s="658"/>
      <c r="G211" s="232"/>
      <c r="H211" s="1125"/>
      <c r="I211" s="1126"/>
      <c r="J211" s="1126"/>
      <c r="K211" s="229"/>
    </row>
    <row r="212" spans="1:11" ht="15">
      <c r="A212" s="226" t="s">
        <v>81</v>
      </c>
      <c r="B212" s="656" t="s">
        <v>82</v>
      </c>
      <c r="C212" s="657"/>
      <c r="D212" s="657"/>
      <c r="E212" s="657"/>
      <c r="F212" s="658"/>
      <c r="G212" s="232"/>
      <c r="H212" s="1126"/>
      <c r="I212" s="1126"/>
      <c r="J212" s="1126"/>
      <c r="K212" s="229"/>
    </row>
    <row r="213" spans="1:11" ht="15">
      <c r="A213" s="223"/>
      <c r="B213" s="659" t="s">
        <v>883</v>
      </c>
      <c r="C213" s="660"/>
      <c r="D213" s="660"/>
      <c r="E213" s="660"/>
      <c r="F213" s="661"/>
      <c r="G213" s="248"/>
      <c r="H213" s="1134"/>
      <c r="I213" s="1133"/>
      <c r="J213" s="1133"/>
      <c r="K213" s="247"/>
    </row>
    <row r="214" spans="1:11" ht="15">
      <c r="A214" s="226"/>
      <c r="B214" s="656" t="s">
        <v>83</v>
      </c>
      <c r="C214" s="657"/>
      <c r="D214" s="657"/>
      <c r="E214" s="657"/>
      <c r="F214" s="658"/>
      <c r="G214" s="231"/>
      <c r="H214" s="1125" t="s">
        <v>548</v>
      </c>
      <c r="I214" s="1126"/>
      <c r="J214" s="1126"/>
      <c r="K214" s="229"/>
    </row>
    <row r="215" spans="1:11" ht="15">
      <c r="A215" s="223"/>
      <c r="B215" s="659" t="s">
        <v>884</v>
      </c>
      <c r="C215" s="660"/>
      <c r="D215" s="660"/>
      <c r="E215" s="660"/>
      <c r="F215" s="661"/>
      <c r="G215" s="248"/>
      <c r="H215" s="1134"/>
      <c r="I215" s="1133"/>
      <c r="J215" s="1133"/>
      <c r="K215" s="247"/>
    </row>
    <row r="216" spans="1:11" ht="15">
      <c r="A216" s="226"/>
      <c r="B216" s="656" t="s">
        <v>84</v>
      </c>
      <c r="C216" s="657"/>
      <c r="D216" s="657"/>
      <c r="E216" s="657"/>
      <c r="F216" s="658"/>
      <c r="G216" s="231" t="s">
        <v>548</v>
      </c>
      <c r="H216" s="1125"/>
      <c r="I216" s="1126"/>
      <c r="J216" s="1126"/>
      <c r="K216" s="229"/>
    </row>
    <row r="217" spans="1:11" ht="15">
      <c r="A217" s="223"/>
      <c r="B217" s="659" t="s">
        <v>885</v>
      </c>
      <c r="C217" s="660"/>
      <c r="D217" s="660"/>
      <c r="E217" s="660"/>
      <c r="F217" s="661"/>
      <c r="G217" s="248"/>
      <c r="H217" s="1134"/>
      <c r="I217" s="1133"/>
      <c r="J217" s="1133"/>
      <c r="K217" s="247"/>
    </row>
    <row r="218" spans="1:11" ht="15">
      <c r="A218" s="226"/>
      <c r="B218" s="656" t="s">
        <v>85</v>
      </c>
      <c r="C218" s="657"/>
      <c r="D218" s="657"/>
      <c r="E218" s="657"/>
      <c r="F218" s="658"/>
      <c r="G218" s="231"/>
      <c r="H218" s="1125" t="s">
        <v>548</v>
      </c>
      <c r="I218" s="1126"/>
      <c r="J218" s="1126"/>
      <c r="K218" s="229"/>
    </row>
    <row r="219" spans="1:11" ht="15">
      <c r="A219" s="223"/>
      <c r="B219" s="659" t="s">
        <v>886</v>
      </c>
      <c r="C219" s="660"/>
      <c r="D219" s="660"/>
      <c r="E219" s="660"/>
      <c r="F219" s="661"/>
      <c r="G219" s="248"/>
      <c r="H219" s="1134"/>
      <c r="I219" s="1133"/>
      <c r="J219" s="1133"/>
      <c r="K219" s="247"/>
    </row>
    <row r="220" spans="1:11" ht="15">
      <c r="A220" s="226"/>
      <c r="B220" s="656" t="s">
        <v>86</v>
      </c>
      <c r="C220" s="657"/>
      <c r="D220" s="657"/>
      <c r="E220" s="657"/>
      <c r="F220" s="658"/>
      <c r="G220" s="231" t="s">
        <v>548</v>
      </c>
      <c r="H220" s="1126"/>
      <c r="I220" s="1125"/>
      <c r="J220" s="1126"/>
      <c r="K220" s="229"/>
    </row>
    <row r="221" spans="1:11" ht="15">
      <c r="A221" s="223"/>
      <c r="B221" s="659" t="s">
        <v>887</v>
      </c>
      <c r="C221" s="660"/>
      <c r="D221" s="660"/>
      <c r="E221" s="660"/>
      <c r="F221" s="661"/>
      <c r="G221" s="248"/>
      <c r="H221" s="1134"/>
      <c r="I221" s="1133"/>
      <c r="J221" s="1133"/>
      <c r="K221" s="247"/>
    </row>
    <row r="222" spans="1:11" ht="15">
      <c r="A222" s="226"/>
      <c r="B222" s="656" t="s">
        <v>87</v>
      </c>
      <c r="C222" s="657"/>
      <c r="D222" s="657"/>
      <c r="E222" s="657"/>
      <c r="F222" s="658"/>
      <c r="G222" s="231" t="s">
        <v>548</v>
      </c>
      <c r="H222" s="1125"/>
      <c r="I222" s="1126"/>
      <c r="J222" s="1126"/>
      <c r="K222" s="229"/>
    </row>
    <row r="223" spans="1:11" ht="15">
      <c r="A223" s="223"/>
      <c r="B223" s="659" t="s">
        <v>888</v>
      </c>
      <c r="C223" s="660"/>
      <c r="D223" s="660"/>
      <c r="E223" s="660"/>
      <c r="F223" s="661"/>
      <c r="G223" s="248"/>
      <c r="H223" s="1134"/>
      <c r="I223" s="1133"/>
      <c r="J223" s="1133"/>
      <c r="K223" s="247"/>
    </row>
    <row r="224" spans="1:11" ht="15">
      <c r="A224" s="226"/>
      <c r="B224" s="656" t="s">
        <v>88</v>
      </c>
      <c r="C224" s="657"/>
      <c r="D224" s="657"/>
      <c r="E224" s="657"/>
      <c r="F224" s="658"/>
      <c r="G224" s="231"/>
      <c r="H224" s="1125" t="s">
        <v>548</v>
      </c>
      <c r="I224" s="1126"/>
      <c r="J224" s="1126"/>
      <c r="K224" s="229"/>
    </row>
    <row r="225" spans="1:11" ht="15">
      <c r="A225" s="223"/>
      <c r="B225" s="659" t="s">
        <v>886</v>
      </c>
      <c r="C225" s="660"/>
      <c r="D225" s="660"/>
      <c r="E225" s="660"/>
      <c r="F225" s="661"/>
      <c r="G225" s="248"/>
      <c r="H225" s="1134"/>
      <c r="I225" s="1133"/>
      <c r="J225" s="1133"/>
      <c r="K225" s="247"/>
    </row>
    <row r="226" spans="1:11" ht="15">
      <c r="A226" s="226"/>
      <c r="B226" s="656" t="s">
        <v>89</v>
      </c>
      <c r="C226" s="657"/>
      <c r="D226" s="657"/>
      <c r="E226" s="657"/>
      <c r="F226" s="658"/>
      <c r="G226" s="231"/>
      <c r="H226" s="1125" t="s">
        <v>548</v>
      </c>
      <c r="I226" s="1126"/>
      <c r="J226" s="1126"/>
      <c r="K226" s="229"/>
    </row>
    <row r="227" spans="1:11" ht="15">
      <c r="A227" s="223"/>
      <c r="B227" s="659" t="s">
        <v>889</v>
      </c>
      <c r="C227" s="660"/>
      <c r="D227" s="660"/>
      <c r="E227" s="660"/>
      <c r="F227" s="661"/>
      <c r="G227" s="248"/>
      <c r="H227" s="1134"/>
      <c r="I227" s="1133"/>
      <c r="J227" s="1133"/>
      <c r="K227" s="247"/>
    </row>
    <row r="228" spans="1:11" ht="15">
      <c r="A228" s="226"/>
      <c r="B228" s="656" t="s">
        <v>90</v>
      </c>
      <c r="C228" s="657"/>
      <c r="D228" s="657"/>
      <c r="E228" s="657"/>
      <c r="F228" s="658"/>
      <c r="G228" s="231" t="s">
        <v>548</v>
      </c>
      <c r="H228" s="1125"/>
      <c r="I228" s="1126"/>
      <c r="J228" s="1126"/>
      <c r="K228" s="229"/>
    </row>
    <row r="229" spans="1:11" ht="15">
      <c r="A229" s="223"/>
      <c r="B229" s="659" t="s">
        <v>890</v>
      </c>
      <c r="C229" s="660"/>
      <c r="D229" s="660"/>
      <c r="E229" s="660"/>
      <c r="F229" s="661"/>
      <c r="G229" s="248"/>
      <c r="H229" s="1134"/>
      <c r="I229" s="1133"/>
      <c r="J229" s="1133"/>
      <c r="K229" s="247"/>
    </row>
    <row r="230" spans="1:11" ht="15">
      <c r="A230" s="226"/>
      <c r="B230" s="656" t="s">
        <v>91</v>
      </c>
      <c r="C230" s="657"/>
      <c r="D230" s="657"/>
      <c r="E230" s="657"/>
      <c r="F230" s="658"/>
      <c r="G230" s="231" t="s">
        <v>548</v>
      </c>
      <c r="H230" s="1126"/>
      <c r="I230" s="1126"/>
      <c r="J230" s="1126"/>
      <c r="K230" s="229"/>
    </row>
    <row r="231" spans="1:11" ht="15">
      <c r="A231" s="223"/>
      <c r="B231" s="659" t="s">
        <v>891</v>
      </c>
      <c r="C231" s="660"/>
      <c r="D231" s="660"/>
      <c r="E231" s="660"/>
      <c r="F231" s="661"/>
      <c r="G231" s="248"/>
      <c r="H231" s="1134"/>
      <c r="I231" s="1133"/>
      <c r="J231" s="1133"/>
      <c r="K231" s="247"/>
    </row>
    <row r="232" spans="1:11" ht="15">
      <c r="A232" s="226"/>
      <c r="B232" s="656" t="s">
        <v>92</v>
      </c>
      <c r="C232" s="657"/>
      <c r="D232" s="657"/>
      <c r="E232" s="657"/>
      <c r="F232" s="658"/>
      <c r="G232" s="231" t="s">
        <v>548</v>
      </c>
      <c r="H232" s="1125"/>
      <c r="I232" s="1126"/>
      <c r="J232" s="1126"/>
      <c r="K232" s="229"/>
    </row>
    <row r="233" spans="1:11" ht="15">
      <c r="A233" s="223"/>
      <c r="B233" s="659" t="s">
        <v>892</v>
      </c>
      <c r="C233" s="660"/>
      <c r="D233" s="660"/>
      <c r="E233" s="660"/>
      <c r="F233" s="661"/>
      <c r="G233" s="248"/>
      <c r="H233" s="1134"/>
      <c r="I233" s="1133"/>
      <c r="J233" s="1133"/>
      <c r="K233" s="247"/>
    </row>
    <row r="234" spans="1:11" ht="15">
      <c r="A234" s="226"/>
      <c r="B234" s="656" t="s">
        <v>93</v>
      </c>
      <c r="C234" s="657"/>
      <c r="D234" s="657"/>
      <c r="E234" s="657"/>
      <c r="F234" s="658"/>
      <c r="G234" s="231" t="s">
        <v>548</v>
      </c>
      <c r="H234" s="1125"/>
      <c r="I234" s="1126"/>
      <c r="J234" s="1126"/>
      <c r="K234" s="229"/>
    </row>
    <row r="235" spans="1:11" ht="15">
      <c r="A235" s="223"/>
      <c r="B235" s="659" t="s">
        <v>893</v>
      </c>
      <c r="C235" s="660"/>
      <c r="D235" s="660"/>
      <c r="E235" s="660"/>
      <c r="F235" s="661"/>
      <c r="G235" s="248"/>
      <c r="H235" s="1134"/>
      <c r="I235" s="1133"/>
      <c r="J235" s="1133"/>
      <c r="K235" s="247"/>
    </row>
    <row r="236" spans="1:11" ht="15">
      <c r="A236" s="226"/>
      <c r="B236" s="656" t="s">
        <v>94</v>
      </c>
      <c r="C236" s="657"/>
      <c r="D236" s="657"/>
      <c r="E236" s="657"/>
      <c r="F236" s="658"/>
      <c r="G236" s="231" t="s">
        <v>548</v>
      </c>
      <c r="H236" s="1126"/>
      <c r="I236" s="1126"/>
      <c r="J236" s="1126"/>
      <c r="K236" s="245"/>
    </row>
    <row r="237" spans="1:11" ht="15">
      <c r="A237" s="223"/>
      <c r="B237" s="659" t="s">
        <v>894</v>
      </c>
      <c r="C237" s="660"/>
      <c r="D237" s="660"/>
      <c r="E237" s="660"/>
      <c r="F237" s="661"/>
      <c r="G237" s="248"/>
      <c r="H237" s="1134"/>
      <c r="I237" s="1133"/>
      <c r="J237" s="1133"/>
      <c r="K237" s="247"/>
    </row>
    <row r="238" spans="1:11" ht="15">
      <c r="A238" s="226"/>
      <c r="B238" s="656" t="s">
        <v>95</v>
      </c>
      <c r="C238" s="657"/>
      <c r="D238" s="657"/>
      <c r="E238" s="657"/>
      <c r="F238" s="658"/>
      <c r="G238" s="231"/>
      <c r="H238" s="1125" t="s">
        <v>96</v>
      </c>
      <c r="I238" s="1126"/>
      <c r="J238" s="1125"/>
      <c r="K238" s="245"/>
    </row>
    <row r="239" spans="1:11" ht="15">
      <c r="A239" s="223"/>
      <c r="B239" s="659" t="s">
        <v>895</v>
      </c>
      <c r="C239" s="660"/>
      <c r="D239" s="660"/>
      <c r="E239" s="660"/>
      <c r="F239" s="661"/>
      <c r="G239" s="248"/>
      <c r="H239" s="1134"/>
      <c r="I239" s="1133"/>
      <c r="J239" s="1133"/>
      <c r="K239" s="247"/>
    </row>
    <row r="240" spans="1:11" ht="25.5" customHeight="1">
      <c r="A240" s="226"/>
      <c r="B240" s="1408" t="s">
        <v>97</v>
      </c>
      <c r="C240" s="1409"/>
      <c r="D240" s="1409"/>
      <c r="E240" s="1409"/>
      <c r="F240" s="1410"/>
      <c r="G240" s="231"/>
      <c r="H240" s="1125" t="s">
        <v>548</v>
      </c>
      <c r="I240" s="1126"/>
      <c r="J240" s="1126"/>
      <c r="K240" s="245"/>
    </row>
    <row r="241" spans="1:11" ht="15">
      <c r="A241" s="223"/>
      <c r="B241" s="659" t="s">
        <v>896</v>
      </c>
      <c r="C241" s="660"/>
      <c r="D241" s="660"/>
      <c r="E241" s="660"/>
      <c r="F241" s="661"/>
      <c r="G241" s="248"/>
      <c r="H241" s="1134"/>
      <c r="I241" s="1133"/>
      <c r="J241" s="1133"/>
      <c r="K241" s="247"/>
    </row>
    <row r="242" spans="1:11" ht="15">
      <c r="A242" s="226"/>
      <c r="B242" s="1408" t="s">
        <v>98</v>
      </c>
      <c r="C242" s="1409"/>
      <c r="D242" s="1409"/>
      <c r="E242" s="1409"/>
      <c r="F242" s="1410"/>
      <c r="G242" s="231" t="s">
        <v>548</v>
      </c>
      <c r="H242" s="1125"/>
      <c r="I242" s="1126"/>
      <c r="J242" s="1125"/>
      <c r="K242" s="245"/>
    </row>
    <row r="243" spans="1:11" ht="15">
      <c r="A243" s="223"/>
      <c r="B243" s="659" t="s">
        <v>99</v>
      </c>
      <c r="C243" s="660"/>
      <c r="D243" s="660"/>
      <c r="E243" s="660"/>
      <c r="F243" s="661"/>
      <c r="G243" s="248"/>
      <c r="H243" s="1134"/>
      <c r="I243" s="1133"/>
      <c r="J243" s="1133"/>
      <c r="K243" s="247"/>
    </row>
    <row r="244" spans="1:11" ht="25.5">
      <c r="A244" s="226"/>
      <c r="B244" s="1408" t="s">
        <v>100</v>
      </c>
      <c r="C244" s="1409"/>
      <c r="D244" s="1409"/>
      <c r="E244" s="1409"/>
      <c r="F244" s="1410"/>
      <c r="G244" s="231" t="s">
        <v>548</v>
      </c>
      <c r="H244" s="1125"/>
      <c r="I244" s="1126"/>
      <c r="J244" s="1125"/>
      <c r="K244" s="245" t="s">
        <v>101</v>
      </c>
    </row>
    <row r="245" spans="1:11" ht="24">
      <c r="A245" s="223"/>
      <c r="B245" s="659" t="s">
        <v>102</v>
      </c>
      <c r="C245" s="660"/>
      <c r="D245" s="660"/>
      <c r="E245" s="660"/>
      <c r="F245" s="661"/>
      <c r="G245" s="248"/>
      <c r="H245" s="1134"/>
      <c r="I245" s="1133"/>
      <c r="J245" s="1133"/>
      <c r="K245" s="240" t="s">
        <v>103</v>
      </c>
    </row>
    <row r="246" spans="1:11" ht="15">
      <c r="A246" s="226"/>
      <c r="B246" s="1408" t="s">
        <v>104</v>
      </c>
      <c r="C246" s="1409"/>
      <c r="D246" s="1409"/>
      <c r="E246" s="1409"/>
      <c r="F246" s="1410"/>
      <c r="G246" s="231" t="s">
        <v>548</v>
      </c>
      <c r="H246" s="1125"/>
      <c r="I246" s="1126"/>
      <c r="J246" s="1125"/>
      <c r="K246" s="245" t="s">
        <v>105</v>
      </c>
    </row>
    <row r="247" spans="1:11" ht="15">
      <c r="A247" s="223"/>
      <c r="B247" s="659" t="s">
        <v>106</v>
      </c>
      <c r="C247" s="660"/>
      <c r="D247" s="660"/>
      <c r="E247" s="660"/>
      <c r="F247" s="661"/>
      <c r="G247" s="248"/>
      <c r="H247" s="1134"/>
      <c r="I247" s="1133"/>
      <c r="J247" s="1133"/>
      <c r="K247" s="240" t="s">
        <v>107</v>
      </c>
    </row>
    <row r="248" spans="1:11" ht="15">
      <c r="A248" s="226"/>
      <c r="B248" s="1408" t="s">
        <v>897</v>
      </c>
      <c r="C248" s="1409"/>
      <c r="D248" s="1409"/>
      <c r="E248" s="1409"/>
      <c r="F248" s="1410"/>
      <c r="G248" s="231"/>
      <c r="H248" s="1125"/>
      <c r="I248" s="1126"/>
      <c r="J248" s="1125" t="s">
        <v>548</v>
      </c>
      <c r="K248" s="245"/>
    </row>
    <row r="249" spans="1:11" ht="15">
      <c r="A249" s="223"/>
      <c r="B249" s="659" t="s">
        <v>108</v>
      </c>
      <c r="C249" s="660"/>
      <c r="D249" s="660"/>
      <c r="E249" s="660"/>
      <c r="F249" s="661"/>
      <c r="G249" s="248"/>
      <c r="H249" s="1134"/>
      <c r="I249" s="1133"/>
      <c r="J249" s="1133"/>
      <c r="K249" s="247"/>
    </row>
    <row r="250" spans="1:11" s="1128" customFormat="1" ht="15">
      <c r="A250" s="1124"/>
      <c r="B250" s="1412" t="s">
        <v>1094</v>
      </c>
      <c r="C250" s="1413"/>
      <c r="D250" s="1413"/>
      <c r="E250" s="1413"/>
      <c r="F250" s="1414"/>
      <c r="G250" s="1125"/>
      <c r="H250" s="1125"/>
      <c r="I250" s="1126"/>
      <c r="J250" s="1125" t="s">
        <v>548</v>
      </c>
      <c r="K250" s="1127"/>
    </row>
    <row r="251" spans="1:11" s="1128" customFormat="1" ht="16.5" customHeight="1">
      <c r="A251" s="1129"/>
      <c r="B251" s="1130"/>
      <c r="C251" s="1131"/>
      <c r="D251" s="1131"/>
      <c r="E251" s="1131"/>
      <c r="F251" s="1132"/>
      <c r="G251" s="1133"/>
      <c r="H251" s="1134"/>
      <c r="I251" s="1133"/>
      <c r="J251" s="1133"/>
      <c r="K251" s="1135"/>
    </row>
    <row r="252" spans="1:11" s="1140" customFormat="1" ht="15.75" customHeight="1">
      <c r="A252" s="1136"/>
      <c r="B252" s="1405" t="s">
        <v>1089</v>
      </c>
      <c r="C252" s="1406"/>
      <c r="D252" s="1406"/>
      <c r="E252" s="1406"/>
      <c r="F252" s="1407"/>
      <c r="G252" s="1137"/>
      <c r="H252" s="1137"/>
      <c r="I252" s="1138"/>
      <c r="J252" s="1137" t="s">
        <v>1088</v>
      </c>
      <c r="K252" s="1139"/>
    </row>
    <row r="253" spans="1:11" s="1140" customFormat="1" ht="11.25" customHeight="1">
      <c r="A253" s="1141"/>
      <c r="B253" s="1142"/>
      <c r="C253" s="1143"/>
      <c r="D253" s="1143"/>
      <c r="E253" s="1143"/>
      <c r="F253" s="1144"/>
      <c r="G253" s="1145"/>
      <c r="H253" s="1145"/>
      <c r="I253" s="1146"/>
      <c r="J253" s="1146"/>
      <c r="K253" s="1147"/>
    </row>
    <row r="254" spans="1:11" s="1140" customFormat="1" ht="31.5" customHeight="1">
      <c r="A254" s="1136"/>
      <c r="B254" s="1405" t="s">
        <v>1095</v>
      </c>
      <c r="C254" s="1406"/>
      <c r="D254" s="1406"/>
      <c r="E254" s="1406"/>
      <c r="F254" s="1407"/>
      <c r="G254" s="1137"/>
      <c r="H254" s="1137"/>
      <c r="I254" s="1138"/>
      <c r="J254" s="1137" t="s">
        <v>1088</v>
      </c>
      <c r="K254" s="1139"/>
    </row>
    <row r="255" spans="1:11" s="1140" customFormat="1" ht="18" customHeight="1">
      <c r="A255" s="1141"/>
      <c r="B255" s="1142"/>
      <c r="C255" s="1143"/>
      <c r="D255" s="1143"/>
      <c r="E255" s="1143"/>
      <c r="F255" s="1144"/>
      <c r="G255" s="1145"/>
      <c r="H255" s="1145"/>
      <c r="I255" s="1146"/>
      <c r="J255" s="1146"/>
      <c r="K255" s="1147"/>
    </row>
    <row r="256" spans="1:11" s="1140" customFormat="1" ht="15.75" customHeight="1">
      <c r="A256" s="1136"/>
      <c r="B256" s="1405" t="s">
        <v>1090</v>
      </c>
      <c r="C256" s="1406"/>
      <c r="D256" s="1406"/>
      <c r="E256" s="1406"/>
      <c r="F256" s="1407"/>
      <c r="G256" s="1137"/>
      <c r="H256" s="1137"/>
      <c r="I256" s="1138"/>
      <c r="J256" s="1137" t="s">
        <v>1088</v>
      </c>
      <c r="K256" s="1139"/>
    </row>
    <row r="257" spans="1:11" s="1140" customFormat="1" ht="11.25" customHeight="1">
      <c r="A257" s="1141"/>
      <c r="B257" s="1142"/>
      <c r="C257" s="1143"/>
      <c r="D257" s="1143"/>
      <c r="E257" s="1143"/>
      <c r="F257" s="1144"/>
      <c r="G257" s="1145"/>
      <c r="H257" s="1145"/>
      <c r="I257" s="1146"/>
      <c r="J257" s="1146"/>
      <c r="K257" s="1147"/>
    </row>
    <row r="258" spans="1:11" s="1140" customFormat="1" ht="15.75" customHeight="1">
      <c r="A258" s="1136"/>
      <c r="B258" s="1405" t="s">
        <v>1091</v>
      </c>
      <c r="C258" s="1406"/>
      <c r="D258" s="1406"/>
      <c r="E258" s="1406"/>
      <c r="F258" s="1407"/>
      <c r="G258" s="1137"/>
      <c r="H258" s="1137"/>
      <c r="I258" s="1138"/>
      <c r="J258" s="1137" t="s">
        <v>1088</v>
      </c>
      <c r="K258" s="1139"/>
    </row>
    <row r="259" spans="1:11" s="1140" customFormat="1" ht="11.25" customHeight="1">
      <c r="A259" s="1141"/>
      <c r="B259" s="1142"/>
      <c r="C259" s="1143"/>
      <c r="D259" s="1143"/>
      <c r="E259" s="1143"/>
      <c r="F259" s="1144"/>
      <c r="G259" s="1145"/>
      <c r="H259" s="1145"/>
      <c r="I259" s="1146"/>
      <c r="J259" s="1146"/>
      <c r="K259" s="1147"/>
    </row>
    <row r="260" spans="1:11" s="1140" customFormat="1" ht="15.75" customHeight="1">
      <c r="A260" s="1136"/>
      <c r="B260" s="1405" t="s">
        <v>1092</v>
      </c>
      <c r="C260" s="1406"/>
      <c r="D260" s="1406"/>
      <c r="E260" s="1406"/>
      <c r="F260" s="1407"/>
      <c r="G260" s="1137"/>
      <c r="H260" s="1137"/>
      <c r="I260" s="1138"/>
      <c r="J260" s="1137" t="s">
        <v>1088</v>
      </c>
      <c r="K260" s="1148"/>
    </row>
    <row r="261" spans="1:11" s="1140" customFormat="1" ht="11.25" customHeight="1">
      <c r="A261" s="1141"/>
      <c r="B261" s="1142"/>
      <c r="C261" s="1143"/>
      <c r="D261" s="1143"/>
      <c r="E261" s="1143"/>
      <c r="F261" s="1144"/>
      <c r="G261" s="1145"/>
      <c r="H261" s="1145"/>
      <c r="I261" s="1146"/>
      <c r="J261" s="1146"/>
      <c r="K261" s="1147"/>
    </row>
    <row r="262" spans="1:11" s="1140" customFormat="1" ht="15.75" customHeight="1">
      <c r="A262" s="1136"/>
      <c r="B262" s="1405" t="s">
        <v>1093</v>
      </c>
      <c r="C262" s="1406"/>
      <c r="D262" s="1406"/>
      <c r="E262" s="1406"/>
      <c r="F262" s="1407"/>
      <c r="G262" s="1137"/>
      <c r="H262" s="1137"/>
      <c r="I262" s="1138"/>
      <c r="J262" s="1137" t="s">
        <v>1088</v>
      </c>
      <c r="K262" s="1139"/>
    </row>
    <row r="263" spans="1:11" s="1140" customFormat="1" ht="11.25" customHeight="1">
      <c r="A263" s="1141"/>
      <c r="B263" s="1142"/>
      <c r="C263" s="1143"/>
      <c r="D263" s="1143"/>
      <c r="E263" s="1143"/>
      <c r="F263" s="1144"/>
      <c r="G263" s="1145"/>
      <c r="H263" s="1145"/>
      <c r="I263" s="1146"/>
      <c r="J263" s="1146"/>
      <c r="K263" s="1147"/>
    </row>
    <row r="264" spans="1:11" s="1140" customFormat="1" ht="15.75" customHeight="1">
      <c r="A264" s="1136"/>
      <c r="B264" s="1405" t="s">
        <v>1096</v>
      </c>
      <c r="C264" s="1406"/>
      <c r="D264" s="1406"/>
      <c r="E264" s="1406"/>
      <c r="F264" s="1407"/>
      <c r="G264" s="1137"/>
      <c r="H264" s="1137"/>
      <c r="I264" s="1138"/>
      <c r="J264" s="1137" t="s">
        <v>1088</v>
      </c>
      <c r="K264" s="1139"/>
    </row>
    <row r="265" spans="1:11" s="1140" customFormat="1" ht="11.25" customHeight="1">
      <c r="A265" s="1141"/>
      <c r="B265" s="1142"/>
      <c r="C265" s="1143"/>
      <c r="D265" s="1143"/>
      <c r="E265" s="1143"/>
      <c r="F265" s="1144"/>
      <c r="G265" s="1145"/>
      <c r="H265" s="1145"/>
      <c r="I265" s="1146"/>
      <c r="J265" s="1146"/>
      <c r="K265" s="1147"/>
    </row>
    <row r="266" spans="1:11" s="1140" customFormat="1" ht="26.25" customHeight="1">
      <c r="A266" s="1136"/>
      <c r="B266" s="1405" t="s">
        <v>1097</v>
      </c>
      <c r="C266" s="1406"/>
      <c r="D266" s="1406"/>
      <c r="E266" s="1406"/>
      <c r="F266" s="1407"/>
      <c r="G266" s="1137"/>
      <c r="H266" s="1137"/>
      <c r="I266" s="1138"/>
      <c r="J266" s="1137" t="s">
        <v>1088</v>
      </c>
      <c r="K266" s="1139"/>
    </row>
    <row r="267" spans="1:11" s="1140" customFormat="1" ht="11.25" customHeight="1">
      <c r="A267" s="1141"/>
      <c r="B267" s="1142"/>
      <c r="C267" s="1143"/>
      <c r="D267" s="1143"/>
      <c r="E267" s="1143"/>
      <c r="F267" s="1144"/>
      <c r="G267" s="1145"/>
      <c r="H267" s="1145"/>
      <c r="I267" s="1146"/>
      <c r="J267" s="1146"/>
      <c r="K267" s="1147"/>
    </row>
    <row r="268" spans="1:11" s="1140" customFormat="1" ht="26.25" customHeight="1">
      <c r="A268" s="1136"/>
      <c r="B268" s="1405" t="s">
        <v>1321</v>
      </c>
      <c r="C268" s="1406"/>
      <c r="D268" s="1406"/>
      <c r="E268" s="1406"/>
      <c r="F268" s="1407"/>
      <c r="G268" s="1137"/>
      <c r="H268" s="1137"/>
      <c r="I268" s="1138"/>
      <c r="J268" s="1137" t="s">
        <v>1088</v>
      </c>
      <c r="K268" s="1139"/>
    </row>
    <row r="269" spans="1:11" s="1140" customFormat="1" ht="11.25" customHeight="1">
      <c r="A269" s="1141"/>
      <c r="B269" s="1142"/>
      <c r="C269" s="1143"/>
      <c r="D269" s="1143"/>
      <c r="E269" s="1143"/>
      <c r="F269" s="1144"/>
      <c r="G269" s="1145"/>
      <c r="H269" s="1145"/>
      <c r="I269" s="1146"/>
      <c r="J269" s="1146"/>
      <c r="K269" s="1147"/>
    </row>
    <row r="270" spans="1:11" s="1140" customFormat="1" ht="26.25" customHeight="1">
      <c r="A270" s="1136"/>
      <c r="B270" s="1405" t="s">
        <v>1322</v>
      </c>
      <c r="C270" s="1406"/>
      <c r="D270" s="1406"/>
      <c r="E270" s="1406"/>
      <c r="F270" s="1407"/>
      <c r="G270" s="1137"/>
      <c r="H270" s="1137"/>
      <c r="I270" s="1138"/>
      <c r="J270" s="1137" t="s">
        <v>1088</v>
      </c>
      <c r="K270" s="1139"/>
    </row>
    <row r="271" spans="1:11" s="1140" customFormat="1" ht="11.25" customHeight="1">
      <c r="A271" s="1141"/>
      <c r="B271" s="1142"/>
      <c r="C271" s="1143"/>
      <c r="D271" s="1143"/>
      <c r="E271" s="1143"/>
      <c r="F271" s="1144"/>
      <c r="G271" s="1145"/>
      <c r="H271" s="1145"/>
      <c r="I271" s="1146"/>
      <c r="J271" s="1146"/>
      <c r="K271" s="1147"/>
    </row>
    <row r="272" spans="1:11" ht="15">
      <c r="A272" s="226" t="s">
        <v>109</v>
      </c>
      <c r="B272" s="656" t="s">
        <v>110</v>
      </c>
      <c r="C272" s="657"/>
      <c r="D272" s="657"/>
      <c r="E272" s="657"/>
      <c r="F272" s="658"/>
      <c r="G272" s="232"/>
      <c r="H272" s="1126"/>
      <c r="I272" s="1126"/>
      <c r="J272" s="1126"/>
      <c r="K272" s="229"/>
    </row>
    <row r="273" spans="1:11" ht="15">
      <c r="A273" s="223"/>
      <c r="B273" s="659" t="s">
        <v>111</v>
      </c>
      <c r="C273" s="660"/>
      <c r="D273" s="660"/>
      <c r="E273" s="660"/>
      <c r="F273" s="661"/>
      <c r="G273" s="248"/>
      <c r="H273" s="1134"/>
      <c r="I273" s="1133"/>
      <c r="J273" s="1133"/>
      <c r="K273" s="247"/>
    </row>
    <row r="274" spans="1:11" ht="15">
      <c r="A274" s="226"/>
      <c r="B274" s="656" t="s">
        <v>112</v>
      </c>
      <c r="C274" s="657"/>
      <c r="D274" s="657"/>
      <c r="E274" s="657"/>
      <c r="F274" s="658"/>
      <c r="G274" s="232"/>
      <c r="H274" s="1126"/>
      <c r="I274" s="1126"/>
      <c r="J274" s="1126"/>
      <c r="K274" s="229"/>
    </row>
    <row r="275" spans="1:11" ht="15">
      <c r="A275" s="223"/>
      <c r="B275" s="659" t="s">
        <v>898</v>
      </c>
      <c r="C275" s="660"/>
      <c r="D275" s="660"/>
      <c r="E275" s="660"/>
      <c r="F275" s="661"/>
      <c r="G275" s="248"/>
      <c r="H275" s="1134"/>
      <c r="I275" s="1133"/>
      <c r="J275" s="1133"/>
      <c r="K275" s="247"/>
    </row>
    <row r="276" spans="1:11" ht="15">
      <c r="A276" s="226"/>
      <c r="B276" s="656" t="s">
        <v>113</v>
      </c>
      <c r="C276" s="657"/>
      <c r="D276" s="657"/>
      <c r="E276" s="657"/>
      <c r="F276" s="658"/>
      <c r="G276" s="232"/>
      <c r="H276" s="1125" t="s">
        <v>548</v>
      </c>
      <c r="I276" s="1125"/>
      <c r="J276" s="1126"/>
      <c r="K276" s="229"/>
    </row>
    <row r="277" spans="1:11" ht="15">
      <c r="A277" s="223"/>
      <c r="B277" s="659" t="s">
        <v>899</v>
      </c>
      <c r="C277" s="660"/>
      <c r="D277" s="660"/>
      <c r="E277" s="660"/>
      <c r="F277" s="661"/>
      <c r="G277" s="248"/>
      <c r="H277" s="1134"/>
      <c r="I277" s="1133"/>
      <c r="J277" s="1133"/>
      <c r="K277" s="247"/>
    </row>
    <row r="278" spans="1:11" ht="15">
      <c r="A278" s="226"/>
      <c r="B278" s="656" t="s">
        <v>114</v>
      </c>
      <c r="C278" s="657"/>
      <c r="D278" s="657"/>
      <c r="E278" s="657"/>
      <c r="F278" s="658"/>
      <c r="G278" s="232"/>
      <c r="H278" s="1126"/>
      <c r="I278" s="1125"/>
      <c r="J278" s="1126"/>
      <c r="K278" s="229"/>
    </row>
    <row r="279" spans="1:11" ht="15.75" thickBot="1">
      <c r="A279" s="256"/>
      <c r="B279" s="688" t="s">
        <v>900</v>
      </c>
      <c r="C279" s="689"/>
      <c r="D279" s="689"/>
      <c r="E279" s="689"/>
      <c r="F279" s="690"/>
      <c r="G279" s="257"/>
      <c r="H279" s="1353"/>
      <c r="I279" s="1353"/>
      <c r="J279" s="1353"/>
      <c r="K279" s="258"/>
    </row>
    <row r="280" spans="1:11" ht="26.1" customHeight="1">
      <c r="A280" s="259" t="s">
        <v>115</v>
      </c>
      <c r="B280" s="1411" t="s">
        <v>116</v>
      </c>
      <c r="C280" s="1411"/>
      <c r="D280" s="1411"/>
      <c r="E280" s="1411"/>
      <c r="F280" s="1411"/>
      <c r="G280" s="1411"/>
      <c r="H280" s="1411"/>
      <c r="I280" s="1411"/>
      <c r="J280" s="1411"/>
      <c r="K280" s="1411"/>
    </row>
  </sheetData>
  <customSheetViews>
    <customSheetView guid="{29ADDA07-E427-4C12-A26F-16DB0F983414}" scale="80" showPageBreaks="1" view="pageBreakPreview" topLeftCell="A247">
      <selection activeCell="G145" sqref="G145"/>
      <rowBreaks count="4" manualBreakCount="4">
        <brk id="63" max="16383" man="1"/>
        <brk id="125" max="16383" man="1"/>
        <brk id="166" max="16383" man="1"/>
        <brk id="221" max="16383" man="1"/>
      </rowBreaks>
      <pageMargins left="0.78740157480314965" right="0.33" top="0.47" bottom="0.98425196850393704" header="0.25" footer="0.51181102362204722"/>
      <pageSetup paperSize="9" scale="72" orientation="portrait" r:id="rId1"/>
      <headerFooter alignWithMargins="0"/>
    </customSheetView>
  </customSheetViews>
  <mergeCells count="31">
    <mergeCell ref="B101:F101"/>
    <mergeCell ref="B73:F73"/>
    <mergeCell ref="B72:F72"/>
    <mergeCell ref="G2:K2"/>
    <mergeCell ref="B7:F7"/>
    <mergeCell ref="B8:F8"/>
    <mergeCell ref="K16:K17"/>
    <mergeCell ref="B35:F35"/>
    <mergeCell ref="B280:K280"/>
    <mergeCell ref="B250:F250"/>
    <mergeCell ref="B246:F246"/>
    <mergeCell ref="B248:F248"/>
    <mergeCell ref="B45:F45"/>
    <mergeCell ref="B252:F252"/>
    <mergeCell ref="B254:F254"/>
    <mergeCell ref="B260:F260"/>
    <mergeCell ref="B262:F262"/>
    <mergeCell ref="B264:F264"/>
    <mergeCell ref="B153:F153"/>
    <mergeCell ref="B244:F244"/>
    <mergeCell ref="B193:F193"/>
    <mergeCell ref="B203:F203"/>
    <mergeCell ref="B74:J74"/>
    <mergeCell ref="B75:J75"/>
    <mergeCell ref="B268:F268"/>
    <mergeCell ref="B270:F270"/>
    <mergeCell ref="B240:F240"/>
    <mergeCell ref="B242:F242"/>
    <mergeCell ref="B266:F266"/>
    <mergeCell ref="B256:F256"/>
    <mergeCell ref="B258:F258"/>
  </mergeCells>
  <phoneticPr fontId="52"/>
  <pageMargins left="0.78740157480314965" right="0.33" top="0.47" bottom="0.98425196850393704" header="0.25" footer="0.51181102362204722"/>
  <pageSetup paperSize="9" scale="72" orientation="portrait" r:id="rId2"/>
  <headerFooter alignWithMargins="0"/>
  <rowBreaks count="4" manualBreakCount="4">
    <brk id="63" max="16383" man="1"/>
    <brk id="125" max="16383" man="1"/>
    <brk id="166" max="16383" man="1"/>
    <brk id="221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4"/>
  <sheetViews>
    <sheetView view="pageBreakPreview" zoomScale="80" zoomScaleNormal="75" zoomScaleSheetLayoutView="80" workbookViewId="0">
      <selection activeCell="D9" sqref="D9:E9"/>
    </sheetView>
  </sheetViews>
  <sheetFormatPr defaultColWidth="10.28515625" defaultRowHeight="12.75"/>
  <cols>
    <col min="1" max="1" width="3.42578125" style="118" customWidth="1"/>
    <col min="2" max="2" width="7" style="118" customWidth="1"/>
    <col min="3" max="3" width="26.140625" style="118" customWidth="1"/>
    <col min="4" max="4" width="7.85546875" style="1376" customWidth="1"/>
    <col min="5" max="5" width="8.5703125" style="1377" customWidth="1"/>
    <col min="6" max="6" width="14.85546875" style="119" bestFit="1" customWidth="1"/>
    <col min="7" max="7" width="15.7109375" style="118" customWidth="1"/>
    <col min="8" max="8" width="23" style="118" customWidth="1"/>
    <col min="9" max="9" width="6.42578125" style="118" customWidth="1"/>
    <col min="10" max="10" width="21.28515625" style="118" bestFit="1" customWidth="1"/>
    <col min="11" max="11" width="5.5703125" style="118" customWidth="1"/>
    <col min="12" max="12" width="12.7109375" style="118" customWidth="1"/>
    <col min="13" max="14" width="10.28515625" style="118" customWidth="1"/>
    <col min="15" max="15" width="11.28515625" style="118" bestFit="1" customWidth="1"/>
    <col min="16" max="16" width="9.28515625" style="118" bestFit="1" customWidth="1"/>
    <col min="17" max="16384" width="10.28515625" style="118"/>
  </cols>
  <sheetData>
    <row r="1" spans="2:16" ht="14.25" thickTop="1" thickBot="1">
      <c r="L1" s="120" t="s">
        <v>223</v>
      </c>
      <c r="M1" s="121"/>
      <c r="N1" s="121"/>
      <c r="O1" s="36">
        <v>98</v>
      </c>
      <c r="P1" s="122"/>
    </row>
    <row r="2" spans="2:16" s="39" customFormat="1" ht="38.25" customHeight="1" thickBot="1">
      <c r="B2" s="1430" t="s">
        <v>296</v>
      </c>
      <c r="C2" s="1431"/>
      <c r="D2" s="1431"/>
      <c r="E2" s="1432" t="s">
        <v>224</v>
      </c>
      <c r="F2" s="1432"/>
      <c r="G2" s="37" t="s">
        <v>225</v>
      </c>
      <c r="H2" s="38" t="s">
        <v>226</v>
      </c>
      <c r="L2" s="40"/>
      <c r="M2" s="123"/>
      <c r="N2" s="41"/>
      <c r="O2" s="41"/>
      <c r="P2" s="42"/>
    </row>
    <row r="3" spans="2:16" s="39" customFormat="1" ht="58.5" customHeight="1" thickBot="1">
      <c r="B3" s="1430" t="s">
        <v>297</v>
      </c>
      <c r="C3" s="1431"/>
      <c r="D3" s="1431"/>
      <c r="E3" s="1434" t="str">
        <f>Cover!D18</f>
        <v>${projectName}</v>
      </c>
      <c r="F3" s="1435"/>
      <c r="G3" s="1435"/>
      <c r="H3" s="1436"/>
      <c r="J3" s="43" t="s">
        <v>227</v>
      </c>
      <c r="L3" s="40"/>
      <c r="M3" s="123"/>
      <c r="N3" s="44"/>
      <c r="O3" s="45">
        <v>13267</v>
      </c>
      <c r="P3" s="124" t="s">
        <v>323</v>
      </c>
    </row>
    <row r="4" spans="2:16" s="39" customFormat="1" ht="39.75" customHeight="1" thickBot="1">
      <c r="B4" s="1430" t="s">
        <v>298</v>
      </c>
      <c r="C4" s="1431"/>
      <c r="D4" s="1431"/>
      <c r="E4" s="1432" t="s">
        <v>228</v>
      </c>
      <c r="F4" s="1432"/>
      <c r="G4" s="1432"/>
      <c r="H4" s="1433"/>
      <c r="J4" s="46">
        <f>H11+H6+H23</f>
        <v>69409.42857142858</v>
      </c>
      <c r="L4" s="47"/>
      <c r="M4" s="125"/>
      <c r="N4" s="48"/>
      <c r="O4" s="49">
        <v>6</v>
      </c>
      <c r="P4" s="126" t="s">
        <v>229</v>
      </c>
    </row>
    <row r="5" spans="2:16" s="39" customFormat="1" ht="15.75">
      <c r="B5" s="50"/>
      <c r="C5" s="51"/>
      <c r="D5" s="1378"/>
      <c r="E5" s="1379"/>
      <c r="F5" s="52"/>
      <c r="G5" s="53"/>
      <c r="H5" s="691"/>
    </row>
    <row r="6" spans="2:16" s="39" customFormat="1" ht="15.75">
      <c r="B6" s="54">
        <v>400</v>
      </c>
      <c r="C6" s="55" t="s">
        <v>299</v>
      </c>
      <c r="D6" s="1380"/>
      <c r="E6" s="1381"/>
      <c r="F6" s="57"/>
      <c r="G6" s="58" t="s">
        <v>230</v>
      </c>
      <c r="H6" s="692">
        <f>SUM(G7:G10)</f>
        <v>0</v>
      </c>
      <c r="J6" s="59" t="s">
        <v>1042</v>
      </c>
    </row>
    <row r="7" spans="2:16" s="39" customFormat="1" ht="15.75">
      <c r="B7" s="60"/>
      <c r="C7" s="61" t="s">
        <v>231</v>
      </c>
      <c r="D7" s="1382">
        <v>0</v>
      </c>
      <c r="E7" s="1383">
        <f>$O$4</f>
        <v>6</v>
      </c>
      <c r="F7" s="62">
        <f>ROUND(J7*23/$O$1,2)</f>
        <v>6571.43</v>
      </c>
      <c r="G7" s="63">
        <f>E7*F7*D7</f>
        <v>0</v>
      </c>
      <c r="H7" s="693"/>
      <c r="J7" s="64">
        <v>28000</v>
      </c>
      <c r="K7" s="39" t="s">
        <v>232</v>
      </c>
      <c r="L7" s="65"/>
    </row>
    <row r="8" spans="2:16" s="39" customFormat="1" ht="15.75">
      <c r="B8" s="60"/>
      <c r="C8" s="61" t="s">
        <v>233</v>
      </c>
      <c r="D8" s="1382">
        <v>0</v>
      </c>
      <c r="E8" s="1384">
        <f>$O$4</f>
        <v>6</v>
      </c>
      <c r="F8" s="62">
        <f>ROUND(J8*23/$O$1,2)</f>
        <v>7979.59</v>
      </c>
      <c r="G8" s="63">
        <f>E8*F8*D8</f>
        <v>0</v>
      </c>
      <c r="H8" s="693"/>
      <c r="J8" s="64">
        <v>34000</v>
      </c>
      <c r="K8" s="39" t="s">
        <v>232</v>
      </c>
      <c r="L8" s="65"/>
      <c r="M8" s="66"/>
    </row>
    <row r="9" spans="2:16" s="39" customFormat="1" ht="15.75">
      <c r="B9" s="60"/>
      <c r="C9" s="61" t="s">
        <v>234</v>
      </c>
      <c r="D9" s="1382"/>
      <c r="E9" s="1383"/>
      <c r="F9" s="62"/>
      <c r="G9" s="63"/>
      <c r="H9" s="693"/>
      <c r="J9" s="64">
        <v>38000</v>
      </c>
      <c r="K9" s="39" t="s">
        <v>232</v>
      </c>
      <c r="L9" s="65"/>
      <c r="M9" s="66"/>
    </row>
    <row r="10" spans="2:16" s="39" customFormat="1" ht="15.75">
      <c r="B10" s="60"/>
      <c r="C10" s="61"/>
      <c r="D10" s="1382"/>
      <c r="E10" s="1383"/>
      <c r="F10" s="62"/>
      <c r="G10" s="63"/>
      <c r="H10" s="693"/>
    </row>
    <row r="11" spans="2:16" s="39" customFormat="1" ht="15.75">
      <c r="B11" s="67" t="s">
        <v>300</v>
      </c>
      <c r="C11" s="55" t="s">
        <v>235</v>
      </c>
      <c r="D11" s="1380"/>
      <c r="E11" s="1381"/>
      <c r="F11" s="57"/>
      <c r="G11" s="58" t="s">
        <v>230</v>
      </c>
      <c r="H11" s="692">
        <f>SUM(G13:G21)</f>
        <v>30600</v>
      </c>
    </row>
    <row r="12" spans="2:16" s="70" customFormat="1" ht="15.75">
      <c r="B12" s="56"/>
      <c r="C12" s="56"/>
      <c r="D12" s="1380" t="s">
        <v>236</v>
      </c>
      <c r="E12" s="1381" t="s">
        <v>237</v>
      </c>
      <c r="F12" s="68" t="s">
        <v>238</v>
      </c>
      <c r="G12" s="69" t="s">
        <v>239</v>
      </c>
      <c r="H12" s="694"/>
    </row>
    <row r="13" spans="2:16" s="39" customFormat="1" ht="15.75">
      <c r="B13" s="60" t="s">
        <v>240</v>
      </c>
      <c r="C13" s="61" t="s">
        <v>426</v>
      </c>
      <c r="D13" s="1382"/>
      <c r="E13" s="1383"/>
      <c r="F13" s="62">
        <f>ROUND(3000*30/$O$1,2)</f>
        <v>918.37</v>
      </c>
      <c r="G13" s="63">
        <f t="shared" ref="G13:G18" si="0">E13*F13*D13</f>
        <v>0</v>
      </c>
      <c r="H13" s="693"/>
      <c r="J13" s="64">
        <v>3000</v>
      </c>
      <c r="K13" s="39" t="s">
        <v>232</v>
      </c>
      <c r="L13" s="65"/>
    </row>
    <row r="14" spans="2:16" s="39" customFormat="1" ht="15.75">
      <c r="B14" s="60" t="s">
        <v>241</v>
      </c>
      <c r="C14" s="61" t="s">
        <v>242</v>
      </c>
      <c r="D14" s="1382"/>
      <c r="E14" s="1383"/>
      <c r="F14" s="62">
        <v>4000</v>
      </c>
      <c r="G14" s="63">
        <f t="shared" si="0"/>
        <v>0</v>
      </c>
      <c r="H14" s="693"/>
    </row>
    <row r="15" spans="2:16" s="39" customFormat="1" ht="15.75">
      <c r="B15" s="60" t="s">
        <v>243</v>
      </c>
      <c r="C15" s="61" t="s">
        <v>244</v>
      </c>
      <c r="D15" s="1382">
        <v>1</v>
      </c>
      <c r="E15" s="1385">
        <f t="shared" ref="E15:E18" si="1">$O$4</f>
        <v>6</v>
      </c>
      <c r="F15" s="71">
        <v>1700</v>
      </c>
      <c r="G15" s="63">
        <f t="shared" si="0"/>
        <v>10200</v>
      </c>
      <c r="H15" s="693" t="s">
        <v>1327</v>
      </c>
      <c r="I15" s="1266"/>
      <c r="K15" s="39">
        <v>1</v>
      </c>
      <c r="M15" s="39">
        <v>1</v>
      </c>
      <c r="N15" s="39">
        <f>K15-M15</f>
        <v>0</v>
      </c>
    </row>
    <row r="16" spans="2:16" s="39" customFormat="1" ht="15.75">
      <c r="B16" s="60" t="s">
        <v>245</v>
      </c>
      <c r="C16" s="61" t="s">
        <v>246</v>
      </c>
      <c r="D16" s="1386">
        <v>1</v>
      </c>
      <c r="E16" s="1385">
        <f t="shared" si="1"/>
        <v>6</v>
      </c>
      <c r="F16" s="62">
        <v>1200</v>
      </c>
      <c r="G16" s="63">
        <f t="shared" si="0"/>
        <v>7200</v>
      </c>
      <c r="H16" s="693" t="s">
        <v>1328</v>
      </c>
      <c r="I16" s="1266"/>
      <c r="K16" s="39">
        <v>2</v>
      </c>
      <c r="M16" s="39">
        <v>1</v>
      </c>
      <c r="N16" s="39">
        <f t="shared" ref="N16:N21" si="2">K16-M16</f>
        <v>1</v>
      </c>
    </row>
    <row r="17" spans="2:14" s="39" customFormat="1" ht="15.75">
      <c r="B17" s="60" t="s">
        <v>247</v>
      </c>
      <c r="C17" s="61" t="s">
        <v>248</v>
      </c>
      <c r="D17" s="1386">
        <v>1</v>
      </c>
      <c r="E17" s="1385">
        <f t="shared" si="1"/>
        <v>6</v>
      </c>
      <c r="F17" s="62">
        <v>900</v>
      </c>
      <c r="G17" s="63">
        <f t="shared" si="0"/>
        <v>5400</v>
      </c>
      <c r="H17" s="693" t="s">
        <v>1329</v>
      </c>
      <c r="I17" s="1266"/>
      <c r="K17" s="39">
        <v>2</v>
      </c>
      <c r="M17" s="39">
        <v>1</v>
      </c>
      <c r="N17" s="39">
        <f t="shared" si="2"/>
        <v>1</v>
      </c>
    </row>
    <row r="18" spans="2:14" s="39" customFormat="1" ht="15.75">
      <c r="B18" s="60" t="s">
        <v>249</v>
      </c>
      <c r="C18" s="61" t="s">
        <v>250</v>
      </c>
      <c r="D18" s="1386">
        <v>1</v>
      </c>
      <c r="E18" s="1385">
        <f t="shared" si="1"/>
        <v>6</v>
      </c>
      <c r="F18" s="62">
        <v>800</v>
      </c>
      <c r="G18" s="63">
        <f t="shared" si="0"/>
        <v>4800</v>
      </c>
      <c r="H18" s="693" t="s">
        <v>1330</v>
      </c>
      <c r="I18" s="1266"/>
      <c r="K18" s="39">
        <v>2</v>
      </c>
      <c r="M18" s="39">
        <v>1</v>
      </c>
      <c r="N18" s="39">
        <f t="shared" si="2"/>
        <v>1</v>
      </c>
    </row>
    <row r="19" spans="2:14" s="39" customFormat="1" ht="15.75">
      <c r="B19" s="60" t="s">
        <v>251</v>
      </c>
      <c r="C19" s="61" t="s">
        <v>252</v>
      </c>
      <c r="D19" s="1382"/>
      <c r="E19" s="1383"/>
      <c r="F19" s="62"/>
      <c r="G19" s="63"/>
      <c r="H19" s="693"/>
      <c r="I19" s="1266"/>
      <c r="N19" s="39">
        <f t="shared" si="2"/>
        <v>0</v>
      </c>
    </row>
    <row r="20" spans="2:14" s="39" customFormat="1" ht="15.75">
      <c r="B20" s="60" t="s">
        <v>253</v>
      </c>
      <c r="C20" s="61" t="s">
        <v>254</v>
      </c>
      <c r="D20" s="1382"/>
      <c r="E20" s="1383"/>
      <c r="F20" s="62">
        <v>600</v>
      </c>
      <c r="G20" s="63">
        <f>E20*F20*D20</f>
        <v>0</v>
      </c>
      <c r="H20" s="693"/>
      <c r="I20" s="1266"/>
      <c r="J20" s="39" t="s">
        <v>255</v>
      </c>
      <c r="K20" s="39">
        <v>2</v>
      </c>
      <c r="M20" s="39">
        <v>1</v>
      </c>
      <c r="N20" s="39">
        <f t="shared" si="2"/>
        <v>1</v>
      </c>
    </row>
    <row r="21" spans="2:14" s="39" customFormat="1" ht="15.75">
      <c r="B21" s="60" t="s">
        <v>256</v>
      </c>
      <c r="C21" s="61" t="s">
        <v>257</v>
      </c>
      <c r="D21" s="1382">
        <v>1</v>
      </c>
      <c r="E21" s="1385">
        <f>$O$4</f>
        <v>6</v>
      </c>
      <c r="F21" s="62">
        <v>500</v>
      </c>
      <c r="G21" s="63">
        <f>E21*F21*D21</f>
        <v>3000</v>
      </c>
      <c r="H21" s="693"/>
      <c r="I21" s="1266"/>
      <c r="K21" s="39">
        <v>1</v>
      </c>
      <c r="M21" s="39">
        <v>1</v>
      </c>
      <c r="N21" s="39">
        <f t="shared" si="2"/>
        <v>0</v>
      </c>
    </row>
    <row r="22" spans="2:14" s="39" customFormat="1" ht="15.75">
      <c r="B22" s="60"/>
      <c r="C22" s="61"/>
      <c r="D22" s="1382"/>
      <c r="E22" s="1383"/>
      <c r="F22" s="62"/>
      <c r="G22" s="63"/>
      <c r="H22" s="693"/>
    </row>
    <row r="23" spans="2:14" s="39" customFormat="1" ht="15.75">
      <c r="B23" s="67" t="s">
        <v>301</v>
      </c>
      <c r="C23" s="55" t="s">
        <v>258</v>
      </c>
      <c r="D23" s="1380"/>
      <c r="E23" s="1381"/>
      <c r="F23" s="57"/>
      <c r="G23" s="58" t="s">
        <v>230</v>
      </c>
      <c r="H23" s="695">
        <f>SUM(G24:G41)</f>
        <v>38809.428571428572</v>
      </c>
    </row>
    <row r="24" spans="2:14" s="39" customFormat="1" ht="15.75">
      <c r="B24" s="56"/>
      <c r="C24" s="72"/>
      <c r="D24" s="1380"/>
      <c r="E24" s="1387" t="s">
        <v>259</v>
      </c>
      <c r="F24" s="73" t="s">
        <v>260</v>
      </c>
      <c r="G24" s="67"/>
      <c r="H24" s="696"/>
    </row>
    <row r="25" spans="2:14" s="39" customFormat="1" ht="15.75">
      <c r="B25" s="56" t="s">
        <v>240</v>
      </c>
      <c r="C25" s="61" t="s">
        <v>261</v>
      </c>
      <c r="D25" s="1382"/>
      <c r="E25" s="1385"/>
      <c r="F25" s="62">
        <v>500</v>
      </c>
      <c r="G25" s="63">
        <f>F25*E25</f>
        <v>0</v>
      </c>
      <c r="H25" s="697" t="s">
        <v>427</v>
      </c>
      <c r="J25" s="39" t="s">
        <v>171</v>
      </c>
    </row>
    <row r="26" spans="2:14" s="39" customFormat="1" ht="15.75">
      <c r="B26" s="56" t="s">
        <v>240</v>
      </c>
      <c r="C26" s="61" t="s">
        <v>262</v>
      </c>
      <c r="D26" s="1386">
        <v>1</v>
      </c>
      <c r="E26" s="1385">
        <f>$O$4</f>
        <v>6</v>
      </c>
      <c r="F26" s="62">
        <v>200</v>
      </c>
      <c r="G26" s="63">
        <f>E26*F26*D26</f>
        <v>1200</v>
      </c>
      <c r="H26" s="697"/>
    </row>
    <row r="27" spans="2:14" s="39" customFormat="1" ht="15.75">
      <c r="B27" s="56" t="s">
        <v>241</v>
      </c>
      <c r="C27" s="61" t="s">
        <v>263</v>
      </c>
      <c r="D27" s="1382">
        <v>1</v>
      </c>
      <c r="E27" s="1385">
        <f>$O$4</f>
        <v>6</v>
      </c>
      <c r="F27" s="62">
        <v>500</v>
      </c>
      <c r="G27" s="63">
        <f>E27*F27</f>
        <v>3000</v>
      </c>
      <c r="H27" s="698"/>
    </row>
    <row r="28" spans="2:14" s="39" customFormat="1" ht="15.75">
      <c r="B28" s="56" t="s">
        <v>243</v>
      </c>
      <c r="C28" s="61" t="s">
        <v>264</v>
      </c>
      <c r="D28" s="1382"/>
      <c r="E28" s="1385">
        <f>$O$4</f>
        <v>6</v>
      </c>
      <c r="F28" s="62">
        <v>300</v>
      </c>
      <c r="G28" s="63">
        <f>E28*F28</f>
        <v>1800</v>
      </c>
      <c r="H28" s="694"/>
    </row>
    <row r="29" spans="2:14" s="39" customFormat="1" ht="15.75">
      <c r="B29" s="56" t="s">
        <v>245</v>
      </c>
      <c r="C29" s="61" t="s">
        <v>265</v>
      </c>
      <c r="D29" s="1382"/>
      <c r="E29" s="1383"/>
      <c r="F29" s="62"/>
      <c r="G29" s="63"/>
      <c r="H29" s="699" t="s">
        <v>266</v>
      </c>
    </row>
    <row r="30" spans="2:14" s="39" customFormat="1" ht="15.75">
      <c r="B30" s="56" t="s">
        <v>247</v>
      </c>
      <c r="C30" s="61" t="s">
        <v>267</v>
      </c>
      <c r="D30" s="1382"/>
      <c r="E30" s="1385">
        <f>$O$4</f>
        <v>6</v>
      </c>
      <c r="F30" s="62">
        <v>1800</v>
      </c>
      <c r="G30" s="63">
        <f>E30*F30</f>
        <v>10800</v>
      </c>
      <c r="H30" s="699" t="s">
        <v>268</v>
      </c>
      <c r="J30" s="39" t="s">
        <v>269</v>
      </c>
    </row>
    <row r="31" spans="2:14" s="39" customFormat="1" ht="15.75">
      <c r="B31" s="56" t="s">
        <v>249</v>
      </c>
      <c r="C31" s="61" t="s">
        <v>270</v>
      </c>
      <c r="D31" s="1382"/>
      <c r="E31" s="1385">
        <f>$O$4</f>
        <v>6</v>
      </c>
      <c r="F31" s="62">
        <v>300</v>
      </c>
      <c r="G31" s="63">
        <f>E31*F31</f>
        <v>1800</v>
      </c>
      <c r="H31" s="694"/>
    </row>
    <row r="32" spans="2:14" s="39" customFormat="1" ht="15.75">
      <c r="B32" s="56" t="s">
        <v>253</v>
      </c>
      <c r="C32" s="61" t="s">
        <v>271</v>
      </c>
      <c r="D32" s="1382"/>
      <c r="E32" s="1383"/>
      <c r="F32" s="62"/>
      <c r="G32" s="63">
        <v>1200</v>
      </c>
      <c r="H32" s="694"/>
    </row>
    <row r="33" spans="2:12" s="39" customFormat="1" ht="15.75">
      <c r="B33" s="56" t="s">
        <v>256</v>
      </c>
      <c r="C33" s="61" t="s">
        <v>272</v>
      </c>
      <c r="D33" s="1382"/>
      <c r="E33" s="1383"/>
      <c r="F33" s="62"/>
      <c r="G33" s="63">
        <f>SUM(G47:G54)</f>
        <v>7020</v>
      </c>
      <c r="H33" s="694"/>
    </row>
    <row r="34" spans="2:12" s="39" customFormat="1" ht="15.75">
      <c r="B34" s="56"/>
      <c r="C34" s="74" t="s">
        <v>273</v>
      </c>
      <c r="D34" s="1382"/>
      <c r="E34" s="1383"/>
      <c r="F34" s="62"/>
      <c r="G34" s="63"/>
      <c r="H34" s="694" t="s">
        <v>312</v>
      </c>
    </row>
    <row r="35" spans="2:12" s="39" customFormat="1" ht="15.75">
      <c r="B35" s="56"/>
      <c r="C35" s="74" t="s">
        <v>274</v>
      </c>
      <c r="D35" s="1382"/>
      <c r="E35" s="1383"/>
      <c r="F35" s="62"/>
      <c r="G35" s="63"/>
      <c r="H35" s="694" t="s">
        <v>312</v>
      </c>
    </row>
    <row r="36" spans="2:12" s="39" customFormat="1" ht="15.75">
      <c r="B36" s="56"/>
      <c r="C36" s="74" t="s">
        <v>275</v>
      </c>
      <c r="D36" s="1382"/>
      <c r="E36" s="1383"/>
      <c r="F36" s="62"/>
      <c r="G36" s="63"/>
      <c r="H36" s="694" t="s">
        <v>312</v>
      </c>
    </row>
    <row r="37" spans="2:12" s="39" customFormat="1" ht="15.75">
      <c r="B37" s="56"/>
      <c r="C37" s="74" t="s">
        <v>276</v>
      </c>
      <c r="D37" s="1382"/>
      <c r="E37" s="1383"/>
      <c r="F37" s="62"/>
      <c r="G37" s="63"/>
      <c r="H37" s="694" t="s">
        <v>312</v>
      </c>
    </row>
    <row r="38" spans="2:12" s="39" customFormat="1" ht="15.75">
      <c r="B38" s="56"/>
      <c r="C38" s="74" t="s">
        <v>277</v>
      </c>
      <c r="D38" s="1382"/>
      <c r="E38" s="1383"/>
      <c r="F38" s="62"/>
      <c r="G38" s="63"/>
      <c r="H38" s="694" t="s">
        <v>312</v>
      </c>
    </row>
    <row r="39" spans="2:12" s="39" customFormat="1" ht="15.75">
      <c r="B39" s="56"/>
      <c r="C39" s="75" t="s">
        <v>278</v>
      </c>
      <c r="D39" s="1382"/>
      <c r="E39" s="1383"/>
      <c r="F39" s="62"/>
      <c r="G39" s="63">
        <f>SUM(G57:G67)</f>
        <v>3771.4285714285711</v>
      </c>
      <c r="H39" s="693"/>
    </row>
    <row r="40" spans="2:12" s="39" customFormat="1" ht="16.5" thickBot="1">
      <c r="B40" s="56"/>
      <c r="C40" s="76" t="s">
        <v>279</v>
      </c>
      <c r="D40" s="1382"/>
      <c r="E40" s="1383"/>
      <c r="F40" s="62"/>
      <c r="G40" s="63">
        <f>SUM(G69:G84)</f>
        <v>8218</v>
      </c>
      <c r="H40" s="693"/>
      <c r="J40" s="70" t="s">
        <v>280</v>
      </c>
      <c r="L40" s="39" t="s">
        <v>281</v>
      </c>
    </row>
    <row r="41" spans="2:12" s="39" customFormat="1" ht="18.75" thickBot="1">
      <c r="B41" s="77"/>
      <c r="C41" s="78" t="s">
        <v>527</v>
      </c>
      <c r="D41" s="1388"/>
      <c r="E41" s="1389"/>
      <c r="F41" s="79"/>
      <c r="G41" s="80"/>
      <c r="H41" s="700"/>
      <c r="J41" s="81">
        <f>'Summary-E'!J52</f>
        <v>818806.94</v>
      </c>
      <c r="L41" s="82">
        <f>'Summary-E'!K52</f>
        <v>153395.85</v>
      </c>
    </row>
    <row r="42" spans="2:12">
      <c r="H42" s="701"/>
    </row>
    <row r="43" spans="2:12" ht="16.5" customHeight="1">
      <c r="B43" s="127"/>
      <c r="C43" s="127" t="s">
        <v>271</v>
      </c>
      <c r="D43" s="1390"/>
      <c r="E43" s="1391"/>
      <c r="F43" s="128"/>
      <c r="G43" s="127"/>
      <c r="H43" s="702"/>
    </row>
    <row r="44" spans="2:12" ht="15.75">
      <c r="B44" s="129"/>
      <c r="C44" s="130" t="s">
        <v>282</v>
      </c>
      <c r="D44" s="1392"/>
      <c r="E44" s="1393"/>
      <c r="F44" s="131">
        <v>900</v>
      </c>
      <c r="G44" s="83">
        <f>E44*F44*D44</f>
        <v>0</v>
      </c>
      <c r="H44" s="703" t="s">
        <v>283</v>
      </c>
    </row>
    <row r="45" spans="2:12" ht="15.75">
      <c r="B45" s="129"/>
      <c r="C45" s="129" t="s">
        <v>284</v>
      </c>
      <c r="D45" s="1392"/>
      <c r="E45" s="1393"/>
      <c r="F45" s="132"/>
      <c r="G45" s="63"/>
      <c r="H45" s="703"/>
    </row>
    <row r="46" spans="2:12">
      <c r="B46" s="129"/>
      <c r="C46" s="129" t="s">
        <v>285</v>
      </c>
      <c r="D46" s="1392"/>
      <c r="E46" s="1393"/>
      <c r="F46" s="132"/>
      <c r="G46" s="129"/>
      <c r="H46" s="703"/>
    </row>
    <row r="47" spans="2:12" ht="15.75">
      <c r="B47" s="129"/>
      <c r="C47" s="133" t="s">
        <v>286</v>
      </c>
      <c r="D47" s="1392"/>
      <c r="E47" s="1393">
        <v>1</v>
      </c>
      <c r="F47" s="132">
        <v>1000</v>
      </c>
      <c r="G47" s="84">
        <f t="shared" ref="G47:G53" si="3">E47*F47</f>
        <v>1000</v>
      </c>
      <c r="H47" s="134" t="s">
        <v>287</v>
      </c>
    </row>
    <row r="48" spans="2:12" ht="15.75">
      <c r="B48" s="129"/>
      <c r="C48" s="133" t="s">
        <v>288</v>
      </c>
      <c r="D48" s="1392"/>
      <c r="E48" s="1393">
        <f>E13*D13+D14*E14+E15*D15+D16*E16+E17*D17+D18*E18+E19*D19+D20*E20+E21*D21</f>
        <v>30</v>
      </c>
      <c r="F48" s="210">
        <v>30</v>
      </c>
      <c r="G48" s="84">
        <f t="shared" si="3"/>
        <v>900</v>
      </c>
      <c r="H48" s="134"/>
    </row>
    <row r="49" spans="2:12" ht="15.75">
      <c r="B49" s="129"/>
      <c r="C49" s="133" t="s">
        <v>289</v>
      </c>
      <c r="D49" s="1392"/>
      <c r="E49" s="1393"/>
      <c r="F49" s="132"/>
      <c r="G49" s="84"/>
      <c r="H49" s="703"/>
    </row>
    <row r="50" spans="2:12" ht="15.75">
      <c r="B50" s="129"/>
      <c r="C50" s="133" t="s">
        <v>290</v>
      </c>
      <c r="D50" s="1392"/>
      <c r="E50" s="1385">
        <f t="shared" ref="E50:E52" si="4">$O$4</f>
        <v>6</v>
      </c>
      <c r="F50" s="132">
        <v>120</v>
      </c>
      <c r="G50" s="84">
        <f t="shared" si="3"/>
        <v>720</v>
      </c>
      <c r="H50" s="134"/>
    </row>
    <row r="51" spans="2:12" ht="15.75">
      <c r="B51" s="129"/>
      <c r="C51" s="133" t="s">
        <v>291</v>
      </c>
      <c r="D51" s="1392"/>
      <c r="E51" s="1385">
        <f t="shared" si="4"/>
        <v>6</v>
      </c>
      <c r="F51" s="132">
        <v>200</v>
      </c>
      <c r="G51" s="84">
        <f t="shared" si="3"/>
        <v>1200</v>
      </c>
      <c r="H51" s="134"/>
      <c r="J51" s="135"/>
    </row>
    <row r="52" spans="2:12" ht="15.75">
      <c r="B52" s="129"/>
      <c r="C52" s="133" t="s">
        <v>292</v>
      </c>
      <c r="D52" s="1392"/>
      <c r="E52" s="1385">
        <f t="shared" si="4"/>
        <v>6</v>
      </c>
      <c r="F52" s="132">
        <v>100</v>
      </c>
      <c r="G52" s="84">
        <f t="shared" si="3"/>
        <v>600</v>
      </c>
      <c r="H52" s="134"/>
      <c r="J52" s="135"/>
    </row>
    <row r="53" spans="2:12" ht="16.5" thickBot="1">
      <c r="B53" s="129"/>
      <c r="C53" s="133"/>
      <c r="D53" s="1392"/>
      <c r="E53" s="1393"/>
      <c r="F53" s="132">
        <v>0</v>
      </c>
      <c r="G53" s="84">
        <f t="shared" si="3"/>
        <v>0</v>
      </c>
      <c r="H53" s="134"/>
      <c r="J53" s="135"/>
    </row>
    <row r="54" spans="2:12" ht="16.5" thickBot="1">
      <c r="B54" s="129"/>
      <c r="C54" s="133" t="s">
        <v>293</v>
      </c>
      <c r="D54" s="1392"/>
      <c r="E54" s="1393">
        <v>1</v>
      </c>
      <c r="F54" s="132">
        <v>0</v>
      </c>
      <c r="G54" s="84">
        <v>2600</v>
      </c>
      <c r="H54" s="134" t="s">
        <v>294</v>
      </c>
      <c r="J54" s="81">
        <f>SUM(J41,L41)</f>
        <v>972202.78999999992</v>
      </c>
    </row>
    <row r="55" spans="2:12">
      <c r="B55" s="129"/>
      <c r="C55" s="133"/>
      <c r="D55" s="1392"/>
      <c r="E55" s="1393"/>
      <c r="F55" s="132"/>
      <c r="G55" s="129"/>
      <c r="H55" s="703"/>
    </row>
    <row r="56" spans="2:12" ht="15.75">
      <c r="B56" s="129"/>
      <c r="C56" s="85" t="s">
        <v>302</v>
      </c>
      <c r="D56" s="1392"/>
      <c r="E56" s="1394"/>
      <c r="F56" s="132"/>
      <c r="G56" s="129"/>
      <c r="H56" s="703"/>
    </row>
    <row r="57" spans="2:12">
      <c r="B57" s="129"/>
      <c r="C57" s="129" t="s">
        <v>303</v>
      </c>
      <c r="D57" s="1395">
        <f t="shared" ref="D57:E59" si="5">D13</f>
        <v>0</v>
      </c>
      <c r="E57" s="1395">
        <f t="shared" si="5"/>
        <v>0</v>
      </c>
      <c r="F57" s="132">
        <v>900</v>
      </c>
      <c r="G57" s="86">
        <f t="shared" ref="G57:G67" si="6">E57*F57*D57</f>
        <v>0</v>
      </c>
      <c r="H57" s="703"/>
    </row>
    <row r="58" spans="2:12">
      <c r="B58" s="129"/>
      <c r="C58" s="129" t="s">
        <v>304</v>
      </c>
      <c r="D58" s="1395">
        <f t="shared" si="5"/>
        <v>0</v>
      </c>
      <c r="E58" s="1395">
        <f t="shared" si="5"/>
        <v>0</v>
      </c>
      <c r="F58" s="132">
        <v>550</v>
      </c>
      <c r="G58" s="86">
        <f t="shared" si="6"/>
        <v>0</v>
      </c>
      <c r="H58" s="703"/>
      <c r="J58" s="136"/>
      <c r="K58" s="137"/>
      <c r="L58" s="138" t="s">
        <v>305</v>
      </c>
    </row>
    <row r="59" spans="2:12">
      <c r="B59" s="129"/>
      <c r="C59" s="129" t="s">
        <v>306</v>
      </c>
      <c r="D59" s="1395">
        <f t="shared" si="5"/>
        <v>1</v>
      </c>
      <c r="E59" s="1395">
        <f t="shared" si="5"/>
        <v>6</v>
      </c>
      <c r="F59" s="132">
        <v>171.42857142857142</v>
      </c>
      <c r="G59" s="86">
        <f t="shared" si="6"/>
        <v>1028.5714285714284</v>
      </c>
      <c r="H59" s="703"/>
      <c r="J59" s="139">
        <v>1700</v>
      </c>
      <c r="K59" s="140" t="s">
        <v>307</v>
      </c>
      <c r="L59" s="141">
        <f>$L$60*J59/$J$60</f>
        <v>3541666.6666666665</v>
      </c>
    </row>
    <row r="60" spans="2:12">
      <c r="B60" s="129"/>
      <c r="C60" s="129" t="s">
        <v>306</v>
      </c>
      <c r="D60" s="1395">
        <f>D16</f>
        <v>1</v>
      </c>
      <c r="E60" s="1395">
        <f>E16</f>
        <v>6</v>
      </c>
      <c r="F60" s="132">
        <v>142.85714285714286</v>
      </c>
      <c r="G60" s="86">
        <f t="shared" si="6"/>
        <v>857.14285714285711</v>
      </c>
      <c r="H60" s="703"/>
      <c r="J60" s="139">
        <v>1200</v>
      </c>
      <c r="K60" s="140" t="s">
        <v>307</v>
      </c>
      <c r="L60" s="87">
        <v>2500000</v>
      </c>
    </row>
    <row r="61" spans="2:12">
      <c r="B61" s="129"/>
      <c r="C61" s="129" t="s">
        <v>306</v>
      </c>
      <c r="D61" s="1395">
        <f>D17</f>
        <v>1</v>
      </c>
      <c r="E61" s="1395">
        <f>E17</f>
        <v>6</v>
      </c>
      <c r="F61" s="132">
        <v>128.57142857142858</v>
      </c>
      <c r="G61" s="86">
        <f t="shared" si="6"/>
        <v>771.42857142857156</v>
      </c>
      <c r="H61" s="703"/>
      <c r="J61" s="139">
        <v>900</v>
      </c>
      <c r="K61" s="140" t="s">
        <v>307</v>
      </c>
      <c r="L61" s="141">
        <f t="shared" ref="L61:L67" si="7">$L$60*J61/$J$60</f>
        <v>1875000</v>
      </c>
    </row>
    <row r="62" spans="2:12">
      <c r="B62" s="129"/>
      <c r="C62" s="129" t="s">
        <v>306</v>
      </c>
      <c r="D62" s="1395">
        <f>D16</f>
        <v>1</v>
      </c>
      <c r="E62" s="1395">
        <f>E16</f>
        <v>6</v>
      </c>
      <c r="F62" s="132">
        <v>114.28571428571429</v>
      </c>
      <c r="G62" s="86">
        <f t="shared" si="6"/>
        <v>685.71428571428578</v>
      </c>
      <c r="H62" s="703"/>
      <c r="J62" s="139">
        <v>800</v>
      </c>
      <c r="K62" s="140" t="s">
        <v>307</v>
      </c>
      <c r="L62" s="141">
        <f t="shared" si="7"/>
        <v>1666666.6666666667</v>
      </c>
    </row>
    <row r="63" spans="2:12">
      <c r="B63" s="129"/>
      <c r="C63" s="129" t="s">
        <v>306</v>
      </c>
      <c r="D63" s="1395"/>
      <c r="E63" s="1395"/>
      <c r="F63" s="132">
        <v>100</v>
      </c>
      <c r="G63" s="86">
        <f t="shared" si="6"/>
        <v>0</v>
      </c>
      <c r="H63" s="703"/>
      <c r="J63" s="139">
        <v>700</v>
      </c>
      <c r="K63" s="140" t="s">
        <v>307</v>
      </c>
      <c r="L63" s="141">
        <f t="shared" si="7"/>
        <v>1458333.3333333333</v>
      </c>
    </row>
    <row r="64" spans="2:12">
      <c r="B64" s="129"/>
      <c r="C64" s="129" t="s">
        <v>306</v>
      </c>
      <c r="D64" s="1395"/>
      <c r="E64" s="1395"/>
      <c r="F64" s="132">
        <v>85.714285714285708</v>
      </c>
      <c r="G64" s="86">
        <f t="shared" si="6"/>
        <v>0</v>
      </c>
      <c r="H64" s="703"/>
      <c r="J64" s="139">
        <v>600</v>
      </c>
      <c r="K64" s="140" t="s">
        <v>307</v>
      </c>
      <c r="L64" s="141">
        <f t="shared" si="7"/>
        <v>1250000</v>
      </c>
    </row>
    <row r="65" spans="2:12">
      <c r="B65" s="129"/>
      <c r="C65" s="129" t="s">
        <v>306</v>
      </c>
      <c r="D65" s="1395">
        <f>D21</f>
        <v>1</v>
      </c>
      <c r="E65" s="1395">
        <f>E21</f>
        <v>6</v>
      </c>
      <c r="F65" s="132">
        <v>71.428571428571431</v>
      </c>
      <c r="G65" s="86">
        <f t="shared" si="6"/>
        <v>428.57142857142856</v>
      </c>
      <c r="H65" s="703"/>
      <c r="J65" s="139">
        <v>500</v>
      </c>
      <c r="K65" s="140" t="s">
        <v>307</v>
      </c>
      <c r="L65" s="141">
        <f t="shared" si="7"/>
        <v>1041666.6666666666</v>
      </c>
    </row>
    <row r="66" spans="2:12">
      <c r="B66" s="129"/>
      <c r="C66" s="129" t="s">
        <v>306</v>
      </c>
      <c r="D66" s="1395"/>
      <c r="E66" s="1395"/>
      <c r="F66" s="132">
        <v>57.142857142857146</v>
      </c>
      <c r="G66" s="86">
        <f t="shared" si="6"/>
        <v>0</v>
      </c>
      <c r="H66" s="703"/>
      <c r="J66" s="139">
        <v>400</v>
      </c>
      <c r="K66" s="140" t="s">
        <v>307</v>
      </c>
      <c r="L66" s="141">
        <f t="shared" si="7"/>
        <v>833333.33333333337</v>
      </c>
    </row>
    <row r="67" spans="2:12" ht="15" customHeight="1">
      <c r="B67" s="129"/>
      <c r="C67" s="129" t="s">
        <v>306</v>
      </c>
      <c r="D67" s="1395"/>
      <c r="E67" s="1395"/>
      <c r="F67" s="132">
        <v>42.857142857142854</v>
      </c>
      <c r="G67" s="86">
        <f t="shared" si="6"/>
        <v>0</v>
      </c>
      <c r="H67" s="703"/>
      <c r="J67" s="139">
        <v>300</v>
      </c>
      <c r="K67" s="140" t="s">
        <v>307</v>
      </c>
      <c r="L67" s="141">
        <f t="shared" si="7"/>
        <v>625000</v>
      </c>
    </row>
    <row r="68" spans="2:12" ht="15" customHeight="1">
      <c r="B68" s="129"/>
      <c r="C68" s="129"/>
      <c r="D68" s="1395"/>
      <c r="E68" s="1395"/>
      <c r="F68" s="132"/>
      <c r="G68" s="86"/>
      <c r="H68" s="703"/>
      <c r="J68" s="142"/>
      <c r="K68" s="143"/>
      <c r="L68" s="144"/>
    </row>
    <row r="69" spans="2:12" ht="15" customHeight="1">
      <c r="B69" s="129"/>
      <c r="C69" s="88" t="s">
        <v>308</v>
      </c>
      <c r="D69" s="1392"/>
      <c r="E69" s="1392"/>
      <c r="F69" s="132"/>
      <c r="G69" s="129"/>
      <c r="H69" s="703"/>
      <c r="J69" s="145"/>
      <c r="K69" s="143"/>
      <c r="L69" s="144"/>
    </row>
    <row r="70" spans="2:12" ht="15" customHeight="1">
      <c r="B70" s="129"/>
      <c r="C70" s="129" t="s">
        <v>303</v>
      </c>
      <c r="D70" s="1396">
        <f t="shared" ref="D70:E80" si="8">D57</f>
        <v>0</v>
      </c>
      <c r="E70" s="1396">
        <f t="shared" si="8"/>
        <v>0</v>
      </c>
      <c r="F70" s="132"/>
      <c r="G70" s="86">
        <f t="shared" ref="G70:G80" si="9">E70*F70*D70</f>
        <v>0</v>
      </c>
      <c r="H70" s="703"/>
      <c r="J70" s="145"/>
      <c r="K70" s="143"/>
      <c r="L70" s="144"/>
    </row>
    <row r="71" spans="2:12" ht="15" customHeight="1">
      <c r="B71" s="129"/>
      <c r="C71" s="129" t="s">
        <v>304</v>
      </c>
      <c r="D71" s="1396">
        <f t="shared" si="8"/>
        <v>0</v>
      </c>
      <c r="E71" s="1396">
        <f t="shared" si="8"/>
        <v>0</v>
      </c>
      <c r="F71" s="132">
        <v>600</v>
      </c>
      <c r="G71" s="86">
        <f t="shared" si="9"/>
        <v>0</v>
      </c>
      <c r="H71" s="703"/>
      <c r="J71" s="145"/>
      <c r="K71" s="143"/>
      <c r="L71" s="146" t="s">
        <v>309</v>
      </c>
    </row>
    <row r="72" spans="2:12" ht="15" customHeight="1">
      <c r="B72" s="129"/>
      <c r="C72" s="129" t="s">
        <v>306</v>
      </c>
      <c r="D72" s="1396">
        <f t="shared" si="8"/>
        <v>1</v>
      </c>
      <c r="E72" s="1396">
        <f t="shared" si="8"/>
        <v>6</v>
      </c>
      <c r="F72" s="132">
        <f t="shared" ref="F72:F80" si="10">J72*25%</f>
        <v>425</v>
      </c>
      <c r="G72" s="86">
        <f t="shared" si="9"/>
        <v>2550</v>
      </c>
      <c r="H72" s="703"/>
      <c r="J72" s="139">
        <f t="shared" ref="J72:J80" si="11">J59</f>
        <v>1700</v>
      </c>
      <c r="K72" s="140" t="s">
        <v>307</v>
      </c>
      <c r="L72" s="147">
        <f t="shared" ref="L72:L80" si="12">J72*$L$71</f>
        <v>425</v>
      </c>
    </row>
    <row r="73" spans="2:12" ht="15" customHeight="1">
      <c r="B73" s="129"/>
      <c r="C73" s="129" t="s">
        <v>306</v>
      </c>
      <c r="D73" s="1396">
        <f t="shared" si="8"/>
        <v>1</v>
      </c>
      <c r="E73" s="1396">
        <f t="shared" si="8"/>
        <v>6</v>
      </c>
      <c r="F73" s="132">
        <f t="shared" si="10"/>
        <v>300</v>
      </c>
      <c r="G73" s="86">
        <f t="shared" si="9"/>
        <v>1800</v>
      </c>
      <c r="H73" s="703"/>
      <c r="J73" s="139">
        <f t="shared" si="11"/>
        <v>1200</v>
      </c>
      <c r="K73" s="140" t="s">
        <v>307</v>
      </c>
      <c r="L73" s="147">
        <f t="shared" si="12"/>
        <v>300</v>
      </c>
    </row>
    <row r="74" spans="2:12">
      <c r="B74" s="129"/>
      <c r="C74" s="129" t="s">
        <v>306</v>
      </c>
      <c r="D74" s="1396">
        <f t="shared" si="8"/>
        <v>1</v>
      </c>
      <c r="E74" s="1396">
        <f t="shared" si="8"/>
        <v>6</v>
      </c>
      <c r="F74" s="132">
        <f t="shared" si="10"/>
        <v>225</v>
      </c>
      <c r="G74" s="86">
        <f t="shared" si="9"/>
        <v>1350</v>
      </c>
      <c r="H74" s="703"/>
      <c r="J74" s="139">
        <f t="shared" si="11"/>
        <v>900</v>
      </c>
      <c r="K74" s="140" t="s">
        <v>307</v>
      </c>
      <c r="L74" s="147">
        <f t="shared" si="12"/>
        <v>225</v>
      </c>
    </row>
    <row r="75" spans="2:12">
      <c r="B75" s="129"/>
      <c r="C75" s="129" t="s">
        <v>306</v>
      </c>
      <c r="D75" s="1396">
        <f t="shared" si="8"/>
        <v>1</v>
      </c>
      <c r="E75" s="1396">
        <f t="shared" si="8"/>
        <v>6</v>
      </c>
      <c r="F75" s="132">
        <f t="shared" si="10"/>
        <v>200</v>
      </c>
      <c r="G75" s="86">
        <f t="shared" si="9"/>
        <v>1200</v>
      </c>
      <c r="H75" s="703"/>
      <c r="J75" s="139">
        <f t="shared" si="11"/>
        <v>800</v>
      </c>
      <c r="K75" s="140" t="s">
        <v>307</v>
      </c>
      <c r="L75" s="147">
        <f t="shared" si="12"/>
        <v>200</v>
      </c>
    </row>
    <row r="76" spans="2:12">
      <c r="B76" s="129"/>
      <c r="C76" s="129" t="s">
        <v>306</v>
      </c>
      <c r="D76" s="1396"/>
      <c r="E76" s="1396"/>
      <c r="F76" s="132">
        <f t="shared" si="10"/>
        <v>175</v>
      </c>
      <c r="G76" s="86">
        <f t="shared" si="9"/>
        <v>0</v>
      </c>
      <c r="H76" s="703"/>
      <c r="J76" s="139">
        <f t="shared" si="11"/>
        <v>700</v>
      </c>
      <c r="K76" s="140" t="s">
        <v>307</v>
      </c>
      <c r="L76" s="147">
        <f t="shared" si="12"/>
        <v>175</v>
      </c>
    </row>
    <row r="77" spans="2:12">
      <c r="B77" s="129"/>
      <c r="C77" s="129" t="s">
        <v>306</v>
      </c>
      <c r="D77" s="1396">
        <f t="shared" si="8"/>
        <v>0</v>
      </c>
      <c r="E77" s="1396">
        <f t="shared" si="8"/>
        <v>0</v>
      </c>
      <c r="F77" s="132">
        <f t="shared" si="10"/>
        <v>150</v>
      </c>
      <c r="G77" s="86">
        <f t="shared" si="9"/>
        <v>0</v>
      </c>
      <c r="H77" s="703"/>
      <c r="J77" s="139">
        <f t="shared" si="11"/>
        <v>600</v>
      </c>
      <c r="K77" s="140" t="s">
        <v>307</v>
      </c>
      <c r="L77" s="147">
        <f t="shared" si="12"/>
        <v>150</v>
      </c>
    </row>
    <row r="78" spans="2:12">
      <c r="B78" s="129"/>
      <c r="C78" s="148" t="s">
        <v>306</v>
      </c>
      <c r="D78" s="1397">
        <f t="shared" si="8"/>
        <v>1</v>
      </c>
      <c r="E78" s="1397">
        <f t="shared" si="8"/>
        <v>6</v>
      </c>
      <c r="F78" s="132">
        <f t="shared" si="10"/>
        <v>125</v>
      </c>
      <c r="G78" s="89">
        <f t="shared" si="9"/>
        <v>750</v>
      </c>
      <c r="H78" s="704"/>
      <c r="J78" s="139">
        <f t="shared" si="11"/>
        <v>500</v>
      </c>
      <c r="K78" s="140" t="s">
        <v>307</v>
      </c>
      <c r="L78" s="147">
        <f t="shared" si="12"/>
        <v>125</v>
      </c>
    </row>
    <row r="79" spans="2:12">
      <c r="B79" s="129"/>
      <c r="C79" s="148" t="s">
        <v>306</v>
      </c>
      <c r="D79" s="1397">
        <f t="shared" si="8"/>
        <v>0</v>
      </c>
      <c r="E79" s="1397">
        <f t="shared" si="8"/>
        <v>0</v>
      </c>
      <c r="F79" s="132">
        <f t="shared" si="10"/>
        <v>100</v>
      </c>
      <c r="G79" s="89">
        <f t="shared" si="9"/>
        <v>0</v>
      </c>
      <c r="H79" s="704"/>
      <c r="J79" s="139">
        <f t="shared" si="11"/>
        <v>400</v>
      </c>
      <c r="K79" s="140" t="s">
        <v>307</v>
      </c>
      <c r="L79" s="147">
        <f t="shared" si="12"/>
        <v>100</v>
      </c>
    </row>
    <row r="80" spans="2:12">
      <c r="B80" s="129"/>
      <c r="C80" s="148" t="s">
        <v>306</v>
      </c>
      <c r="D80" s="1397">
        <f t="shared" si="8"/>
        <v>0</v>
      </c>
      <c r="E80" s="1397">
        <f t="shared" si="8"/>
        <v>0</v>
      </c>
      <c r="F80" s="132">
        <f t="shared" si="10"/>
        <v>75</v>
      </c>
      <c r="G80" s="89">
        <f t="shared" si="9"/>
        <v>0</v>
      </c>
      <c r="H80" s="704"/>
      <c r="J80" s="139">
        <f t="shared" si="11"/>
        <v>300</v>
      </c>
      <c r="K80" s="140" t="s">
        <v>307</v>
      </c>
      <c r="L80" s="147">
        <f t="shared" si="12"/>
        <v>75</v>
      </c>
    </row>
    <row r="81" spans="2:12">
      <c r="B81" s="129"/>
      <c r="C81" s="129"/>
      <c r="D81" s="1395"/>
      <c r="E81" s="1395"/>
      <c r="F81" s="132"/>
      <c r="G81" s="86"/>
      <c r="H81" s="703"/>
      <c r="J81" s="142"/>
      <c r="K81" s="143"/>
      <c r="L81" s="144"/>
    </row>
    <row r="82" spans="2:12" ht="15.75">
      <c r="B82" s="129"/>
      <c r="C82" s="90" t="s">
        <v>310</v>
      </c>
      <c r="D82" s="1392"/>
      <c r="E82" s="1392"/>
      <c r="F82" s="132"/>
      <c r="G82" s="129"/>
      <c r="H82" s="703"/>
      <c r="J82" s="145"/>
      <c r="K82" s="143"/>
      <c r="L82" s="144"/>
    </row>
    <row r="83" spans="2:12">
      <c r="B83" s="129"/>
      <c r="C83" s="129" t="s">
        <v>303</v>
      </c>
      <c r="D83" s="1396">
        <f>D69</f>
        <v>0</v>
      </c>
      <c r="E83" s="1396">
        <f>E69</f>
        <v>0</v>
      </c>
      <c r="F83" s="132">
        <v>0</v>
      </c>
      <c r="G83" s="86">
        <f>E83*F83*D83</f>
        <v>0</v>
      </c>
      <c r="H83" s="703"/>
      <c r="J83" s="145"/>
      <c r="K83" s="143"/>
      <c r="L83" s="144"/>
    </row>
    <row r="84" spans="2:12">
      <c r="B84" s="129"/>
      <c r="C84" s="149" t="s">
        <v>295</v>
      </c>
      <c r="D84" s="1398">
        <v>1</v>
      </c>
      <c r="E84" s="1398">
        <f>D15*E15+E16*D16+D17*E17+E20*D20+D21*E21</f>
        <v>24</v>
      </c>
      <c r="F84" s="150">
        <f>J84/12</f>
        <v>23.666666666666668</v>
      </c>
      <c r="G84" s="91">
        <f>E84*F84*D84</f>
        <v>568</v>
      </c>
      <c r="H84" s="705"/>
      <c r="J84" s="151">
        <v>284</v>
      </c>
      <c r="K84" s="152" t="s">
        <v>311</v>
      </c>
      <c r="L84" s="153">
        <f>J84/12</f>
        <v>23.666666666666668</v>
      </c>
    </row>
  </sheetData>
  <customSheetViews>
    <customSheetView guid="{29ADDA07-E427-4C12-A26F-16DB0F983414}" scale="80" showPageBreaks="1" view="pageBreakPreview" topLeftCell="A49">
      <selection activeCell="H16" sqref="H16"/>
      <colBreaks count="1" manualBreakCount="1">
        <brk id="8" max="1048575" man="1"/>
      </colBreaks>
      <pageMargins left="0.43" right="0.21" top="0.47" bottom="0.34" header="0.27" footer="0.17"/>
      <pageSetup paperSize="9" scale="83" orientation="portrait" r:id="rId1"/>
      <headerFooter alignWithMargins="0"/>
    </customSheetView>
  </customSheetViews>
  <mergeCells count="6">
    <mergeCell ref="B4:D4"/>
    <mergeCell ref="E4:H4"/>
    <mergeCell ref="B2:D2"/>
    <mergeCell ref="E2:F2"/>
    <mergeCell ref="B3:D3"/>
    <mergeCell ref="E3:H3"/>
  </mergeCells>
  <phoneticPr fontId="90" type="noConversion"/>
  <pageMargins left="0.43" right="0.21" top="0.47" bottom="0.34" header="0.27" footer="0.17"/>
  <pageSetup paperSize="9" scale="83" orientation="portrait" r:id="rId2"/>
  <headerFooter alignWithMargins="0"/>
  <colBreaks count="1" manualBreakCount="1">
    <brk id="8" max="1048575" man="1"/>
  </colBreaks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64"/>
  <sheetViews>
    <sheetView view="pageBreakPreview" topLeftCell="H1" zoomScale="90" zoomScaleNormal="70" zoomScaleSheetLayoutView="90" workbookViewId="0">
      <selection activeCell="P19" sqref="P19"/>
    </sheetView>
  </sheetViews>
  <sheetFormatPr defaultRowHeight="18" customHeight="1"/>
  <cols>
    <col min="1" max="1" width="6.85546875" style="154" customWidth="1"/>
    <col min="2" max="2" width="37" style="2" customWidth="1"/>
    <col min="3" max="3" width="39.5703125" style="2" customWidth="1"/>
    <col min="4" max="4" width="7.5703125" style="5" customWidth="1"/>
    <col min="5" max="5" width="8.5703125" style="6" customWidth="1"/>
    <col min="6" max="6" width="17" style="7" customWidth="1"/>
    <col min="7" max="7" width="18.85546875" style="7" customWidth="1"/>
    <col min="8" max="8" width="18.5703125" style="7" customWidth="1"/>
    <col min="9" max="9" width="2.140625" style="343" hidden="1" customWidth="1"/>
    <col min="10" max="10" width="17.42578125" style="2" customWidth="1"/>
    <col min="11" max="11" width="17.5703125" style="2" customWidth="1"/>
    <col min="12" max="12" width="18.85546875" style="2" customWidth="1"/>
    <col min="13" max="13" width="16.28515625" style="2" customWidth="1"/>
    <col min="14" max="14" width="15" style="2" customWidth="1"/>
    <col min="15" max="15" width="9.140625" style="95"/>
    <col min="16" max="16" width="32.140625" style="2" customWidth="1"/>
    <col min="17" max="18" width="9.140625" style="2"/>
    <col min="19" max="20" width="15.140625" style="2" customWidth="1"/>
    <col min="21" max="16384" width="9.140625" style="2"/>
  </cols>
  <sheetData>
    <row r="1" spans="1:20" ht="25.5" customHeight="1">
      <c r="H1" s="1303" t="str">
        <f>Cover!J1</f>
        <v>${reportDate}</v>
      </c>
      <c r="J1" s="1439" t="s">
        <v>1323</v>
      </c>
      <c r="K1" s="1439"/>
      <c r="L1" s="1439"/>
      <c r="M1" s="1439"/>
      <c r="R1" s="94">
        <v>1.07</v>
      </c>
    </row>
    <row r="2" spans="1:20" s="3" customFormat="1" ht="21" customHeight="1">
      <c r="A2" s="197" t="s">
        <v>318</v>
      </c>
      <c r="B2" s="1451" t="s">
        <v>317</v>
      </c>
      <c r="C2" s="1452"/>
      <c r="D2" s="198" t="s">
        <v>313</v>
      </c>
      <c r="E2" s="199" t="s">
        <v>314</v>
      </c>
      <c r="F2" s="195" t="s">
        <v>315</v>
      </c>
      <c r="G2" s="195" t="s">
        <v>316</v>
      </c>
      <c r="H2" s="195" t="s">
        <v>430</v>
      </c>
      <c r="I2" s="929"/>
      <c r="J2" s="1440" t="s">
        <v>378</v>
      </c>
      <c r="K2" s="1440" t="s">
        <v>379</v>
      </c>
      <c r="L2" s="1440" t="s">
        <v>380</v>
      </c>
      <c r="M2" s="1441" t="s">
        <v>381</v>
      </c>
      <c r="O2" s="96" t="s">
        <v>1340</v>
      </c>
      <c r="Q2" s="3" t="s">
        <v>1341</v>
      </c>
    </row>
    <row r="3" spans="1:20" s="3" customFormat="1" ht="21" customHeight="1">
      <c r="A3" s="200"/>
      <c r="B3" s="92"/>
      <c r="C3" s="93"/>
      <c r="D3" s="201"/>
      <c r="E3" s="202"/>
      <c r="F3" s="196" t="s">
        <v>320</v>
      </c>
      <c r="G3" s="196" t="s">
        <v>320</v>
      </c>
      <c r="H3" s="196"/>
      <c r="I3" s="929"/>
      <c r="J3" s="1440"/>
      <c r="K3" s="1440"/>
      <c r="L3" s="1440"/>
      <c r="M3" s="1441"/>
      <c r="O3" s="19" t="s">
        <v>382</v>
      </c>
      <c r="P3" s="1200" t="s">
        <v>738</v>
      </c>
      <c r="Q3" s="21" t="s">
        <v>383</v>
      </c>
      <c r="R3" s="22" t="s">
        <v>384</v>
      </c>
      <c r="S3" s="1437" t="s">
        <v>398</v>
      </c>
      <c r="T3" s="1438"/>
    </row>
    <row r="4" spans="1:20" ht="21" customHeight="1">
      <c r="A4" s="263"/>
      <c r="B4" s="264" t="s">
        <v>740</v>
      </c>
      <c r="C4" s="163"/>
      <c r="D4" s="8"/>
      <c r="E4" s="303"/>
      <c r="F4" s="4"/>
      <c r="G4" s="4"/>
      <c r="H4" s="4"/>
      <c r="J4" s="35"/>
      <c r="K4" s="35"/>
      <c r="L4" s="35"/>
      <c r="M4" s="35"/>
      <c r="O4" s="23"/>
      <c r="P4" s="24"/>
      <c r="Q4" s="25"/>
      <c r="R4" s="26"/>
      <c r="S4" s="1196" t="s">
        <v>1118</v>
      </c>
      <c r="T4" s="1196" t="s">
        <v>1120</v>
      </c>
    </row>
    <row r="5" spans="1:20" ht="21" customHeight="1">
      <c r="A5" s="261" t="s">
        <v>399</v>
      </c>
      <c r="B5" s="262" t="s">
        <v>742</v>
      </c>
      <c r="C5" s="163"/>
      <c r="D5" s="8"/>
      <c r="E5" s="303"/>
      <c r="F5" s="4"/>
      <c r="G5" s="4"/>
      <c r="H5" s="4"/>
      <c r="J5" s="35"/>
      <c r="K5" s="35"/>
      <c r="L5" s="35"/>
      <c r="M5" s="35"/>
      <c r="O5" s="23"/>
      <c r="P5" s="24"/>
      <c r="Q5" s="25"/>
      <c r="R5" s="26"/>
      <c r="S5" s="1198"/>
      <c r="T5" s="1198"/>
    </row>
    <row r="6" spans="1:20" s="343" customFormat="1" ht="21" customHeight="1">
      <c r="A6" s="648" t="s">
        <v>405</v>
      </c>
      <c r="B6" s="267" t="str">
        <f>'Elect BOQ'!B8</f>
        <v>HIGH VOLTAGE SYSTEM</v>
      </c>
      <c r="C6" s="266"/>
      <c r="D6" s="295" t="s">
        <v>222</v>
      </c>
      <c r="E6" s="304">
        <v>1</v>
      </c>
      <c r="F6" s="293"/>
      <c r="G6" s="293">
        <f>'Elect BOQ'!H8</f>
        <v>93720.13</v>
      </c>
      <c r="H6" s="293"/>
      <c r="J6" s="644">
        <f>'Elect BOQ'!AE8</f>
        <v>78493.460000000006</v>
      </c>
      <c r="K6" s="644">
        <f>'Elect BOQ'!AF8</f>
        <v>8451.130000000001</v>
      </c>
      <c r="L6" s="645">
        <f>K6+J6</f>
        <v>86944.590000000011</v>
      </c>
      <c r="M6" s="644">
        <f>'Elect BOQ'!AM8</f>
        <v>0</v>
      </c>
      <c r="O6" s="23"/>
      <c r="P6" s="24"/>
      <c r="Q6" s="25"/>
      <c r="R6" s="26"/>
      <c r="S6" s="1198"/>
      <c r="T6" s="1198"/>
    </row>
    <row r="7" spans="1:20" s="343" customFormat="1" ht="21" customHeight="1">
      <c r="A7" s="294">
        <f t="shared" ref="A7:A18" si="0">A6+1</f>
        <v>2</v>
      </c>
      <c r="B7" s="267" t="str">
        <f>'Elect BOQ'!B9</f>
        <v>LV MAIN SYSTEM</v>
      </c>
      <c r="C7" s="266"/>
      <c r="D7" s="295" t="s">
        <v>216</v>
      </c>
      <c r="E7" s="304">
        <v>1</v>
      </c>
      <c r="F7" s="293"/>
      <c r="G7" s="293">
        <f>'Elect BOQ'!H9</f>
        <v>175484.09000000003</v>
      </c>
      <c r="H7" s="293"/>
      <c r="J7" s="644">
        <f>'Elect BOQ'!AE9</f>
        <v>155302.31000000003</v>
      </c>
      <c r="K7" s="644">
        <f>'Elect BOQ'!AF9</f>
        <v>6811.7900000000009</v>
      </c>
      <c r="L7" s="645">
        <f t="shared" ref="L7:L18" si="1">K7+J7</f>
        <v>162114.10000000003</v>
      </c>
      <c r="M7" s="644">
        <f>'Elect BOQ'!AM9</f>
        <v>0</v>
      </c>
      <c r="O7" s="193" t="s">
        <v>1111</v>
      </c>
      <c r="P7" s="27" t="s">
        <v>385</v>
      </c>
      <c r="Q7" s="25">
        <v>0.97</v>
      </c>
      <c r="R7" s="25">
        <v>1.05</v>
      </c>
      <c r="S7" s="1198">
        <f>SUMIF('Elect BOQ'!D:D,'Summary-E'!O7,'Elect BOQ'!AE:AE)</f>
        <v>20492.88</v>
      </c>
      <c r="T7" s="1198">
        <f>SUMIF('Elect BOQ'!D:D,'Summary-E'!O7,'Elect BOQ'!AF:AF)</f>
        <v>10105.360000000002</v>
      </c>
    </row>
    <row r="8" spans="1:20" s="343" customFormat="1" ht="21" customHeight="1">
      <c r="A8" s="294">
        <f t="shared" si="0"/>
        <v>3</v>
      </c>
      <c r="B8" s="267" t="str">
        <f>'Elect BOQ'!B10</f>
        <v>SUBMAIN SYSTEM</v>
      </c>
      <c r="C8" s="266"/>
      <c r="D8" s="295" t="s">
        <v>216</v>
      </c>
      <c r="E8" s="304">
        <v>1</v>
      </c>
      <c r="F8" s="293"/>
      <c r="G8" s="293">
        <f>'Elect BOQ'!H10</f>
        <v>65604.55</v>
      </c>
      <c r="H8" s="293"/>
      <c r="J8" s="644">
        <f>'Elect BOQ'!AE10</f>
        <v>43791.199999999997</v>
      </c>
      <c r="K8" s="644">
        <f>'Elect BOQ'!AF10</f>
        <v>14267.33</v>
      </c>
      <c r="L8" s="645">
        <f t="shared" si="1"/>
        <v>58058.53</v>
      </c>
      <c r="M8" s="644">
        <f>'Elect BOQ'!AM10</f>
        <v>0</v>
      </c>
      <c r="O8" s="193" t="s">
        <v>1112</v>
      </c>
      <c r="P8" s="27" t="s">
        <v>146</v>
      </c>
      <c r="Q8" s="25">
        <v>0.97</v>
      </c>
      <c r="R8" s="25">
        <v>1.05</v>
      </c>
      <c r="S8" s="1198">
        <f>SUMIF('Elect BOQ'!D:D,'Summary-E'!O8,'Elect BOQ'!AE:AE)</f>
        <v>1991.47</v>
      </c>
      <c r="T8" s="1198">
        <f>SUMIF('Elect BOQ'!D:D,'Summary-E'!O8,'Elect BOQ'!AF:AF)</f>
        <v>273.87</v>
      </c>
    </row>
    <row r="9" spans="1:20" s="343" customFormat="1" ht="21" customHeight="1">
      <c r="A9" s="294">
        <f t="shared" si="0"/>
        <v>4</v>
      </c>
      <c r="B9" s="267" t="str">
        <f>'Elect BOQ'!B11</f>
        <v xml:space="preserve">POWER SUPPLY TO PRODUCTION </v>
      </c>
      <c r="C9" s="266"/>
      <c r="D9" s="295" t="s">
        <v>216</v>
      </c>
      <c r="E9" s="304">
        <v>1</v>
      </c>
      <c r="F9" s="293"/>
      <c r="G9" s="293">
        <f>'Elect BOQ'!H11</f>
        <v>329017.08000000007</v>
      </c>
      <c r="H9" s="293"/>
      <c r="J9" s="644">
        <f>'Elect BOQ'!AE11</f>
        <v>231124.95</v>
      </c>
      <c r="K9" s="644">
        <f>'Elect BOQ'!AF11</f>
        <v>59916.939999999988</v>
      </c>
      <c r="L9" s="645">
        <f t="shared" si="1"/>
        <v>291041.89</v>
      </c>
      <c r="M9" s="644">
        <f>'Elect BOQ'!AM11</f>
        <v>0</v>
      </c>
      <c r="O9" s="193" t="s">
        <v>1113</v>
      </c>
      <c r="P9" s="27" t="s">
        <v>148</v>
      </c>
      <c r="Q9" s="25">
        <v>0.97</v>
      </c>
      <c r="R9" s="25">
        <v>1.05</v>
      </c>
      <c r="S9" s="1198">
        <f>SUMIF('Elect BOQ'!D:D,'Summary-E'!O9,'Elect BOQ'!AE:AE)</f>
        <v>28495.299999999985</v>
      </c>
      <c r="T9" s="1198">
        <f>SUMIF('Elect BOQ'!D:D,'Summary-E'!O9,'Elect BOQ'!AF:AF)</f>
        <v>10065.879999999999</v>
      </c>
    </row>
    <row r="10" spans="1:20" s="343" customFormat="1" ht="21" customHeight="1">
      <c r="A10" s="294">
        <f t="shared" si="0"/>
        <v>5</v>
      </c>
      <c r="B10" s="267" t="str">
        <f>'Elect BOQ'!B12</f>
        <v>EMERGENCY POWER BACK-UP GENERATOR (Open type - Noise Level 105 dB)</v>
      </c>
      <c r="C10" s="266"/>
      <c r="D10" s="295" t="s">
        <v>216</v>
      </c>
      <c r="E10" s="304">
        <v>1</v>
      </c>
      <c r="F10" s="293"/>
      <c r="G10" s="293">
        <f>'Elect BOQ'!H12</f>
        <v>25079.450000000004</v>
      </c>
      <c r="H10" s="293"/>
      <c r="J10" s="644">
        <f>'Elect BOQ'!AE12</f>
        <v>18315.450000000004</v>
      </c>
      <c r="K10" s="644">
        <f>'Elect BOQ'!AF12</f>
        <v>4250.0800000000008</v>
      </c>
      <c r="L10" s="645">
        <f t="shared" si="1"/>
        <v>22565.530000000006</v>
      </c>
      <c r="M10" s="644">
        <f>'Elect BOQ'!AM12</f>
        <v>0</v>
      </c>
      <c r="O10" s="193" t="s">
        <v>1114</v>
      </c>
      <c r="P10" s="27" t="s">
        <v>149</v>
      </c>
      <c r="Q10" s="25">
        <v>0.97</v>
      </c>
      <c r="R10" s="25">
        <v>1.05</v>
      </c>
      <c r="S10" s="1198">
        <f>SUMIF('Elect BOQ'!D:D,'Summary-E'!O10,'Elect BOQ'!AE:AE)</f>
        <v>1789.9399999999998</v>
      </c>
      <c r="T10" s="1198">
        <f>SUMIF('Elect BOQ'!D:D,'Summary-E'!O10,'Elect BOQ'!AF:AF)</f>
        <v>833.70999999999992</v>
      </c>
    </row>
    <row r="11" spans="1:20" s="343" customFormat="1" ht="21" customHeight="1">
      <c r="A11" s="294">
        <f t="shared" si="0"/>
        <v>6</v>
      </c>
      <c r="B11" s="267" t="str">
        <f>'Elect BOQ'!B13</f>
        <v>LIGHTING SYSTEM &amp; SOCKET OUTLET</v>
      </c>
      <c r="C11" s="266"/>
      <c r="D11" s="295" t="s">
        <v>216</v>
      </c>
      <c r="E11" s="304">
        <v>1</v>
      </c>
      <c r="F11" s="293"/>
      <c r="G11" s="293">
        <f>'Elect BOQ'!H13</f>
        <v>102107.70999999999</v>
      </c>
      <c r="H11" s="293"/>
      <c r="J11" s="644">
        <f>'Elect BOQ'!AE13</f>
        <v>76097.14</v>
      </c>
      <c r="K11" s="644">
        <f>'Elect BOQ'!AF13</f>
        <v>15766.64</v>
      </c>
      <c r="L11" s="645">
        <f t="shared" si="1"/>
        <v>91863.78</v>
      </c>
      <c r="M11" s="644">
        <f>'Elect BOQ'!AM13</f>
        <v>0</v>
      </c>
      <c r="O11" s="23" t="s">
        <v>150</v>
      </c>
      <c r="P11" s="27" t="s">
        <v>1150</v>
      </c>
      <c r="Q11" s="25">
        <v>0.97</v>
      </c>
      <c r="R11" s="25">
        <v>1.05</v>
      </c>
      <c r="S11" s="1198">
        <f>SUMIF('Elect BOQ'!D:D,'Summary-E'!O11,'Elect BOQ'!AE:AE)</f>
        <v>0</v>
      </c>
      <c r="T11" s="1198">
        <f>SUMIF('Elect BOQ'!D:D,'Summary-E'!O11,'Elect BOQ'!AF:AF)</f>
        <v>0</v>
      </c>
    </row>
    <row r="12" spans="1:20" s="343" customFormat="1" ht="21" customHeight="1">
      <c r="A12" s="294">
        <f t="shared" si="0"/>
        <v>7</v>
      </c>
      <c r="B12" s="267" t="str">
        <f>'Elect BOQ'!B14</f>
        <v>ELECTRICAL FOR MECHANICAL EQUIPMENT (A.C, FAN, AIR COMP., PUMPS)</v>
      </c>
      <c r="C12" s="266"/>
      <c r="D12" s="295" t="s">
        <v>222</v>
      </c>
      <c r="E12" s="304">
        <v>1</v>
      </c>
      <c r="F12" s="293"/>
      <c r="G12" s="293">
        <f>'Elect BOQ'!H14</f>
        <v>33136.719999999994</v>
      </c>
      <c r="H12" s="293"/>
      <c r="J12" s="644">
        <f>'Elect BOQ'!AE14</f>
        <v>26051.02</v>
      </c>
      <c r="K12" s="644">
        <f>'Elect BOQ'!AF14</f>
        <v>4003.9599999999996</v>
      </c>
      <c r="L12" s="645">
        <f t="shared" si="1"/>
        <v>30054.98</v>
      </c>
      <c r="M12" s="644">
        <f>'Elect BOQ'!AM14</f>
        <v>0</v>
      </c>
      <c r="O12" s="23" t="s">
        <v>151</v>
      </c>
      <c r="P12" s="27" t="s">
        <v>193</v>
      </c>
      <c r="Q12" s="25">
        <v>0.97</v>
      </c>
      <c r="R12" s="25">
        <v>1.05</v>
      </c>
      <c r="S12" s="1198">
        <f>SUMIF('Elect BOQ'!D:D,'Summary-E'!O12,'Elect BOQ'!AE:AE)</f>
        <v>65.289999999999992</v>
      </c>
      <c r="T12" s="1198">
        <f>SUMIF('Elect BOQ'!D:D,'Summary-E'!O12,'Elect BOQ'!AF:AF)</f>
        <v>7.8800000000000008</v>
      </c>
    </row>
    <row r="13" spans="1:20" s="343" customFormat="1" ht="21" customHeight="1">
      <c r="A13" s="294">
        <f t="shared" si="0"/>
        <v>8</v>
      </c>
      <c r="B13" s="267" t="str">
        <f>'Elect BOQ'!B15</f>
        <v>TELEPHONE SYSTEM EMPTY CONDUIT</v>
      </c>
      <c r="C13" s="266"/>
      <c r="D13" s="295" t="s">
        <v>222</v>
      </c>
      <c r="E13" s="304">
        <v>1</v>
      </c>
      <c r="F13" s="293"/>
      <c r="G13" s="293">
        <f>'Elect BOQ'!H15</f>
        <v>8766.7900000000009</v>
      </c>
      <c r="H13" s="293"/>
      <c r="J13" s="644">
        <f>'Elect BOQ'!AE15</f>
        <v>6566.5300000000007</v>
      </c>
      <c r="K13" s="644">
        <f>'Elect BOQ'!AF15</f>
        <v>1204.75</v>
      </c>
      <c r="L13" s="645">
        <f t="shared" si="1"/>
        <v>7771.2800000000007</v>
      </c>
      <c r="M13" s="644">
        <f>'Elect BOQ'!AM15</f>
        <v>0</v>
      </c>
      <c r="O13" s="23" t="s">
        <v>152</v>
      </c>
      <c r="P13" s="27" t="s">
        <v>194</v>
      </c>
      <c r="Q13" s="25">
        <v>0.97</v>
      </c>
      <c r="R13" s="25">
        <v>1.05</v>
      </c>
      <c r="S13" s="1198">
        <f>SUMIF('Elect BOQ'!D:D,'Summary-E'!O13,'Elect BOQ'!AE:AE)</f>
        <v>0</v>
      </c>
      <c r="T13" s="1198">
        <f>SUMIF('Elect BOQ'!D:D,'Summary-E'!O13,'Elect BOQ'!AF:AF)</f>
        <v>0</v>
      </c>
    </row>
    <row r="14" spans="1:20" s="343" customFormat="1" ht="21" customHeight="1">
      <c r="A14" s="294">
        <f t="shared" si="0"/>
        <v>9</v>
      </c>
      <c r="B14" s="267" t="str">
        <f>'Elect BOQ'!B16</f>
        <v xml:space="preserve">LAN SYSTEM EMPTY CONDUIT </v>
      </c>
      <c r="C14" s="266"/>
      <c r="D14" s="295" t="s">
        <v>222</v>
      </c>
      <c r="E14" s="304">
        <v>1</v>
      </c>
      <c r="F14" s="293"/>
      <c r="G14" s="293">
        <f>'Elect BOQ'!H16</f>
        <v>336.83</v>
      </c>
      <c r="H14" s="293"/>
      <c r="J14" s="644">
        <f>'Elect BOQ'!AE16</f>
        <v>200.21999999999997</v>
      </c>
      <c r="K14" s="644">
        <f>'Elect BOQ'!AF16</f>
        <v>96.340000000000018</v>
      </c>
      <c r="L14" s="645">
        <f t="shared" si="1"/>
        <v>296.56</v>
      </c>
      <c r="M14" s="644">
        <f>'Elect BOQ'!AM16</f>
        <v>0</v>
      </c>
      <c r="O14" s="193" t="s">
        <v>732</v>
      </c>
      <c r="P14" s="27" t="s">
        <v>733</v>
      </c>
      <c r="Q14" s="25">
        <v>0.97</v>
      </c>
      <c r="R14" s="25">
        <v>1.05</v>
      </c>
      <c r="S14" s="1198">
        <f>SUMIF('Elect BOQ'!D:D,'Summary-E'!O14,'Elect BOQ'!AE:AE)</f>
        <v>4413.5</v>
      </c>
      <c r="T14" s="1198">
        <f>SUMIF('Elect BOQ'!D:D,'Summary-E'!O14,'Elect BOQ'!AF:AF)</f>
        <v>1102.5</v>
      </c>
    </row>
    <row r="15" spans="1:20" s="343" customFormat="1" ht="21" customHeight="1">
      <c r="A15" s="294">
        <f t="shared" si="0"/>
        <v>10</v>
      </c>
      <c r="B15" s="267" t="str">
        <f>'Elect BOQ'!B17</f>
        <v>PUBLIC ADDRESS SYSTEM</v>
      </c>
      <c r="C15" s="266"/>
      <c r="D15" s="295" t="s">
        <v>222</v>
      </c>
      <c r="E15" s="304">
        <v>1</v>
      </c>
      <c r="F15" s="293"/>
      <c r="G15" s="293">
        <f>'Elect BOQ'!H17</f>
        <v>3877.0600000000004</v>
      </c>
      <c r="H15" s="293"/>
      <c r="J15" s="644">
        <f>'Elect BOQ'!AE17</f>
        <v>2165.6500000000005</v>
      </c>
      <c r="K15" s="644">
        <f>'Elect BOQ'!AF17</f>
        <v>1196.8699999999999</v>
      </c>
      <c r="L15" s="645">
        <f t="shared" si="1"/>
        <v>3362.5200000000004</v>
      </c>
      <c r="M15" s="644">
        <f>'Elect BOQ'!AM17</f>
        <v>0</v>
      </c>
      <c r="O15" s="193" t="s">
        <v>1124</v>
      </c>
      <c r="P15" s="27" t="s">
        <v>195</v>
      </c>
      <c r="Q15" s="25">
        <v>0.97</v>
      </c>
      <c r="R15" s="25">
        <v>1.05</v>
      </c>
      <c r="S15" s="1198">
        <f>SUMIF('Elect BOQ'!D:D,'Summary-E'!O15,'Elect BOQ'!AE:AE)</f>
        <v>92524.87000000001</v>
      </c>
      <c r="T15" s="1198">
        <f>SUMIF('Elect BOQ'!D:D,'Summary-E'!O15,'Elect BOQ'!AF:AF)</f>
        <v>18703.670000000002</v>
      </c>
    </row>
    <row r="16" spans="1:20" s="343" customFormat="1" ht="21" customHeight="1">
      <c r="A16" s="294">
        <f t="shared" si="0"/>
        <v>11</v>
      </c>
      <c r="B16" s="267" t="str">
        <f>'Elect BOQ'!B18</f>
        <v>FIRE ALARM SYSTEM</v>
      </c>
      <c r="C16" s="266"/>
      <c r="D16" s="295" t="s">
        <v>326</v>
      </c>
      <c r="E16" s="304">
        <v>1</v>
      </c>
      <c r="F16" s="293"/>
      <c r="G16" s="293">
        <f>'Elect BOQ'!H18</f>
        <v>31738.11</v>
      </c>
      <c r="H16" s="293"/>
      <c r="J16" s="644">
        <f>'Elect BOQ'!AE18</f>
        <v>21736.620000000006</v>
      </c>
      <c r="K16" s="644">
        <f>'Elect BOQ'!AF18</f>
        <v>6420.57</v>
      </c>
      <c r="L16" s="645">
        <f t="shared" si="1"/>
        <v>28157.190000000006</v>
      </c>
      <c r="M16" s="644">
        <f>'Elect BOQ'!AM18</f>
        <v>0</v>
      </c>
      <c r="O16" s="193" t="s">
        <v>139</v>
      </c>
      <c r="P16" s="27" t="s">
        <v>196</v>
      </c>
      <c r="Q16" s="25">
        <v>0.97</v>
      </c>
      <c r="R16" s="25">
        <v>1.05</v>
      </c>
      <c r="S16" s="1198">
        <f>SUMIF('Elect BOQ'!D:D,'Summary-E'!O16,'Elect BOQ'!AE:AE)</f>
        <v>22024.799999999992</v>
      </c>
      <c r="T16" s="1198">
        <f>SUMIF('Elect BOQ'!D:D,'Summary-E'!O16,'Elect BOQ'!AF:AF)</f>
        <v>4815.1499999999996</v>
      </c>
    </row>
    <row r="17" spans="1:21" ht="21" customHeight="1">
      <c r="A17" s="294">
        <f t="shared" si="0"/>
        <v>12</v>
      </c>
      <c r="B17" s="267" t="str">
        <f>'Elect BOQ'!B19</f>
        <v>LIGHTNING PROTECTION SYSTEM</v>
      </c>
      <c r="C17" s="266"/>
      <c r="D17" s="295" t="s">
        <v>326</v>
      </c>
      <c r="E17" s="304">
        <v>1</v>
      </c>
      <c r="F17" s="427"/>
      <c r="G17" s="293">
        <f>'Elect BOQ'!H19</f>
        <v>11914.849999999997</v>
      </c>
      <c r="H17" s="293"/>
      <c r="J17" s="644">
        <f>'Elect BOQ'!AE19</f>
        <v>8365.7099999999991</v>
      </c>
      <c r="K17" s="644">
        <f>'Elect BOQ'!AF19</f>
        <v>2435.14</v>
      </c>
      <c r="L17" s="645">
        <f t="shared" si="1"/>
        <v>10800.849999999999</v>
      </c>
      <c r="M17" s="644">
        <f>'Elect BOQ'!AM19</f>
        <v>0</v>
      </c>
      <c r="O17" s="23" t="s">
        <v>197</v>
      </c>
      <c r="P17" s="27" t="s">
        <v>198</v>
      </c>
      <c r="Q17" s="25">
        <v>0.97</v>
      </c>
      <c r="R17" s="25">
        <v>1.05</v>
      </c>
      <c r="S17" s="1198">
        <f>SUMIF('Elect BOQ'!D:D,'Summary-E'!O17,'Elect BOQ'!AE:AE)</f>
        <v>163839.88</v>
      </c>
      <c r="T17" s="1198">
        <f>SUMIF('Elect BOQ'!D:D,'Summary-E'!O17,'Elect BOQ'!AF:AF)</f>
        <v>35344.979999999981</v>
      </c>
    </row>
    <row r="18" spans="1:21" ht="21" customHeight="1">
      <c r="A18" s="294">
        <f t="shared" si="0"/>
        <v>13</v>
      </c>
      <c r="B18" s="267" t="str">
        <f>'Elect BOQ'!B20</f>
        <v>WATER LEAKING ALARM (FOR PLATING AREA)</v>
      </c>
      <c r="C18" s="266"/>
      <c r="D18" s="295" t="s">
        <v>326</v>
      </c>
      <c r="E18" s="304">
        <v>1</v>
      </c>
      <c r="F18" s="427"/>
      <c r="G18" s="293">
        <f>'Elect BOQ'!H20</f>
        <v>28590.799999999999</v>
      </c>
      <c r="H18" s="427"/>
      <c r="J18" s="644">
        <f>'Elect BOQ'!AE20</f>
        <v>25177.329999999994</v>
      </c>
      <c r="K18" s="644">
        <f>'Elect BOQ'!AF20</f>
        <v>1221.05</v>
      </c>
      <c r="L18" s="645">
        <f t="shared" si="1"/>
        <v>26398.379999999994</v>
      </c>
      <c r="M18" s="644">
        <f>'Elect BOQ'!AM20</f>
        <v>0</v>
      </c>
      <c r="O18" s="193" t="s">
        <v>1125</v>
      </c>
      <c r="P18" s="27" t="s">
        <v>199</v>
      </c>
      <c r="Q18" s="25">
        <v>0.97</v>
      </c>
      <c r="R18" s="25">
        <v>1.05</v>
      </c>
      <c r="S18" s="1198">
        <f>SUMIF('Elect BOQ'!D:D,'Summary-E'!O18,'Elect BOQ'!AE:AE)</f>
        <v>37464.329999999987</v>
      </c>
      <c r="T18" s="1198">
        <f>SUMIF('Elect BOQ'!D:D,'Summary-E'!O18,'Elect BOQ'!AF:AF)</f>
        <v>26513.399999999998</v>
      </c>
    </row>
    <row r="19" spans="1:21" s="1036" customFormat="1" ht="21" customHeight="1">
      <c r="A19" s="422"/>
      <c r="B19" s="423"/>
      <c r="C19" s="424"/>
      <c r="D19" s="425"/>
      <c r="E19" s="426"/>
      <c r="F19" s="298"/>
      <c r="G19" s="298"/>
      <c r="H19" s="427"/>
      <c r="I19" s="343"/>
      <c r="J19" s="166"/>
      <c r="K19" s="166"/>
      <c r="L19" s="171"/>
      <c r="M19" s="166"/>
      <c r="O19" s="1035">
        <v>132</v>
      </c>
      <c r="P19" s="552" t="s">
        <v>153</v>
      </c>
      <c r="Q19" s="25">
        <v>0.97</v>
      </c>
      <c r="R19" s="25">
        <v>1.05</v>
      </c>
      <c r="S19" s="1198">
        <f>SUMIF('Elect BOQ'!D:D,'Summary-E'!O19,'Elect BOQ'!AE:AE)</f>
        <v>2134.38</v>
      </c>
      <c r="T19" s="1198">
        <f>SUMIF('Elect BOQ'!D:D,'Summary-E'!O19,'Elect BOQ'!AF:AF)</f>
        <v>682.5</v>
      </c>
    </row>
    <row r="20" spans="1:21" ht="21" customHeight="1">
      <c r="A20" s="1038"/>
      <c r="B20" s="966" t="s">
        <v>739</v>
      </c>
      <c r="C20" s="1039"/>
      <c r="D20" s="1040"/>
      <c r="E20" s="1045"/>
      <c r="F20" s="1041"/>
      <c r="G20" s="1041">
        <f>SUBTOTAL(9,G5:G19)</f>
        <v>909374.17</v>
      </c>
      <c r="H20" s="1041"/>
      <c r="I20" s="1033"/>
      <c r="J20" s="1046">
        <f>SUBTOTAL(9,J5:J19)</f>
        <v>693387.59</v>
      </c>
      <c r="K20" s="1046">
        <f>SUBTOTAL(9,K5:K19)</f>
        <v>126042.59</v>
      </c>
      <c r="L20" s="1046">
        <f>SUBTOTAL(9,L5:L19)</f>
        <v>819430.18000000028</v>
      </c>
      <c r="M20" s="1046">
        <f>SUBTOTAL(9,M5:M19)</f>
        <v>0</v>
      </c>
      <c r="O20" s="193" t="s">
        <v>1126</v>
      </c>
      <c r="P20" s="27" t="s">
        <v>700</v>
      </c>
      <c r="Q20" s="25">
        <v>0.97</v>
      </c>
      <c r="R20" s="25">
        <v>1.05</v>
      </c>
      <c r="S20" s="1198">
        <f>SUMIF('Elect BOQ'!D:D,'Summary-E'!O20,'Elect BOQ'!AE:AE)</f>
        <v>25500.120000000003</v>
      </c>
      <c r="T20" s="1198">
        <f>SUMIF('Elect BOQ'!D:D,'Summary-E'!O20,'Elect BOQ'!AF:AF)</f>
        <v>3188.68</v>
      </c>
    </row>
    <row r="21" spans="1:21" s="343" customFormat="1" ht="21" customHeight="1">
      <c r="A21" s="268"/>
      <c r="B21" s="269"/>
      <c r="C21" s="270"/>
      <c r="D21" s="271"/>
      <c r="E21" s="306"/>
      <c r="F21" s="170"/>
      <c r="G21" s="170"/>
      <c r="H21" s="272"/>
      <c r="J21" s="280"/>
      <c r="K21" s="280"/>
      <c r="L21" s="281"/>
      <c r="M21" s="280"/>
      <c r="O21" s="193" t="s">
        <v>1127</v>
      </c>
      <c r="P21" s="27" t="s">
        <v>474</v>
      </c>
      <c r="Q21" s="25">
        <v>0.97</v>
      </c>
      <c r="R21" s="25">
        <v>1.05</v>
      </c>
      <c r="S21" s="1198">
        <f>SUMIF('Elect BOQ'!D:D,'Summary-E'!O21,'Elect BOQ'!AE:AE)</f>
        <v>10512.529999999999</v>
      </c>
      <c r="T21" s="1198">
        <f>SUMIF('Elect BOQ'!D:D,'Summary-E'!O21,'Elect BOQ'!AF:AF)</f>
        <v>3452.4799999999991</v>
      </c>
    </row>
    <row r="22" spans="1:21" s="1" customFormat="1" ht="21" customHeight="1">
      <c r="A22" s="261" t="s">
        <v>404</v>
      </c>
      <c r="B22" s="262" t="str">
        <f>'Elect BOQ'!B24</f>
        <v>OFFICE AREA</v>
      </c>
      <c r="C22" s="165"/>
      <c r="D22" s="32"/>
      <c r="E22" s="305"/>
      <c r="F22" s="33"/>
      <c r="G22" s="33"/>
      <c r="H22" s="260"/>
      <c r="I22" s="343"/>
      <c r="J22" s="282"/>
      <c r="K22" s="282"/>
      <c r="L22" s="283"/>
      <c r="M22" s="282"/>
      <c r="N22" s="2"/>
      <c r="O22" s="23" t="s">
        <v>154</v>
      </c>
      <c r="P22" s="27" t="s">
        <v>155</v>
      </c>
      <c r="Q22" s="25">
        <v>0.97</v>
      </c>
      <c r="R22" s="25">
        <v>1.05</v>
      </c>
      <c r="S22" s="1198">
        <f>SUMIF('Elect BOQ'!D:D,'Summary-E'!O22,'Elect BOQ'!AE:AE)</f>
        <v>6252</v>
      </c>
      <c r="T22" s="1198">
        <f>SUMIF('Elect BOQ'!D:D,'Summary-E'!O22,'Elect BOQ'!AF:AF)</f>
        <v>560.69999999999993</v>
      </c>
      <c r="U22" s="2"/>
    </row>
    <row r="23" spans="1:21" s="1" customFormat="1" ht="21" customHeight="1">
      <c r="A23" s="294">
        <v>1</v>
      </c>
      <c r="B23" s="423" t="str">
        <f>'Elect BOQ'!B25</f>
        <v>HIGH VOLTAGE SYSTEM</v>
      </c>
      <c r="C23" s="424"/>
      <c r="D23" s="295" t="s">
        <v>216</v>
      </c>
      <c r="E23" s="304">
        <v>1</v>
      </c>
      <c r="F23" s="427"/>
      <c r="G23" s="293">
        <f>'Elect BOQ'!H25</f>
        <v>0</v>
      </c>
      <c r="H23" s="908" t="s">
        <v>713</v>
      </c>
      <c r="I23" s="343"/>
      <c r="J23" s="909">
        <f>'Elect BOQ'!AE25</f>
        <v>0</v>
      </c>
      <c r="K23" s="909">
        <f>'Elect BOQ'!AF25</f>
        <v>0</v>
      </c>
      <c r="L23" s="910">
        <f>K23+J23</f>
        <v>0</v>
      </c>
      <c r="M23" s="909">
        <f>'Elect BOQ'!AM25</f>
        <v>0</v>
      </c>
      <c r="N23" s="2"/>
      <c r="O23" s="193" t="s">
        <v>1121</v>
      </c>
      <c r="P23" s="27" t="s">
        <v>200</v>
      </c>
      <c r="Q23" s="25">
        <v>0.97</v>
      </c>
      <c r="R23" s="25">
        <v>1.05</v>
      </c>
      <c r="S23" s="1198">
        <f>SUMIF('Elect BOQ'!D:D,'Summary-E'!O23,'Elect BOQ'!AE:AE)</f>
        <v>14201.02</v>
      </c>
      <c r="T23" s="1198">
        <f>SUMIF('Elect BOQ'!D:D,'Summary-E'!O23,'Elect BOQ'!AF:AF)</f>
        <v>4861.83</v>
      </c>
    </row>
    <row r="24" spans="1:21" s="1" customFormat="1" ht="21" customHeight="1">
      <c r="A24" s="294">
        <f t="shared" ref="A24:A33" si="2">A23+1</f>
        <v>2</v>
      </c>
      <c r="B24" s="423" t="str">
        <f>'Elect BOQ'!B26</f>
        <v>LV MAIN SYSTEM</v>
      </c>
      <c r="C24" s="424"/>
      <c r="D24" s="295" t="s">
        <v>216</v>
      </c>
      <c r="E24" s="304">
        <v>1</v>
      </c>
      <c r="F24" s="427"/>
      <c r="G24" s="293">
        <f>'Elect BOQ'!H26</f>
        <v>0</v>
      </c>
      <c r="H24" s="908" t="s">
        <v>713</v>
      </c>
      <c r="I24" s="343"/>
      <c r="J24" s="909">
        <f>'Elect BOQ'!AE26</f>
        <v>0</v>
      </c>
      <c r="K24" s="909">
        <f>'Elect BOQ'!AF26</f>
        <v>0</v>
      </c>
      <c r="L24" s="910">
        <f t="shared" ref="L24:L33" si="3">K24+J24</f>
        <v>0</v>
      </c>
      <c r="M24" s="909">
        <f>'Elect BOQ'!AM26</f>
        <v>0</v>
      </c>
      <c r="N24" s="2"/>
      <c r="O24" s="193" t="s">
        <v>1115</v>
      </c>
      <c r="P24" s="27" t="s">
        <v>1116</v>
      </c>
      <c r="Q24" s="25">
        <v>0.97</v>
      </c>
      <c r="R24" s="25">
        <v>1.05</v>
      </c>
      <c r="S24" s="1198">
        <f>SUMIF('Elect BOQ'!D:D,'Summary-E'!O24,'Elect BOQ'!AE:AE)</f>
        <v>23387.699999999993</v>
      </c>
      <c r="T24" s="1198">
        <f>SUMIF('Elect BOQ'!D:D,'Summary-E'!O24,'Elect BOQ'!AF:AF)</f>
        <v>2544.9499999999998</v>
      </c>
    </row>
    <row r="25" spans="1:21" s="1" customFormat="1" ht="21" customHeight="1">
      <c r="A25" s="294">
        <f t="shared" si="2"/>
        <v>3</v>
      </c>
      <c r="B25" s="423" t="str">
        <f>'Elect BOQ'!B27</f>
        <v>SUBMAIN SYSTEM</v>
      </c>
      <c r="C25" s="424"/>
      <c r="D25" s="295" t="s">
        <v>216</v>
      </c>
      <c r="E25" s="304">
        <v>1</v>
      </c>
      <c r="F25" s="427"/>
      <c r="G25" s="293">
        <f>'Elect BOQ'!H27</f>
        <v>16710.97</v>
      </c>
      <c r="H25" s="427"/>
      <c r="I25" s="343"/>
      <c r="J25" s="909">
        <f>'Elect BOQ'!AE27</f>
        <v>10462.379999999999</v>
      </c>
      <c r="K25" s="909">
        <f>'Elect BOQ'!AF27</f>
        <v>4256.6400000000003</v>
      </c>
      <c r="L25" s="910">
        <f t="shared" si="3"/>
        <v>14719.02</v>
      </c>
      <c r="M25" s="909">
        <f>'Elect BOQ'!AM27</f>
        <v>0</v>
      </c>
      <c r="N25" s="2"/>
      <c r="O25" s="193" t="s">
        <v>1123</v>
      </c>
      <c r="P25" s="27" t="s">
        <v>201</v>
      </c>
      <c r="Q25" s="25">
        <v>0.97</v>
      </c>
      <c r="R25" s="25">
        <v>1.05</v>
      </c>
      <c r="S25" s="1198">
        <f>SUMIF('Elect BOQ'!D:D,'Summary-E'!O25,'Elect BOQ'!AE:AE)</f>
        <v>10987.990000000002</v>
      </c>
      <c r="T25" s="1198">
        <f>SUMIF('Elect BOQ'!D:D,'Summary-E'!O25,'Elect BOQ'!AF:AF)</f>
        <v>1267.8500000000004</v>
      </c>
    </row>
    <row r="26" spans="1:21" s="1" customFormat="1" ht="21" customHeight="1">
      <c r="A26" s="294">
        <f t="shared" si="2"/>
        <v>4</v>
      </c>
      <c r="B26" s="423" t="str">
        <f>'Elect BOQ'!B28</f>
        <v xml:space="preserve">POWER SUPPLY TO PRODUCTION </v>
      </c>
      <c r="C26" s="424"/>
      <c r="D26" s="295" t="s">
        <v>216</v>
      </c>
      <c r="E26" s="304">
        <v>1</v>
      </c>
      <c r="F26" s="427"/>
      <c r="G26" s="293">
        <f>'Elect BOQ'!H28</f>
        <v>0</v>
      </c>
      <c r="H26" s="908" t="s">
        <v>713</v>
      </c>
      <c r="I26" s="343"/>
      <c r="J26" s="909">
        <f>'Elect BOQ'!AE28</f>
        <v>0</v>
      </c>
      <c r="K26" s="909">
        <f>'Elect BOQ'!AF28</f>
        <v>0</v>
      </c>
      <c r="L26" s="910">
        <f t="shared" si="3"/>
        <v>0</v>
      </c>
      <c r="M26" s="909">
        <f>'Elect BOQ'!AM28</f>
        <v>0</v>
      </c>
      <c r="N26" s="2"/>
      <c r="O26" s="23">
        <v>161</v>
      </c>
      <c r="P26" s="27" t="s">
        <v>202</v>
      </c>
      <c r="Q26" s="25">
        <v>0.97</v>
      </c>
      <c r="R26" s="25">
        <v>1.05</v>
      </c>
      <c r="S26" s="1198">
        <f>SUMIF('Elect BOQ'!D:D,'Summary-E'!O26,'Elect BOQ'!AE:AE)</f>
        <v>45122.71</v>
      </c>
      <c r="T26" s="1198">
        <f>SUMIF('Elect BOQ'!D:D,'Summary-E'!O26,'Elect BOQ'!AF:AF)</f>
        <v>8986.07</v>
      </c>
    </row>
    <row r="27" spans="1:21" s="1" customFormat="1" ht="21" customHeight="1">
      <c r="A27" s="294">
        <f t="shared" si="2"/>
        <v>5</v>
      </c>
      <c r="B27" s="423" t="str">
        <f>'Elect BOQ'!B29</f>
        <v>EMERGENCY POWER BACK-UP GENERATOR (Open type - Noise Level 105 dB)</v>
      </c>
      <c r="C27" s="424"/>
      <c r="D27" s="295" t="s">
        <v>216</v>
      </c>
      <c r="E27" s="304">
        <v>1</v>
      </c>
      <c r="F27" s="427"/>
      <c r="G27" s="293">
        <f>'Elect BOQ'!H29</f>
        <v>0</v>
      </c>
      <c r="H27" s="908" t="s">
        <v>713</v>
      </c>
      <c r="I27" s="343"/>
      <c r="J27" s="909">
        <f>'Elect BOQ'!AE29</f>
        <v>0</v>
      </c>
      <c r="K27" s="909">
        <f>'Elect BOQ'!AF29</f>
        <v>0</v>
      </c>
      <c r="L27" s="910">
        <f t="shared" si="3"/>
        <v>0</v>
      </c>
      <c r="M27" s="909">
        <f>'Elect BOQ'!AM29</f>
        <v>0</v>
      </c>
      <c r="N27" s="2"/>
      <c r="O27" s="193" t="s">
        <v>673</v>
      </c>
      <c r="P27" s="27" t="s">
        <v>203</v>
      </c>
      <c r="Q27" s="25">
        <v>0.97</v>
      </c>
      <c r="R27" s="25">
        <v>1.05</v>
      </c>
      <c r="S27" s="1198">
        <f>SUMIF('Elect BOQ'!D:D,'Summary-E'!O27,'Elect BOQ'!AE:AE)</f>
        <v>33629.810000000005</v>
      </c>
      <c r="T27" s="1198">
        <f>SUMIF('Elect BOQ'!D:D,'Summary-E'!O27,'Elect BOQ'!AF:AF)</f>
        <v>1890</v>
      </c>
    </row>
    <row r="28" spans="1:21" s="1" customFormat="1" ht="21" customHeight="1">
      <c r="A28" s="294">
        <f t="shared" si="2"/>
        <v>6</v>
      </c>
      <c r="B28" s="423" t="str">
        <f>'Elect BOQ'!B30</f>
        <v>LIGHTING SYSTEM &amp; SOCKET OUTLET</v>
      </c>
      <c r="C28" s="424"/>
      <c r="D28" s="295" t="s">
        <v>216</v>
      </c>
      <c r="E28" s="304">
        <v>1</v>
      </c>
      <c r="F28" s="427"/>
      <c r="G28" s="293">
        <f>'Elect BOQ'!H30</f>
        <v>59264.570000000007</v>
      </c>
      <c r="H28" s="427"/>
      <c r="I28" s="343"/>
      <c r="J28" s="909">
        <f>'Elect BOQ'!AE30</f>
        <v>46895.62999999999</v>
      </c>
      <c r="K28" s="909">
        <f>'Elect BOQ'!AF30</f>
        <v>7453.63</v>
      </c>
      <c r="L28" s="910">
        <f t="shared" si="3"/>
        <v>54349.259999999987</v>
      </c>
      <c r="M28" s="909">
        <f>'Elect BOQ'!AM30</f>
        <v>0</v>
      </c>
      <c r="N28" s="2"/>
      <c r="O28" s="193" t="s">
        <v>132</v>
      </c>
      <c r="P28" s="27" t="s">
        <v>204</v>
      </c>
      <c r="Q28" s="25">
        <v>0.97</v>
      </c>
      <c r="R28" s="25">
        <v>1.05</v>
      </c>
      <c r="S28" s="1198">
        <f>SUMIF('Elect BOQ'!D:D,'Summary-E'!O28,'Elect BOQ'!AE:AE)</f>
        <v>196200.48999999993</v>
      </c>
      <c r="T28" s="1198">
        <f>SUMIF('Elect BOQ'!D:D,'Summary-E'!O28,'Elect BOQ'!AF:AF)</f>
        <v>9129.75</v>
      </c>
    </row>
    <row r="29" spans="1:21" s="1" customFormat="1" ht="21" customHeight="1">
      <c r="A29" s="294">
        <f t="shared" si="2"/>
        <v>7</v>
      </c>
      <c r="B29" s="423" t="str">
        <f>'Elect BOQ'!B31</f>
        <v>ELECTRICAL FOR MECHANICAL EQUIPMENT (A.C, FAN, AIR COMP., PUMPS)</v>
      </c>
      <c r="C29" s="424"/>
      <c r="D29" s="295" t="s">
        <v>216</v>
      </c>
      <c r="E29" s="304">
        <v>1</v>
      </c>
      <c r="F29" s="427"/>
      <c r="G29" s="293">
        <f>'Elect BOQ'!H31</f>
        <v>15654.150000000001</v>
      </c>
      <c r="H29" s="427"/>
      <c r="I29" s="343"/>
      <c r="J29" s="909">
        <f>'Elect BOQ'!AE31</f>
        <v>11886.04</v>
      </c>
      <c r="K29" s="909">
        <f>'Elect BOQ'!AF31</f>
        <v>2089.79</v>
      </c>
      <c r="L29" s="910">
        <f t="shared" si="3"/>
        <v>13975.830000000002</v>
      </c>
      <c r="M29" s="909">
        <f>'Elect BOQ'!AM31</f>
        <v>0</v>
      </c>
      <c r="N29" s="2"/>
      <c r="O29" s="23" t="s">
        <v>205</v>
      </c>
      <c r="P29" s="27" t="s">
        <v>206</v>
      </c>
      <c r="Q29" s="25">
        <v>0.97</v>
      </c>
      <c r="R29" s="25">
        <v>1.05</v>
      </c>
      <c r="S29" s="1198">
        <f>SUMIF('Elect BOQ'!D:D,'Summary-E'!O29,'Elect BOQ'!AE:AE)</f>
        <v>0</v>
      </c>
      <c r="T29" s="1198">
        <f>SUMIF('Elect BOQ'!D:D,'Summary-E'!O29,'Elect BOQ'!AF:AF)</f>
        <v>0</v>
      </c>
    </row>
    <row r="30" spans="1:21" s="1" customFormat="1" ht="21" customHeight="1">
      <c r="A30" s="294">
        <f t="shared" si="2"/>
        <v>8</v>
      </c>
      <c r="B30" s="423" t="str">
        <f>'Elect BOQ'!B32</f>
        <v>TELEPHONE SYSTEM EMPTY CONDUIT</v>
      </c>
      <c r="C30" s="424"/>
      <c r="D30" s="295" t="s">
        <v>216</v>
      </c>
      <c r="E30" s="304">
        <v>1</v>
      </c>
      <c r="F30" s="427"/>
      <c r="G30" s="293">
        <f>'Elect BOQ'!H32</f>
        <v>7495.579999999999</v>
      </c>
      <c r="H30" s="427"/>
      <c r="I30" s="343"/>
      <c r="J30" s="909">
        <f>'Elect BOQ'!AE32</f>
        <v>5796.59</v>
      </c>
      <c r="K30" s="909">
        <f>'Elect BOQ'!AF32</f>
        <v>956.2600000000001</v>
      </c>
      <c r="L30" s="910">
        <f t="shared" si="3"/>
        <v>6752.85</v>
      </c>
      <c r="M30" s="909">
        <f>'Elect BOQ'!AM32</f>
        <v>0</v>
      </c>
      <c r="N30" s="2"/>
      <c r="O30" s="193" t="s">
        <v>636</v>
      </c>
      <c r="P30" s="276" t="s">
        <v>637</v>
      </c>
      <c r="Q30" s="25">
        <v>0.97</v>
      </c>
      <c r="R30" s="25">
        <v>1.05</v>
      </c>
      <c r="S30" s="1198">
        <f>SUMIF('Elect BOQ'!D:D,'Summary-E'!O30,'Elect BOQ'!AE:AE)</f>
        <v>0</v>
      </c>
      <c r="T30" s="1198">
        <f>SUMIF('Elect BOQ'!D:D,'Summary-E'!O30,'Elect BOQ'!AF:AF)</f>
        <v>0</v>
      </c>
    </row>
    <row r="31" spans="1:21" s="1" customFormat="1" ht="21" customHeight="1">
      <c r="A31" s="294">
        <f t="shared" si="2"/>
        <v>9</v>
      </c>
      <c r="B31" s="423" t="str">
        <f>'Elect BOQ'!B33</f>
        <v xml:space="preserve">LAN SYSTEM EMPTY CONDUIT </v>
      </c>
      <c r="C31" s="424"/>
      <c r="D31" s="295" t="s">
        <v>216</v>
      </c>
      <c r="E31" s="304">
        <v>1</v>
      </c>
      <c r="F31" s="427"/>
      <c r="G31" s="293">
        <f>'Elect BOQ'!H33</f>
        <v>3444.63</v>
      </c>
      <c r="H31" s="427"/>
      <c r="I31" s="343"/>
      <c r="J31" s="909">
        <f>'Elect BOQ'!AE33</f>
        <v>2180.9</v>
      </c>
      <c r="K31" s="909">
        <f>'Elect BOQ'!AF33</f>
        <v>857.61</v>
      </c>
      <c r="L31" s="910">
        <f t="shared" si="3"/>
        <v>3038.51</v>
      </c>
      <c r="M31" s="909">
        <f>'Elect BOQ'!AM33</f>
        <v>0</v>
      </c>
      <c r="N31" s="2"/>
      <c r="O31" s="279" t="s">
        <v>638</v>
      </c>
      <c r="P31" s="276" t="s">
        <v>639</v>
      </c>
      <c r="Q31" s="25">
        <v>0.97</v>
      </c>
      <c r="R31" s="25">
        <v>1.05</v>
      </c>
      <c r="S31" s="1198">
        <f>SUMIF('Elect BOQ'!D:D,'Summary-E'!O31,'Elect BOQ'!AE:AE)</f>
        <v>0</v>
      </c>
      <c r="T31" s="1198">
        <f>SUMIF('Elect BOQ'!D:D,'Summary-E'!O31,'Elect BOQ'!AF:AF)</f>
        <v>0</v>
      </c>
    </row>
    <row r="32" spans="1:21" s="1" customFormat="1" ht="21" customHeight="1">
      <c r="A32" s="294">
        <f t="shared" si="2"/>
        <v>10</v>
      </c>
      <c r="B32" s="423" t="str">
        <f>'Elect BOQ'!B34</f>
        <v>PUBLIC ADDRESS SYSTEM</v>
      </c>
      <c r="C32" s="424"/>
      <c r="D32" s="295" t="s">
        <v>216</v>
      </c>
      <c r="E32" s="304">
        <v>1</v>
      </c>
      <c r="F32" s="427"/>
      <c r="G32" s="293">
        <f>'Elect BOQ'!H34</f>
        <v>14128.21</v>
      </c>
      <c r="H32" s="427"/>
      <c r="I32" s="343"/>
      <c r="J32" s="909">
        <f>'Elect BOQ'!AE34</f>
        <v>11685.769999999999</v>
      </c>
      <c r="K32" s="909">
        <f>'Elect BOQ'!AF34</f>
        <v>1498.06</v>
      </c>
      <c r="L32" s="910">
        <f t="shared" si="3"/>
        <v>13183.829999999998</v>
      </c>
      <c r="M32" s="909">
        <f>'Elect BOQ'!AM34</f>
        <v>0</v>
      </c>
      <c r="N32" s="2"/>
      <c r="O32" s="193" t="s">
        <v>1129</v>
      </c>
      <c r="P32" s="276" t="s">
        <v>640</v>
      </c>
      <c r="Q32" s="25">
        <v>0.97</v>
      </c>
      <c r="R32" s="25">
        <v>1.05</v>
      </c>
      <c r="S32" s="1198">
        <f>SUMIF('Elect BOQ'!D:D,'Summary-E'!O32,'Elect BOQ'!AE:AE)</f>
        <v>13244.479999999998</v>
      </c>
      <c r="T32" s="1198">
        <f>SUMIF('Elect BOQ'!D:D,'Summary-E'!O32,'Elect BOQ'!AF:AF)</f>
        <v>1722</v>
      </c>
    </row>
    <row r="33" spans="1:21" s="1" customFormat="1" ht="21" customHeight="1">
      <c r="A33" s="294">
        <f t="shared" si="2"/>
        <v>11</v>
      </c>
      <c r="B33" s="423" t="str">
        <f>'Elect BOQ'!B35</f>
        <v>FIRE ALARM SYSTEM</v>
      </c>
      <c r="C33" s="424"/>
      <c r="D33" s="295" t="s">
        <v>216</v>
      </c>
      <c r="E33" s="304">
        <v>1</v>
      </c>
      <c r="F33" s="427"/>
      <c r="G33" s="293">
        <f>'Elect BOQ'!H35</f>
        <v>9776.07</v>
      </c>
      <c r="H33" s="427"/>
      <c r="I33" s="343"/>
      <c r="J33" s="909">
        <f>'Elect BOQ'!AE35</f>
        <v>7584.41</v>
      </c>
      <c r="K33" s="909">
        <f>'Elect BOQ'!AF35</f>
        <v>1334.4</v>
      </c>
      <c r="L33" s="910">
        <f t="shared" si="3"/>
        <v>8918.81</v>
      </c>
      <c r="M33" s="909">
        <f>'Elect BOQ'!AM35</f>
        <v>0</v>
      </c>
      <c r="N33" s="2"/>
      <c r="O33" s="193" t="s">
        <v>1130</v>
      </c>
      <c r="P33" s="276" t="s">
        <v>641</v>
      </c>
      <c r="Q33" s="25">
        <v>0.97</v>
      </c>
      <c r="R33" s="25">
        <v>1.05</v>
      </c>
      <c r="S33" s="1198">
        <f>SUMIF('Elect BOQ'!D:D,'Summary-E'!O33,'Elect BOQ'!AE:AE)</f>
        <v>9658.9500000000007</v>
      </c>
      <c r="T33" s="1198">
        <f>SUMIF('Elect BOQ'!D:D,'Summary-E'!O33,'Elect BOQ'!AF:AF)</f>
        <v>493.7</v>
      </c>
    </row>
    <row r="34" spans="1:21" s="1034" customFormat="1" ht="21" customHeight="1">
      <c r="A34" s="205"/>
      <c r="B34" s="164"/>
      <c r="C34" s="165"/>
      <c r="D34" s="32"/>
      <c r="E34" s="305"/>
      <c r="F34" s="33"/>
      <c r="G34" s="33"/>
      <c r="H34" s="260"/>
      <c r="I34" s="343"/>
      <c r="J34" s="284"/>
      <c r="K34" s="284"/>
      <c r="L34" s="285"/>
      <c r="M34" s="284"/>
      <c r="N34" s="1036"/>
      <c r="O34" s="1035" t="s">
        <v>642</v>
      </c>
      <c r="P34" s="552" t="s">
        <v>1131</v>
      </c>
      <c r="Q34" s="25">
        <v>0.97</v>
      </c>
      <c r="R34" s="25">
        <v>1.05</v>
      </c>
      <c r="S34" s="1198">
        <f>SUMIF('Elect BOQ'!D:D,'Summary-E'!O34,'Elect BOQ'!AE:AE)</f>
        <v>23687.8</v>
      </c>
      <c r="T34" s="1198">
        <f>SUMIF('Elect BOQ'!D:D,'Summary-E'!O34,'Elect BOQ'!AF:AF)</f>
        <v>547.04999999999995</v>
      </c>
    </row>
    <row r="35" spans="1:21" s="1" customFormat="1" ht="21" customHeight="1">
      <c r="A35" s="1038"/>
      <c r="B35" s="966" t="s">
        <v>907</v>
      </c>
      <c r="C35" s="1039"/>
      <c r="D35" s="1040"/>
      <c r="E35" s="1045"/>
      <c r="F35" s="1041"/>
      <c r="G35" s="1041">
        <f>SUBTOTAL(9,G22:G34)</f>
        <v>126474.18000000002</v>
      </c>
      <c r="H35" s="1041"/>
      <c r="I35" s="1033"/>
      <c r="J35" s="1046">
        <f t="shared" ref="J35:M35" si="4">SUBTOTAL(9,J22:J34)</f>
        <v>96491.719999999987</v>
      </c>
      <c r="K35" s="1046">
        <f t="shared" si="4"/>
        <v>18446.390000000003</v>
      </c>
      <c r="L35" s="1046">
        <f t="shared" si="4"/>
        <v>114938.10999999999</v>
      </c>
      <c r="M35" s="1046">
        <f t="shared" si="4"/>
        <v>0</v>
      </c>
      <c r="N35" s="2"/>
      <c r="O35" s="279" t="s">
        <v>643</v>
      </c>
      <c r="P35" s="276" t="s">
        <v>644</v>
      </c>
      <c r="Q35" s="25">
        <v>0.97</v>
      </c>
      <c r="R35" s="25">
        <v>1.05</v>
      </c>
      <c r="S35" s="1198">
        <f>SUMIF('Elect BOQ'!D:D,'Summary-E'!O35,'Elect BOQ'!AE:AE)</f>
        <v>0</v>
      </c>
      <c r="T35" s="1198">
        <f>SUMIF('Elect BOQ'!D:D,'Summary-E'!O35,'Elect BOQ'!AF:AF)</f>
        <v>0</v>
      </c>
    </row>
    <row r="36" spans="1:21" s="646" customFormat="1" ht="21" customHeight="1">
      <c r="A36" s="205"/>
      <c r="B36" s="273"/>
      <c r="C36" s="165"/>
      <c r="D36" s="32"/>
      <c r="E36" s="305"/>
      <c r="F36" s="33"/>
      <c r="G36" s="33"/>
      <c r="H36" s="260"/>
      <c r="I36" s="343"/>
      <c r="J36" s="280"/>
      <c r="K36" s="280"/>
      <c r="L36" s="281"/>
      <c r="M36" s="280"/>
      <c r="O36" s="23" t="s">
        <v>207</v>
      </c>
      <c r="P36" s="27" t="s">
        <v>208</v>
      </c>
      <c r="Q36" s="25">
        <v>0.97</v>
      </c>
      <c r="R36" s="25">
        <v>1.05</v>
      </c>
      <c r="S36" s="1198">
        <f>SUMIF('Elect BOQ'!D:D,'Summary-E'!O36,'Elect BOQ'!AE:AE)</f>
        <v>0</v>
      </c>
      <c r="T36" s="1198">
        <f>SUMIF('Elect BOQ'!D:D,'Summary-E'!O36,'Elect BOQ'!AF:AF)</f>
        <v>0</v>
      </c>
      <c r="U36" s="647"/>
    </row>
    <row r="37" spans="1:21" s="1" customFormat="1" ht="21" customHeight="1">
      <c r="A37" s="261" t="s">
        <v>478</v>
      </c>
      <c r="B37" s="262" t="s">
        <v>906</v>
      </c>
      <c r="C37" s="165"/>
      <c r="D37" s="32"/>
      <c r="E37" s="305"/>
      <c r="F37" s="33"/>
      <c r="G37" s="33"/>
      <c r="H37" s="297"/>
      <c r="I37" s="343"/>
      <c r="J37" s="282"/>
      <c r="K37" s="282"/>
      <c r="L37" s="283"/>
      <c r="M37" s="282"/>
      <c r="N37" s="2"/>
      <c r="O37" s="193" t="s">
        <v>1128</v>
      </c>
      <c r="P37" s="27" t="s">
        <v>209</v>
      </c>
      <c r="Q37" s="25">
        <v>0.97</v>
      </c>
      <c r="R37" s="25">
        <v>1.05</v>
      </c>
      <c r="S37" s="1198">
        <f>SUMIF('Elect BOQ'!D:D,'Summary-E'!O37,'Elect BOQ'!AE:AE)</f>
        <v>0</v>
      </c>
      <c r="T37" s="1198">
        <f>SUMIF('Elect BOQ'!D:D,'Summary-E'!O37,'Elect BOQ'!AF:AF)</f>
        <v>0</v>
      </c>
      <c r="U37" s="274"/>
    </row>
    <row r="38" spans="1:21" s="1" customFormat="1" ht="21" customHeight="1">
      <c r="A38" s="918" t="s">
        <v>405</v>
      </c>
      <c r="B38" s="919" t="str">
        <f>'Elect BOQ'!B40</f>
        <v>HIGH VOLTAGE SYSTEM</v>
      </c>
      <c r="C38" s="911"/>
      <c r="D38" s="295" t="s">
        <v>216</v>
      </c>
      <c r="E38" s="304">
        <v>1</v>
      </c>
      <c r="F38" s="914"/>
      <c r="G38" s="914">
        <f>'Elect BOQ'!H40</f>
        <v>0</v>
      </c>
      <c r="H38" s="908" t="s">
        <v>713</v>
      </c>
      <c r="I38" s="343"/>
      <c r="J38" s="282">
        <f>'Elect BOQ'!AE40</f>
        <v>0</v>
      </c>
      <c r="K38" s="282">
        <f>'Elect BOQ'!AF40</f>
        <v>0</v>
      </c>
      <c r="L38" s="910">
        <f>K38+J38</f>
        <v>0</v>
      </c>
      <c r="M38" s="282">
        <f>'Elect BOQ'!AM40</f>
        <v>0</v>
      </c>
      <c r="N38" s="2"/>
      <c r="O38" s="23" t="s">
        <v>210</v>
      </c>
      <c r="P38" s="27" t="s">
        <v>386</v>
      </c>
      <c r="Q38" s="25">
        <v>0.97</v>
      </c>
      <c r="R38" s="25">
        <v>1.05</v>
      </c>
      <c r="S38" s="1198">
        <f>SUMIF('Elect BOQ'!D:D,'Summary-E'!O38,'Elect BOQ'!AE:AE)</f>
        <v>4306.71</v>
      </c>
      <c r="T38" s="1198">
        <f>SUMIF('Elect BOQ'!D:D,'Summary-E'!O38,'Elect BOQ'!AF:AF)</f>
        <v>525</v>
      </c>
    </row>
    <row r="39" spans="1:21" s="1" customFormat="1" ht="21" customHeight="1">
      <c r="A39" s="918" t="s">
        <v>406</v>
      </c>
      <c r="B39" s="919" t="str">
        <f>'Elect BOQ'!B41</f>
        <v>LV MAIN SYSTEM</v>
      </c>
      <c r="C39" s="911"/>
      <c r="D39" s="295" t="s">
        <v>216</v>
      </c>
      <c r="E39" s="304">
        <v>1</v>
      </c>
      <c r="F39" s="914"/>
      <c r="G39" s="914">
        <f>'Elect BOQ'!H41</f>
        <v>0</v>
      </c>
      <c r="H39" s="908" t="s">
        <v>713</v>
      </c>
      <c r="I39" s="343"/>
      <c r="J39" s="282">
        <f>'Elect BOQ'!AE41</f>
        <v>0</v>
      </c>
      <c r="K39" s="282">
        <f>'Elect BOQ'!AF41</f>
        <v>0</v>
      </c>
      <c r="L39" s="910">
        <f t="shared" ref="L39:L48" si="5">K39+J39</f>
        <v>0</v>
      </c>
      <c r="M39" s="282">
        <f>'Elect BOQ'!AM41</f>
        <v>0</v>
      </c>
      <c r="N39" s="2"/>
      <c r="O39" s="23" t="s">
        <v>211</v>
      </c>
      <c r="P39" s="27" t="s">
        <v>212</v>
      </c>
      <c r="Q39" s="25">
        <v>0.97</v>
      </c>
      <c r="R39" s="25">
        <v>1.05</v>
      </c>
      <c r="S39" s="1198">
        <f>SUMIF('Elect BOQ'!D:D,'Summary-E'!O39,'Elect BOQ'!AE:AE)</f>
        <v>3395</v>
      </c>
      <c r="T39" s="1198">
        <f>SUMIF('Elect BOQ'!D:D,'Summary-E'!O39,'Elect BOQ'!AF:AF)</f>
        <v>840</v>
      </c>
    </row>
    <row r="40" spans="1:21" s="1" customFormat="1" ht="21" customHeight="1">
      <c r="A40" s="918" t="s">
        <v>408</v>
      </c>
      <c r="B40" s="919" t="str">
        <f>'Elect BOQ'!B42</f>
        <v>SUBMAIN SYSTEM</v>
      </c>
      <c r="C40" s="911"/>
      <c r="D40" s="295" t="s">
        <v>216</v>
      </c>
      <c r="E40" s="304">
        <v>1</v>
      </c>
      <c r="F40" s="914"/>
      <c r="G40" s="914">
        <f>'Elect BOQ'!H42</f>
        <v>14224.919999999998</v>
      </c>
      <c r="H40" s="915"/>
      <c r="I40" s="343"/>
      <c r="J40" s="282">
        <f>'Elect BOQ'!AE42</f>
        <v>9849.9700000000012</v>
      </c>
      <c r="K40" s="282">
        <f>'Elect BOQ'!AF42</f>
        <v>2992.34</v>
      </c>
      <c r="L40" s="910">
        <f t="shared" si="5"/>
        <v>12842.310000000001</v>
      </c>
      <c r="M40" s="282">
        <f>'Elect BOQ'!AM42</f>
        <v>0</v>
      </c>
      <c r="N40" s="2"/>
      <c r="O40" s="279" t="s">
        <v>645</v>
      </c>
      <c r="P40" s="1215" t="s">
        <v>1133</v>
      </c>
      <c r="Q40" s="25">
        <v>0.97</v>
      </c>
      <c r="R40" s="25">
        <v>1.05</v>
      </c>
      <c r="S40" s="1198">
        <f>SUMIF('Elect BOQ'!D:D,'Summary-E'!O40,'Elect BOQ'!AE:AE)</f>
        <v>0</v>
      </c>
      <c r="T40" s="1198">
        <f>SUMIF('Elect BOQ'!D:D,'Summary-E'!O40,'Elect BOQ'!AF:AF)</f>
        <v>0</v>
      </c>
    </row>
    <row r="41" spans="1:21" s="1" customFormat="1" ht="21" customHeight="1">
      <c r="A41" s="918" t="s">
        <v>410</v>
      </c>
      <c r="B41" s="919" t="str">
        <f>'Elect BOQ'!B43</f>
        <v xml:space="preserve">POWER SUPPLY TO PRODUCTION </v>
      </c>
      <c r="C41" s="911"/>
      <c r="D41" s="295" t="s">
        <v>216</v>
      </c>
      <c r="E41" s="304">
        <v>1</v>
      </c>
      <c r="F41" s="914"/>
      <c r="G41" s="914">
        <f>'Elect BOQ'!H43</f>
        <v>0</v>
      </c>
      <c r="H41" s="908" t="s">
        <v>713</v>
      </c>
      <c r="I41" s="343"/>
      <c r="J41" s="282">
        <f>'Elect BOQ'!AE43</f>
        <v>0</v>
      </c>
      <c r="K41" s="282">
        <f>'Elect BOQ'!AF43</f>
        <v>0</v>
      </c>
      <c r="L41" s="910">
        <f t="shared" si="5"/>
        <v>0</v>
      </c>
      <c r="M41" s="282">
        <f>'Elect BOQ'!AM43</f>
        <v>0</v>
      </c>
      <c r="N41" s="2"/>
      <c r="O41" s="279" t="s">
        <v>646</v>
      </c>
      <c r="P41" s="276" t="s">
        <v>647</v>
      </c>
      <c r="Q41" s="25">
        <v>0.97</v>
      </c>
      <c r="R41" s="25">
        <v>1.05</v>
      </c>
      <c r="S41" s="1198">
        <f>SUMIF('Elect BOQ'!D:D,'Summary-E'!O41,'Elect BOQ'!AE:AE)</f>
        <v>0</v>
      </c>
      <c r="T41" s="1198">
        <f>SUMIF('Elect BOQ'!D:D,'Summary-E'!O41,'Elect BOQ'!AF:AF)</f>
        <v>0</v>
      </c>
    </row>
    <row r="42" spans="1:21" s="1" customFormat="1" ht="21" customHeight="1">
      <c r="A42" s="918" t="s">
        <v>411</v>
      </c>
      <c r="B42" s="919" t="str">
        <f>'Elect BOQ'!B44</f>
        <v>EMERGENCY POWER BACK-UP GENERATOR (Open type - Noise Level 105 dB)</v>
      </c>
      <c r="C42" s="911"/>
      <c r="D42" s="295" t="s">
        <v>216</v>
      </c>
      <c r="E42" s="304">
        <v>1</v>
      </c>
      <c r="F42" s="914"/>
      <c r="G42" s="914">
        <f>'Elect BOQ'!H44</f>
        <v>0</v>
      </c>
      <c r="H42" s="908" t="s">
        <v>713</v>
      </c>
      <c r="I42" s="343"/>
      <c r="J42" s="282">
        <f>'Elect BOQ'!AE44</f>
        <v>0</v>
      </c>
      <c r="K42" s="282">
        <f>'Elect BOQ'!AF44</f>
        <v>0</v>
      </c>
      <c r="L42" s="910">
        <f t="shared" si="5"/>
        <v>0</v>
      </c>
      <c r="M42" s="282">
        <f>'Elect BOQ'!AM44</f>
        <v>0</v>
      </c>
      <c r="N42" s="2"/>
      <c r="O42" s="279" t="s">
        <v>648</v>
      </c>
      <c r="P42" s="276" t="s">
        <v>649</v>
      </c>
      <c r="Q42" s="25">
        <v>0.97</v>
      </c>
      <c r="R42" s="25">
        <v>1.05</v>
      </c>
      <c r="S42" s="1198">
        <f>SUMIF('Elect BOQ'!D:D,'Summary-E'!O42,'Elect BOQ'!AE:AE)</f>
        <v>0</v>
      </c>
      <c r="T42" s="1198">
        <f>SUMIF('Elect BOQ'!D:D,'Summary-E'!O42,'Elect BOQ'!AF:AF)</f>
        <v>0</v>
      </c>
    </row>
    <row r="43" spans="1:21" s="1" customFormat="1" ht="21" customHeight="1">
      <c r="A43" s="918" t="s">
        <v>412</v>
      </c>
      <c r="B43" s="919" t="str">
        <f>'Elect BOQ'!B45</f>
        <v>LIGHTING SYSTEM &amp; SOCKET OUTLET</v>
      </c>
      <c r="C43" s="911"/>
      <c r="D43" s="295" t="s">
        <v>216</v>
      </c>
      <c r="E43" s="304">
        <v>1</v>
      </c>
      <c r="F43" s="914"/>
      <c r="G43" s="914">
        <f>'Elect BOQ'!H45</f>
        <v>21651.090000000004</v>
      </c>
      <c r="H43" s="915"/>
      <c r="I43" s="343"/>
      <c r="J43" s="282">
        <f>'Elect BOQ'!AE45</f>
        <v>14712.869999999999</v>
      </c>
      <c r="K43" s="282">
        <f>'Elect BOQ'!AF45</f>
        <v>4783.8499999999995</v>
      </c>
      <c r="L43" s="910">
        <f t="shared" si="5"/>
        <v>19496.719999999998</v>
      </c>
      <c r="M43" s="282">
        <f>'Elect BOQ'!AM45</f>
        <v>0</v>
      </c>
      <c r="N43" s="2"/>
      <c r="O43" s="279" t="s">
        <v>650</v>
      </c>
      <c r="P43" s="276" t="s">
        <v>651</v>
      </c>
      <c r="Q43" s="25">
        <v>0.97</v>
      </c>
      <c r="R43" s="25">
        <v>1.05</v>
      </c>
      <c r="S43" s="1198">
        <f>SUMIF('Elect BOQ'!D:D,'Summary-E'!O43,'Elect BOQ'!AE:AE)</f>
        <v>0</v>
      </c>
      <c r="T43" s="1198">
        <f>SUMIF('Elect BOQ'!D:D,'Summary-E'!O43,'Elect BOQ'!AF:AF)</f>
        <v>0</v>
      </c>
    </row>
    <row r="44" spans="1:21" s="1" customFormat="1" ht="21" customHeight="1">
      <c r="A44" s="918" t="s">
        <v>413</v>
      </c>
      <c r="B44" s="919" t="str">
        <f>'Elect BOQ'!B46</f>
        <v>ELECTRICAL FOR MECHANICAL EQUIPMENT (A.C, FAN, GATE MOTOR., PUMPS)</v>
      </c>
      <c r="C44" s="911"/>
      <c r="D44" s="295" t="s">
        <v>216</v>
      </c>
      <c r="E44" s="304">
        <v>1</v>
      </c>
      <c r="F44" s="914"/>
      <c r="G44" s="914">
        <f>'Elect BOQ'!H46</f>
        <v>2105.37</v>
      </c>
      <c r="H44" s="915"/>
      <c r="I44" s="343"/>
      <c r="J44" s="282">
        <f>'Elect BOQ'!AE46</f>
        <v>1586.6499999999996</v>
      </c>
      <c r="K44" s="282">
        <f>'Elect BOQ'!AF46</f>
        <v>324.01000000000005</v>
      </c>
      <c r="L44" s="910">
        <f t="shared" si="5"/>
        <v>1910.6599999999996</v>
      </c>
      <c r="M44" s="282">
        <f>'Elect BOQ'!AM46</f>
        <v>0</v>
      </c>
      <c r="N44" s="2"/>
      <c r="O44" s="279">
        <v>186</v>
      </c>
      <c r="P44" s="276" t="s">
        <v>652</v>
      </c>
      <c r="Q44" s="25">
        <v>0.97</v>
      </c>
      <c r="R44" s="25">
        <v>1.05</v>
      </c>
      <c r="S44" s="1198">
        <f>SUMIF('Elect BOQ'!D:D,'Summary-E'!O44,'Elect BOQ'!AE:AE)</f>
        <v>2291.1899999999991</v>
      </c>
      <c r="T44" s="1198">
        <f>SUMIF('Elect BOQ'!D:D,'Summary-E'!O44,'Elect BOQ'!AF:AF)</f>
        <v>754.54</v>
      </c>
    </row>
    <row r="45" spans="1:21" s="1" customFormat="1" ht="21" customHeight="1">
      <c r="A45" s="918" t="s">
        <v>415</v>
      </c>
      <c r="B45" s="919" t="str">
        <f>'Elect BOQ'!B47</f>
        <v>TELEPHONE SYSTEM EMPTY CONDUIT</v>
      </c>
      <c r="C45" s="911"/>
      <c r="D45" s="295" t="s">
        <v>216</v>
      </c>
      <c r="E45" s="304">
        <v>1</v>
      </c>
      <c r="F45" s="914"/>
      <c r="G45" s="914">
        <f>'Elect BOQ'!H47</f>
        <v>591.89</v>
      </c>
      <c r="H45" s="915"/>
      <c r="I45" s="343"/>
      <c r="J45" s="282">
        <f>'Elect BOQ'!AE47</f>
        <v>398.53999999999996</v>
      </c>
      <c r="K45" s="282">
        <f>'Elect BOQ'!AF47</f>
        <v>135.97999999999999</v>
      </c>
      <c r="L45" s="910">
        <f t="shared" si="5"/>
        <v>534.52</v>
      </c>
      <c r="M45" s="282">
        <f>'Elect BOQ'!AM47</f>
        <v>0</v>
      </c>
      <c r="N45" s="2"/>
      <c r="O45" s="279" t="s">
        <v>655</v>
      </c>
      <c r="P45" s="276" t="s">
        <v>653</v>
      </c>
      <c r="Q45" s="25">
        <v>0.97</v>
      </c>
      <c r="R45" s="25">
        <v>1.05</v>
      </c>
      <c r="S45" s="1198">
        <f>SUMIF('Elect BOQ'!D:D,'Summary-E'!O45,'Elect BOQ'!AE:AE)</f>
        <v>0</v>
      </c>
      <c r="T45" s="1198">
        <f>SUMIF('Elect BOQ'!D:D,'Summary-E'!O45,'Elect BOQ'!AF:AF)</f>
        <v>0</v>
      </c>
    </row>
    <row r="46" spans="1:21" s="1" customFormat="1" ht="21" customHeight="1">
      <c r="A46" s="918" t="s">
        <v>421</v>
      </c>
      <c r="B46" s="919" t="str">
        <f>'Elect BOQ'!B48</f>
        <v xml:space="preserve">LAN SYSTEM EMPTY CONDUIT </v>
      </c>
      <c r="C46" s="911"/>
      <c r="D46" s="295" t="s">
        <v>216</v>
      </c>
      <c r="E46" s="304">
        <v>1</v>
      </c>
      <c r="F46" s="914"/>
      <c r="G46" s="914">
        <f>'Elect BOQ'!H48</f>
        <v>117.1</v>
      </c>
      <c r="H46" s="915"/>
      <c r="I46" s="343"/>
      <c r="J46" s="282">
        <f>'Elect BOQ'!AE48</f>
        <v>78.33</v>
      </c>
      <c r="K46" s="282">
        <f>'Elect BOQ'!AF48</f>
        <v>25.53</v>
      </c>
      <c r="L46" s="910">
        <f t="shared" si="5"/>
        <v>103.86</v>
      </c>
      <c r="M46" s="282">
        <f>'Elect BOQ'!AM48</f>
        <v>0</v>
      </c>
      <c r="N46" s="2"/>
      <c r="O46" s="193" t="s">
        <v>133</v>
      </c>
      <c r="P46" s="276" t="s">
        <v>654</v>
      </c>
      <c r="Q46" s="25">
        <v>0.97</v>
      </c>
      <c r="R46" s="25">
        <v>1.05</v>
      </c>
      <c r="S46" s="1198">
        <f>SUMIF('Elect BOQ'!D:D,'Summary-E'!O46,'Elect BOQ'!AE:AE)</f>
        <v>6532.95</v>
      </c>
      <c r="T46" s="1198">
        <f>SUMIF('Elect BOQ'!D:D,'Summary-E'!O46,'Elect BOQ'!AF:AF)</f>
        <v>0</v>
      </c>
    </row>
    <row r="47" spans="1:21" s="1" customFormat="1" ht="21" customHeight="1">
      <c r="A47" s="918" t="s">
        <v>520</v>
      </c>
      <c r="B47" s="919" t="str">
        <f>'Elect BOQ'!B49</f>
        <v>PUBLIC ADDRESS SYSTEM</v>
      </c>
      <c r="C47" s="911"/>
      <c r="D47" s="295" t="s">
        <v>216</v>
      </c>
      <c r="E47" s="304">
        <v>1</v>
      </c>
      <c r="F47" s="914"/>
      <c r="G47" s="914">
        <f>'Elect BOQ'!H49</f>
        <v>670.25</v>
      </c>
      <c r="H47" s="915"/>
      <c r="I47" s="343"/>
      <c r="J47" s="282">
        <f>'Elect BOQ'!AE49</f>
        <v>384.4</v>
      </c>
      <c r="K47" s="282">
        <f>'Elect BOQ'!AF49</f>
        <v>204.60999999999999</v>
      </c>
      <c r="L47" s="910">
        <f t="shared" si="5"/>
        <v>589.01</v>
      </c>
      <c r="M47" s="282">
        <f>'Elect BOQ'!AM49</f>
        <v>0</v>
      </c>
      <c r="N47" s="2"/>
      <c r="O47" s="193" t="s">
        <v>134</v>
      </c>
      <c r="P47" s="27" t="s">
        <v>388</v>
      </c>
      <c r="Q47" s="25">
        <v>0.97</v>
      </c>
      <c r="R47" s="25">
        <v>1.05</v>
      </c>
      <c r="S47" s="1198">
        <f>SUMIF('Elect BOQ'!D:D,'Summary-E'!O47,'Elect BOQ'!AE:AE)</f>
        <v>2753.9500000000007</v>
      </c>
      <c r="T47" s="1198">
        <f>SUMIF('Elect BOQ'!D:D,'Summary-E'!O47,'Elect BOQ'!AF:AF)</f>
        <v>84</v>
      </c>
    </row>
    <row r="48" spans="1:21" s="1" customFormat="1" ht="21" customHeight="1">
      <c r="A48" s="918" t="s">
        <v>770</v>
      </c>
      <c r="B48" s="919" t="str">
        <f>'Elect BOQ'!B50</f>
        <v>FIRE ALARM SYSTEM</v>
      </c>
      <c r="C48" s="911"/>
      <c r="D48" s="295" t="s">
        <v>216</v>
      </c>
      <c r="E48" s="304">
        <v>1</v>
      </c>
      <c r="F48" s="914"/>
      <c r="G48" s="914">
        <f>'Elect BOQ'!H50</f>
        <v>2638.56</v>
      </c>
      <c r="H48" s="915"/>
      <c r="I48" s="343"/>
      <c r="J48" s="282">
        <f>'Elect BOQ'!AE50</f>
        <v>1916.87</v>
      </c>
      <c r="K48" s="282">
        <f>'Elect BOQ'!AF50</f>
        <v>440.54999999999995</v>
      </c>
      <c r="L48" s="910">
        <f t="shared" si="5"/>
        <v>2357.42</v>
      </c>
      <c r="M48" s="282">
        <f>'Elect BOQ'!AM50</f>
        <v>0</v>
      </c>
      <c r="N48" s="2"/>
      <c r="O48" s="23" t="s">
        <v>523</v>
      </c>
      <c r="P48" s="27" t="s">
        <v>524</v>
      </c>
      <c r="Q48" s="25">
        <v>0.97</v>
      </c>
      <c r="R48" s="25">
        <v>1.05</v>
      </c>
      <c r="S48" s="1198">
        <f>SUMIF('Elect BOQ'!D:D,'Summary-E'!O48,'Elect BOQ'!AE:AE)</f>
        <v>2248.9899999999998</v>
      </c>
      <c r="T48" s="1198">
        <f>SUMIF('Elect BOQ'!D:D,'Summary-E'!O48,'Elect BOQ'!AF:AF)</f>
        <v>0</v>
      </c>
    </row>
    <row r="49" spans="1:21" s="1034" customFormat="1" ht="21" customHeight="1">
      <c r="A49" s="916"/>
      <c r="B49" s="917"/>
      <c r="C49" s="911"/>
      <c r="D49" s="912"/>
      <c r="E49" s="913"/>
      <c r="F49" s="914"/>
      <c r="G49" s="914"/>
      <c r="H49" s="914"/>
      <c r="I49" s="343"/>
      <c r="J49" s="284"/>
      <c r="K49" s="284"/>
      <c r="L49" s="285"/>
      <c r="M49" s="284"/>
      <c r="N49" s="1036"/>
      <c r="O49" s="1047" t="s">
        <v>389</v>
      </c>
      <c r="P49" s="552" t="s">
        <v>390</v>
      </c>
      <c r="Q49" s="25">
        <v>0.97</v>
      </c>
      <c r="R49" s="25">
        <v>1.05</v>
      </c>
      <c r="S49" s="1198">
        <f>SUMIF('Elect BOQ'!D:D,'Summary-E'!O49,'Elect BOQ'!AE:AE)</f>
        <v>9655.91</v>
      </c>
      <c r="T49" s="1198">
        <f>SUMIF('Elect BOQ'!D:D,'Summary-E'!O49,'Elect BOQ'!AF:AF)</f>
        <v>4098.3499999999995</v>
      </c>
    </row>
    <row r="50" spans="1:21" s="1" customFormat="1" ht="21" customHeight="1">
      <c r="A50" s="1038"/>
      <c r="B50" s="966" t="s">
        <v>1007</v>
      </c>
      <c r="C50" s="1039"/>
      <c r="D50" s="1040"/>
      <c r="E50" s="1045"/>
      <c r="F50" s="1041"/>
      <c r="G50" s="1041">
        <f>SUBTOTAL(9,G37:G49)</f>
        <v>41999.18</v>
      </c>
      <c r="H50" s="1041"/>
      <c r="I50" s="1033"/>
      <c r="J50" s="1046">
        <f t="shared" ref="J50:M50" si="6">SUBTOTAL(9,J37:J49)</f>
        <v>28927.63</v>
      </c>
      <c r="K50" s="1046">
        <f t="shared" si="6"/>
        <v>8906.8700000000008</v>
      </c>
      <c r="L50" s="1046">
        <f t="shared" si="6"/>
        <v>37834.499999999993</v>
      </c>
      <c r="M50" s="1046">
        <f t="shared" si="6"/>
        <v>0</v>
      </c>
      <c r="N50" s="2"/>
      <c r="O50" s="193" t="s">
        <v>1122</v>
      </c>
      <c r="P50" s="276" t="s">
        <v>1119</v>
      </c>
      <c r="Q50" s="25">
        <v>0.05</v>
      </c>
      <c r="R50" s="25">
        <f>125%+M60</f>
        <v>1.25</v>
      </c>
      <c r="S50" s="1198">
        <f>SUMIF('Elect BOQ'!D:D,'Summary-E'!O50,'Elect BOQ'!AE:AE)</f>
        <v>0</v>
      </c>
      <c r="T50" s="1198">
        <f>SUMIF('Elect BOQ'!D:D,'Summary-E'!O50,'Elect BOQ'!AF:AF)</f>
        <v>0</v>
      </c>
    </row>
    <row r="51" spans="1:21" s="1034" customFormat="1" ht="21" customHeight="1">
      <c r="A51" s="920"/>
      <c r="B51" s="921"/>
      <c r="C51" s="922"/>
      <c r="D51" s="923"/>
      <c r="E51" s="924"/>
      <c r="F51" s="925"/>
      <c r="G51" s="926"/>
      <c r="H51" s="927"/>
      <c r="I51" s="928"/>
      <c r="J51" s="926"/>
      <c r="K51" s="926"/>
      <c r="L51" s="926"/>
      <c r="M51" s="926"/>
      <c r="O51" s="1042"/>
      <c r="P51" s="853" t="s">
        <v>227</v>
      </c>
      <c r="Q51" s="1043"/>
      <c r="R51" s="1043"/>
      <c r="S51" s="1044">
        <f>SUM(S4:S50)</f>
        <v>818806.93999999983</v>
      </c>
      <c r="T51" s="1044">
        <f>SUM(T4:T50)</f>
        <v>153395.84999999998</v>
      </c>
    </row>
    <row r="52" spans="1:21" s="1" customFormat="1" ht="21" customHeight="1">
      <c r="A52" s="930"/>
      <c r="B52" s="1446" t="s">
        <v>1320</v>
      </c>
      <c r="C52" s="1447"/>
      <c r="D52" s="931"/>
      <c r="E52" s="932"/>
      <c r="F52" s="933"/>
      <c r="G52" s="933">
        <f>ROUND(SUBTOTAL(9,G5:G50),2)</f>
        <v>1077847.53</v>
      </c>
      <c r="H52" s="934"/>
      <c r="I52" s="647"/>
      <c r="J52" s="933">
        <f>ROUND(SUBTOTAL(9,J5:J50),2)</f>
        <v>818806.94</v>
      </c>
      <c r="K52" s="933">
        <f>ROUND(SUBTOTAL(9,K5:K50),2)</f>
        <v>153395.85</v>
      </c>
      <c r="L52" s="933">
        <f>ROUND(SUBTOTAL(9,L5:L50),2)</f>
        <v>972202.79</v>
      </c>
      <c r="M52" s="935">
        <f>SUBTOTAL(9,M5:M50)</f>
        <v>0</v>
      </c>
      <c r="N52" s="2"/>
      <c r="O52" s="193"/>
      <c r="P52" s="276"/>
      <c r="Q52" s="277"/>
      <c r="R52" s="277"/>
      <c r="S52" s="1196" t="s">
        <v>1118</v>
      </c>
      <c r="T52" s="1196" t="s">
        <v>1120</v>
      </c>
      <c r="U52" s="274"/>
    </row>
    <row r="53" spans="1:21" s="1" customFormat="1" ht="21" customHeight="1">
      <c r="A53" s="1010"/>
      <c r="B53" s="1011"/>
      <c r="C53" s="1012"/>
      <c r="D53" s="1013"/>
      <c r="E53" s="1014"/>
      <c r="F53" s="1015"/>
      <c r="G53" s="1016"/>
      <c r="H53" s="1017"/>
      <c r="I53" s="343"/>
      <c r="J53" s="27"/>
      <c r="K53" s="27"/>
      <c r="L53" s="344"/>
      <c r="M53" s="345"/>
      <c r="N53" s="2"/>
      <c r="O53" s="193"/>
      <c r="P53" s="1199" t="s">
        <v>656</v>
      </c>
      <c r="Q53" s="277"/>
      <c r="R53" s="277"/>
      <c r="S53" s="286"/>
      <c r="T53" s="286"/>
    </row>
    <row r="54" spans="1:21" s="1" customFormat="1" ht="21" customHeight="1">
      <c r="A54" s="1018"/>
      <c r="B54" s="1460" t="s">
        <v>215</v>
      </c>
      <c r="C54" s="1461"/>
      <c r="D54" s="347" t="s">
        <v>216</v>
      </c>
      <c r="E54" s="299">
        <v>1</v>
      </c>
      <c r="F54" s="349">
        <f>ROUND(L54*50%,-1)</f>
        <v>19400</v>
      </c>
      <c r="G54" s="293">
        <f>E54*F54</f>
        <v>19400</v>
      </c>
      <c r="H54" s="1019" t="s">
        <v>1325</v>
      </c>
      <c r="I54" s="343"/>
      <c r="J54" s="27" t="s">
        <v>157</v>
      </c>
      <c r="K54" s="27"/>
      <c r="L54" s="346">
        <f>'M&amp;E Expenses'!H23-'M&amp;E Expenses'!G44-'M&amp;E Expenses'!G57</f>
        <v>38809.428571428572</v>
      </c>
      <c r="M54" s="27"/>
      <c r="N54" s="2"/>
      <c r="O54" s="193" t="s">
        <v>1134</v>
      </c>
      <c r="P54" s="276" t="s">
        <v>146</v>
      </c>
      <c r="Q54" s="277"/>
      <c r="R54" s="277"/>
      <c r="S54" s="1198"/>
      <c r="T54" s="1198"/>
    </row>
    <row r="55" spans="1:21" s="1" customFormat="1" ht="21" customHeight="1">
      <c r="A55" s="1018"/>
      <c r="B55" s="1453" t="s">
        <v>432</v>
      </c>
      <c r="C55" s="1454"/>
      <c r="D55" s="347" t="s">
        <v>216</v>
      </c>
      <c r="E55" s="299">
        <v>1</v>
      </c>
      <c r="F55" s="349">
        <f>ROUND((L56+L55)*60%,-1)-2106.1</f>
        <v>16253.9</v>
      </c>
      <c r="G55" s="296">
        <f>E55*F55</f>
        <v>16253.9</v>
      </c>
      <c r="H55" s="296"/>
      <c r="I55" s="343"/>
      <c r="J55" s="27" t="s">
        <v>158</v>
      </c>
      <c r="K55" s="27"/>
      <c r="L55" s="346">
        <f>'M&amp;E Expenses'!H6+'M&amp;E Expenses'!G13+'M&amp;E Expenses'!G44+'M&amp;E Expenses'!G57</f>
        <v>0</v>
      </c>
      <c r="M55" s="27"/>
      <c r="N55" s="2"/>
      <c r="O55" s="193" t="s">
        <v>1135</v>
      </c>
      <c r="P55" s="276" t="s">
        <v>666</v>
      </c>
      <c r="Q55" s="277"/>
      <c r="R55" s="277"/>
      <c r="S55" s="1198"/>
      <c r="T55" s="1198"/>
    </row>
    <row r="56" spans="1:21" s="1" customFormat="1" ht="21" customHeight="1">
      <c r="A56" s="348"/>
      <c r="B56" s="1453" t="s">
        <v>709</v>
      </c>
      <c r="C56" s="1461"/>
      <c r="D56" s="347" t="s">
        <v>216</v>
      </c>
      <c r="E56" s="299">
        <v>1</v>
      </c>
      <c r="F56" s="349"/>
      <c r="G56" s="1356" t="s">
        <v>1326</v>
      </c>
      <c r="H56" s="1195"/>
      <c r="I56" s="343"/>
      <c r="J56" s="27" t="s">
        <v>159</v>
      </c>
      <c r="K56" s="27"/>
      <c r="L56" s="346">
        <f>'M&amp;E Expenses'!H11-'M&amp;E Expenses'!G13</f>
        <v>30600</v>
      </c>
      <c r="M56" s="27"/>
      <c r="N56" s="2"/>
      <c r="O56" s="193" t="s">
        <v>1136</v>
      </c>
      <c r="P56" s="27" t="s">
        <v>1149</v>
      </c>
      <c r="Q56" s="277"/>
      <c r="R56" s="277"/>
      <c r="S56" s="1198"/>
      <c r="T56" s="1198"/>
    </row>
    <row r="57" spans="1:21" s="1" customFormat="1" ht="21" customHeight="1">
      <c r="A57" s="348"/>
      <c r="B57" s="1455"/>
      <c r="C57" s="1456"/>
      <c r="D57" s="347"/>
      <c r="E57" s="299"/>
      <c r="F57" s="349"/>
      <c r="G57" s="349"/>
      <c r="H57" s="1195"/>
      <c r="I57" s="343"/>
      <c r="J57" s="27" t="s">
        <v>156</v>
      </c>
      <c r="K57" s="345">
        <v>0.06</v>
      </c>
      <c r="L57" s="346">
        <f>ROUND(SUM(L52:L56)*K57,2)</f>
        <v>62496.73</v>
      </c>
      <c r="M57" s="345"/>
      <c r="N57" s="2"/>
      <c r="O57" s="23" t="s">
        <v>150</v>
      </c>
      <c r="P57" s="27" t="s">
        <v>1148</v>
      </c>
      <c r="Q57" s="277"/>
      <c r="R57" s="277"/>
      <c r="S57" s="1198"/>
      <c r="T57" s="1198"/>
    </row>
    <row r="58" spans="1:21" s="1" customFormat="1" ht="21" customHeight="1">
      <c r="A58" s="1020"/>
      <c r="B58" s="1021"/>
      <c r="C58" s="1022"/>
      <c r="D58" s="1023"/>
      <c r="E58" s="1024"/>
      <c r="F58" s="1024"/>
      <c r="G58" s="1025"/>
      <c r="H58" s="1025"/>
      <c r="I58" s="343"/>
      <c r="J58" s="35"/>
      <c r="K58" s="35"/>
      <c r="L58" s="35"/>
      <c r="M58" s="35"/>
      <c r="N58" s="2"/>
      <c r="O58" s="193" t="s">
        <v>1137</v>
      </c>
      <c r="P58" s="27" t="s">
        <v>196</v>
      </c>
      <c r="Q58" s="277"/>
      <c r="R58" s="277"/>
      <c r="S58" s="1198"/>
      <c r="T58" s="1198"/>
    </row>
    <row r="59" spans="1:21" s="1" customFormat="1" ht="21" customHeight="1">
      <c r="A59" s="1457" t="s">
        <v>169</v>
      </c>
      <c r="B59" s="1458"/>
      <c r="C59" s="1459"/>
      <c r="D59" s="936"/>
      <c r="E59" s="937"/>
      <c r="F59" s="938"/>
      <c r="G59" s="938">
        <f>ROUND(SUBTOTAL(9,G4:G58),2)</f>
        <v>1113501.43</v>
      </c>
      <c r="H59" s="939"/>
      <c r="I59" s="343"/>
      <c r="J59" s="203"/>
      <c r="K59" s="203"/>
      <c r="L59" s="192">
        <f>SUM(L52:L58)</f>
        <v>1104108.9485714287</v>
      </c>
      <c r="M59" s="192"/>
      <c r="N59" s="2"/>
      <c r="O59" s="193" t="s">
        <v>1138</v>
      </c>
      <c r="P59" s="27" t="s">
        <v>177</v>
      </c>
      <c r="Q59" s="277"/>
      <c r="R59" s="277"/>
      <c r="S59" s="1198"/>
      <c r="T59" s="1198"/>
    </row>
    <row r="60" spans="1:21" s="1" customFormat="1" ht="21" customHeight="1">
      <c r="A60" s="1448" t="s">
        <v>170</v>
      </c>
      <c r="B60" s="1449"/>
      <c r="C60" s="1450"/>
      <c r="D60" s="167" t="s">
        <v>216</v>
      </c>
      <c r="E60" s="34">
        <v>1</v>
      </c>
      <c r="F60" s="168"/>
      <c r="G60" s="169">
        <f>ROUND((G59)*10%,0)</f>
        <v>111350</v>
      </c>
      <c r="H60" s="170"/>
      <c r="I60" s="343"/>
      <c r="J60" s="1216" t="s">
        <v>707</v>
      </c>
      <c r="K60" s="215">
        <f>105%+M60</f>
        <v>1.05</v>
      </c>
      <c r="L60" s="116"/>
      <c r="M60" s="301">
        <v>0</v>
      </c>
      <c r="N60" s="2"/>
      <c r="O60" s="193" t="s">
        <v>1139</v>
      </c>
      <c r="P60" s="27" t="s">
        <v>1141</v>
      </c>
      <c r="Q60" s="300"/>
      <c r="R60" s="277"/>
      <c r="S60" s="1198"/>
      <c r="T60" s="1198"/>
    </row>
    <row r="61" spans="1:21" s="1" customFormat="1" ht="21" customHeight="1">
      <c r="A61" s="1442" t="s">
        <v>431</v>
      </c>
      <c r="B61" s="1443"/>
      <c r="C61" s="1444"/>
      <c r="D61" s="940"/>
      <c r="E61" s="941"/>
      <c r="F61" s="941"/>
      <c r="G61" s="938">
        <f>ROUNDDOWN(SUBTOTAL(9,G4:G60),0)</f>
        <v>1224851</v>
      </c>
      <c r="H61" s="939"/>
      <c r="I61" s="343"/>
      <c r="J61" s="1216" t="s">
        <v>1152</v>
      </c>
      <c r="K61" s="215">
        <v>1.05</v>
      </c>
      <c r="L61" s="116"/>
      <c r="M61" s="116"/>
      <c r="N61" s="2"/>
      <c r="O61" s="193" t="s">
        <v>705</v>
      </c>
      <c r="P61" s="276" t="s">
        <v>706</v>
      </c>
      <c r="Q61" s="277"/>
      <c r="R61" s="277"/>
      <c r="S61" s="1198"/>
      <c r="T61" s="1198"/>
    </row>
    <row r="62" spans="1:21" s="1" customFormat="1" ht="21" customHeight="1">
      <c r="A62" s="317"/>
      <c r="B62" s="318"/>
      <c r="C62" s="318"/>
      <c r="D62" s="324"/>
      <c r="E62" s="324"/>
      <c r="F62" s="319"/>
      <c r="G62" s="320"/>
      <c r="H62" s="321"/>
      <c r="I62" s="343"/>
      <c r="J62" s="1216" t="s">
        <v>1153</v>
      </c>
      <c r="K62" s="215">
        <v>1.07</v>
      </c>
      <c r="L62" s="116"/>
      <c r="M62" s="116"/>
      <c r="N62" s="2"/>
      <c r="O62" s="193" t="s">
        <v>703</v>
      </c>
      <c r="P62" s="27" t="s">
        <v>704</v>
      </c>
      <c r="Q62" s="300"/>
      <c r="R62" s="277"/>
      <c r="S62" s="1198"/>
      <c r="T62" s="1198"/>
    </row>
    <row r="63" spans="1:21" s="1" customFormat="1" ht="21" customHeight="1">
      <c r="A63" s="326"/>
      <c r="B63" s="331"/>
      <c r="C63" s="327"/>
      <c r="D63" s="328"/>
      <c r="E63" s="328"/>
      <c r="F63" s="168"/>
      <c r="G63" s="329"/>
      <c r="H63" s="330"/>
      <c r="I63" s="343"/>
      <c r="J63" s="214">
        <v>2695</v>
      </c>
      <c r="K63" s="1026" t="s">
        <v>217</v>
      </c>
      <c r="L63" s="1027"/>
      <c r="M63" s="709">
        <v>20800</v>
      </c>
      <c r="N63" s="2"/>
      <c r="O63" s="193" t="s">
        <v>701</v>
      </c>
      <c r="P63" s="27" t="s">
        <v>702</v>
      </c>
      <c r="Q63" s="300"/>
      <c r="R63" s="300"/>
      <c r="S63" s="1198"/>
      <c r="T63" s="1198"/>
    </row>
    <row r="64" spans="1:21" s="1" customFormat="1" ht="21" customHeight="1">
      <c r="A64" s="312"/>
      <c r="B64" s="313"/>
      <c r="C64" s="314"/>
      <c r="D64" s="322"/>
      <c r="E64" s="325"/>
      <c r="F64" s="315"/>
      <c r="G64" s="323"/>
      <c r="H64" s="316"/>
      <c r="I64" s="343"/>
      <c r="J64" s="204"/>
      <c r="K64" s="1028" t="s">
        <v>218</v>
      </c>
      <c r="L64" s="1029"/>
      <c r="M64" s="1030">
        <v>21000</v>
      </c>
      <c r="N64" s="2"/>
      <c r="O64" s="193" t="s">
        <v>630</v>
      </c>
      <c r="P64" s="276" t="s">
        <v>657</v>
      </c>
      <c r="Q64" s="277"/>
      <c r="R64" s="277"/>
      <c r="S64" s="1198"/>
      <c r="T64" s="1198"/>
    </row>
    <row r="65" spans="1:21" s="1" customFormat="1" ht="21" customHeight="1">
      <c r="A65" s="155"/>
      <c r="B65" s="156"/>
      <c r="C65" s="157"/>
      <c r="D65" s="158"/>
      <c r="E65" s="159"/>
      <c r="F65" s="160"/>
      <c r="G65" s="161"/>
      <c r="H65" s="162"/>
      <c r="I65" s="343"/>
      <c r="J65" s="204"/>
      <c r="K65" s="1028" t="s">
        <v>219</v>
      </c>
      <c r="L65" s="1029"/>
      <c r="M65" s="1031">
        <v>1.41</v>
      </c>
      <c r="N65" s="2"/>
      <c r="O65" s="193" t="s">
        <v>631</v>
      </c>
      <c r="P65" s="276" t="s">
        <v>658</v>
      </c>
      <c r="Q65" s="300"/>
      <c r="R65" s="277"/>
      <c r="S65" s="1198"/>
      <c r="T65" s="1198"/>
    </row>
    <row r="66" spans="1:21" s="1034" customFormat="1" ht="21" customHeight="1">
      <c r="A66" s="155"/>
      <c r="B66" s="156"/>
      <c r="C66" s="157"/>
      <c r="D66" s="158"/>
      <c r="E66" s="159"/>
      <c r="F66" s="160"/>
      <c r="G66" s="161"/>
      <c r="H66" s="162"/>
      <c r="I66" s="343"/>
      <c r="J66" s="204"/>
      <c r="K66" s="1028" t="s">
        <v>220</v>
      </c>
      <c r="L66" s="1029"/>
      <c r="M66" s="1032">
        <v>1.0526000000000001E-2</v>
      </c>
      <c r="O66" s="193" t="s">
        <v>632</v>
      </c>
      <c r="P66" s="276" t="s">
        <v>659</v>
      </c>
      <c r="Q66" s="277"/>
      <c r="R66" s="277"/>
      <c r="S66" s="1198"/>
      <c r="T66" s="1198"/>
    </row>
    <row r="67" spans="1:21" s="1" customFormat="1" ht="21" customHeight="1">
      <c r="A67" s="302"/>
      <c r="B67" s="206"/>
      <c r="C67" s="206"/>
      <c r="D67" s="207"/>
      <c r="E67" s="208"/>
      <c r="F67" s="209"/>
      <c r="G67" s="1056"/>
      <c r="H67" s="209"/>
      <c r="I67" s="929"/>
      <c r="J67" s="204"/>
      <c r="K67" s="1274" t="s">
        <v>221</v>
      </c>
      <c r="L67" s="1275"/>
      <c r="M67" s="1276">
        <v>90</v>
      </c>
      <c r="N67" s="2"/>
      <c r="O67" s="23" t="s">
        <v>392</v>
      </c>
      <c r="P67" s="27" t="s">
        <v>393</v>
      </c>
      <c r="Q67" s="300"/>
      <c r="R67" s="277"/>
      <c r="S67" s="1198"/>
      <c r="T67" s="1198"/>
      <c r="U67" s="274"/>
    </row>
    <row r="68" spans="1:21" s="1" customFormat="1" ht="21" customHeight="1">
      <c r="A68" s="1225"/>
      <c r="B68" s="1226"/>
      <c r="C68" s="1226"/>
      <c r="D68" s="1226"/>
      <c r="E68" s="1226"/>
      <c r="F68" s="1226"/>
      <c r="G68" s="1226"/>
      <c r="H68" s="367"/>
      <c r="I68" s="172"/>
      <c r="J68" s="1229"/>
      <c r="K68" s="1229"/>
      <c r="L68" s="1229"/>
      <c r="M68" s="1230"/>
      <c r="N68" s="2"/>
      <c r="O68" s="23" t="s">
        <v>394</v>
      </c>
      <c r="P68" s="27" t="s">
        <v>395</v>
      </c>
      <c r="Q68" s="277"/>
      <c r="R68" s="277"/>
      <c r="S68" s="1198"/>
      <c r="T68" s="1198"/>
    </row>
    <row r="69" spans="1:21" s="1" customFormat="1" ht="21" customHeight="1">
      <c r="A69" s="1227"/>
      <c r="B69" s="1227"/>
      <c r="C69" s="1227"/>
      <c r="D69" s="1227"/>
      <c r="E69" s="1227"/>
      <c r="F69" s="1227"/>
      <c r="G69" s="1227"/>
      <c r="H69" s="367"/>
      <c r="I69" s="172"/>
      <c r="J69" s="373"/>
      <c r="K69" s="373"/>
      <c r="L69" s="374"/>
      <c r="M69" s="373"/>
      <c r="N69" s="2"/>
      <c r="O69" s="23" t="s">
        <v>396</v>
      </c>
      <c r="P69" s="27"/>
      <c r="Q69" s="277"/>
      <c r="R69" s="277"/>
      <c r="S69" s="1198"/>
      <c r="T69" s="1198"/>
    </row>
    <row r="70" spans="1:21" s="1" customFormat="1" ht="21" customHeight="1">
      <c r="A70" s="1277"/>
      <c r="B70" s="1297"/>
      <c r="C70" s="1297"/>
      <c r="D70" s="1298"/>
      <c r="E70" s="1299"/>
      <c r="F70" s="1278"/>
      <c r="G70" s="1278"/>
      <c r="H70" s="1300"/>
      <c r="I70" s="172"/>
      <c r="J70" s="1301"/>
      <c r="K70" s="1301"/>
      <c r="L70" s="1301"/>
      <c r="M70" s="1302"/>
      <c r="N70" s="2"/>
      <c r="O70" s="23" t="s">
        <v>397</v>
      </c>
      <c r="P70" s="27"/>
      <c r="Q70" s="277"/>
      <c r="R70" s="277"/>
      <c r="S70" s="1198"/>
      <c r="T70" s="1198"/>
    </row>
    <row r="71" spans="1:21" s="1" customFormat="1" ht="21" customHeight="1">
      <c r="A71" s="398"/>
      <c r="B71" s="1297"/>
      <c r="C71" s="1297"/>
      <c r="D71" s="1298"/>
      <c r="E71" s="1299"/>
      <c r="F71" s="1278"/>
      <c r="G71" s="1278"/>
      <c r="H71" s="1300"/>
      <c r="I71" s="356"/>
      <c r="J71" s="1301"/>
      <c r="K71" s="1301"/>
      <c r="L71" s="1301"/>
      <c r="M71" s="1302"/>
      <c r="N71" s="2"/>
      <c r="O71" s="193" t="s">
        <v>660</v>
      </c>
      <c r="P71" s="27"/>
      <c r="Q71" s="300"/>
      <c r="R71" s="25"/>
      <c r="S71" s="278"/>
      <c r="T71" s="278"/>
    </row>
    <row r="72" spans="1:21" s="1" customFormat="1" ht="21" customHeight="1">
      <c r="A72" s="555"/>
      <c r="B72" s="1279"/>
      <c r="C72" s="1279"/>
      <c r="D72" s="555"/>
      <c r="E72" s="555"/>
      <c r="F72" s="555"/>
      <c r="G72" s="1280"/>
      <c r="H72" s="1280"/>
      <c r="I72" s="356"/>
      <c r="J72" s="373"/>
      <c r="K72" s="373"/>
      <c r="L72" s="1281"/>
      <c r="M72" s="373"/>
      <c r="N72" s="2"/>
      <c r="O72" s="279"/>
      <c r="P72" s="276"/>
      <c r="Q72" s="277"/>
      <c r="R72" s="277"/>
      <c r="S72" s="1198"/>
      <c r="T72" s="1198"/>
    </row>
    <row r="73" spans="1:21" s="1" customFormat="1" ht="21" customHeight="1">
      <c r="A73" s="556"/>
      <c r="B73" s="1282"/>
      <c r="C73" s="521"/>
      <c r="D73" s="556"/>
      <c r="E73" s="1283"/>
      <c r="F73" s="1284"/>
      <c r="G73" s="1285"/>
      <c r="H73" s="1286"/>
      <c r="I73" s="1228"/>
      <c r="J73" s="1287"/>
      <c r="K73" s="1287"/>
      <c r="L73" s="1287"/>
      <c r="M73" s="1287"/>
      <c r="N73" s="2"/>
      <c r="O73" s="1035">
        <v>194</v>
      </c>
      <c r="P73" s="552" t="s">
        <v>661</v>
      </c>
      <c r="Q73" s="277"/>
      <c r="R73" s="277"/>
      <c r="S73" s="1198"/>
      <c r="T73" s="1198"/>
    </row>
    <row r="74" spans="1:21" s="1" customFormat="1" ht="21" customHeight="1">
      <c r="A74" s="556"/>
      <c r="B74" s="1288"/>
      <c r="C74" s="555"/>
      <c r="D74" s="556"/>
      <c r="E74" s="1283"/>
      <c r="F74" s="1284"/>
      <c r="G74" s="1286"/>
      <c r="H74" s="1286"/>
      <c r="I74" s="1228"/>
      <c r="J74" s="1228"/>
      <c r="K74" s="1228"/>
      <c r="L74" s="1228"/>
      <c r="M74" s="1228"/>
      <c r="N74" s="2"/>
      <c r="O74" s="279" t="s">
        <v>662</v>
      </c>
      <c r="P74" s="276" t="s">
        <v>663</v>
      </c>
      <c r="Q74" s="277"/>
      <c r="R74" s="277"/>
      <c r="S74" s="1198"/>
      <c r="T74" s="1198"/>
    </row>
    <row r="75" spans="1:21" s="1" customFormat="1" ht="21" customHeight="1">
      <c r="A75" s="556"/>
      <c r="B75" s="1282"/>
      <c r="C75" s="521"/>
      <c r="D75" s="556"/>
      <c r="E75" s="1283"/>
      <c r="F75" s="1284"/>
      <c r="G75" s="1289"/>
      <c r="H75" s="1289"/>
      <c r="I75" s="356"/>
      <c r="J75" s="1287"/>
      <c r="K75" s="1287"/>
      <c r="L75" s="1287"/>
      <c r="M75" s="1287"/>
      <c r="N75" s="2"/>
      <c r="O75" s="279" t="s">
        <v>664</v>
      </c>
      <c r="P75" s="276" t="s">
        <v>665</v>
      </c>
      <c r="Q75" s="277"/>
      <c r="R75" s="277"/>
      <c r="S75" s="1198"/>
      <c r="T75" s="1198"/>
    </row>
    <row r="76" spans="1:21" s="1034" customFormat="1" ht="21" customHeight="1">
      <c r="A76" s="556"/>
      <c r="B76" s="555"/>
      <c r="C76" s="555"/>
      <c r="D76" s="555"/>
      <c r="E76" s="555"/>
      <c r="F76" s="1284"/>
      <c r="G76" s="1290"/>
      <c r="H76" s="1290"/>
      <c r="I76" s="366"/>
      <c r="J76" s="356"/>
      <c r="K76" s="356"/>
      <c r="L76" s="1291"/>
      <c r="M76" s="356"/>
      <c r="N76" s="1036"/>
      <c r="O76" s="23" t="s">
        <v>172</v>
      </c>
      <c r="P76" s="27" t="s">
        <v>173</v>
      </c>
      <c r="Q76" s="277"/>
      <c r="R76" s="277"/>
      <c r="S76" s="1198"/>
      <c r="T76" s="1198"/>
    </row>
    <row r="77" spans="1:21" s="1" customFormat="1" ht="21" customHeight="1">
      <c r="A77" s="556"/>
      <c r="B77" s="1282"/>
      <c r="C77" s="521"/>
      <c r="D77" s="556"/>
      <c r="E77" s="1283"/>
      <c r="F77" s="1284"/>
      <c r="G77" s="1289"/>
      <c r="H77" s="1289"/>
      <c r="I77" s="356"/>
      <c r="J77" s="1287"/>
      <c r="K77" s="1287"/>
      <c r="L77" s="1287"/>
      <c r="M77" s="1287"/>
      <c r="N77" s="2"/>
      <c r="O77" s="193" t="s">
        <v>720</v>
      </c>
      <c r="P77" s="276" t="s">
        <v>721</v>
      </c>
      <c r="Q77" s="277"/>
      <c r="R77" s="277"/>
      <c r="S77" s="1198"/>
      <c r="T77" s="1198"/>
    </row>
    <row r="78" spans="1:21" s="1" customFormat="1" ht="21" customHeight="1">
      <c r="A78" s="555"/>
      <c r="B78" s="1282"/>
      <c r="C78" s="521"/>
      <c r="D78" s="556"/>
      <c r="E78" s="1283"/>
      <c r="F78" s="1284"/>
      <c r="G78" s="1289"/>
      <c r="H78" s="1289"/>
      <c r="I78" s="356"/>
      <c r="J78" s="1287"/>
      <c r="K78" s="1287"/>
      <c r="L78" s="1287"/>
      <c r="M78" s="1287"/>
      <c r="N78" s="274"/>
      <c r="O78" s="193" t="s">
        <v>722</v>
      </c>
      <c r="P78" s="276" t="s">
        <v>723</v>
      </c>
      <c r="Q78" s="277"/>
      <c r="R78" s="277"/>
      <c r="S78" s="1198"/>
      <c r="T78" s="1198"/>
    </row>
    <row r="79" spans="1:21" s="1" customFormat="1" ht="21" customHeight="1">
      <c r="A79" s="555"/>
      <c r="B79" s="555"/>
      <c r="C79" s="555"/>
      <c r="D79" s="555"/>
      <c r="E79" s="555"/>
      <c r="F79" s="1284"/>
      <c r="G79" s="1290"/>
      <c r="H79" s="1290"/>
      <c r="I79" s="366"/>
      <c r="J79" s="356"/>
      <c r="K79" s="356"/>
      <c r="L79" s="1291"/>
      <c r="M79" s="356"/>
      <c r="N79" s="2"/>
      <c r="O79" s="1035" t="s">
        <v>174</v>
      </c>
      <c r="P79" s="552" t="s">
        <v>175</v>
      </c>
      <c r="Q79" s="277"/>
      <c r="R79" s="277"/>
      <c r="S79" s="1198"/>
      <c r="T79" s="1198"/>
    </row>
    <row r="80" spans="1:21" s="1" customFormat="1" ht="21" customHeight="1">
      <c r="A80" s="556"/>
      <c r="B80" s="1445"/>
      <c r="C80" s="1445"/>
      <c r="D80" s="1292"/>
      <c r="E80" s="1292"/>
      <c r="F80" s="1293"/>
      <c r="G80" s="1294"/>
      <c r="H80" s="1295"/>
      <c r="I80" s="366"/>
      <c r="J80" s="356"/>
      <c r="K80" s="356"/>
      <c r="L80" s="1296"/>
      <c r="M80" s="356"/>
      <c r="N80" s="2"/>
      <c r="O80" s="23" t="s">
        <v>176</v>
      </c>
      <c r="P80" s="27" t="s">
        <v>177</v>
      </c>
      <c r="Q80" s="277"/>
      <c r="R80" s="277"/>
      <c r="S80" s="1198"/>
      <c r="T80" s="1198"/>
    </row>
    <row r="81" spans="1:27" s="1" customFormat="1" ht="21" customHeight="1">
      <c r="A81" s="361"/>
      <c r="B81" s="356"/>
      <c r="C81" s="172"/>
      <c r="D81" s="362"/>
      <c r="E81" s="291"/>
      <c r="F81" s="290"/>
      <c r="G81" s="364"/>
      <c r="H81" s="376"/>
      <c r="I81" s="172"/>
      <c r="J81" s="377"/>
      <c r="K81" s="377"/>
      <c r="L81" s="378"/>
      <c r="M81" s="377"/>
      <c r="N81" s="2"/>
      <c r="O81" s="23">
        <v>195</v>
      </c>
      <c r="P81" s="27" t="s">
        <v>178</v>
      </c>
      <c r="Q81" s="277"/>
      <c r="R81" s="277"/>
      <c r="S81" s="1198"/>
      <c r="T81" s="1198"/>
    </row>
    <row r="82" spans="1:27" s="274" customFormat="1" ht="21" customHeight="1">
      <c r="A82" s="361"/>
      <c r="B82" s="356"/>
      <c r="C82" s="172"/>
      <c r="D82" s="362"/>
      <c r="E82" s="291"/>
      <c r="F82" s="290"/>
      <c r="G82" s="364"/>
      <c r="H82" s="376"/>
      <c r="I82" s="172"/>
      <c r="J82" s="377"/>
      <c r="K82" s="377"/>
      <c r="L82" s="378"/>
      <c r="M82" s="377"/>
      <c r="N82" s="2"/>
      <c r="O82" s="23" t="s">
        <v>179</v>
      </c>
      <c r="P82" s="27" t="s">
        <v>180</v>
      </c>
      <c r="Q82" s="277"/>
      <c r="R82" s="277"/>
      <c r="S82" s="1198"/>
      <c r="T82" s="1198"/>
      <c r="U82" s="1"/>
    </row>
    <row r="83" spans="1:27" s="1" customFormat="1" ht="21" customHeight="1">
      <c r="A83" s="361"/>
      <c r="B83" s="356"/>
      <c r="C83" s="172"/>
      <c r="D83" s="362"/>
      <c r="E83" s="291"/>
      <c r="F83" s="363"/>
      <c r="G83" s="364"/>
      <c r="H83" s="376"/>
      <c r="I83" s="172"/>
      <c r="J83" s="380"/>
      <c r="K83" s="380"/>
      <c r="L83" s="381"/>
      <c r="M83" s="380"/>
      <c r="N83" s="2"/>
      <c r="O83" s="23" t="s">
        <v>181</v>
      </c>
      <c r="P83" s="27" t="s">
        <v>1142</v>
      </c>
      <c r="Q83" s="277"/>
      <c r="R83" s="277"/>
      <c r="S83" s="1198"/>
      <c r="T83" s="1198"/>
      <c r="U83" s="274"/>
    </row>
    <row r="84" spans="1:27" s="1" customFormat="1" ht="21" customHeight="1">
      <c r="A84" s="361"/>
      <c r="B84" s="356"/>
      <c r="C84" s="172"/>
      <c r="D84" s="362"/>
      <c r="E84" s="291"/>
      <c r="F84" s="363"/>
      <c r="G84" s="364"/>
      <c r="H84" s="376"/>
      <c r="I84" s="172"/>
      <c r="J84" s="377"/>
      <c r="K84" s="377"/>
      <c r="L84" s="378"/>
      <c r="M84" s="377"/>
      <c r="N84" s="2"/>
      <c r="O84" s="193" t="s">
        <v>1144</v>
      </c>
      <c r="P84" s="27" t="s">
        <v>1143</v>
      </c>
      <c r="Q84" s="277"/>
      <c r="R84" s="277"/>
      <c r="S84" s="1198"/>
      <c r="T84" s="1198"/>
    </row>
    <row r="85" spans="1:27" s="1" customFormat="1" ht="21" customHeight="1">
      <c r="A85" s="361"/>
      <c r="B85" s="356"/>
      <c r="C85" s="172"/>
      <c r="D85" s="362"/>
      <c r="E85" s="291"/>
      <c r="F85" s="363"/>
      <c r="G85" s="364"/>
      <c r="H85" s="365"/>
      <c r="I85" s="172"/>
      <c r="J85" s="377"/>
      <c r="K85" s="377"/>
      <c r="L85" s="378"/>
      <c r="M85" s="377"/>
      <c r="N85" s="2"/>
      <c r="O85" s="23" t="s">
        <v>183</v>
      </c>
      <c r="P85" s="27" t="s">
        <v>1146</v>
      </c>
      <c r="Q85" s="277"/>
      <c r="R85" s="277"/>
      <c r="S85" s="1198"/>
      <c r="T85" s="1198"/>
    </row>
    <row r="86" spans="1:27" s="1" customFormat="1" ht="21" customHeight="1">
      <c r="A86" s="361"/>
      <c r="B86" s="356"/>
      <c r="C86" s="172"/>
      <c r="D86" s="362"/>
      <c r="E86" s="291"/>
      <c r="F86" s="363"/>
      <c r="G86" s="364"/>
      <c r="H86" s="365"/>
      <c r="I86" s="172"/>
      <c r="J86" s="377"/>
      <c r="K86" s="377"/>
      <c r="L86" s="378"/>
      <c r="M86" s="377"/>
      <c r="N86" s="2"/>
      <c r="O86" s="1035" t="s">
        <v>184</v>
      </c>
      <c r="P86" s="27" t="s">
        <v>1147</v>
      </c>
      <c r="Q86" s="277"/>
      <c r="R86" s="277"/>
      <c r="S86" s="1198"/>
      <c r="T86" s="1198"/>
    </row>
    <row r="87" spans="1:27" s="1034" customFormat="1" ht="21" customHeight="1">
      <c r="A87" s="361"/>
      <c r="B87" s="356"/>
      <c r="C87" s="172"/>
      <c r="D87" s="362"/>
      <c r="E87" s="291"/>
      <c r="F87" s="363"/>
      <c r="G87" s="364"/>
      <c r="H87" s="365"/>
      <c r="I87" s="172"/>
      <c r="J87" s="377"/>
      <c r="K87" s="377"/>
      <c r="L87" s="378"/>
      <c r="M87" s="377"/>
      <c r="N87" s="1036"/>
      <c r="O87" s="23" t="s">
        <v>185</v>
      </c>
      <c r="P87" s="27" t="s">
        <v>1098</v>
      </c>
      <c r="Q87" s="277"/>
      <c r="R87" s="277"/>
      <c r="S87" s="1198"/>
      <c r="T87" s="1198"/>
    </row>
    <row r="88" spans="1:27" ht="21" customHeight="1">
      <c r="A88" s="361"/>
      <c r="B88" s="356"/>
      <c r="C88" s="172"/>
      <c r="D88" s="362"/>
      <c r="E88" s="291"/>
      <c r="F88" s="363"/>
      <c r="G88" s="364"/>
      <c r="H88" s="365"/>
      <c r="I88" s="172"/>
      <c r="J88" s="377"/>
      <c r="K88" s="377"/>
      <c r="L88" s="378"/>
      <c r="M88" s="377"/>
      <c r="N88" s="1"/>
      <c r="O88" s="1035" t="s">
        <v>186</v>
      </c>
      <c r="P88" s="552"/>
      <c r="Q88" s="277"/>
      <c r="R88" s="277"/>
      <c r="S88" s="1198"/>
      <c r="T88" s="1198"/>
      <c r="U88" s="1"/>
      <c r="AA88" s="1"/>
    </row>
    <row r="89" spans="1:27" s="1036" customFormat="1" ht="21" customHeight="1">
      <c r="A89" s="361"/>
      <c r="B89" s="356"/>
      <c r="C89" s="172"/>
      <c r="D89" s="362"/>
      <c r="E89" s="291"/>
      <c r="F89" s="363"/>
      <c r="G89" s="364"/>
      <c r="H89" s="365"/>
      <c r="I89" s="172"/>
      <c r="J89" s="377"/>
      <c r="K89" s="377"/>
      <c r="L89" s="378"/>
      <c r="M89" s="377"/>
      <c r="O89" s="193" t="s">
        <v>525</v>
      </c>
      <c r="P89" s="27" t="s">
        <v>1151</v>
      </c>
      <c r="Q89" s="300"/>
      <c r="R89" s="277"/>
      <c r="S89" s="1198"/>
      <c r="T89" s="1198"/>
    </row>
    <row r="90" spans="1:27" ht="21" customHeight="1">
      <c r="A90" s="361"/>
      <c r="B90" s="172"/>
      <c r="C90" s="172"/>
      <c r="D90" s="362"/>
      <c r="E90" s="291"/>
      <c r="F90" s="290"/>
      <c r="G90" s="372"/>
      <c r="H90" s="376"/>
      <c r="I90" s="172"/>
      <c r="J90" s="373"/>
      <c r="K90" s="373"/>
      <c r="L90" s="374"/>
      <c r="M90" s="373"/>
      <c r="O90" s="193" t="s">
        <v>526</v>
      </c>
      <c r="P90" s="27"/>
      <c r="Q90" s="277"/>
      <c r="R90" s="277"/>
      <c r="S90" s="1198"/>
      <c r="T90" s="1198"/>
      <c r="U90" s="1"/>
    </row>
    <row r="91" spans="1:27" ht="21" customHeight="1">
      <c r="A91" s="369"/>
      <c r="B91" s="356"/>
      <c r="C91" s="382"/>
      <c r="D91" s="370"/>
      <c r="E91" s="383"/>
      <c r="F91" s="290"/>
      <c r="G91" s="358"/>
      <c r="H91" s="290"/>
      <c r="I91" s="172"/>
      <c r="J91" s="358"/>
      <c r="K91" s="358"/>
      <c r="L91" s="358"/>
      <c r="M91" s="358"/>
      <c r="O91" s="23" t="s">
        <v>187</v>
      </c>
      <c r="P91" s="27" t="s">
        <v>387</v>
      </c>
      <c r="Q91" s="277"/>
      <c r="R91" s="277"/>
      <c r="S91" s="1198"/>
      <c r="T91" s="1198"/>
      <c r="U91" s="1"/>
    </row>
    <row r="92" spans="1:27" ht="21" customHeight="1">
      <c r="A92" s="369"/>
      <c r="B92" s="172"/>
      <c r="C92" s="172"/>
      <c r="D92" s="362"/>
      <c r="E92" s="291"/>
      <c r="F92" s="290"/>
      <c r="G92" s="372"/>
      <c r="H92" s="376"/>
      <c r="I92" s="172"/>
      <c r="J92" s="373"/>
      <c r="K92" s="373"/>
      <c r="L92" s="374"/>
      <c r="M92" s="373"/>
      <c r="N92" s="275"/>
      <c r="O92" s="23" t="s">
        <v>213</v>
      </c>
      <c r="P92" s="27" t="s">
        <v>214</v>
      </c>
      <c r="Q92" s="300"/>
      <c r="R92" s="277"/>
      <c r="S92" s="1198"/>
      <c r="T92" s="1198"/>
      <c r="U92" s="1"/>
    </row>
    <row r="93" spans="1:27" ht="21" customHeight="1">
      <c r="A93" s="369"/>
      <c r="B93" s="368"/>
      <c r="C93" s="172"/>
      <c r="D93" s="362"/>
      <c r="E93" s="291"/>
      <c r="F93" s="290"/>
      <c r="G93" s="372"/>
      <c r="H93" s="376"/>
      <c r="I93" s="172"/>
      <c r="J93" s="373"/>
      <c r="K93" s="373"/>
      <c r="L93" s="374"/>
      <c r="M93" s="373"/>
      <c r="N93" s="275"/>
      <c r="O93" s="23" t="s">
        <v>188</v>
      </c>
      <c r="P93" s="27" t="s">
        <v>189</v>
      </c>
      <c r="Q93" s="300"/>
      <c r="R93" s="277"/>
      <c r="S93" s="1198"/>
      <c r="T93" s="1198"/>
    </row>
    <row r="94" spans="1:27" ht="21" customHeight="1">
      <c r="A94" s="384"/>
      <c r="B94" s="385"/>
      <c r="C94" s="385"/>
      <c r="D94" s="386"/>
      <c r="E94" s="387"/>
      <c r="F94" s="388"/>
      <c r="G94" s="388"/>
      <c r="H94" s="379"/>
      <c r="I94" s="382"/>
      <c r="J94" s="373"/>
      <c r="K94" s="373"/>
      <c r="L94" s="374"/>
      <c r="M94" s="373"/>
      <c r="N94" s="275"/>
      <c r="O94" s="23" t="s">
        <v>1145</v>
      </c>
      <c r="P94" s="27" t="s">
        <v>388</v>
      </c>
      <c r="Q94" s="277"/>
      <c r="R94" s="277"/>
      <c r="S94" s="1198"/>
      <c r="T94" s="1198"/>
    </row>
    <row r="95" spans="1:27" ht="21" customHeight="1">
      <c r="A95" s="375"/>
      <c r="B95" s="357"/>
      <c r="C95" s="172"/>
      <c r="D95" s="362"/>
      <c r="E95" s="291"/>
      <c r="F95" s="363"/>
      <c r="G95" s="364"/>
      <c r="H95" s="376"/>
      <c r="I95" s="172"/>
      <c r="J95" s="380"/>
      <c r="K95" s="380"/>
      <c r="L95" s="381"/>
      <c r="M95" s="380"/>
      <c r="N95" s="275"/>
      <c r="O95" s="23" t="s">
        <v>190</v>
      </c>
      <c r="P95" s="552" t="s">
        <v>1140</v>
      </c>
      <c r="Q95" s="277"/>
      <c r="R95" s="277"/>
      <c r="S95" s="1198"/>
      <c r="T95" s="1198"/>
    </row>
    <row r="96" spans="1:27" s="275" customFormat="1" ht="21" customHeight="1">
      <c r="A96" s="375"/>
      <c r="B96" s="356"/>
      <c r="C96" s="172"/>
      <c r="D96" s="362"/>
      <c r="E96" s="291"/>
      <c r="F96" s="363"/>
      <c r="G96" s="364"/>
      <c r="H96" s="376"/>
      <c r="I96" s="382"/>
      <c r="J96" s="377"/>
      <c r="K96" s="377"/>
      <c r="L96" s="378"/>
      <c r="M96" s="377"/>
      <c r="O96" s="23">
        <v>230</v>
      </c>
      <c r="P96" s="27" t="s">
        <v>191</v>
      </c>
      <c r="Q96" s="277"/>
      <c r="R96" s="277"/>
      <c r="S96" s="1198"/>
      <c r="T96" s="1198"/>
      <c r="U96" s="2"/>
    </row>
    <row r="97" spans="1:21" s="275" customFormat="1" ht="21" customHeight="1">
      <c r="A97" s="375"/>
      <c r="B97" s="356"/>
      <c r="C97" s="172"/>
      <c r="D97" s="362"/>
      <c r="E97" s="291"/>
      <c r="F97" s="363"/>
      <c r="G97" s="364"/>
      <c r="H97" s="379"/>
      <c r="I97" s="172"/>
      <c r="J97" s="377"/>
      <c r="K97" s="377"/>
      <c r="L97" s="378"/>
      <c r="M97" s="377"/>
      <c r="O97" s="23"/>
      <c r="P97" s="24"/>
      <c r="Q97" s="25"/>
      <c r="R97" s="25"/>
      <c r="S97" s="1198"/>
      <c r="T97" s="1198"/>
    </row>
    <row r="98" spans="1:21" s="275" customFormat="1" ht="21" customHeight="1">
      <c r="A98" s="375"/>
      <c r="B98" s="356"/>
      <c r="C98" s="172"/>
      <c r="D98" s="362"/>
      <c r="E98" s="291"/>
      <c r="F98" s="290"/>
      <c r="G98" s="389"/>
      <c r="H98" s="379"/>
      <c r="I98" s="390"/>
      <c r="J98" s="373"/>
      <c r="K98" s="373"/>
      <c r="L98" s="374"/>
      <c r="M98" s="373"/>
      <c r="O98" s="19"/>
      <c r="P98" s="20" t="s">
        <v>391</v>
      </c>
      <c r="Q98" s="28"/>
      <c r="R98" s="28"/>
      <c r="S98" s="194">
        <f>SUM(S53:S97)</f>
        <v>0</v>
      </c>
      <c r="T98" s="194">
        <f>SUM(T53:T97)</f>
        <v>0</v>
      </c>
    </row>
    <row r="99" spans="1:21" s="275" customFormat="1" ht="21" customHeight="1">
      <c r="A99" s="361"/>
      <c r="B99" s="356"/>
      <c r="C99" s="172"/>
      <c r="D99" s="362"/>
      <c r="E99" s="291"/>
      <c r="F99" s="363"/>
      <c r="G99" s="364"/>
      <c r="H99" s="379"/>
      <c r="I99" s="172"/>
      <c r="J99" s="377"/>
      <c r="K99" s="377"/>
      <c r="L99" s="378"/>
      <c r="M99" s="377"/>
      <c r="N99" s="2"/>
      <c r="O99" s="29"/>
      <c r="P99" s="20" t="s">
        <v>192</v>
      </c>
      <c r="Q99" s="28"/>
      <c r="R99" s="28"/>
      <c r="S99" s="18"/>
      <c r="T99" s="18"/>
    </row>
    <row r="100" spans="1:21" s="275" customFormat="1" ht="21" customHeight="1">
      <c r="A100" s="361"/>
      <c r="B100" s="356"/>
      <c r="C100" s="172"/>
      <c r="D100" s="362"/>
      <c r="E100" s="291"/>
      <c r="F100" s="290"/>
      <c r="G100" s="389"/>
      <c r="H100" s="379"/>
      <c r="I100" s="172"/>
      <c r="J100" s="373"/>
      <c r="K100" s="373"/>
      <c r="L100" s="374"/>
      <c r="M100" s="373"/>
      <c r="N100" s="2"/>
      <c r="O100" s="30"/>
      <c r="P100" s="31"/>
      <c r="Q100" s="18"/>
      <c r="R100" s="18"/>
      <c r="S100" s="18"/>
      <c r="T100" s="18"/>
    </row>
    <row r="101" spans="1:21" s="275" customFormat="1" ht="21" customHeight="1">
      <c r="A101" s="361"/>
      <c r="B101" s="356"/>
      <c r="C101" s="172"/>
      <c r="D101" s="362"/>
      <c r="E101" s="291"/>
      <c r="F101" s="363"/>
      <c r="G101" s="364"/>
      <c r="H101" s="391"/>
      <c r="I101" s="172"/>
      <c r="J101" s="380"/>
      <c r="K101" s="380"/>
      <c r="L101" s="381"/>
      <c r="M101" s="380"/>
      <c r="N101" s="2"/>
      <c r="O101" s="95"/>
      <c r="P101" s="2"/>
      <c r="Q101" s="2"/>
      <c r="R101" s="2"/>
      <c r="S101" s="2"/>
      <c r="T101" s="2"/>
    </row>
    <row r="102" spans="1:21" s="275" customFormat="1" ht="21" customHeight="1">
      <c r="A102" s="361"/>
      <c r="B102" s="356"/>
      <c r="C102" s="172"/>
      <c r="D102" s="362"/>
      <c r="E102" s="291"/>
      <c r="F102" s="363"/>
      <c r="G102" s="364"/>
      <c r="H102" s="365"/>
      <c r="I102" s="172"/>
      <c r="J102" s="377"/>
      <c r="K102" s="377"/>
      <c r="L102" s="378"/>
      <c r="M102" s="377"/>
      <c r="N102" s="2"/>
      <c r="O102" s="95"/>
      <c r="P102" s="2"/>
      <c r="Q102" s="2"/>
      <c r="R102" s="2"/>
      <c r="S102" s="2"/>
      <c r="T102" s="2"/>
    </row>
    <row r="103" spans="1:21" ht="21" customHeight="1">
      <c r="A103" s="369"/>
      <c r="B103" s="172"/>
      <c r="C103" s="172"/>
      <c r="D103" s="370"/>
      <c r="E103" s="371"/>
      <c r="F103" s="290"/>
      <c r="G103" s="372"/>
      <c r="H103" s="290"/>
      <c r="I103" s="356"/>
      <c r="J103" s="373"/>
      <c r="K103" s="373"/>
      <c r="L103" s="374"/>
      <c r="M103" s="373"/>
      <c r="N103" s="275"/>
      <c r="U103" s="275"/>
    </row>
    <row r="104" spans="1:21" ht="21" customHeight="1">
      <c r="A104" s="369"/>
      <c r="B104" s="172"/>
      <c r="C104" s="172"/>
      <c r="D104" s="370"/>
      <c r="E104" s="383"/>
      <c r="F104" s="290"/>
      <c r="G104" s="392"/>
      <c r="H104" s="290"/>
      <c r="I104" s="356"/>
      <c r="J104" s="393"/>
      <c r="K104" s="393"/>
      <c r="L104" s="394"/>
      <c r="M104" s="395"/>
      <c r="N104" s="275"/>
    </row>
    <row r="105" spans="1:21" ht="21" customHeight="1">
      <c r="A105" s="396"/>
      <c r="B105" s="397"/>
      <c r="C105" s="398"/>
      <c r="D105" s="370"/>
      <c r="E105" s="383"/>
      <c r="F105" s="290"/>
      <c r="G105" s="358"/>
      <c r="H105" s="290"/>
      <c r="I105" s="356"/>
      <c r="J105" s="358"/>
      <c r="K105" s="358"/>
      <c r="L105" s="358"/>
      <c r="M105" s="358"/>
      <c r="N105" s="275"/>
    </row>
    <row r="106" spans="1:21" ht="21" customHeight="1">
      <c r="A106" s="399"/>
      <c r="B106" s="356"/>
      <c r="C106" s="356"/>
      <c r="D106" s="400"/>
      <c r="E106" s="401"/>
      <c r="F106" s="402"/>
      <c r="G106" s="402"/>
      <c r="H106" s="402"/>
      <c r="I106" s="356"/>
      <c r="J106" s="356"/>
      <c r="K106" s="356"/>
      <c r="L106" s="356"/>
      <c r="M106" s="356"/>
      <c r="N106" s="275"/>
    </row>
    <row r="107" spans="1:21" s="275" customFormat="1" ht="21" customHeight="1">
      <c r="A107" s="399"/>
      <c r="B107" s="356"/>
      <c r="C107" s="356"/>
      <c r="D107" s="400"/>
      <c r="E107" s="401"/>
      <c r="F107" s="402"/>
      <c r="G107" s="402"/>
      <c r="H107" s="402"/>
      <c r="I107" s="356"/>
      <c r="J107" s="358"/>
      <c r="K107" s="356"/>
      <c r="L107" s="356"/>
      <c r="M107" s="356"/>
      <c r="O107" s="95"/>
      <c r="P107" s="2"/>
      <c r="Q107" s="2"/>
      <c r="R107" s="2"/>
      <c r="S107" s="2"/>
      <c r="T107" s="2"/>
      <c r="U107" s="2"/>
    </row>
    <row r="108" spans="1:21" ht="21" customHeight="1">
      <c r="A108" s="399"/>
      <c r="B108" s="356"/>
      <c r="C108" s="356"/>
      <c r="D108" s="400"/>
      <c r="E108" s="401"/>
      <c r="F108" s="402"/>
      <c r="G108" s="402"/>
      <c r="H108" s="402"/>
      <c r="I108" s="356"/>
      <c r="J108" s="403"/>
      <c r="K108" s="356"/>
      <c r="L108" s="356"/>
      <c r="M108" s="356"/>
      <c r="N108" s="336"/>
      <c r="U108" s="275"/>
    </row>
    <row r="109" spans="1:21" ht="11.25" customHeight="1">
      <c r="A109" s="399"/>
      <c r="B109" s="356"/>
      <c r="C109" s="356"/>
      <c r="D109" s="400"/>
      <c r="E109" s="401"/>
      <c r="F109" s="402"/>
      <c r="G109" s="402"/>
      <c r="H109" s="402"/>
      <c r="I109" s="356"/>
      <c r="J109" s="358"/>
      <c r="K109" s="356"/>
      <c r="L109" s="356"/>
      <c r="M109" s="356"/>
      <c r="N109" s="275"/>
      <c r="P109" s="332"/>
    </row>
    <row r="110" spans="1:21" ht="21" customHeight="1">
      <c r="A110" s="399"/>
      <c r="B110" s="356"/>
      <c r="C110" s="356"/>
      <c r="D110" s="400"/>
      <c r="E110" s="401"/>
      <c r="F110" s="402"/>
      <c r="G110" s="358"/>
      <c r="H110" s="402"/>
      <c r="I110" s="356"/>
      <c r="J110" s="358"/>
      <c r="K110" s="356"/>
      <c r="L110" s="356"/>
      <c r="M110" s="356"/>
      <c r="N110" s="275"/>
    </row>
    <row r="111" spans="1:21" ht="21" customHeight="1">
      <c r="A111" s="399"/>
      <c r="B111" s="356"/>
      <c r="C111" s="356"/>
      <c r="D111" s="400"/>
      <c r="E111" s="401"/>
      <c r="F111" s="402"/>
      <c r="G111" s="402"/>
      <c r="H111" s="402"/>
      <c r="J111" s="356"/>
      <c r="K111" s="356"/>
      <c r="L111" s="356"/>
      <c r="M111" s="356"/>
      <c r="N111" s="275"/>
    </row>
    <row r="112" spans="1:21" s="275" customFormat="1" ht="22.5" customHeight="1">
      <c r="A112" s="154"/>
      <c r="B112" s="2"/>
      <c r="C112" s="2"/>
      <c r="D112" s="5"/>
      <c r="E112" s="6"/>
      <c r="F112" s="7"/>
      <c r="G112" s="7"/>
      <c r="H112" s="7"/>
      <c r="I112" s="343"/>
      <c r="J112" s="2"/>
      <c r="K112" s="2"/>
      <c r="L112" s="2"/>
      <c r="M112" s="2"/>
      <c r="O112" s="95"/>
      <c r="P112" s="2"/>
      <c r="Q112" s="2"/>
      <c r="R112" s="2"/>
      <c r="S112" s="2"/>
      <c r="T112" s="2"/>
      <c r="U112" s="2"/>
    </row>
    <row r="113" spans="1:21" s="275" customFormat="1" ht="54.75" customHeight="1">
      <c r="A113" s="154"/>
      <c r="B113" s="2"/>
      <c r="C113" s="2"/>
      <c r="D113" s="5"/>
      <c r="E113" s="6"/>
      <c r="F113" s="7"/>
      <c r="G113" s="7"/>
      <c r="H113" s="7"/>
      <c r="I113" s="343"/>
      <c r="J113" s="2"/>
      <c r="K113" s="2"/>
      <c r="L113" s="2"/>
      <c r="M113" s="2"/>
      <c r="O113" s="95"/>
      <c r="P113" s="2"/>
      <c r="Q113" s="2"/>
      <c r="R113" s="2"/>
      <c r="S113" s="2"/>
      <c r="T113" s="2"/>
    </row>
    <row r="114" spans="1:21" s="275" customFormat="1" ht="22.5" customHeight="1">
      <c r="A114" s="154"/>
      <c r="B114" s="2"/>
      <c r="C114" s="2"/>
      <c r="D114" s="5"/>
      <c r="E114" s="6"/>
      <c r="F114" s="7"/>
      <c r="G114" s="7"/>
      <c r="H114" s="7"/>
      <c r="I114" s="343"/>
      <c r="J114" s="2"/>
      <c r="K114" s="2"/>
      <c r="L114" s="2"/>
      <c r="M114" s="2"/>
      <c r="N114" s="2"/>
      <c r="O114" s="95"/>
      <c r="P114" s="2"/>
      <c r="Q114" s="2"/>
      <c r="R114" s="2"/>
      <c r="S114" s="2"/>
      <c r="T114" s="2"/>
    </row>
    <row r="115" spans="1:21" s="275" customFormat="1" ht="49.5" customHeight="1">
      <c r="A115" s="154"/>
      <c r="B115" s="2"/>
      <c r="C115" s="2"/>
      <c r="D115" s="5"/>
      <c r="E115" s="6"/>
      <c r="F115" s="7"/>
      <c r="G115" s="7"/>
      <c r="H115" s="7"/>
      <c r="I115" s="343"/>
      <c r="J115" s="2"/>
      <c r="K115" s="2"/>
      <c r="L115" s="2"/>
      <c r="M115" s="2"/>
      <c r="N115" s="2"/>
      <c r="O115" s="95"/>
      <c r="P115" s="2"/>
      <c r="Q115" s="2"/>
      <c r="R115" s="2"/>
      <c r="S115" s="2"/>
      <c r="T115" s="2"/>
    </row>
    <row r="116" spans="1:21" ht="22.5" customHeight="1">
      <c r="U116" s="275"/>
    </row>
    <row r="117" spans="1:21" s="275" customFormat="1" ht="49.5" customHeight="1">
      <c r="A117" s="154"/>
      <c r="B117" s="2"/>
      <c r="C117" s="2"/>
      <c r="D117" s="5"/>
      <c r="E117" s="6"/>
      <c r="F117" s="7"/>
      <c r="G117" s="7"/>
      <c r="H117" s="7"/>
      <c r="I117" s="343"/>
      <c r="J117" s="2"/>
      <c r="K117" s="2"/>
      <c r="L117" s="2"/>
      <c r="M117" s="2"/>
      <c r="N117" s="2"/>
      <c r="O117" s="95"/>
      <c r="P117" s="2"/>
      <c r="Q117" s="2"/>
      <c r="R117" s="2"/>
      <c r="S117" s="2"/>
      <c r="T117" s="2"/>
    </row>
    <row r="118" spans="1:21" ht="22.5" customHeight="1">
      <c r="U118" s="275"/>
    </row>
    <row r="119" spans="1:21" ht="23.25" customHeight="1"/>
    <row r="120" spans="1:21" ht="23.25" customHeight="1">
      <c r="N120" s="94"/>
    </row>
    <row r="121" spans="1:21" ht="21" customHeight="1">
      <c r="N121" s="115"/>
    </row>
    <row r="122" spans="1:21" ht="21" customHeight="1">
      <c r="N122" s="94"/>
    </row>
    <row r="123" spans="1:21" ht="21" customHeight="1">
      <c r="N123" s="97"/>
    </row>
    <row r="124" spans="1:21" ht="27.75" customHeight="1"/>
    <row r="125" spans="1:21" ht="21" customHeight="1"/>
    <row r="126" spans="1:21" ht="21" customHeight="1"/>
    <row r="127" spans="1:21" ht="21" customHeight="1"/>
    <row r="128" spans="1:21" ht="21" customHeight="1"/>
    <row r="129" spans="1:21" ht="21" customHeight="1"/>
    <row r="132" spans="1:21" ht="18" customHeight="1">
      <c r="N132" s="206"/>
    </row>
    <row r="133" spans="1:21" ht="18" customHeight="1">
      <c r="N133" s="206"/>
      <c r="O133" s="292"/>
      <c r="P133" s="206"/>
      <c r="Q133" s="206"/>
      <c r="R133" s="206"/>
      <c r="S133" s="206"/>
      <c r="T133" s="206"/>
    </row>
    <row r="134" spans="1:21" ht="18" customHeight="1">
      <c r="N134" s="206"/>
      <c r="O134" s="292"/>
      <c r="P134" s="206"/>
      <c r="Q134" s="206"/>
      <c r="R134" s="206"/>
      <c r="S134" s="206"/>
      <c r="T134" s="206"/>
    </row>
    <row r="135" spans="1:21" ht="18" customHeight="1">
      <c r="N135" s="206"/>
      <c r="O135" s="292"/>
      <c r="P135" s="206"/>
      <c r="Q135" s="206"/>
      <c r="R135" s="206"/>
      <c r="S135" s="206"/>
      <c r="T135" s="206"/>
    </row>
    <row r="136" spans="1:21" s="206" customFormat="1" ht="18" customHeight="1">
      <c r="A136" s="154"/>
      <c r="B136" s="2"/>
      <c r="C136" s="2"/>
      <c r="D136" s="5"/>
      <c r="E136" s="6"/>
      <c r="F136" s="7"/>
      <c r="G136" s="7"/>
      <c r="H136" s="7"/>
      <c r="I136" s="343"/>
      <c r="J136" s="2"/>
      <c r="K136" s="2"/>
      <c r="L136" s="2"/>
      <c r="M136" s="2"/>
      <c r="O136" s="292"/>
      <c r="U136" s="2"/>
    </row>
    <row r="137" spans="1:21" s="206" customFormat="1" ht="18" customHeight="1">
      <c r="A137" s="154"/>
      <c r="B137" s="2"/>
      <c r="C137" s="2"/>
      <c r="D137" s="5"/>
      <c r="E137" s="6"/>
      <c r="F137" s="7"/>
      <c r="G137" s="7"/>
      <c r="H137" s="7"/>
      <c r="I137" s="343"/>
      <c r="J137" s="2"/>
      <c r="K137" s="2"/>
      <c r="L137" s="2"/>
      <c r="M137" s="2"/>
      <c r="O137" s="292"/>
    </row>
    <row r="138" spans="1:21" s="206" customFormat="1" ht="18" customHeight="1">
      <c r="A138" s="154"/>
      <c r="B138" s="2"/>
      <c r="C138" s="2"/>
      <c r="D138" s="5"/>
      <c r="E138" s="6"/>
      <c r="F138" s="7"/>
      <c r="G138" s="7"/>
      <c r="H138" s="7"/>
      <c r="I138" s="343"/>
      <c r="J138" s="2"/>
      <c r="K138" s="2"/>
      <c r="L138" s="2"/>
      <c r="M138" s="2"/>
      <c r="O138" s="292"/>
    </row>
    <row r="139" spans="1:21" s="206" customFormat="1" ht="18" customHeight="1">
      <c r="A139" s="154"/>
      <c r="B139" s="2"/>
      <c r="C139" s="2"/>
      <c r="D139" s="5"/>
      <c r="E139" s="6"/>
      <c r="F139" s="7"/>
      <c r="G139" s="7"/>
      <c r="H139" s="7"/>
      <c r="I139" s="343"/>
      <c r="J139" s="2"/>
      <c r="K139" s="2"/>
      <c r="L139" s="2"/>
      <c r="M139" s="2"/>
      <c r="O139" s="292"/>
    </row>
    <row r="140" spans="1:21" s="206" customFormat="1" ht="18" customHeight="1">
      <c r="A140" s="154"/>
      <c r="B140" s="2"/>
      <c r="C140" s="2"/>
      <c r="D140" s="5"/>
      <c r="E140" s="6"/>
      <c r="F140" s="7"/>
      <c r="G140" s="7"/>
      <c r="H140" s="7"/>
      <c r="I140" s="343"/>
      <c r="J140" s="2"/>
      <c r="K140" s="2"/>
      <c r="L140" s="2"/>
      <c r="M140" s="2"/>
      <c r="N140" s="359">
        <f>ROUND(-1360200*0.8*0.7*12%/3,2)</f>
        <v>-30468.48</v>
      </c>
      <c r="O140" s="292"/>
    </row>
    <row r="141" spans="1:21" s="206" customFormat="1" ht="18" customHeight="1">
      <c r="A141" s="154"/>
      <c r="B141" s="2"/>
      <c r="C141" s="2"/>
      <c r="D141" s="5"/>
      <c r="E141" s="6"/>
      <c r="F141" s="7"/>
      <c r="G141" s="7"/>
      <c r="H141" s="7"/>
      <c r="I141" s="343"/>
      <c r="J141" s="2"/>
      <c r="K141" s="2"/>
      <c r="L141" s="2"/>
      <c r="M141" s="2"/>
      <c r="N141" s="359">
        <f>ROUND(-51490*0.8*0.7*12%/3,2)</f>
        <v>-1153.3800000000001</v>
      </c>
      <c r="O141" s="292"/>
    </row>
    <row r="142" spans="1:21" s="206" customFormat="1" ht="18" customHeight="1">
      <c r="A142" s="154"/>
      <c r="B142" s="2"/>
      <c r="C142" s="2"/>
      <c r="D142" s="5"/>
      <c r="E142" s="6"/>
      <c r="F142" s="7"/>
      <c r="G142" s="7"/>
      <c r="H142" s="7"/>
      <c r="I142" s="343"/>
      <c r="J142" s="2"/>
      <c r="K142" s="2"/>
      <c r="L142" s="2"/>
      <c r="M142" s="2"/>
      <c r="O142" s="292"/>
      <c r="P142" s="334">
        <f>L52+L54+L55+L56</f>
        <v>1041612.2185714286</v>
      </c>
    </row>
    <row r="143" spans="1:21" s="206" customFormat="1" ht="18" customHeight="1">
      <c r="A143" s="154"/>
      <c r="B143" s="2"/>
      <c r="C143" s="2"/>
      <c r="D143" s="5"/>
      <c r="E143" s="6"/>
      <c r="F143" s="7"/>
      <c r="G143" s="7"/>
      <c r="H143" s="7"/>
      <c r="I143" s="343"/>
      <c r="J143" s="2"/>
      <c r="K143" s="2"/>
      <c r="L143" s="2"/>
      <c r="M143" s="2"/>
      <c r="N143" s="2"/>
      <c r="O143" s="292"/>
      <c r="P143" s="333">
        <f>SUM(N140:N141,L81:L82)</f>
        <v>-31621.86</v>
      </c>
    </row>
    <row r="144" spans="1:21" s="206" customFormat="1" ht="18" customHeight="1">
      <c r="A144" s="154"/>
      <c r="B144" s="2"/>
      <c r="C144" s="2"/>
      <c r="D144" s="5"/>
      <c r="E144" s="6"/>
      <c r="F144" s="7"/>
      <c r="G144" s="7"/>
      <c r="H144" s="7"/>
      <c r="I144" s="343"/>
      <c r="J144" s="2"/>
      <c r="K144" s="2"/>
      <c r="L144" s="2"/>
      <c r="M144" s="2"/>
      <c r="N144" s="359">
        <f>ROUND(-14940*0.8*0.7*12%/3,2)</f>
        <v>-334.66</v>
      </c>
      <c r="O144" s="292"/>
      <c r="P144" s="333"/>
    </row>
    <row r="145" spans="1:21" s="206" customFormat="1" ht="18" customHeight="1">
      <c r="A145" s="154"/>
      <c r="B145" s="2"/>
      <c r="C145" s="2"/>
      <c r="D145" s="5"/>
      <c r="E145" s="6"/>
      <c r="F145" s="7"/>
      <c r="G145" s="7"/>
      <c r="H145" s="7"/>
      <c r="I145" s="343"/>
      <c r="J145" s="2"/>
      <c r="K145" s="2"/>
      <c r="L145" s="2"/>
      <c r="M145" s="2"/>
      <c r="N145" s="359">
        <f>ROUND(107912*0.8*0.7*12%/3,2)</f>
        <v>2417.23</v>
      </c>
      <c r="O145" s="292"/>
      <c r="P145" s="333"/>
    </row>
    <row r="146" spans="1:21" s="206" customFormat="1" ht="18" customHeight="1">
      <c r="A146" s="154"/>
      <c r="B146" s="2"/>
      <c r="C146" s="2"/>
      <c r="D146" s="5"/>
      <c r="E146" s="6"/>
      <c r="F146" s="7"/>
      <c r="G146" s="7"/>
      <c r="H146" s="7"/>
      <c r="I146" s="343"/>
      <c r="J146" s="2"/>
      <c r="K146" s="2"/>
      <c r="L146" s="2"/>
      <c r="M146" s="2"/>
      <c r="N146" s="359">
        <f>ROUND(-28000*0.8*0.7*12%/3,2)</f>
        <v>-627.20000000000005</v>
      </c>
      <c r="O146" s="292"/>
      <c r="P146" s="333"/>
    </row>
    <row r="147" spans="1:21" s="206" customFormat="1" ht="18" customHeight="1">
      <c r="A147" s="154"/>
      <c r="B147" s="2"/>
      <c r="C147" s="2"/>
      <c r="D147" s="5"/>
      <c r="E147" s="6"/>
      <c r="F147" s="7"/>
      <c r="G147" s="7"/>
      <c r="H147" s="7"/>
      <c r="I147" s="343"/>
      <c r="J147" s="2"/>
      <c r="K147" s="2"/>
      <c r="L147" s="2"/>
      <c r="M147" s="2"/>
      <c r="N147" s="359">
        <f>ROUND(-127000*0.8*0.7*12%/3,2)</f>
        <v>-2844.8</v>
      </c>
      <c r="O147" s="292"/>
      <c r="P147" s="333"/>
    </row>
    <row r="148" spans="1:21" s="206" customFormat="1" ht="18" customHeight="1">
      <c r="A148" s="154"/>
      <c r="B148" s="2"/>
      <c r="C148" s="2"/>
      <c r="D148" s="5"/>
      <c r="E148" s="6"/>
      <c r="F148" s="7"/>
      <c r="G148" s="7"/>
      <c r="H148" s="7"/>
      <c r="I148" s="343"/>
      <c r="J148" s="2"/>
      <c r="K148" s="2"/>
      <c r="L148" s="2"/>
      <c r="M148" s="2"/>
      <c r="N148" s="359">
        <f>ROUND(-51000*0.8*0.7*12%/3,2)</f>
        <v>-1142.4000000000001</v>
      </c>
      <c r="O148" s="292"/>
      <c r="P148" s="333"/>
    </row>
    <row r="149" spans="1:21" s="206" customFormat="1" ht="18" customHeight="1">
      <c r="A149" s="154"/>
      <c r="B149" s="2"/>
      <c r="C149" s="2"/>
      <c r="D149" s="5"/>
      <c r="E149" s="6"/>
      <c r="F149" s="7"/>
      <c r="G149" s="7"/>
      <c r="H149" s="7"/>
      <c r="I149" s="343"/>
      <c r="J149" s="2"/>
      <c r="K149" s="2"/>
      <c r="L149" s="2"/>
      <c r="M149" s="2"/>
      <c r="N149" s="2"/>
      <c r="O149" s="95"/>
      <c r="P149" s="2">
        <f>ROUND(SUM(P142:P143)*M57,2)</f>
        <v>0</v>
      </c>
    </row>
    <row r="150" spans="1:21" s="206" customFormat="1" ht="18" customHeight="1">
      <c r="A150" s="154"/>
      <c r="B150" s="2"/>
      <c r="C150" s="2"/>
      <c r="D150" s="5"/>
      <c r="E150" s="6"/>
      <c r="F150" s="7"/>
      <c r="G150" s="7"/>
      <c r="H150" s="7"/>
      <c r="I150" s="343"/>
      <c r="J150" s="2"/>
      <c r="K150" s="2"/>
      <c r="L150" s="2"/>
      <c r="M150" s="2"/>
      <c r="N150" s="360">
        <f>SUM(N130:N139,N146:N149,N141:N144)</f>
        <v>-6102.44</v>
      </c>
      <c r="O150" s="2"/>
      <c r="P150" s="335">
        <f>SUM(P142:P149)</f>
        <v>1009990.3585714286</v>
      </c>
    </row>
    <row r="151" spans="1:21" s="206" customFormat="1" ht="18" customHeight="1">
      <c r="A151" s="154"/>
      <c r="B151" s="2"/>
      <c r="C151" s="2"/>
      <c r="D151" s="5"/>
      <c r="E151" s="6"/>
      <c r="F151" s="7"/>
      <c r="G151" s="7"/>
      <c r="H151" s="7"/>
      <c r="I151" s="343"/>
      <c r="J151" s="2"/>
      <c r="K151" s="2"/>
      <c r="L151" s="2"/>
      <c r="M151" s="2"/>
      <c r="N151" s="2"/>
      <c r="O151" s="95"/>
      <c r="P151" s="2"/>
      <c r="Q151" s="2"/>
      <c r="R151" s="2"/>
      <c r="S151" s="2"/>
      <c r="T151" s="2"/>
    </row>
    <row r="152" spans="1:21" s="206" customFormat="1" ht="18" customHeight="1">
      <c r="A152" s="154"/>
      <c r="B152" s="2"/>
      <c r="C152" s="2"/>
      <c r="D152" s="5"/>
      <c r="E152" s="6"/>
      <c r="F152" s="7"/>
      <c r="G152" s="7"/>
      <c r="H152" s="7"/>
      <c r="I152" s="343"/>
      <c r="J152" s="2"/>
      <c r="K152" s="2"/>
      <c r="L152" s="2"/>
      <c r="M152" s="2"/>
      <c r="N152" s="2"/>
      <c r="O152" s="95"/>
      <c r="P152" s="2"/>
      <c r="Q152" s="2"/>
      <c r="R152" s="2"/>
      <c r="S152" s="2"/>
      <c r="T152" s="2"/>
    </row>
    <row r="153" spans="1:21" s="206" customFormat="1" ht="18" customHeight="1">
      <c r="A153" s="154"/>
      <c r="B153" s="2"/>
      <c r="C153" s="2"/>
      <c r="D153" s="5"/>
      <c r="E153" s="6"/>
      <c r="F153" s="7"/>
      <c r="G153" s="7"/>
      <c r="H153" s="7"/>
      <c r="I153" s="343"/>
      <c r="J153" s="2"/>
      <c r="K153" s="2"/>
      <c r="L153" s="2"/>
      <c r="M153" s="2"/>
      <c r="N153" s="2"/>
      <c r="O153" s="95"/>
      <c r="P153" s="2"/>
      <c r="Q153" s="2"/>
      <c r="R153" s="2"/>
      <c r="S153" s="2"/>
      <c r="T153" s="2"/>
    </row>
    <row r="154" spans="1:21" ht="18" customHeight="1">
      <c r="U154" s="206"/>
    </row>
    <row r="160" spans="1:21" ht="18" customHeight="1">
      <c r="N160" s="275"/>
    </row>
    <row r="161" spans="1:21" s="206" customFormat="1" ht="18" customHeight="1">
      <c r="A161" s="154"/>
      <c r="B161" s="2"/>
      <c r="C161" s="2"/>
      <c r="D161" s="5"/>
      <c r="E161" s="6"/>
      <c r="F161" s="7"/>
      <c r="G161" s="7"/>
      <c r="H161" s="7"/>
      <c r="I161" s="343"/>
      <c r="J161" s="2"/>
      <c r="K161" s="2"/>
      <c r="L161" s="2"/>
      <c r="M161" s="2"/>
      <c r="N161" s="80">
        <f>ROUND(-123000*0.8*0.7*12%/3,2)</f>
        <v>-2755.2</v>
      </c>
      <c r="O161" s="292"/>
      <c r="P161" s="333"/>
    </row>
    <row r="162" spans="1:21" s="275" customFormat="1" ht="21" customHeight="1">
      <c r="A162" s="154"/>
      <c r="B162" s="2"/>
      <c r="C162" s="2"/>
      <c r="D162" s="5"/>
      <c r="E162" s="6"/>
      <c r="F162" s="7"/>
      <c r="G162" s="7"/>
      <c r="H162" s="7"/>
      <c r="I162" s="343"/>
      <c r="J162" s="2"/>
      <c r="K162" s="2"/>
      <c r="L162" s="2"/>
      <c r="M162" s="2"/>
      <c r="N162" s="2"/>
      <c r="O162" s="95"/>
      <c r="P162" s="2"/>
      <c r="Q162" s="2"/>
      <c r="R162" s="2"/>
      <c r="S162" s="2"/>
      <c r="T162" s="2"/>
      <c r="U162" s="2"/>
    </row>
    <row r="163" spans="1:21" ht="18" customHeight="1">
      <c r="N163" s="308">
        <f>SUM(N152:N162)</f>
        <v>-2755.2</v>
      </c>
      <c r="Q163" s="275"/>
      <c r="R163" s="275"/>
      <c r="S163" s="275"/>
      <c r="T163" s="275"/>
      <c r="U163" s="275"/>
    </row>
    <row r="164" spans="1:21" ht="18" customHeight="1">
      <c r="N164" s="307">
        <f>SUM(N163,N150)</f>
        <v>-8857.64</v>
      </c>
    </row>
  </sheetData>
  <customSheetViews>
    <customSheetView guid="{29ADDA07-E427-4C12-A26F-16DB0F983414}" scale="90" showPageBreaks="1" printArea="1" view="pageBreakPreview" topLeftCell="A46">
      <selection activeCell="G55" sqref="G55"/>
      <colBreaks count="1" manualBreakCount="1">
        <brk id="9" max="67" man="1"/>
      </colBreaks>
      <pageMargins left="0.62992125984252001" right="0.196850393700787" top="0.66929133858267698" bottom="0.196850393700787" header="0.27559055118110198" footer="0.31496062992126"/>
      <pageSetup paperSize="9" scale="56" orientation="portrait" r:id="rId1"/>
      <headerFooter alignWithMargins="0">
        <oddHeader>&amp;LSanyo Eng &amp; Const Vietnam Co., Ltd.&amp;CSAIGON PRECISION LT1 B EXTENSION-4 FACTORY&amp;RRev.0 --- 20th/Dec./2014</oddHeader>
        <oddFooter>&amp;CSummary - &amp;P / &amp;N -</oddFooter>
      </headerFooter>
    </customSheetView>
  </customSheetViews>
  <mergeCells count="16">
    <mergeCell ref="A61:C61"/>
    <mergeCell ref="B80:C80"/>
    <mergeCell ref="B52:C52"/>
    <mergeCell ref="A60:C60"/>
    <mergeCell ref="B2:C2"/>
    <mergeCell ref="B55:C55"/>
    <mergeCell ref="B57:C57"/>
    <mergeCell ref="A59:C59"/>
    <mergeCell ref="B54:C54"/>
    <mergeCell ref="B56:C56"/>
    <mergeCell ref="S3:T3"/>
    <mergeCell ref="J1:M1"/>
    <mergeCell ref="J2:J3"/>
    <mergeCell ref="K2:K3"/>
    <mergeCell ref="L2:L3"/>
    <mergeCell ref="M2:M3"/>
  </mergeCells>
  <phoneticPr fontId="3" type="noConversion"/>
  <pageMargins left="0.62992125984252001" right="0.196850393700787" top="0.66929133858267698" bottom="0.196850393700787" header="0.27559055118110198" footer="0.31496062992126"/>
  <pageSetup paperSize="9" scale="55" orientation="portrait" r:id="rId2"/>
  <headerFooter alignWithMargins="0">
    <oddHeader>&amp;LSanyo Eng &amp; Const Vietnam Co., Ltd.&amp;CSAIGON PRECISION LT1 B EXTENSION-4 FACTORY&amp;RRev.0 --- 20th/Dec./2014</oddHeader>
    <oddFooter>&amp;CSummary - &amp;P / &amp;N -</oddFooter>
  </headerFooter>
  <colBreaks count="1" manualBreakCount="1">
    <brk id="9" max="67" man="1"/>
  </colBreaks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A1:BP1514"/>
  <sheetViews>
    <sheetView view="pageBreakPreview" topLeftCell="A17" zoomScaleNormal="70" zoomScaleSheetLayoutView="100" workbookViewId="0">
      <selection activeCell="B25" sqref="B25:B30"/>
    </sheetView>
  </sheetViews>
  <sheetFormatPr defaultColWidth="8.85546875" defaultRowHeight="12.75"/>
  <cols>
    <col min="1" max="1" width="8" style="430" customWidth="1"/>
    <col min="2" max="2" width="47" style="942" customWidth="1"/>
    <col min="3" max="3" width="46.7109375" style="942" customWidth="1"/>
    <col min="4" max="4" width="9.28515625" style="942" bestFit="1" customWidth="1"/>
    <col min="5" max="5" width="7.7109375" style="943" customWidth="1"/>
    <col min="6" max="6" width="9.5703125" style="1304" customWidth="1"/>
    <col min="7" max="7" width="18.140625" style="944" customWidth="1"/>
    <col min="8" max="8" width="19.28515625" style="944" customWidth="1"/>
    <col min="9" max="9" width="20.140625" style="437" customWidth="1"/>
    <col min="10" max="10" width="1.85546875" style="354" customWidth="1"/>
    <col min="11" max="11" width="8.42578125" style="1165" customWidth="1"/>
    <col min="12" max="12" width="9.28515625" style="1068" customWidth="1"/>
    <col min="13" max="13" width="12.140625" style="1068" customWidth="1"/>
    <col min="14" max="14" width="1.85546875" style="1068" customWidth="1"/>
    <col min="15" max="15" width="6.85546875" style="556" hidden="1" customWidth="1"/>
    <col min="16" max="16" width="6.42578125" style="1067" customWidth="1"/>
    <col min="17" max="17" width="9.7109375" style="1067" customWidth="1"/>
    <col min="18" max="18" width="13" style="555" customWidth="1"/>
    <col min="19" max="19" width="14.5703125" style="555" customWidth="1"/>
    <col min="20" max="20" width="11.85546875" style="555" customWidth="1"/>
    <col min="21" max="23" width="7.85546875" style="555" customWidth="1"/>
    <col min="24" max="24" width="8.85546875" style="555" customWidth="1"/>
    <col min="25" max="25" width="14" style="555" customWidth="1"/>
    <col min="26" max="26" width="8.140625" style="555" customWidth="1"/>
    <col min="27" max="27" width="14.28515625" style="555" customWidth="1"/>
    <col min="28" max="28" width="7.85546875" style="555" customWidth="1"/>
    <col min="29" max="29" width="11.28515625" style="555" customWidth="1"/>
    <col min="30" max="30" width="12.140625" style="555" customWidth="1"/>
    <col min="31" max="31" width="18.140625" style="1070" customWidth="1"/>
    <col min="32" max="32" width="17.7109375" style="1070" customWidth="1"/>
    <col min="33" max="34" width="1" style="555" customWidth="1"/>
    <col min="35" max="37" width="5.7109375" style="555" customWidth="1"/>
    <col min="38" max="38" width="8.140625" style="555" customWidth="1"/>
    <col min="39" max="39" width="15.42578125" style="555" customWidth="1"/>
    <col min="40" max="40" width="7.85546875" style="555" customWidth="1"/>
    <col min="41" max="41" width="15.42578125" style="555" customWidth="1"/>
    <col min="42" max="45" width="8.85546875" style="555"/>
    <col min="46" max="16384" width="8.85546875" style="172"/>
  </cols>
  <sheetData>
    <row r="1" spans="1:48" ht="30" customHeight="1">
      <c r="A1" s="421" t="s">
        <v>905</v>
      </c>
      <c r="I1" s="431"/>
      <c r="J1" s="642"/>
      <c r="N1" s="1053"/>
      <c r="Z1" s="1037"/>
      <c r="AA1" s="1037"/>
      <c r="AB1" s="1037"/>
      <c r="AC1" s="1037"/>
      <c r="AD1" s="1037"/>
      <c r="AE1" s="1088"/>
      <c r="AF1" s="1088"/>
      <c r="AI1" s="1037"/>
      <c r="AJ1" s="1037"/>
      <c r="AK1" s="1037"/>
      <c r="AL1" s="1037"/>
      <c r="AM1" s="1037"/>
      <c r="AN1" s="1037"/>
      <c r="AO1" s="1037"/>
      <c r="AP1" s="1037"/>
      <c r="AQ1" s="1037"/>
      <c r="AR1" s="1037"/>
      <c r="AS1" s="1037"/>
      <c r="AT1" s="355"/>
    </row>
    <row r="2" spans="1:48" ht="24.75" customHeight="1">
      <c r="A2" s="421" t="s">
        <v>738</v>
      </c>
      <c r="I2" s="431"/>
      <c r="J2" s="642"/>
      <c r="K2" s="1166"/>
      <c r="L2" s="1083"/>
      <c r="M2" s="1083"/>
      <c r="N2" s="1053"/>
      <c r="Z2" s="1037"/>
      <c r="AA2" s="1037"/>
      <c r="AB2" s="1037"/>
      <c r="AC2" s="1037"/>
      <c r="AD2" s="1037"/>
      <c r="AE2" s="1088"/>
      <c r="AF2" s="1088"/>
      <c r="AI2" s="1037"/>
      <c r="AJ2" s="1037"/>
      <c r="AK2" s="1037"/>
      <c r="AL2" s="1037"/>
      <c r="AM2" s="1037"/>
      <c r="AN2" s="1037"/>
      <c r="AO2" s="1037"/>
      <c r="AP2" s="1037"/>
      <c r="AQ2" s="1037"/>
      <c r="AR2" s="1037"/>
      <c r="AS2" s="1037"/>
      <c r="AT2" s="355"/>
    </row>
    <row r="3" spans="1:48" s="556" customFormat="1" ht="24" customHeight="1">
      <c r="A3" s="1462" t="s">
        <v>318</v>
      </c>
      <c r="B3" s="1482" t="s">
        <v>317</v>
      </c>
      <c r="C3" s="1483"/>
      <c r="D3" s="621"/>
      <c r="E3" s="1464" t="s">
        <v>313</v>
      </c>
      <c r="F3" s="1466" t="s">
        <v>314</v>
      </c>
      <c r="G3" s="622" t="s">
        <v>315</v>
      </c>
      <c r="H3" s="622" t="s">
        <v>316</v>
      </c>
      <c r="I3" s="1468" t="s">
        <v>325</v>
      </c>
      <c r="J3" s="623"/>
      <c r="K3" s="1470" t="s">
        <v>314</v>
      </c>
      <c r="L3" s="1476" t="s">
        <v>719</v>
      </c>
      <c r="M3" s="1476"/>
      <c r="N3" s="623"/>
      <c r="O3" s="1479" t="s">
        <v>128</v>
      </c>
      <c r="P3" s="762"/>
      <c r="Q3" s="762"/>
      <c r="R3" s="745" t="s">
        <v>347</v>
      </c>
      <c r="S3" s="746" t="s">
        <v>348</v>
      </c>
      <c r="T3" s="1220" t="s">
        <v>349</v>
      </c>
      <c r="U3" s="798" t="s">
        <v>350</v>
      </c>
      <c r="V3" s="798" t="s">
        <v>351</v>
      </c>
      <c r="W3" s="798" t="s">
        <v>352</v>
      </c>
      <c r="X3" s="856" t="s">
        <v>353</v>
      </c>
      <c r="Y3" s="624" t="s">
        <v>354</v>
      </c>
      <c r="Z3" s="862" t="s">
        <v>368</v>
      </c>
      <c r="AA3" s="807" t="s">
        <v>356</v>
      </c>
      <c r="AB3" s="625">
        <f>'Summary-E'!Q50</f>
        <v>0.05</v>
      </c>
      <c r="AC3" s="626" t="s">
        <v>355</v>
      </c>
      <c r="AD3" s="627" t="s">
        <v>357</v>
      </c>
      <c r="AE3" s="1481" t="s">
        <v>375</v>
      </c>
      <c r="AF3" s="1481"/>
      <c r="AG3" s="740"/>
      <c r="AH3" s="518"/>
      <c r="AI3" s="1472" t="s">
        <v>358</v>
      </c>
      <c r="AJ3" s="1472"/>
      <c r="AK3" s="1472"/>
      <c r="AL3" s="1472"/>
      <c r="AM3" s="1472"/>
      <c r="AN3" s="1473"/>
      <c r="AO3" s="1473"/>
      <c r="AP3" s="601"/>
      <c r="AQ3" s="628" t="s">
        <v>359</v>
      </c>
      <c r="AR3" s="628" t="s">
        <v>360</v>
      </c>
      <c r="AS3" s="628" t="s">
        <v>361</v>
      </c>
      <c r="AT3" s="629" t="s">
        <v>362</v>
      </c>
    </row>
    <row r="4" spans="1:48" s="556" customFormat="1" ht="23.25" customHeight="1">
      <c r="A4" s="1463"/>
      <c r="B4" s="1484"/>
      <c r="C4" s="1485"/>
      <c r="D4" s="630"/>
      <c r="E4" s="1465"/>
      <c r="F4" s="1467"/>
      <c r="G4" s="631" t="s">
        <v>320</v>
      </c>
      <c r="H4" s="631" t="s">
        <v>320</v>
      </c>
      <c r="I4" s="1469"/>
      <c r="J4" s="623"/>
      <c r="K4" s="1471"/>
      <c r="L4" s="1219" t="s">
        <v>328</v>
      </c>
      <c r="M4" s="1050" t="s">
        <v>374</v>
      </c>
      <c r="N4" s="623"/>
      <c r="O4" s="1480"/>
      <c r="P4" s="763"/>
      <c r="Q4" s="763"/>
      <c r="R4" s="745" t="s">
        <v>347</v>
      </c>
      <c r="S4" s="745" t="s">
        <v>348</v>
      </c>
      <c r="T4" s="1220" t="s">
        <v>363</v>
      </c>
      <c r="U4" s="798" t="s">
        <v>364</v>
      </c>
      <c r="V4" s="798" t="s">
        <v>365</v>
      </c>
      <c r="W4" s="798" t="s">
        <v>366</v>
      </c>
      <c r="X4" s="857">
        <v>0.97</v>
      </c>
      <c r="Y4" s="632" t="s">
        <v>347</v>
      </c>
      <c r="Z4" s="863">
        <v>1.05</v>
      </c>
      <c r="AA4" s="808" t="s">
        <v>369</v>
      </c>
      <c r="AB4" s="625" t="s">
        <v>370</v>
      </c>
      <c r="AC4" s="626" t="s">
        <v>371</v>
      </c>
      <c r="AD4" s="627" t="s">
        <v>372</v>
      </c>
      <c r="AE4" s="1218" t="s">
        <v>376</v>
      </c>
      <c r="AF4" s="1218" t="s">
        <v>377</v>
      </c>
      <c r="AG4" s="740"/>
      <c r="AH4" s="518"/>
      <c r="AI4" s="633" t="s">
        <v>364</v>
      </c>
      <c r="AJ4" s="634" t="s">
        <v>373</v>
      </c>
      <c r="AK4" s="635" t="s">
        <v>367</v>
      </c>
      <c r="AL4" s="626" t="s">
        <v>328</v>
      </c>
      <c r="AM4" s="626" t="s">
        <v>374</v>
      </c>
      <c r="AN4" s="626" t="s">
        <v>328</v>
      </c>
      <c r="AO4" s="626" t="s">
        <v>374</v>
      </c>
      <c r="AP4" s="521"/>
      <c r="AQ4" s="636"/>
      <c r="AR4" s="636"/>
      <c r="AS4" s="636"/>
      <c r="AT4" s="637"/>
    </row>
    <row r="5" spans="1:48" s="173" customFormat="1" ht="21.75" customHeight="1">
      <c r="A5" s="350"/>
      <c r="B5" s="945"/>
      <c r="C5" s="946"/>
      <c r="D5" s="947"/>
      <c r="E5" s="948"/>
      <c r="F5" s="1305"/>
      <c r="G5" s="949"/>
      <c r="H5" s="949"/>
      <c r="I5" s="432"/>
      <c r="J5" s="352"/>
      <c r="K5" s="1167"/>
      <c r="L5" s="1084"/>
      <c r="M5" s="1084"/>
      <c r="N5" s="1089"/>
      <c r="O5" s="1090"/>
      <c r="P5" s="773"/>
      <c r="Q5" s="773"/>
      <c r="R5" s="750"/>
      <c r="S5" s="750"/>
      <c r="T5" s="791"/>
      <c r="U5" s="802"/>
      <c r="V5" s="802"/>
      <c r="W5" s="802"/>
      <c r="X5" s="861"/>
      <c r="Y5" s="493"/>
      <c r="Z5" s="867"/>
      <c r="AA5" s="812"/>
      <c r="AB5" s="492"/>
      <c r="AC5" s="493"/>
      <c r="AD5" s="716"/>
      <c r="AE5" s="822"/>
      <c r="AF5" s="822"/>
      <c r="AG5" s="741"/>
      <c r="AH5" s="728"/>
      <c r="AI5" s="494"/>
      <c r="AJ5" s="494"/>
      <c r="AK5" s="494"/>
      <c r="AL5" s="493"/>
      <c r="AM5" s="493"/>
      <c r="AN5" s="493"/>
      <c r="AO5" s="493"/>
      <c r="AP5" s="495"/>
      <c r="AQ5" s="495"/>
      <c r="AR5" s="495"/>
      <c r="AS5" s="495"/>
      <c r="AT5" s="404"/>
    </row>
    <row r="6" spans="1:48" s="173" customFormat="1" ht="21.75" customHeight="1">
      <c r="A6" s="351"/>
      <c r="B6" s="950" t="s">
        <v>729</v>
      </c>
      <c r="C6" s="463"/>
      <c r="D6" s="464"/>
      <c r="E6" s="951"/>
      <c r="F6" s="1306"/>
      <c r="G6" s="444"/>
      <c r="H6" s="444"/>
      <c r="I6" s="433"/>
      <c r="J6" s="353"/>
      <c r="K6" s="1168"/>
      <c r="L6" s="1085"/>
      <c r="M6" s="1085"/>
      <c r="N6" s="1091"/>
      <c r="O6" s="1092"/>
      <c r="P6" s="765"/>
      <c r="Q6" s="765"/>
      <c r="R6" s="747"/>
      <c r="S6" s="747"/>
      <c r="T6" s="788"/>
      <c r="U6" s="799"/>
      <c r="V6" s="799"/>
      <c r="W6" s="799"/>
      <c r="X6" s="858"/>
      <c r="Y6" s="448"/>
      <c r="Z6" s="864"/>
      <c r="AA6" s="809"/>
      <c r="AB6" s="447"/>
      <c r="AC6" s="448"/>
      <c r="AD6" s="714"/>
      <c r="AE6" s="819"/>
      <c r="AF6" s="819"/>
      <c r="AG6" s="741"/>
      <c r="AH6" s="728"/>
      <c r="AI6" s="449"/>
      <c r="AJ6" s="449"/>
      <c r="AK6" s="449"/>
      <c r="AL6" s="448"/>
      <c r="AM6" s="448"/>
      <c r="AN6" s="448"/>
      <c r="AO6" s="448"/>
      <c r="AP6" s="450"/>
      <c r="AQ6" s="450"/>
      <c r="AR6" s="450"/>
      <c r="AS6" s="450"/>
      <c r="AT6" s="405"/>
    </row>
    <row r="7" spans="1:48" s="855" customFormat="1" ht="21.75" customHeight="1">
      <c r="A7" s="906" t="s">
        <v>399</v>
      </c>
      <c r="B7" s="905" t="str">
        <f>B58</f>
        <v xml:space="preserve">PHASE 4 FACTORY AREA </v>
      </c>
      <c r="C7" s="441"/>
      <c r="D7" s="442"/>
      <c r="E7" s="443"/>
      <c r="F7" s="1306"/>
      <c r="G7" s="444"/>
      <c r="H7" s="444"/>
      <c r="I7" s="445"/>
      <c r="J7" s="446"/>
      <c r="K7" s="1168"/>
      <c r="L7" s="955"/>
      <c r="M7" s="955"/>
      <c r="N7" s="446"/>
      <c r="O7" s="764"/>
      <c r="P7" s="765"/>
      <c r="Q7" s="766"/>
      <c r="R7" s="747"/>
      <c r="S7" s="747"/>
      <c r="T7" s="788"/>
      <c r="U7" s="799"/>
      <c r="V7" s="799"/>
      <c r="W7" s="799"/>
      <c r="X7" s="858"/>
      <c r="Y7" s="448"/>
      <c r="Z7" s="864"/>
      <c r="AA7" s="809"/>
      <c r="AB7" s="447"/>
      <c r="AC7" s="448"/>
      <c r="AD7" s="714"/>
      <c r="AE7" s="819"/>
      <c r="AF7" s="819"/>
      <c r="AG7" s="741"/>
      <c r="AH7" s="728"/>
      <c r="AI7" s="449"/>
      <c r="AJ7" s="449"/>
      <c r="AK7" s="449"/>
      <c r="AL7" s="448"/>
      <c r="AM7" s="448"/>
      <c r="AN7" s="448"/>
      <c r="AO7" s="448"/>
      <c r="AP7" s="450"/>
      <c r="AQ7" s="450"/>
      <c r="AR7" s="450"/>
      <c r="AS7" s="450"/>
      <c r="AT7" s="450"/>
      <c r="AU7" s="556"/>
      <c r="AV7" s="556"/>
    </row>
    <row r="8" spans="1:48" s="855" customFormat="1" ht="21.75" customHeight="1">
      <c r="A8" s="451" t="s">
        <v>405</v>
      </c>
      <c r="B8" s="452" t="str">
        <f>B60</f>
        <v>HIGH VOLTAGE SYSTEM</v>
      </c>
      <c r="C8" s="453"/>
      <c r="D8" s="454"/>
      <c r="E8" s="455" t="s">
        <v>326</v>
      </c>
      <c r="F8" s="1307">
        <v>1</v>
      </c>
      <c r="G8" s="456"/>
      <c r="H8" s="847">
        <f>H131</f>
        <v>93720.13</v>
      </c>
      <c r="I8" s="1190"/>
      <c r="J8" s="459"/>
      <c r="K8" s="1169"/>
      <c r="L8" s="956"/>
      <c r="M8" s="956"/>
      <c r="N8" s="459"/>
      <c r="O8" s="764"/>
      <c r="P8" s="765"/>
      <c r="Q8" s="766"/>
      <c r="R8" s="747"/>
      <c r="S8" s="747"/>
      <c r="T8" s="788"/>
      <c r="U8" s="799"/>
      <c r="V8" s="799"/>
      <c r="W8" s="799"/>
      <c r="X8" s="858"/>
      <c r="Y8" s="448"/>
      <c r="Z8" s="864"/>
      <c r="AA8" s="809"/>
      <c r="AB8" s="447"/>
      <c r="AC8" s="448"/>
      <c r="AD8" s="714"/>
      <c r="AE8" s="460">
        <f>AE131</f>
        <v>78493.460000000006</v>
      </c>
      <c r="AF8" s="460">
        <f>AF131</f>
        <v>8451.130000000001</v>
      </c>
      <c r="AG8" s="742"/>
      <c r="AH8" s="728"/>
      <c r="AI8" s="449"/>
      <c r="AJ8" s="449"/>
      <c r="AK8" s="449"/>
      <c r="AL8" s="448"/>
      <c r="AM8" s="457">
        <f>AM131</f>
        <v>0</v>
      </c>
      <c r="AN8" s="462"/>
      <c r="AO8" s="457">
        <f>AO131</f>
        <v>0</v>
      </c>
      <c r="AP8" s="450"/>
      <c r="AQ8" s="450"/>
      <c r="AR8" s="450"/>
      <c r="AS8" s="450"/>
      <c r="AT8" s="450"/>
      <c r="AU8" s="556"/>
      <c r="AV8" s="556"/>
    </row>
    <row r="9" spans="1:48" s="855" customFormat="1" ht="21.75" customHeight="1">
      <c r="A9" s="461" t="s">
        <v>406</v>
      </c>
      <c r="B9" s="452" t="str">
        <f>B133</f>
        <v>LV MAIN SYSTEM</v>
      </c>
      <c r="C9" s="453"/>
      <c r="D9" s="454"/>
      <c r="E9" s="455" t="s">
        <v>326</v>
      </c>
      <c r="F9" s="1307">
        <v>1</v>
      </c>
      <c r="G9" s="456"/>
      <c r="H9" s="847">
        <f>H174</f>
        <v>175484.09000000003</v>
      </c>
      <c r="I9" s="1190"/>
      <c r="J9" s="459"/>
      <c r="K9" s="1169"/>
      <c r="L9" s="956"/>
      <c r="M9" s="956"/>
      <c r="N9" s="459"/>
      <c r="O9" s="764"/>
      <c r="P9" s="765"/>
      <c r="Q9" s="766"/>
      <c r="R9" s="747"/>
      <c r="S9" s="747"/>
      <c r="T9" s="788"/>
      <c r="U9" s="799"/>
      <c r="V9" s="799"/>
      <c r="W9" s="799"/>
      <c r="X9" s="858"/>
      <c r="Y9" s="448"/>
      <c r="Z9" s="864"/>
      <c r="AA9" s="809"/>
      <c r="AB9" s="447"/>
      <c r="AC9" s="448"/>
      <c r="AD9" s="714"/>
      <c r="AE9" s="460">
        <f>AE174</f>
        <v>155302.31000000003</v>
      </c>
      <c r="AF9" s="460">
        <f>AF174</f>
        <v>6811.7900000000009</v>
      </c>
      <c r="AG9" s="742"/>
      <c r="AH9" s="728"/>
      <c r="AI9" s="449"/>
      <c r="AJ9" s="449"/>
      <c r="AK9" s="449"/>
      <c r="AL9" s="448"/>
      <c r="AM9" s="457">
        <f>AM174</f>
        <v>0</v>
      </c>
      <c r="AN9" s="462"/>
      <c r="AO9" s="457">
        <f>AO174</f>
        <v>0</v>
      </c>
      <c r="AP9" s="450"/>
      <c r="AQ9" s="450"/>
      <c r="AR9" s="450"/>
      <c r="AS9" s="450"/>
      <c r="AT9" s="450"/>
      <c r="AU9" s="556"/>
      <c r="AV9" s="556"/>
    </row>
    <row r="10" spans="1:48" s="855" customFormat="1" ht="21.75" customHeight="1">
      <c r="A10" s="461" t="s">
        <v>408</v>
      </c>
      <c r="B10" s="452" t="str">
        <f>B176</f>
        <v>SUBMAIN SYSTEM</v>
      </c>
      <c r="C10" s="453"/>
      <c r="D10" s="454"/>
      <c r="E10" s="455" t="s">
        <v>326</v>
      </c>
      <c r="F10" s="1307">
        <v>1</v>
      </c>
      <c r="G10" s="456"/>
      <c r="H10" s="847">
        <f>H219</f>
        <v>65604.55</v>
      </c>
      <c r="I10" s="1190"/>
      <c r="J10" s="459"/>
      <c r="K10" s="1169"/>
      <c r="L10" s="956"/>
      <c r="M10" s="956"/>
      <c r="N10" s="459"/>
      <c r="O10" s="764"/>
      <c r="P10" s="765"/>
      <c r="Q10" s="766"/>
      <c r="R10" s="747"/>
      <c r="S10" s="747"/>
      <c r="T10" s="788"/>
      <c r="U10" s="799"/>
      <c r="V10" s="799"/>
      <c r="W10" s="799"/>
      <c r="X10" s="858"/>
      <c r="Y10" s="448"/>
      <c r="Z10" s="864"/>
      <c r="AA10" s="809"/>
      <c r="AB10" s="447"/>
      <c r="AC10" s="448"/>
      <c r="AD10" s="714"/>
      <c r="AE10" s="460">
        <f>AE219</f>
        <v>43791.199999999997</v>
      </c>
      <c r="AF10" s="460">
        <f>AF219</f>
        <v>14267.33</v>
      </c>
      <c r="AG10" s="742"/>
      <c r="AH10" s="728"/>
      <c r="AI10" s="449"/>
      <c r="AJ10" s="449"/>
      <c r="AK10" s="449"/>
      <c r="AL10" s="448"/>
      <c r="AM10" s="457">
        <f>AM219</f>
        <v>0</v>
      </c>
      <c r="AN10" s="462"/>
      <c r="AO10" s="457">
        <f>AO219</f>
        <v>0</v>
      </c>
      <c r="AP10" s="450"/>
      <c r="AQ10" s="450"/>
      <c r="AR10" s="450"/>
      <c r="AS10" s="450"/>
      <c r="AT10" s="450"/>
      <c r="AU10" s="556"/>
      <c r="AV10" s="556"/>
    </row>
    <row r="11" spans="1:48" s="855" customFormat="1" ht="21.75" customHeight="1">
      <c r="A11" s="461" t="s">
        <v>410</v>
      </c>
      <c r="B11" s="452" t="str">
        <f>B221</f>
        <v xml:space="preserve">POWER SUPPLY TO PRODUCTION </v>
      </c>
      <c r="C11" s="463"/>
      <c r="D11" s="464"/>
      <c r="E11" s="455" t="s">
        <v>326</v>
      </c>
      <c r="F11" s="1307">
        <v>1</v>
      </c>
      <c r="G11" s="444"/>
      <c r="H11" s="847">
        <f>H342</f>
        <v>329017.08000000007</v>
      </c>
      <c r="I11" s="1191"/>
      <c r="J11" s="446"/>
      <c r="K11" s="1168"/>
      <c r="L11" s="955"/>
      <c r="M11" s="955"/>
      <c r="N11" s="446"/>
      <c r="O11" s="764"/>
      <c r="P11" s="765"/>
      <c r="Q11" s="766"/>
      <c r="R11" s="747"/>
      <c r="S11" s="747"/>
      <c r="T11" s="788"/>
      <c r="U11" s="799"/>
      <c r="V11" s="799"/>
      <c r="W11" s="799"/>
      <c r="X11" s="858"/>
      <c r="Y11" s="448"/>
      <c r="Z11" s="864"/>
      <c r="AA11" s="809"/>
      <c r="AB11" s="447"/>
      <c r="AC11" s="448"/>
      <c r="AD11" s="714"/>
      <c r="AE11" s="460">
        <f>AE342</f>
        <v>231124.95</v>
      </c>
      <c r="AF11" s="460">
        <f>AF342</f>
        <v>59916.939999999988</v>
      </c>
      <c r="AG11" s="742"/>
      <c r="AH11" s="728"/>
      <c r="AI11" s="449"/>
      <c r="AJ11" s="449"/>
      <c r="AK11" s="449"/>
      <c r="AL11" s="448"/>
      <c r="AM11" s="457">
        <f>AM342</f>
        <v>0</v>
      </c>
      <c r="AN11" s="462"/>
      <c r="AO11" s="457">
        <f>AO342</f>
        <v>0</v>
      </c>
      <c r="AP11" s="450"/>
      <c r="AQ11" s="450"/>
      <c r="AR11" s="450"/>
      <c r="AS11" s="450"/>
      <c r="AT11" s="450"/>
      <c r="AU11" s="556"/>
      <c r="AV11" s="556"/>
    </row>
    <row r="12" spans="1:48" s="855" customFormat="1" ht="21.75" customHeight="1">
      <c r="A12" s="451" t="s">
        <v>411</v>
      </c>
      <c r="B12" s="904" t="str">
        <f>B344</f>
        <v>EMERGENCY POWER BACK-UP GENERATOR (Open type - Noise Level 105 dB)</v>
      </c>
      <c r="C12" s="463"/>
      <c r="D12" s="464"/>
      <c r="E12" s="455" t="s">
        <v>326</v>
      </c>
      <c r="F12" s="1307">
        <v>1</v>
      </c>
      <c r="G12" s="444"/>
      <c r="H12" s="847">
        <f>H383</f>
        <v>25079.450000000004</v>
      </c>
      <c r="I12" s="1191"/>
      <c r="J12" s="446"/>
      <c r="K12" s="1168"/>
      <c r="L12" s="955"/>
      <c r="M12" s="955"/>
      <c r="N12" s="446"/>
      <c r="O12" s="764"/>
      <c r="P12" s="765"/>
      <c r="Q12" s="766"/>
      <c r="R12" s="747"/>
      <c r="S12" s="747"/>
      <c r="T12" s="788"/>
      <c r="U12" s="799"/>
      <c r="V12" s="799"/>
      <c r="W12" s="799"/>
      <c r="X12" s="858"/>
      <c r="Y12" s="448"/>
      <c r="Z12" s="864"/>
      <c r="AA12" s="809"/>
      <c r="AB12" s="447"/>
      <c r="AC12" s="448"/>
      <c r="AD12" s="714"/>
      <c r="AE12" s="460">
        <f>AE383</f>
        <v>18315.450000000004</v>
      </c>
      <c r="AF12" s="460">
        <f>AF383</f>
        <v>4250.0800000000008</v>
      </c>
      <c r="AG12" s="742"/>
      <c r="AH12" s="728"/>
      <c r="AI12" s="449"/>
      <c r="AJ12" s="449"/>
      <c r="AK12" s="449"/>
      <c r="AL12" s="448"/>
      <c r="AM12" s="457">
        <f>AM383</f>
        <v>0</v>
      </c>
      <c r="AN12" s="847"/>
      <c r="AO12" s="457">
        <f>AO383</f>
        <v>0</v>
      </c>
      <c r="AP12" s="450"/>
      <c r="AQ12" s="450"/>
      <c r="AR12" s="450"/>
      <c r="AS12" s="450"/>
      <c r="AT12" s="450"/>
      <c r="AU12" s="556"/>
      <c r="AV12" s="556"/>
    </row>
    <row r="13" spans="1:48" s="855" customFormat="1" ht="21.75" customHeight="1">
      <c r="A13" s="461" t="s">
        <v>412</v>
      </c>
      <c r="B13" s="452" t="str">
        <f>B385</f>
        <v>LIGHTING SYSTEM &amp; SOCKET OUTLET</v>
      </c>
      <c r="C13" s="453"/>
      <c r="D13" s="454"/>
      <c r="E13" s="455" t="s">
        <v>326</v>
      </c>
      <c r="F13" s="1307">
        <v>1</v>
      </c>
      <c r="G13" s="456"/>
      <c r="H13" s="847">
        <f>H422</f>
        <v>102107.70999999999</v>
      </c>
      <c r="I13" s="1192"/>
      <c r="J13" s="459"/>
      <c r="K13" s="1169"/>
      <c r="L13" s="956"/>
      <c r="M13" s="956"/>
      <c r="N13" s="459"/>
      <c r="O13" s="764"/>
      <c r="P13" s="765"/>
      <c r="Q13" s="766"/>
      <c r="R13" s="747"/>
      <c r="S13" s="747"/>
      <c r="T13" s="788"/>
      <c r="U13" s="799"/>
      <c r="V13" s="799"/>
      <c r="W13" s="799"/>
      <c r="X13" s="858"/>
      <c r="Y13" s="448"/>
      <c r="Z13" s="864"/>
      <c r="AA13" s="809"/>
      <c r="AB13" s="447"/>
      <c r="AC13" s="448"/>
      <c r="AD13" s="714"/>
      <c r="AE13" s="460">
        <f>AE422</f>
        <v>76097.14</v>
      </c>
      <c r="AF13" s="460">
        <f>AF422</f>
        <v>15766.64</v>
      </c>
      <c r="AG13" s="742"/>
      <c r="AH13" s="728"/>
      <c r="AI13" s="449"/>
      <c r="AJ13" s="449"/>
      <c r="AK13" s="449"/>
      <c r="AL13" s="448"/>
      <c r="AM13" s="457">
        <f>AM422</f>
        <v>0</v>
      </c>
      <c r="AN13" s="462"/>
      <c r="AO13" s="457">
        <f>AO422</f>
        <v>0</v>
      </c>
      <c r="AP13" s="450"/>
      <c r="AQ13" s="450"/>
      <c r="AR13" s="450"/>
      <c r="AS13" s="450"/>
      <c r="AT13" s="450"/>
      <c r="AU13" s="556"/>
      <c r="AV13" s="556"/>
    </row>
    <row r="14" spans="1:48" s="855" customFormat="1" ht="21.75" customHeight="1">
      <c r="A14" s="461" t="s">
        <v>413</v>
      </c>
      <c r="B14" s="452" t="str">
        <f>B424</f>
        <v>ELECTRICAL FOR MECHANICAL EQUIPMENT (A.C, FAN, AIR COMP., PUMPS)</v>
      </c>
      <c r="C14" s="453"/>
      <c r="D14" s="454"/>
      <c r="E14" s="455" t="s">
        <v>326</v>
      </c>
      <c r="F14" s="1307">
        <v>1</v>
      </c>
      <c r="G14" s="456"/>
      <c r="H14" s="847">
        <f>H450</f>
        <v>33136.719999999994</v>
      </c>
      <c r="I14" s="1192"/>
      <c r="J14" s="459"/>
      <c r="K14" s="1169"/>
      <c r="L14" s="956"/>
      <c r="M14" s="956"/>
      <c r="N14" s="459"/>
      <c r="O14" s="764"/>
      <c r="P14" s="765"/>
      <c r="Q14" s="766"/>
      <c r="R14" s="747"/>
      <c r="S14" s="747"/>
      <c r="T14" s="788"/>
      <c r="U14" s="799"/>
      <c r="V14" s="799"/>
      <c r="W14" s="799"/>
      <c r="X14" s="858"/>
      <c r="Y14" s="448"/>
      <c r="Z14" s="864"/>
      <c r="AA14" s="809"/>
      <c r="AB14" s="447"/>
      <c r="AC14" s="448"/>
      <c r="AD14" s="714"/>
      <c r="AE14" s="460">
        <f>AE450</f>
        <v>26051.02</v>
      </c>
      <c r="AF14" s="460">
        <f>AF450</f>
        <v>4003.9599999999996</v>
      </c>
      <c r="AG14" s="742"/>
      <c r="AH14" s="728"/>
      <c r="AI14" s="449"/>
      <c r="AJ14" s="449"/>
      <c r="AK14" s="449"/>
      <c r="AL14" s="448"/>
      <c r="AM14" s="457">
        <f>AM450</f>
        <v>0</v>
      </c>
      <c r="AN14" s="462"/>
      <c r="AO14" s="457">
        <f>AO450</f>
        <v>0</v>
      </c>
      <c r="AP14" s="450"/>
      <c r="AQ14" s="450"/>
      <c r="AR14" s="450"/>
      <c r="AS14" s="450"/>
      <c r="AT14" s="450"/>
      <c r="AU14" s="556"/>
      <c r="AV14" s="556"/>
    </row>
    <row r="15" spans="1:48" s="855" customFormat="1" ht="21.75" customHeight="1">
      <c r="A15" s="461" t="s">
        <v>415</v>
      </c>
      <c r="B15" s="452" t="str">
        <f>B452</f>
        <v>TELEPHONE SYSTEM EMPTY CONDUIT</v>
      </c>
      <c r="C15" s="453"/>
      <c r="D15" s="454"/>
      <c r="E15" s="455" t="s">
        <v>326</v>
      </c>
      <c r="F15" s="1307">
        <v>1</v>
      </c>
      <c r="G15" s="456"/>
      <c r="H15" s="847">
        <f>H467</f>
        <v>8766.7900000000009</v>
      </c>
      <c r="I15" s="1190"/>
      <c r="J15" s="459"/>
      <c r="K15" s="1169"/>
      <c r="L15" s="956"/>
      <c r="M15" s="956"/>
      <c r="N15" s="459"/>
      <c r="O15" s="764"/>
      <c r="P15" s="765"/>
      <c r="Q15" s="766"/>
      <c r="R15" s="747"/>
      <c r="S15" s="747"/>
      <c r="T15" s="788"/>
      <c r="U15" s="799"/>
      <c r="V15" s="799"/>
      <c r="W15" s="799"/>
      <c r="X15" s="858"/>
      <c r="Y15" s="448"/>
      <c r="Z15" s="864"/>
      <c r="AA15" s="809"/>
      <c r="AB15" s="447"/>
      <c r="AC15" s="448"/>
      <c r="AD15" s="714"/>
      <c r="AE15" s="819">
        <f>AE467</f>
        <v>6566.5300000000007</v>
      </c>
      <c r="AF15" s="819">
        <f>AF467</f>
        <v>1204.75</v>
      </c>
      <c r="AG15" s="741"/>
      <c r="AH15" s="728"/>
      <c r="AI15" s="449"/>
      <c r="AJ15" s="449"/>
      <c r="AK15" s="449"/>
      <c r="AL15" s="448"/>
      <c r="AM15" s="457">
        <f>AM467</f>
        <v>0</v>
      </c>
      <c r="AN15" s="462"/>
      <c r="AO15" s="457">
        <f>AO467</f>
        <v>0</v>
      </c>
      <c r="AP15" s="450"/>
      <c r="AQ15" s="450"/>
      <c r="AR15" s="450"/>
      <c r="AS15" s="450"/>
      <c r="AT15" s="450"/>
      <c r="AU15" s="556"/>
      <c r="AV15" s="556"/>
    </row>
    <row r="16" spans="1:48" s="855" customFormat="1" ht="21.75" customHeight="1">
      <c r="A16" s="451" t="s">
        <v>421</v>
      </c>
      <c r="B16" s="452" t="str">
        <f>B469</f>
        <v xml:space="preserve">LAN SYSTEM EMPTY CONDUIT </v>
      </c>
      <c r="C16" s="453"/>
      <c r="D16" s="454"/>
      <c r="E16" s="455" t="s">
        <v>326</v>
      </c>
      <c r="F16" s="1307">
        <v>1</v>
      </c>
      <c r="G16" s="456"/>
      <c r="H16" s="847">
        <f>H480</f>
        <v>336.83</v>
      </c>
      <c r="I16" s="1190"/>
      <c r="J16" s="459"/>
      <c r="K16" s="1169"/>
      <c r="L16" s="956"/>
      <c r="M16" s="956"/>
      <c r="N16" s="459"/>
      <c r="O16" s="764"/>
      <c r="P16" s="765"/>
      <c r="Q16" s="766"/>
      <c r="R16" s="747"/>
      <c r="S16" s="747"/>
      <c r="T16" s="788"/>
      <c r="U16" s="799"/>
      <c r="V16" s="799"/>
      <c r="W16" s="799"/>
      <c r="X16" s="858"/>
      <c r="Y16" s="448"/>
      <c r="Z16" s="864"/>
      <c r="AA16" s="809"/>
      <c r="AB16" s="447"/>
      <c r="AC16" s="448"/>
      <c r="AD16" s="714"/>
      <c r="AE16" s="819">
        <f>AE480</f>
        <v>200.21999999999997</v>
      </c>
      <c r="AF16" s="819">
        <f>AF480</f>
        <v>96.340000000000018</v>
      </c>
      <c r="AG16" s="741"/>
      <c r="AH16" s="728"/>
      <c r="AI16" s="449"/>
      <c r="AJ16" s="449"/>
      <c r="AK16" s="449"/>
      <c r="AL16" s="448"/>
      <c r="AM16" s="457">
        <f>AM480</f>
        <v>0</v>
      </c>
      <c r="AN16" s="462"/>
      <c r="AO16" s="457">
        <f>AO480</f>
        <v>0</v>
      </c>
      <c r="AP16" s="450"/>
      <c r="AQ16" s="450"/>
      <c r="AR16" s="450"/>
      <c r="AS16" s="450"/>
      <c r="AT16" s="450"/>
      <c r="AU16" s="556"/>
      <c r="AV16" s="556"/>
    </row>
    <row r="17" spans="1:58" s="855" customFormat="1" ht="21.75" customHeight="1">
      <c r="A17" s="461" t="s">
        <v>520</v>
      </c>
      <c r="B17" s="452" t="str">
        <f>B482</f>
        <v>PUBLIC ADDRESS SYSTEM</v>
      </c>
      <c r="C17" s="453"/>
      <c r="D17" s="454"/>
      <c r="E17" s="455" t="s">
        <v>326</v>
      </c>
      <c r="F17" s="1307">
        <v>1</v>
      </c>
      <c r="G17" s="456"/>
      <c r="H17" s="847">
        <f>H494</f>
        <v>3877.0600000000004</v>
      </c>
      <c r="I17" s="1190"/>
      <c r="J17" s="459"/>
      <c r="K17" s="1169"/>
      <c r="L17" s="956"/>
      <c r="M17" s="956"/>
      <c r="N17" s="459"/>
      <c r="O17" s="764"/>
      <c r="P17" s="765"/>
      <c r="Q17" s="766"/>
      <c r="R17" s="747"/>
      <c r="S17" s="747"/>
      <c r="T17" s="788"/>
      <c r="U17" s="799"/>
      <c r="V17" s="799"/>
      <c r="W17" s="799"/>
      <c r="X17" s="858"/>
      <c r="Y17" s="448"/>
      <c r="Z17" s="864"/>
      <c r="AA17" s="809"/>
      <c r="AB17" s="447"/>
      <c r="AC17" s="448"/>
      <c r="AD17" s="714"/>
      <c r="AE17" s="819">
        <f>AE494</f>
        <v>2165.6500000000005</v>
      </c>
      <c r="AF17" s="819">
        <f>AF494</f>
        <v>1196.8699999999999</v>
      </c>
      <c r="AG17" s="741"/>
      <c r="AH17" s="728"/>
      <c r="AI17" s="449"/>
      <c r="AJ17" s="449"/>
      <c r="AK17" s="449"/>
      <c r="AL17" s="448"/>
      <c r="AM17" s="457">
        <f>AM494</f>
        <v>0</v>
      </c>
      <c r="AN17" s="462"/>
      <c r="AO17" s="457">
        <f>AO494</f>
        <v>0</v>
      </c>
      <c r="AP17" s="450"/>
      <c r="AQ17" s="450"/>
      <c r="AR17" s="450"/>
      <c r="AS17" s="450"/>
      <c r="AT17" s="450"/>
      <c r="AU17" s="556"/>
      <c r="AV17" s="556"/>
    </row>
    <row r="18" spans="1:58" s="855" customFormat="1" ht="21.75" customHeight="1">
      <c r="A18" s="461" t="s">
        <v>770</v>
      </c>
      <c r="B18" s="452" t="str">
        <f>B496</f>
        <v>FIRE ALARM SYSTEM</v>
      </c>
      <c r="C18" s="453"/>
      <c r="D18" s="454"/>
      <c r="E18" s="455" t="s">
        <v>326</v>
      </c>
      <c r="F18" s="1307">
        <v>1</v>
      </c>
      <c r="G18" s="456"/>
      <c r="H18" s="847">
        <f>H514</f>
        <v>31738.11</v>
      </c>
      <c r="I18" s="1190"/>
      <c r="J18" s="459"/>
      <c r="K18" s="1169"/>
      <c r="L18" s="956"/>
      <c r="M18" s="956"/>
      <c r="N18" s="459"/>
      <c r="O18" s="764"/>
      <c r="P18" s="765"/>
      <c r="Q18" s="766"/>
      <c r="R18" s="747"/>
      <c r="S18" s="747"/>
      <c r="T18" s="788"/>
      <c r="U18" s="799"/>
      <c r="V18" s="799"/>
      <c r="W18" s="799"/>
      <c r="X18" s="858"/>
      <c r="Y18" s="448"/>
      <c r="Z18" s="864"/>
      <c r="AA18" s="809"/>
      <c r="AB18" s="447"/>
      <c r="AC18" s="448"/>
      <c r="AD18" s="714"/>
      <c r="AE18" s="819">
        <f>AE514</f>
        <v>21736.620000000006</v>
      </c>
      <c r="AF18" s="819">
        <f>AF514</f>
        <v>6420.57</v>
      </c>
      <c r="AG18" s="741"/>
      <c r="AH18" s="728"/>
      <c r="AI18" s="449"/>
      <c r="AJ18" s="449"/>
      <c r="AK18" s="449"/>
      <c r="AL18" s="448"/>
      <c r="AM18" s="457">
        <f>AM514</f>
        <v>0</v>
      </c>
      <c r="AN18" s="462"/>
      <c r="AO18" s="457">
        <f>AO514</f>
        <v>0</v>
      </c>
      <c r="AP18" s="450"/>
      <c r="AQ18" s="450"/>
      <c r="AR18" s="450"/>
      <c r="AS18" s="450"/>
      <c r="AT18" s="450"/>
      <c r="AU18" s="556"/>
      <c r="AV18" s="556"/>
    </row>
    <row r="19" spans="1:58" s="855" customFormat="1" ht="21.75" customHeight="1">
      <c r="A19" s="461" t="s">
        <v>795</v>
      </c>
      <c r="B19" s="466" t="str">
        <f>B516</f>
        <v>LIGHTNING PROTECTION SYSTEM</v>
      </c>
      <c r="C19" s="467"/>
      <c r="D19" s="468"/>
      <c r="E19" s="455" t="s">
        <v>326</v>
      </c>
      <c r="F19" s="1307">
        <v>1</v>
      </c>
      <c r="G19" s="470"/>
      <c r="H19" s="1048">
        <f>H533</f>
        <v>11914.849999999997</v>
      </c>
      <c r="I19" s="1193"/>
      <c r="J19" s="473"/>
      <c r="K19" s="1170"/>
      <c r="L19" s="957"/>
      <c r="M19" s="957"/>
      <c r="N19" s="473"/>
      <c r="O19" s="767"/>
      <c r="P19" s="768"/>
      <c r="Q19" s="769"/>
      <c r="R19" s="748"/>
      <c r="S19" s="748"/>
      <c r="T19" s="789"/>
      <c r="U19" s="800"/>
      <c r="V19" s="800"/>
      <c r="W19" s="800"/>
      <c r="X19" s="859"/>
      <c r="Y19" s="475"/>
      <c r="Z19" s="865"/>
      <c r="AA19" s="810"/>
      <c r="AB19" s="474"/>
      <c r="AC19" s="475"/>
      <c r="AD19" s="715"/>
      <c r="AE19" s="820">
        <f>AE533</f>
        <v>8365.7099999999991</v>
      </c>
      <c r="AF19" s="820">
        <f>AF533</f>
        <v>2435.14</v>
      </c>
      <c r="AG19" s="741"/>
      <c r="AH19" s="728"/>
      <c r="AI19" s="476"/>
      <c r="AJ19" s="476"/>
      <c r="AK19" s="476"/>
      <c r="AL19" s="475"/>
      <c r="AM19" s="471">
        <f>AM533</f>
        <v>0</v>
      </c>
      <c r="AN19" s="477"/>
      <c r="AO19" s="471">
        <f>AO533</f>
        <v>0</v>
      </c>
      <c r="AP19" s="478"/>
      <c r="AQ19" s="478"/>
      <c r="AR19" s="478"/>
      <c r="AS19" s="478"/>
      <c r="AT19" s="478"/>
      <c r="AU19" s="556"/>
      <c r="AV19" s="556"/>
    </row>
    <row r="20" spans="1:58" s="855" customFormat="1" ht="21.75" customHeight="1">
      <c r="A20" s="461" t="s">
        <v>1103</v>
      </c>
      <c r="B20" s="466" t="str">
        <f>B535</f>
        <v>WATER LEAKING ALARM (FOR PLATING AREA)</v>
      </c>
      <c r="C20" s="467"/>
      <c r="D20" s="468"/>
      <c r="E20" s="455" t="s">
        <v>326</v>
      </c>
      <c r="F20" s="1307">
        <v>1</v>
      </c>
      <c r="G20" s="470"/>
      <c r="H20" s="1048">
        <f>H554</f>
        <v>28590.799999999999</v>
      </c>
      <c r="I20" s="1193"/>
      <c r="J20" s="473"/>
      <c r="K20" s="1170"/>
      <c r="L20" s="957"/>
      <c r="M20" s="957"/>
      <c r="N20" s="473"/>
      <c r="O20" s="767"/>
      <c r="P20" s="768"/>
      <c r="Q20" s="769"/>
      <c r="R20" s="748"/>
      <c r="S20" s="748"/>
      <c r="T20" s="789"/>
      <c r="U20" s="800"/>
      <c r="V20" s="800"/>
      <c r="W20" s="800"/>
      <c r="X20" s="859"/>
      <c r="Y20" s="475"/>
      <c r="Z20" s="865"/>
      <c r="AA20" s="810"/>
      <c r="AB20" s="474"/>
      <c r="AC20" s="475"/>
      <c r="AD20" s="715"/>
      <c r="AE20" s="820">
        <f>AE554</f>
        <v>25177.329999999994</v>
      </c>
      <c r="AF20" s="820">
        <f>AF554</f>
        <v>1221.05</v>
      </c>
      <c r="AG20" s="741"/>
      <c r="AH20" s="728"/>
      <c r="AI20" s="476"/>
      <c r="AJ20" s="476"/>
      <c r="AK20" s="476"/>
      <c r="AL20" s="475"/>
      <c r="AM20" s="471">
        <f>AM554</f>
        <v>0</v>
      </c>
      <c r="AN20" s="477"/>
      <c r="AO20" s="471">
        <f>AO554</f>
        <v>0</v>
      </c>
      <c r="AP20" s="478"/>
      <c r="AQ20" s="478"/>
      <c r="AR20" s="478"/>
      <c r="AS20" s="478"/>
      <c r="AT20" s="478"/>
      <c r="AU20" s="556"/>
      <c r="AV20" s="556"/>
    </row>
    <row r="21" spans="1:58" s="707" customFormat="1" ht="21.75" customHeight="1">
      <c r="A21" s="465"/>
      <c r="B21" s="466"/>
      <c r="C21" s="467"/>
      <c r="D21" s="468"/>
      <c r="E21" s="469"/>
      <c r="F21" s="1308"/>
      <c r="G21" s="470"/>
      <c r="H21" s="1048"/>
      <c r="I21" s="472"/>
      <c r="J21" s="473"/>
      <c r="K21" s="1170"/>
      <c r="L21" s="957"/>
      <c r="M21" s="957"/>
      <c r="N21" s="473"/>
      <c r="O21" s="767"/>
      <c r="P21" s="768"/>
      <c r="Q21" s="769"/>
      <c r="R21" s="748"/>
      <c r="S21" s="748"/>
      <c r="T21" s="789"/>
      <c r="U21" s="800"/>
      <c r="V21" s="800"/>
      <c r="W21" s="800"/>
      <c r="X21" s="859"/>
      <c r="Y21" s="475"/>
      <c r="Z21" s="865"/>
      <c r="AA21" s="810"/>
      <c r="AB21" s="474"/>
      <c r="AC21" s="475"/>
      <c r="AD21" s="715"/>
      <c r="AE21" s="820"/>
      <c r="AF21" s="820"/>
      <c r="AG21" s="741"/>
      <c r="AH21" s="728"/>
      <c r="AI21" s="476"/>
      <c r="AJ21" s="476"/>
      <c r="AK21" s="476"/>
      <c r="AL21" s="475"/>
      <c r="AM21" s="477"/>
      <c r="AN21" s="477"/>
      <c r="AO21" s="477"/>
      <c r="AP21" s="478"/>
      <c r="AQ21" s="478"/>
      <c r="AR21" s="478"/>
      <c r="AS21" s="478"/>
      <c r="AT21" s="478"/>
      <c r="AU21" s="556"/>
      <c r="AV21" s="556"/>
      <c r="AW21" s="855"/>
      <c r="AX21" s="855"/>
      <c r="AY21" s="855"/>
      <c r="AZ21" s="855"/>
      <c r="BA21" s="855"/>
      <c r="BB21" s="855"/>
      <c r="BC21" s="855"/>
      <c r="BD21" s="855"/>
      <c r="BE21" s="855"/>
      <c r="BF21" s="855"/>
    </row>
    <row r="22" spans="1:58" s="855" customFormat="1" ht="21.75" customHeight="1">
      <c r="A22" s="1273"/>
      <c r="B22" s="966" t="s">
        <v>739</v>
      </c>
      <c r="C22" s="967"/>
      <c r="D22" s="968"/>
      <c r="E22" s="969"/>
      <c r="F22" s="1309"/>
      <c r="G22" s="970"/>
      <c r="H22" s="971">
        <f>SUBTOTAL(9,H6:H21)</f>
        <v>909374.17</v>
      </c>
      <c r="I22" s="972"/>
      <c r="J22" s="480"/>
      <c r="K22" s="1171"/>
      <c r="L22" s="876"/>
      <c r="M22" s="876"/>
      <c r="N22" s="480"/>
      <c r="O22" s="496"/>
      <c r="P22" s="770"/>
      <c r="Q22" s="771"/>
      <c r="R22" s="749"/>
      <c r="S22" s="749"/>
      <c r="T22" s="790"/>
      <c r="U22" s="801"/>
      <c r="V22" s="801"/>
      <c r="W22" s="801"/>
      <c r="X22" s="860"/>
      <c r="Y22" s="481"/>
      <c r="Z22" s="866"/>
      <c r="AA22" s="811"/>
      <c r="AB22" s="839"/>
      <c r="AC22" s="840"/>
      <c r="AD22" s="1049"/>
      <c r="AE22" s="821">
        <f>SUBTOTAL(9,AE6:AE21)</f>
        <v>693387.59</v>
      </c>
      <c r="AF22" s="821">
        <f>SUBTOTAL(9,AF6:AF21)</f>
        <v>126042.59</v>
      </c>
      <c r="AG22" s="708"/>
      <c r="AH22" s="841"/>
      <c r="AI22" s="842"/>
      <c r="AJ22" s="842"/>
      <c r="AK22" s="842"/>
      <c r="AL22" s="840"/>
      <c r="AM22" s="482">
        <f>SUBTOTAL(9,AM6:AM21)</f>
        <v>0</v>
      </c>
      <c r="AN22" s="840"/>
      <c r="AO22" s="482">
        <f>SUBTOTAL(9,AO6:AO21)</f>
        <v>0</v>
      </c>
      <c r="AP22" s="854"/>
      <c r="AQ22" s="854"/>
      <c r="AR22" s="854"/>
      <c r="AS22" s="854"/>
      <c r="AT22" s="854"/>
      <c r="AU22" s="706"/>
      <c r="AV22" s="706"/>
      <c r="AW22" s="707"/>
      <c r="AX22" s="707"/>
      <c r="AY22" s="707"/>
      <c r="AZ22" s="707"/>
      <c r="BA22" s="707"/>
      <c r="BB22" s="707"/>
      <c r="BC22" s="707"/>
      <c r="BD22" s="707"/>
      <c r="BE22" s="707"/>
      <c r="BF22" s="707"/>
    </row>
    <row r="23" spans="1:58" s="855" customFormat="1" ht="21.75" customHeight="1">
      <c r="A23" s="483"/>
      <c r="B23" s="484"/>
      <c r="C23" s="485"/>
      <c r="D23" s="486"/>
      <c r="E23" s="487"/>
      <c r="F23" s="1310"/>
      <c r="G23" s="488"/>
      <c r="H23" s="489"/>
      <c r="I23" s="490"/>
      <c r="J23" s="491"/>
      <c r="K23" s="1172"/>
      <c r="L23" s="958"/>
      <c r="M23" s="958"/>
      <c r="N23" s="491"/>
      <c r="O23" s="772"/>
      <c r="P23" s="773"/>
      <c r="Q23" s="774"/>
      <c r="R23" s="750"/>
      <c r="S23" s="750"/>
      <c r="T23" s="791"/>
      <c r="U23" s="802"/>
      <c r="V23" s="802"/>
      <c r="W23" s="802"/>
      <c r="X23" s="861"/>
      <c r="Y23" s="493"/>
      <c r="Z23" s="867"/>
      <c r="AA23" s="812"/>
      <c r="AB23" s="492"/>
      <c r="AC23" s="493"/>
      <c r="AD23" s="716"/>
      <c r="AE23" s="822"/>
      <c r="AF23" s="822"/>
      <c r="AG23" s="741"/>
      <c r="AH23" s="728"/>
      <c r="AI23" s="494"/>
      <c r="AJ23" s="494"/>
      <c r="AK23" s="494"/>
      <c r="AL23" s="493"/>
      <c r="AM23" s="493"/>
      <c r="AN23" s="493"/>
      <c r="AO23" s="493"/>
      <c r="AP23" s="495"/>
      <c r="AQ23" s="495"/>
      <c r="AR23" s="495"/>
      <c r="AS23" s="495"/>
      <c r="AT23" s="495"/>
      <c r="AU23" s="556"/>
      <c r="AV23" s="556"/>
    </row>
    <row r="24" spans="1:58" s="855" customFormat="1" ht="21.75" customHeight="1">
      <c r="A24" s="906" t="s">
        <v>404</v>
      </c>
      <c r="B24" s="905" t="str">
        <f>B556</f>
        <v>OFFICE AREA</v>
      </c>
      <c r="C24" s="453"/>
      <c r="D24" s="454"/>
      <c r="E24" s="455"/>
      <c r="F24" s="1307"/>
      <c r="G24" s="456"/>
      <c r="H24" s="847"/>
      <c r="I24" s="458"/>
      <c r="J24" s="459"/>
      <c r="K24" s="1169"/>
      <c r="L24" s="956"/>
      <c r="M24" s="956"/>
      <c r="N24" s="459"/>
      <c r="O24" s="764"/>
      <c r="P24" s="765"/>
      <c r="Q24" s="766"/>
      <c r="R24" s="747"/>
      <c r="S24" s="747"/>
      <c r="T24" s="788"/>
      <c r="U24" s="799"/>
      <c r="V24" s="799"/>
      <c r="W24" s="799"/>
      <c r="X24" s="858"/>
      <c r="Y24" s="448"/>
      <c r="Z24" s="864"/>
      <c r="AA24" s="809"/>
      <c r="AB24" s="447"/>
      <c r="AC24" s="448"/>
      <c r="AD24" s="714"/>
      <c r="AE24" s="819"/>
      <c r="AF24" s="819"/>
      <c r="AG24" s="741"/>
      <c r="AH24" s="728"/>
      <c r="AI24" s="449"/>
      <c r="AJ24" s="449"/>
      <c r="AK24" s="449"/>
      <c r="AL24" s="448"/>
      <c r="AM24" s="448"/>
      <c r="AN24" s="448"/>
      <c r="AO24" s="448"/>
      <c r="AP24" s="450"/>
      <c r="AQ24" s="450"/>
      <c r="AR24" s="450"/>
      <c r="AS24" s="450"/>
      <c r="AT24" s="450"/>
      <c r="AU24" s="556"/>
      <c r="AV24" s="556"/>
    </row>
    <row r="25" spans="1:58" s="855" customFormat="1" ht="21.75" customHeight="1">
      <c r="A25" s="451" t="s">
        <v>405</v>
      </c>
      <c r="B25" s="452" t="str">
        <f>B558</f>
        <v>HIGH VOLTAGE SYSTEM</v>
      </c>
      <c r="C25" s="453"/>
      <c r="D25" s="454"/>
      <c r="E25" s="455" t="s">
        <v>326</v>
      </c>
      <c r="F25" s="1307">
        <v>1</v>
      </c>
      <c r="G25" s="456"/>
      <c r="H25" s="847">
        <f>H560</f>
        <v>0</v>
      </c>
      <c r="I25" s="908" t="s">
        <v>713</v>
      </c>
      <c r="J25" s="459"/>
      <c r="K25" s="1169"/>
      <c r="L25" s="956"/>
      <c r="M25" s="956"/>
      <c r="N25" s="459"/>
      <c r="O25" s="764"/>
      <c r="P25" s="765"/>
      <c r="Q25" s="766"/>
      <c r="R25" s="747"/>
      <c r="S25" s="747"/>
      <c r="T25" s="788"/>
      <c r="U25" s="799"/>
      <c r="V25" s="799"/>
      <c r="W25" s="799"/>
      <c r="X25" s="858"/>
      <c r="Y25" s="448"/>
      <c r="Z25" s="864"/>
      <c r="AA25" s="809"/>
      <c r="AB25" s="447"/>
      <c r="AC25" s="448"/>
      <c r="AD25" s="714"/>
      <c r="AE25" s="460">
        <f>AE560</f>
        <v>0</v>
      </c>
      <c r="AF25" s="460">
        <f>AF560</f>
        <v>0</v>
      </c>
      <c r="AG25" s="742"/>
      <c r="AH25" s="728"/>
      <c r="AI25" s="449"/>
      <c r="AJ25" s="449"/>
      <c r="AK25" s="449"/>
      <c r="AL25" s="448"/>
      <c r="AM25" s="457">
        <f>AM560</f>
        <v>0</v>
      </c>
      <c r="AN25" s="462"/>
      <c r="AO25" s="457">
        <f>AO560</f>
        <v>0</v>
      </c>
      <c r="AP25" s="450"/>
      <c r="AQ25" s="450"/>
      <c r="AR25" s="450"/>
      <c r="AS25" s="450"/>
      <c r="AT25" s="450"/>
      <c r="AU25" s="556"/>
      <c r="AV25" s="556"/>
    </row>
    <row r="26" spans="1:58" s="855" customFormat="1" ht="21.75" customHeight="1">
      <c r="A26" s="461" t="s">
        <v>406</v>
      </c>
      <c r="B26" s="452" t="str">
        <f>B562</f>
        <v>LV MAIN SYSTEM</v>
      </c>
      <c r="C26" s="453"/>
      <c r="D26" s="454"/>
      <c r="E26" s="455" t="s">
        <v>326</v>
      </c>
      <c r="F26" s="1307">
        <v>1</v>
      </c>
      <c r="G26" s="456"/>
      <c r="H26" s="847">
        <f>H564</f>
        <v>0</v>
      </c>
      <c r="I26" s="908" t="s">
        <v>713</v>
      </c>
      <c r="J26" s="459"/>
      <c r="K26" s="1169"/>
      <c r="L26" s="956"/>
      <c r="M26" s="956"/>
      <c r="N26" s="459"/>
      <c r="O26" s="764"/>
      <c r="P26" s="765"/>
      <c r="Q26" s="766"/>
      <c r="R26" s="747"/>
      <c r="S26" s="747"/>
      <c r="T26" s="788"/>
      <c r="U26" s="799"/>
      <c r="V26" s="799"/>
      <c r="W26" s="799"/>
      <c r="X26" s="858"/>
      <c r="Y26" s="448"/>
      <c r="Z26" s="864"/>
      <c r="AA26" s="809"/>
      <c r="AB26" s="447"/>
      <c r="AC26" s="448"/>
      <c r="AD26" s="714"/>
      <c r="AE26" s="460">
        <f>AE564</f>
        <v>0</v>
      </c>
      <c r="AF26" s="460">
        <f>AF564</f>
        <v>0</v>
      </c>
      <c r="AG26" s="742"/>
      <c r="AH26" s="728"/>
      <c r="AI26" s="449"/>
      <c r="AJ26" s="449"/>
      <c r="AK26" s="449"/>
      <c r="AL26" s="448"/>
      <c r="AM26" s="457">
        <f>AM564</f>
        <v>0</v>
      </c>
      <c r="AN26" s="462"/>
      <c r="AO26" s="457">
        <f>AO564</f>
        <v>0</v>
      </c>
      <c r="AP26" s="450"/>
      <c r="AQ26" s="450"/>
      <c r="AR26" s="450"/>
      <c r="AS26" s="450"/>
      <c r="AT26" s="450"/>
      <c r="AU26" s="556"/>
      <c r="AV26" s="556"/>
    </row>
    <row r="27" spans="1:58" s="855" customFormat="1" ht="21.75" customHeight="1">
      <c r="A27" s="461" t="s">
        <v>408</v>
      </c>
      <c r="B27" s="452" t="str">
        <f>B566</f>
        <v>SUBMAIN SYSTEM</v>
      </c>
      <c r="C27" s="453"/>
      <c r="D27" s="454"/>
      <c r="E27" s="455" t="s">
        <v>326</v>
      </c>
      <c r="F27" s="1307">
        <v>1</v>
      </c>
      <c r="G27" s="456"/>
      <c r="H27" s="847">
        <f>H589</f>
        <v>16710.97</v>
      </c>
      <c r="I27" s="458"/>
      <c r="J27" s="459"/>
      <c r="K27" s="1169"/>
      <c r="L27" s="956"/>
      <c r="M27" s="956"/>
      <c r="N27" s="459"/>
      <c r="O27" s="764"/>
      <c r="P27" s="765"/>
      <c r="Q27" s="766"/>
      <c r="R27" s="747"/>
      <c r="S27" s="747"/>
      <c r="T27" s="788"/>
      <c r="U27" s="799"/>
      <c r="V27" s="799"/>
      <c r="W27" s="799"/>
      <c r="X27" s="858"/>
      <c r="Y27" s="448"/>
      <c r="Z27" s="864"/>
      <c r="AA27" s="809"/>
      <c r="AB27" s="447"/>
      <c r="AC27" s="448"/>
      <c r="AD27" s="714"/>
      <c r="AE27" s="460">
        <f>AE589</f>
        <v>10462.379999999999</v>
      </c>
      <c r="AF27" s="460">
        <f>AF589</f>
        <v>4256.6400000000003</v>
      </c>
      <c r="AG27" s="742"/>
      <c r="AH27" s="728"/>
      <c r="AI27" s="449"/>
      <c r="AJ27" s="449"/>
      <c r="AK27" s="449"/>
      <c r="AL27" s="448"/>
      <c r="AM27" s="457">
        <f>AM589</f>
        <v>0</v>
      </c>
      <c r="AN27" s="462"/>
      <c r="AO27" s="457">
        <f>AO589</f>
        <v>0</v>
      </c>
      <c r="AP27" s="450"/>
      <c r="AQ27" s="450"/>
      <c r="AR27" s="450"/>
      <c r="AS27" s="450"/>
      <c r="AT27" s="450"/>
      <c r="AU27" s="556"/>
      <c r="AV27" s="556"/>
    </row>
    <row r="28" spans="1:58" s="855" customFormat="1" ht="21.75" customHeight="1">
      <c r="A28" s="461" t="s">
        <v>410</v>
      </c>
      <c r="B28" s="452" t="str">
        <f>B591</f>
        <v xml:space="preserve">POWER SUPPLY TO PRODUCTION </v>
      </c>
      <c r="C28" s="463"/>
      <c r="D28" s="464"/>
      <c r="E28" s="455" t="s">
        <v>326</v>
      </c>
      <c r="F28" s="1307">
        <v>1</v>
      </c>
      <c r="G28" s="444"/>
      <c r="H28" s="847">
        <f>H593</f>
        <v>0</v>
      </c>
      <c r="I28" s="908" t="s">
        <v>713</v>
      </c>
      <c r="J28" s="446"/>
      <c r="K28" s="1168"/>
      <c r="L28" s="955"/>
      <c r="M28" s="955"/>
      <c r="N28" s="446"/>
      <c r="O28" s="764"/>
      <c r="P28" s="765"/>
      <c r="Q28" s="766"/>
      <c r="R28" s="747"/>
      <c r="S28" s="747"/>
      <c r="T28" s="788"/>
      <c r="U28" s="799"/>
      <c r="V28" s="799"/>
      <c r="W28" s="799"/>
      <c r="X28" s="858"/>
      <c r="Y28" s="448"/>
      <c r="Z28" s="864"/>
      <c r="AA28" s="809"/>
      <c r="AB28" s="447"/>
      <c r="AC28" s="448"/>
      <c r="AD28" s="714"/>
      <c r="AE28" s="460">
        <f>AE593</f>
        <v>0</v>
      </c>
      <c r="AF28" s="460">
        <f>AF593</f>
        <v>0</v>
      </c>
      <c r="AG28" s="742"/>
      <c r="AH28" s="728"/>
      <c r="AI28" s="449"/>
      <c r="AJ28" s="449"/>
      <c r="AK28" s="449"/>
      <c r="AL28" s="448"/>
      <c r="AM28" s="457">
        <f>AM593</f>
        <v>0</v>
      </c>
      <c r="AN28" s="462"/>
      <c r="AO28" s="457">
        <f>AO593</f>
        <v>0</v>
      </c>
      <c r="AP28" s="450"/>
      <c r="AQ28" s="450"/>
      <c r="AR28" s="450"/>
      <c r="AS28" s="450"/>
      <c r="AT28" s="450"/>
      <c r="AU28" s="556"/>
      <c r="AV28" s="556"/>
    </row>
    <row r="29" spans="1:58" s="855" customFormat="1" ht="21.75" customHeight="1">
      <c r="A29" s="451" t="s">
        <v>411</v>
      </c>
      <c r="B29" s="452" t="str">
        <f>B595</f>
        <v>EMERGENCY POWER BACK-UP GENERATOR (Open type - Noise Level 105 dB)</v>
      </c>
      <c r="C29" s="463"/>
      <c r="D29" s="464"/>
      <c r="E29" s="455" t="s">
        <v>326</v>
      </c>
      <c r="F29" s="1307">
        <v>1</v>
      </c>
      <c r="G29" s="444"/>
      <c r="H29" s="847">
        <f>H597</f>
        <v>0</v>
      </c>
      <c r="I29" s="908" t="s">
        <v>713</v>
      </c>
      <c r="J29" s="446"/>
      <c r="K29" s="1168"/>
      <c r="L29" s="955"/>
      <c r="M29" s="955"/>
      <c r="N29" s="446"/>
      <c r="O29" s="764"/>
      <c r="P29" s="765"/>
      <c r="Q29" s="766"/>
      <c r="R29" s="747"/>
      <c r="S29" s="747"/>
      <c r="T29" s="788"/>
      <c r="U29" s="799"/>
      <c r="V29" s="799"/>
      <c r="W29" s="799"/>
      <c r="X29" s="858"/>
      <c r="Y29" s="448"/>
      <c r="Z29" s="864"/>
      <c r="AA29" s="809"/>
      <c r="AB29" s="447"/>
      <c r="AC29" s="448"/>
      <c r="AD29" s="714"/>
      <c r="AE29" s="460">
        <f>AE597</f>
        <v>0</v>
      </c>
      <c r="AF29" s="460">
        <f>AF597</f>
        <v>0</v>
      </c>
      <c r="AG29" s="742"/>
      <c r="AH29" s="728"/>
      <c r="AI29" s="449"/>
      <c r="AJ29" s="449"/>
      <c r="AK29" s="449"/>
      <c r="AL29" s="448"/>
      <c r="AM29" s="457">
        <f>AM597</f>
        <v>0</v>
      </c>
      <c r="AN29" s="847"/>
      <c r="AO29" s="457">
        <f>AO597</f>
        <v>0</v>
      </c>
      <c r="AP29" s="450"/>
      <c r="AQ29" s="450"/>
      <c r="AR29" s="450"/>
      <c r="AS29" s="450"/>
      <c r="AT29" s="450"/>
      <c r="AU29" s="556"/>
      <c r="AV29" s="556"/>
    </row>
    <row r="30" spans="1:58" s="855" customFormat="1" ht="21.75" customHeight="1">
      <c r="A30" s="461" t="s">
        <v>412</v>
      </c>
      <c r="B30" s="452" t="str">
        <f>B599</f>
        <v>LIGHTING SYSTEM &amp; SOCKET OUTLET</v>
      </c>
      <c r="C30" s="453"/>
      <c r="D30" s="454"/>
      <c r="E30" s="455" t="s">
        <v>326</v>
      </c>
      <c r="F30" s="1307">
        <v>1</v>
      </c>
      <c r="G30" s="456"/>
      <c r="H30" s="847">
        <f>H634</f>
        <v>59264.570000000007</v>
      </c>
      <c r="I30" s="995"/>
      <c r="J30" s="459"/>
      <c r="K30" s="1169"/>
      <c r="L30" s="956"/>
      <c r="M30" s="956"/>
      <c r="N30" s="459"/>
      <c r="O30" s="764"/>
      <c r="P30" s="765"/>
      <c r="Q30" s="766"/>
      <c r="R30" s="747"/>
      <c r="S30" s="747"/>
      <c r="T30" s="788"/>
      <c r="U30" s="799"/>
      <c r="V30" s="799"/>
      <c r="W30" s="799"/>
      <c r="X30" s="858"/>
      <c r="Y30" s="448"/>
      <c r="Z30" s="864"/>
      <c r="AA30" s="809"/>
      <c r="AB30" s="447"/>
      <c r="AC30" s="448"/>
      <c r="AD30" s="714"/>
      <c r="AE30" s="460">
        <f>AE634</f>
        <v>46895.62999999999</v>
      </c>
      <c r="AF30" s="460">
        <f>AF634</f>
        <v>7453.63</v>
      </c>
      <c r="AG30" s="742"/>
      <c r="AH30" s="728"/>
      <c r="AI30" s="449"/>
      <c r="AJ30" s="449"/>
      <c r="AK30" s="449"/>
      <c r="AL30" s="448"/>
      <c r="AM30" s="457">
        <f>AM634</f>
        <v>0</v>
      </c>
      <c r="AN30" s="462"/>
      <c r="AO30" s="457">
        <f>AO634</f>
        <v>0</v>
      </c>
      <c r="AP30" s="450"/>
      <c r="AQ30" s="450"/>
      <c r="AR30" s="450"/>
      <c r="AS30" s="450"/>
      <c r="AT30" s="450"/>
      <c r="AU30" s="556"/>
      <c r="AV30" s="556"/>
    </row>
    <row r="31" spans="1:58" s="855" customFormat="1" ht="21.75" customHeight="1">
      <c r="A31" s="461" t="s">
        <v>413</v>
      </c>
      <c r="B31" s="452" t="str">
        <f>B636</f>
        <v>ELECTRICAL FOR MECHANICAL EQUIPMENT (A.C, FAN, AIR COMP., PUMPS)</v>
      </c>
      <c r="C31" s="453"/>
      <c r="D31" s="454"/>
      <c r="E31" s="455" t="s">
        <v>326</v>
      </c>
      <c r="F31" s="1307">
        <v>1</v>
      </c>
      <c r="G31" s="456"/>
      <c r="H31" s="847">
        <f>H658</f>
        <v>15654.150000000001</v>
      </c>
      <c r="I31" s="995"/>
      <c r="J31" s="459"/>
      <c r="K31" s="1169"/>
      <c r="L31" s="956"/>
      <c r="M31" s="956"/>
      <c r="N31" s="459"/>
      <c r="O31" s="764"/>
      <c r="P31" s="765"/>
      <c r="Q31" s="766"/>
      <c r="R31" s="747"/>
      <c r="S31" s="747"/>
      <c r="T31" s="788"/>
      <c r="U31" s="799"/>
      <c r="V31" s="799"/>
      <c r="W31" s="799"/>
      <c r="X31" s="858"/>
      <c r="Y31" s="448"/>
      <c r="Z31" s="864"/>
      <c r="AA31" s="809"/>
      <c r="AB31" s="447"/>
      <c r="AC31" s="448"/>
      <c r="AD31" s="714"/>
      <c r="AE31" s="460">
        <f>AE658</f>
        <v>11886.04</v>
      </c>
      <c r="AF31" s="460">
        <f>AF658</f>
        <v>2089.79</v>
      </c>
      <c r="AG31" s="742"/>
      <c r="AH31" s="728"/>
      <c r="AI31" s="449"/>
      <c r="AJ31" s="449"/>
      <c r="AK31" s="449"/>
      <c r="AL31" s="448"/>
      <c r="AM31" s="457">
        <f>AM658</f>
        <v>0</v>
      </c>
      <c r="AN31" s="462"/>
      <c r="AO31" s="457">
        <f>AO658</f>
        <v>0</v>
      </c>
      <c r="AP31" s="450"/>
      <c r="AQ31" s="450"/>
      <c r="AR31" s="450"/>
      <c r="AS31" s="450"/>
      <c r="AT31" s="450"/>
      <c r="AU31" s="556"/>
      <c r="AV31" s="556"/>
    </row>
    <row r="32" spans="1:58" s="855" customFormat="1" ht="21.75" customHeight="1">
      <c r="A32" s="461" t="s">
        <v>415</v>
      </c>
      <c r="B32" s="452" t="str">
        <f>B660</f>
        <v>TELEPHONE SYSTEM EMPTY CONDUIT</v>
      </c>
      <c r="C32" s="453"/>
      <c r="D32" s="454"/>
      <c r="E32" s="455" t="s">
        <v>326</v>
      </c>
      <c r="F32" s="1307">
        <v>1</v>
      </c>
      <c r="G32" s="456"/>
      <c r="H32" s="847">
        <f>H678</f>
        <v>7495.579999999999</v>
      </c>
      <c r="I32" s="458"/>
      <c r="J32" s="459"/>
      <c r="K32" s="1169"/>
      <c r="L32" s="956"/>
      <c r="M32" s="956"/>
      <c r="N32" s="459"/>
      <c r="O32" s="764"/>
      <c r="P32" s="765"/>
      <c r="Q32" s="766"/>
      <c r="R32" s="747"/>
      <c r="S32" s="747"/>
      <c r="T32" s="788"/>
      <c r="U32" s="799"/>
      <c r="V32" s="799"/>
      <c r="W32" s="799"/>
      <c r="X32" s="858"/>
      <c r="Y32" s="448"/>
      <c r="Z32" s="864"/>
      <c r="AA32" s="809"/>
      <c r="AB32" s="447"/>
      <c r="AC32" s="448"/>
      <c r="AD32" s="714"/>
      <c r="AE32" s="819">
        <f>AE678</f>
        <v>5796.59</v>
      </c>
      <c r="AF32" s="819">
        <f>AF678</f>
        <v>956.2600000000001</v>
      </c>
      <c r="AG32" s="741"/>
      <c r="AH32" s="728"/>
      <c r="AI32" s="449"/>
      <c r="AJ32" s="449"/>
      <c r="AK32" s="449"/>
      <c r="AL32" s="448"/>
      <c r="AM32" s="457">
        <f>AM678</f>
        <v>0</v>
      </c>
      <c r="AN32" s="462"/>
      <c r="AO32" s="457">
        <f>AO678</f>
        <v>0</v>
      </c>
      <c r="AP32" s="450"/>
      <c r="AQ32" s="450"/>
      <c r="AR32" s="450"/>
      <c r="AS32" s="450"/>
      <c r="AT32" s="450"/>
      <c r="AU32" s="556"/>
      <c r="AV32" s="556"/>
    </row>
    <row r="33" spans="1:58" s="855" customFormat="1" ht="21.75" customHeight="1">
      <c r="A33" s="451" t="s">
        <v>421</v>
      </c>
      <c r="B33" s="452" t="str">
        <f>B680</f>
        <v xml:space="preserve">LAN SYSTEM EMPTY CONDUIT </v>
      </c>
      <c r="C33" s="453"/>
      <c r="D33" s="454"/>
      <c r="E33" s="455" t="s">
        <v>326</v>
      </c>
      <c r="F33" s="1307">
        <v>1</v>
      </c>
      <c r="G33" s="456"/>
      <c r="H33" s="847">
        <f>H692</f>
        <v>3444.63</v>
      </c>
      <c r="I33" s="458"/>
      <c r="J33" s="459"/>
      <c r="K33" s="1169"/>
      <c r="L33" s="956"/>
      <c r="M33" s="956"/>
      <c r="N33" s="459"/>
      <c r="O33" s="764"/>
      <c r="P33" s="765"/>
      <c r="Q33" s="766"/>
      <c r="R33" s="747"/>
      <c r="S33" s="747"/>
      <c r="T33" s="788"/>
      <c r="U33" s="799"/>
      <c r="V33" s="799"/>
      <c r="W33" s="799"/>
      <c r="X33" s="858"/>
      <c r="Y33" s="448"/>
      <c r="Z33" s="864"/>
      <c r="AA33" s="809"/>
      <c r="AB33" s="447"/>
      <c r="AC33" s="448"/>
      <c r="AD33" s="714"/>
      <c r="AE33" s="819">
        <f>AE692</f>
        <v>2180.9</v>
      </c>
      <c r="AF33" s="819">
        <f>AF692</f>
        <v>857.61</v>
      </c>
      <c r="AG33" s="741"/>
      <c r="AH33" s="728"/>
      <c r="AI33" s="449"/>
      <c r="AJ33" s="449"/>
      <c r="AK33" s="449"/>
      <c r="AL33" s="448"/>
      <c r="AM33" s="457">
        <f>AM692</f>
        <v>0</v>
      </c>
      <c r="AN33" s="462"/>
      <c r="AO33" s="457">
        <f>AO692</f>
        <v>0</v>
      </c>
      <c r="AP33" s="450"/>
      <c r="AQ33" s="450"/>
      <c r="AR33" s="450"/>
      <c r="AS33" s="450"/>
      <c r="AT33" s="450"/>
      <c r="AU33" s="556"/>
      <c r="AV33" s="556"/>
    </row>
    <row r="34" spans="1:58" s="855" customFormat="1" ht="21.75" customHeight="1">
      <c r="A34" s="461" t="s">
        <v>520</v>
      </c>
      <c r="B34" s="452" t="str">
        <f>B694</f>
        <v>PUBLIC ADDRESS SYSTEM</v>
      </c>
      <c r="C34" s="453"/>
      <c r="D34" s="454"/>
      <c r="E34" s="455" t="s">
        <v>326</v>
      </c>
      <c r="F34" s="1307">
        <v>1</v>
      </c>
      <c r="G34" s="456"/>
      <c r="H34" s="847">
        <f>H718</f>
        <v>14128.21</v>
      </c>
      <c r="I34" s="458"/>
      <c r="J34" s="459"/>
      <c r="K34" s="1169"/>
      <c r="L34" s="956"/>
      <c r="M34" s="956"/>
      <c r="N34" s="459"/>
      <c r="O34" s="764"/>
      <c r="P34" s="765"/>
      <c r="Q34" s="766"/>
      <c r="R34" s="747"/>
      <c r="S34" s="747"/>
      <c r="T34" s="788"/>
      <c r="U34" s="799"/>
      <c r="V34" s="799"/>
      <c r="W34" s="799"/>
      <c r="X34" s="858"/>
      <c r="Y34" s="448"/>
      <c r="Z34" s="864"/>
      <c r="AA34" s="809"/>
      <c r="AB34" s="447"/>
      <c r="AC34" s="448"/>
      <c r="AD34" s="714"/>
      <c r="AE34" s="819">
        <f>AE718</f>
        <v>11685.769999999999</v>
      </c>
      <c r="AF34" s="819">
        <f>AF718</f>
        <v>1498.06</v>
      </c>
      <c r="AG34" s="741"/>
      <c r="AH34" s="728"/>
      <c r="AI34" s="449"/>
      <c r="AJ34" s="449"/>
      <c r="AK34" s="449"/>
      <c r="AL34" s="448"/>
      <c r="AM34" s="457">
        <f>AM718</f>
        <v>0</v>
      </c>
      <c r="AN34" s="462"/>
      <c r="AO34" s="457">
        <f>AO718</f>
        <v>0</v>
      </c>
      <c r="AP34" s="450"/>
      <c r="AQ34" s="450"/>
      <c r="AR34" s="450"/>
      <c r="AS34" s="450"/>
      <c r="AT34" s="450"/>
      <c r="AU34" s="556"/>
      <c r="AV34" s="556"/>
    </row>
    <row r="35" spans="1:58" s="855" customFormat="1" ht="21.75" customHeight="1">
      <c r="A35" s="461" t="s">
        <v>770</v>
      </c>
      <c r="B35" s="452" t="str">
        <f>B720</f>
        <v>FIRE ALARM SYSTEM</v>
      </c>
      <c r="C35" s="453"/>
      <c r="D35" s="454"/>
      <c r="E35" s="455" t="s">
        <v>326</v>
      </c>
      <c r="F35" s="1307">
        <v>1</v>
      </c>
      <c r="G35" s="456"/>
      <c r="H35" s="847">
        <f>H738</f>
        <v>9776.07</v>
      </c>
      <c r="I35" s="458"/>
      <c r="J35" s="459"/>
      <c r="K35" s="1169"/>
      <c r="L35" s="956"/>
      <c r="M35" s="956"/>
      <c r="N35" s="459"/>
      <c r="O35" s="764"/>
      <c r="P35" s="765"/>
      <c r="Q35" s="766"/>
      <c r="R35" s="747"/>
      <c r="S35" s="747"/>
      <c r="T35" s="788"/>
      <c r="U35" s="799"/>
      <c r="V35" s="799"/>
      <c r="W35" s="799"/>
      <c r="X35" s="858"/>
      <c r="Y35" s="448"/>
      <c r="Z35" s="864"/>
      <c r="AA35" s="809"/>
      <c r="AB35" s="447"/>
      <c r="AC35" s="448"/>
      <c r="AD35" s="714"/>
      <c r="AE35" s="819">
        <f>AE738</f>
        <v>7584.41</v>
      </c>
      <c r="AF35" s="819">
        <f>AF738</f>
        <v>1334.4</v>
      </c>
      <c r="AG35" s="741"/>
      <c r="AH35" s="728"/>
      <c r="AI35" s="449"/>
      <c r="AJ35" s="449"/>
      <c r="AK35" s="449"/>
      <c r="AL35" s="448"/>
      <c r="AM35" s="457">
        <f>AM738</f>
        <v>0</v>
      </c>
      <c r="AN35" s="462"/>
      <c r="AO35" s="457">
        <f>AO738</f>
        <v>0</v>
      </c>
      <c r="AP35" s="450"/>
      <c r="AQ35" s="450"/>
      <c r="AR35" s="450"/>
      <c r="AS35" s="450"/>
      <c r="AT35" s="450"/>
      <c r="AU35" s="556"/>
      <c r="AV35" s="556"/>
    </row>
    <row r="36" spans="1:58" s="707" customFormat="1" ht="21.75" customHeight="1">
      <c r="A36" s="465"/>
      <c r="B36" s="466"/>
      <c r="C36" s="467"/>
      <c r="D36" s="468"/>
      <c r="E36" s="469"/>
      <c r="F36" s="1308"/>
      <c r="G36" s="470"/>
      <c r="H36" s="1048"/>
      <c r="I36" s="472"/>
      <c r="J36" s="473"/>
      <c r="K36" s="1170"/>
      <c r="L36" s="957"/>
      <c r="M36" s="957"/>
      <c r="N36" s="473"/>
      <c r="O36" s="767"/>
      <c r="P36" s="768"/>
      <c r="Q36" s="769"/>
      <c r="R36" s="748"/>
      <c r="S36" s="748"/>
      <c r="T36" s="789"/>
      <c r="U36" s="800"/>
      <c r="V36" s="800"/>
      <c r="W36" s="800"/>
      <c r="X36" s="859"/>
      <c r="Y36" s="475"/>
      <c r="Z36" s="865"/>
      <c r="AA36" s="810"/>
      <c r="AB36" s="474"/>
      <c r="AC36" s="475"/>
      <c r="AD36" s="715"/>
      <c r="AE36" s="820"/>
      <c r="AF36" s="820"/>
      <c r="AG36" s="741"/>
      <c r="AH36" s="728"/>
      <c r="AI36" s="476"/>
      <c r="AJ36" s="476"/>
      <c r="AK36" s="476"/>
      <c r="AL36" s="475"/>
      <c r="AM36" s="475"/>
      <c r="AN36" s="475"/>
      <c r="AO36" s="475"/>
      <c r="AP36" s="478"/>
      <c r="AQ36" s="478"/>
      <c r="AR36" s="478"/>
      <c r="AS36" s="478"/>
      <c r="AT36" s="478"/>
      <c r="AU36" s="556"/>
      <c r="AV36" s="556"/>
      <c r="AW36" s="855"/>
      <c r="AX36" s="855"/>
      <c r="AY36" s="855"/>
      <c r="AZ36" s="855"/>
      <c r="BA36" s="855"/>
      <c r="BB36" s="855"/>
      <c r="BC36" s="855"/>
      <c r="BD36" s="855"/>
      <c r="BE36" s="855"/>
      <c r="BF36" s="855"/>
    </row>
    <row r="37" spans="1:58" s="855" customFormat="1" ht="21.75" customHeight="1">
      <c r="A37" s="1273"/>
      <c r="B37" s="966" t="s">
        <v>907</v>
      </c>
      <c r="C37" s="967"/>
      <c r="D37" s="968"/>
      <c r="E37" s="969"/>
      <c r="F37" s="1309"/>
      <c r="G37" s="970"/>
      <c r="H37" s="971">
        <f>SUBTOTAL(9,H23:H36)</f>
        <v>126474.18000000002</v>
      </c>
      <c r="I37" s="972"/>
      <c r="J37" s="480"/>
      <c r="K37" s="1171"/>
      <c r="L37" s="876"/>
      <c r="M37" s="876"/>
      <c r="N37" s="480"/>
      <c r="O37" s="496"/>
      <c r="P37" s="770"/>
      <c r="Q37" s="771"/>
      <c r="R37" s="749"/>
      <c r="S37" s="749"/>
      <c r="T37" s="790"/>
      <c r="U37" s="801"/>
      <c r="V37" s="801"/>
      <c r="W37" s="801"/>
      <c r="X37" s="860"/>
      <c r="Y37" s="840"/>
      <c r="Z37" s="866"/>
      <c r="AA37" s="811"/>
      <c r="AB37" s="839"/>
      <c r="AC37" s="840"/>
      <c r="AD37" s="1049"/>
      <c r="AE37" s="821">
        <f>SUBTOTAL(9,AE23:AE36)</f>
        <v>96491.719999999987</v>
      </c>
      <c r="AF37" s="821">
        <f>SUBTOTAL(9,AF23:AF36)</f>
        <v>18446.390000000003</v>
      </c>
      <c r="AG37" s="708"/>
      <c r="AH37" s="841"/>
      <c r="AI37" s="842"/>
      <c r="AJ37" s="842"/>
      <c r="AK37" s="842"/>
      <c r="AL37" s="840"/>
      <c r="AM37" s="482">
        <f>SUBTOTAL(9,AM23:AM36)</f>
        <v>0</v>
      </c>
      <c r="AN37" s="840"/>
      <c r="AO37" s="482">
        <f>SUBTOTAL(9,AO23:AO36)</f>
        <v>0</v>
      </c>
      <c r="AP37" s="854"/>
      <c r="AQ37" s="854"/>
      <c r="AR37" s="854"/>
      <c r="AS37" s="854"/>
      <c r="AT37" s="854"/>
      <c r="AU37" s="706"/>
      <c r="AV37" s="706"/>
      <c r="AW37" s="707"/>
      <c r="AX37" s="707"/>
      <c r="AY37" s="707"/>
      <c r="AZ37" s="707"/>
      <c r="BA37" s="707"/>
      <c r="BB37" s="707"/>
      <c r="BC37" s="707"/>
      <c r="BD37" s="707"/>
      <c r="BE37" s="707"/>
      <c r="BF37" s="707"/>
    </row>
    <row r="38" spans="1:58" s="855" customFormat="1" ht="21.75" customHeight="1">
      <c r="A38" s="483"/>
      <c r="B38" s="484"/>
      <c r="C38" s="485"/>
      <c r="D38" s="486"/>
      <c r="E38" s="487"/>
      <c r="F38" s="1310"/>
      <c r="G38" s="488"/>
      <c r="H38" s="489"/>
      <c r="I38" s="490"/>
      <c r="J38" s="491"/>
      <c r="K38" s="1172"/>
      <c r="L38" s="958"/>
      <c r="M38" s="958"/>
      <c r="N38" s="491"/>
      <c r="O38" s="772"/>
      <c r="P38" s="773"/>
      <c r="Q38" s="774"/>
      <c r="R38" s="750"/>
      <c r="S38" s="750"/>
      <c r="T38" s="791"/>
      <c r="U38" s="802"/>
      <c r="V38" s="802"/>
      <c r="W38" s="802"/>
      <c r="X38" s="861"/>
      <c r="Y38" s="493"/>
      <c r="Z38" s="867"/>
      <c r="AA38" s="812"/>
      <c r="AB38" s="492"/>
      <c r="AC38" s="493"/>
      <c r="AD38" s="716"/>
      <c r="AE38" s="822"/>
      <c r="AF38" s="822"/>
      <c r="AG38" s="741"/>
      <c r="AH38" s="728"/>
      <c r="AI38" s="494"/>
      <c r="AJ38" s="494"/>
      <c r="AK38" s="494"/>
      <c r="AL38" s="493"/>
      <c r="AM38" s="493"/>
      <c r="AN38" s="493"/>
      <c r="AO38" s="493"/>
      <c r="AP38" s="495"/>
      <c r="AQ38" s="495"/>
      <c r="AR38" s="495"/>
      <c r="AS38" s="495"/>
      <c r="AT38" s="495"/>
      <c r="AU38" s="556"/>
      <c r="AV38" s="556"/>
    </row>
    <row r="39" spans="1:58" s="855" customFormat="1" ht="21.75" customHeight="1">
      <c r="A39" s="907" t="str">
        <f>A740</f>
        <v>C</v>
      </c>
      <c r="B39" s="905" t="str">
        <f>B740</f>
        <v>EXTERNAL AREA (GUARD HOUSE, BIKE PARKING, CAR PARKING,..)</v>
      </c>
      <c r="C39" s="453"/>
      <c r="D39" s="454"/>
      <c r="E39" s="455"/>
      <c r="F39" s="1307"/>
      <c r="G39" s="456"/>
      <c r="H39" s="847"/>
      <c r="I39" s="458"/>
      <c r="J39" s="459"/>
      <c r="K39" s="1169"/>
      <c r="L39" s="956"/>
      <c r="M39" s="956"/>
      <c r="N39" s="459"/>
      <c r="O39" s="764"/>
      <c r="P39" s="765"/>
      <c r="Q39" s="766"/>
      <c r="R39" s="747"/>
      <c r="S39" s="747"/>
      <c r="T39" s="788"/>
      <c r="U39" s="799"/>
      <c r="V39" s="799"/>
      <c r="W39" s="799"/>
      <c r="X39" s="858"/>
      <c r="Y39" s="448"/>
      <c r="Z39" s="864"/>
      <c r="AA39" s="809"/>
      <c r="AB39" s="447"/>
      <c r="AC39" s="448"/>
      <c r="AD39" s="714"/>
      <c r="AE39" s="819"/>
      <c r="AF39" s="819"/>
      <c r="AG39" s="741"/>
      <c r="AH39" s="728"/>
      <c r="AI39" s="449"/>
      <c r="AJ39" s="449"/>
      <c r="AK39" s="449"/>
      <c r="AL39" s="448"/>
      <c r="AM39" s="448"/>
      <c r="AN39" s="448"/>
      <c r="AO39" s="448"/>
      <c r="AP39" s="450"/>
      <c r="AQ39" s="450"/>
      <c r="AR39" s="450"/>
      <c r="AS39" s="450"/>
      <c r="AT39" s="450"/>
      <c r="AU39" s="556"/>
      <c r="AV39" s="556"/>
    </row>
    <row r="40" spans="1:58" s="855" customFormat="1" ht="21.75" customHeight="1">
      <c r="A40" s="451" t="s">
        <v>405</v>
      </c>
      <c r="B40" s="452" t="str">
        <f>B742</f>
        <v>HIGH VOLTAGE SYSTEM</v>
      </c>
      <c r="C40" s="453"/>
      <c r="D40" s="454"/>
      <c r="E40" s="455" t="s">
        <v>326</v>
      </c>
      <c r="F40" s="1307">
        <v>1</v>
      </c>
      <c r="G40" s="456"/>
      <c r="H40" s="847">
        <f>H744</f>
        <v>0</v>
      </c>
      <c r="I40" s="908" t="s">
        <v>713</v>
      </c>
      <c r="J40" s="459"/>
      <c r="K40" s="1169"/>
      <c r="L40" s="956"/>
      <c r="M40" s="956"/>
      <c r="N40" s="459"/>
      <c r="O40" s="764"/>
      <c r="P40" s="765"/>
      <c r="Q40" s="766"/>
      <c r="R40" s="747"/>
      <c r="S40" s="747"/>
      <c r="T40" s="788"/>
      <c r="U40" s="799"/>
      <c r="V40" s="799"/>
      <c r="W40" s="799"/>
      <c r="X40" s="858"/>
      <c r="Y40" s="448"/>
      <c r="Z40" s="864"/>
      <c r="AA40" s="809"/>
      <c r="AB40" s="447"/>
      <c r="AC40" s="448"/>
      <c r="AD40" s="714"/>
      <c r="AE40" s="460">
        <f>AE744</f>
        <v>0</v>
      </c>
      <c r="AF40" s="460">
        <f>AF744</f>
        <v>0</v>
      </c>
      <c r="AG40" s="742"/>
      <c r="AH40" s="728"/>
      <c r="AI40" s="449"/>
      <c r="AJ40" s="449"/>
      <c r="AK40" s="449"/>
      <c r="AL40" s="448"/>
      <c r="AM40" s="457">
        <f>AM744</f>
        <v>0</v>
      </c>
      <c r="AN40" s="462"/>
      <c r="AO40" s="457">
        <f>AO744</f>
        <v>0</v>
      </c>
      <c r="AP40" s="450"/>
      <c r="AQ40" s="450"/>
      <c r="AR40" s="450"/>
      <c r="AS40" s="450"/>
      <c r="AT40" s="450"/>
      <c r="AU40" s="556"/>
      <c r="AV40" s="556"/>
    </row>
    <row r="41" spans="1:58" s="855" customFormat="1" ht="21.75" customHeight="1">
      <c r="A41" s="461" t="s">
        <v>406</v>
      </c>
      <c r="B41" s="452" t="str">
        <f>B746</f>
        <v>LV MAIN SYSTEM</v>
      </c>
      <c r="C41" s="453"/>
      <c r="D41" s="454"/>
      <c r="E41" s="455" t="s">
        <v>326</v>
      </c>
      <c r="F41" s="1307">
        <v>1</v>
      </c>
      <c r="G41" s="456"/>
      <c r="H41" s="847">
        <f>H748</f>
        <v>0</v>
      </c>
      <c r="I41" s="908" t="s">
        <v>713</v>
      </c>
      <c r="J41" s="459"/>
      <c r="K41" s="1169"/>
      <c r="L41" s="956"/>
      <c r="M41" s="956"/>
      <c r="N41" s="459"/>
      <c r="O41" s="764"/>
      <c r="P41" s="765"/>
      <c r="Q41" s="766"/>
      <c r="R41" s="747"/>
      <c r="S41" s="747"/>
      <c r="T41" s="788"/>
      <c r="U41" s="799"/>
      <c r="V41" s="799"/>
      <c r="W41" s="799"/>
      <c r="X41" s="858"/>
      <c r="Y41" s="448"/>
      <c r="Z41" s="864"/>
      <c r="AA41" s="809"/>
      <c r="AB41" s="447"/>
      <c r="AC41" s="448"/>
      <c r="AD41" s="714"/>
      <c r="AE41" s="460">
        <f>AE748</f>
        <v>0</v>
      </c>
      <c r="AF41" s="460">
        <f>AF748</f>
        <v>0</v>
      </c>
      <c r="AG41" s="742"/>
      <c r="AH41" s="728"/>
      <c r="AI41" s="449"/>
      <c r="AJ41" s="449"/>
      <c r="AK41" s="449"/>
      <c r="AL41" s="448"/>
      <c r="AM41" s="457">
        <f>AM748</f>
        <v>0</v>
      </c>
      <c r="AN41" s="462"/>
      <c r="AO41" s="457">
        <f>AO748</f>
        <v>0</v>
      </c>
      <c r="AP41" s="450"/>
      <c r="AQ41" s="450"/>
      <c r="AR41" s="450"/>
      <c r="AS41" s="450"/>
      <c r="AT41" s="450"/>
      <c r="AU41" s="556"/>
      <c r="AV41" s="556"/>
    </row>
    <row r="42" spans="1:58" s="855" customFormat="1" ht="21.75" customHeight="1">
      <c r="A42" s="461" t="s">
        <v>408</v>
      </c>
      <c r="B42" s="452" t="str">
        <f>B750</f>
        <v>SUBMAIN SYSTEM</v>
      </c>
      <c r="C42" s="453"/>
      <c r="D42" s="454"/>
      <c r="E42" s="455" t="s">
        <v>326</v>
      </c>
      <c r="F42" s="1307">
        <v>1</v>
      </c>
      <c r="G42" s="456"/>
      <c r="H42" s="847">
        <f>H772</f>
        <v>14224.919999999998</v>
      </c>
      <c r="I42" s="458"/>
      <c r="J42" s="459"/>
      <c r="K42" s="1169"/>
      <c r="L42" s="956"/>
      <c r="M42" s="956"/>
      <c r="N42" s="459"/>
      <c r="O42" s="764"/>
      <c r="P42" s="765"/>
      <c r="Q42" s="766"/>
      <c r="R42" s="747"/>
      <c r="S42" s="747"/>
      <c r="T42" s="788"/>
      <c r="U42" s="799"/>
      <c r="V42" s="799"/>
      <c r="W42" s="799"/>
      <c r="X42" s="858"/>
      <c r="Y42" s="448"/>
      <c r="Z42" s="864"/>
      <c r="AA42" s="809"/>
      <c r="AB42" s="447"/>
      <c r="AC42" s="448"/>
      <c r="AD42" s="714"/>
      <c r="AE42" s="460">
        <f>AE772</f>
        <v>9849.9700000000012</v>
      </c>
      <c r="AF42" s="460">
        <f>AF772</f>
        <v>2992.34</v>
      </c>
      <c r="AG42" s="742"/>
      <c r="AH42" s="728"/>
      <c r="AI42" s="449"/>
      <c r="AJ42" s="449"/>
      <c r="AK42" s="449"/>
      <c r="AL42" s="448"/>
      <c r="AM42" s="457">
        <f>AM772</f>
        <v>0</v>
      </c>
      <c r="AN42" s="462"/>
      <c r="AO42" s="457">
        <f>AO772</f>
        <v>0</v>
      </c>
      <c r="AP42" s="450"/>
      <c r="AQ42" s="450"/>
      <c r="AR42" s="450"/>
      <c r="AS42" s="450"/>
      <c r="AT42" s="450"/>
      <c r="AU42" s="556"/>
      <c r="AV42" s="556"/>
    </row>
    <row r="43" spans="1:58" s="855" customFormat="1" ht="21.75" customHeight="1">
      <c r="A43" s="461" t="s">
        <v>410</v>
      </c>
      <c r="B43" s="452" t="str">
        <f>B774</f>
        <v xml:space="preserve">POWER SUPPLY TO PRODUCTION </v>
      </c>
      <c r="C43" s="463"/>
      <c r="D43" s="464"/>
      <c r="E43" s="455" t="s">
        <v>326</v>
      </c>
      <c r="F43" s="1307">
        <v>1</v>
      </c>
      <c r="G43" s="444"/>
      <c r="H43" s="847">
        <f>H776</f>
        <v>0</v>
      </c>
      <c r="I43" s="908" t="s">
        <v>713</v>
      </c>
      <c r="J43" s="446"/>
      <c r="K43" s="1168"/>
      <c r="L43" s="955"/>
      <c r="M43" s="955"/>
      <c r="N43" s="446"/>
      <c r="O43" s="764"/>
      <c r="P43" s="765"/>
      <c r="Q43" s="766"/>
      <c r="R43" s="747"/>
      <c r="S43" s="747"/>
      <c r="T43" s="788"/>
      <c r="U43" s="799"/>
      <c r="V43" s="799"/>
      <c r="W43" s="799"/>
      <c r="X43" s="858"/>
      <c r="Y43" s="448"/>
      <c r="Z43" s="864"/>
      <c r="AA43" s="809"/>
      <c r="AB43" s="447"/>
      <c r="AC43" s="448"/>
      <c r="AD43" s="714"/>
      <c r="AE43" s="460">
        <f>AE776</f>
        <v>0</v>
      </c>
      <c r="AF43" s="460">
        <f>AF776</f>
        <v>0</v>
      </c>
      <c r="AG43" s="742"/>
      <c r="AH43" s="728"/>
      <c r="AI43" s="449"/>
      <c r="AJ43" s="449"/>
      <c r="AK43" s="449"/>
      <c r="AL43" s="448"/>
      <c r="AM43" s="457">
        <f>AM776</f>
        <v>0</v>
      </c>
      <c r="AN43" s="462"/>
      <c r="AO43" s="457">
        <f>AO776</f>
        <v>0</v>
      </c>
      <c r="AP43" s="450"/>
      <c r="AQ43" s="450"/>
      <c r="AR43" s="450"/>
      <c r="AS43" s="450"/>
      <c r="AT43" s="450"/>
      <c r="AU43" s="556"/>
      <c r="AV43" s="556"/>
    </row>
    <row r="44" spans="1:58" s="855" customFormat="1" ht="21.75" customHeight="1">
      <c r="A44" s="451" t="s">
        <v>411</v>
      </c>
      <c r="B44" s="452" t="str">
        <f>B778</f>
        <v>EMERGENCY POWER BACK-UP GENERATOR (Open type - Noise Level 105 dB)</v>
      </c>
      <c r="C44" s="463"/>
      <c r="D44" s="464"/>
      <c r="E44" s="455" t="s">
        <v>326</v>
      </c>
      <c r="F44" s="1307">
        <v>1</v>
      </c>
      <c r="G44" s="444"/>
      <c r="H44" s="847">
        <f>H780</f>
        <v>0</v>
      </c>
      <c r="I44" s="908" t="s">
        <v>713</v>
      </c>
      <c r="J44" s="446"/>
      <c r="K44" s="1168"/>
      <c r="L44" s="955"/>
      <c r="M44" s="955"/>
      <c r="N44" s="446"/>
      <c r="O44" s="764"/>
      <c r="P44" s="765"/>
      <c r="Q44" s="766"/>
      <c r="R44" s="747"/>
      <c r="S44" s="747"/>
      <c r="T44" s="788"/>
      <c r="U44" s="799"/>
      <c r="V44" s="799"/>
      <c r="W44" s="799"/>
      <c r="X44" s="858"/>
      <c r="Y44" s="448"/>
      <c r="Z44" s="864"/>
      <c r="AA44" s="809"/>
      <c r="AB44" s="447"/>
      <c r="AC44" s="448"/>
      <c r="AD44" s="714"/>
      <c r="AE44" s="460">
        <f>AE780</f>
        <v>0</v>
      </c>
      <c r="AF44" s="460">
        <f>AF780</f>
        <v>0</v>
      </c>
      <c r="AG44" s="742"/>
      <c r="AH44" s="728"/>
      <c r="AI44" s="449"/>
      <c r="AJ44" s="449"/>
      <c r="AK44" s="449"/>
      <c r="AL44" s="448"/>
      <c r="AM44" s="457">
        <f>AM780</f>
        <v>0</v>
      </c>
      <c r="AN44" s="847"/>
      <c r="AO44" s="457">
        <f>AO780</f>
        <v>0</v>
      </c>
      <c r="AP44" s="450"/>
      <c r="AQ44" s="450"/>
      <c r="AR44" s="450"/>
      <c r="AS44" s="450"/>
      <c r="AT44" s="450"/>
      <c r="AU44" s="556"/>
      <c r="AV44" s="556"/>
    </row>
    <row r="45" spans="1:58" s="855" customFormat="1" ht="21.75" customHeight="1">
      <c r="A45" s="461" t="s">
        <v>412</v>
      </c>
      <c r="B45" s="452" t="str">
        <f>B782</f>
        <v>LIGHTING SYSTEM &amp; SOCKET OUTLET</v>
      </c>
      <c r="C45" s="453"/>
      <c r="D45" s="454"/>
      <c r="E45" s="455" t="s">
        <v>326</v>
      </c>
      <c r="F45" s="1307">
        <v>1</v>
      </c>
      <c r="G45" s="456"/>
      <c r="H45" s="847">
        <f>H817</f>
        <v>21651.090000000004</v>
      </c>
      <c r="I45" s="995"/>
      <c r="J45" s="459"/>
      <c r="K45" s="1169"/>
      <c r="L45" s="956"/>
      <c r="M45" s="956"/>
      <c r="N45" s="459"/>
      <c r="O45" s="764"/>
      <c r="P45" s="765"/>
      <c r="Q45" s="766"/>
      <c r="R45" s="747"/>
      <c r="S45" s="747"/>
      <c r="T45" s="788"/>
      <c r="U45" s="799"/>
      <c r="V45" s="799"/>
      <c r="W45" s="799"/>
      <c r="X45" s="858"/>
      <c r="Y45" s="448"/>
      <c r="Z45" s="864"/>
      <c r="AA45" s="809"/>
      <c r="AB45" s="447"/>
      <c r="AC45" s="448"/>
      <c r="AD45" s="714"/>
      <c r="AE45" s="460">
        <f>AE817</f>
        <v>14712.869999999999</v>
      </c>
      <c r="AF45" s="460">
        <f>AF817</f>
        <v>4783.8499999999995</v>
      </c>
      <c r="AG45" s="742"/>
      <c r="AH45" s="728"/>
      <c r="AI45" s="449"/>
      <c r="AJ45" s="449"/>
      <c r="AK45" s="449"/>
      <c r="AL45" s="448"/>
      <c r="AM45" s="457">
        <f>AM817</f>
        <v>0</v>
      </c>
      <c r="AN45" s="462"/>
      <c r="AO45" s="457">
        <f>AO817</f>
        <v>0</v>
      </c>
      <c r="AP45" s="450"/>
      <c r="AQ45" s="450"/>
      <c r="AR45" s="450"/>
      <c r="AS45" s="450"/>
      <c r="AT45" s="450"/>
      <c r="AU45" s="556"/>
      <c r="AV45" s="556"/>
    </row>
    <row r="46" spans="1:58" s="855" customFormat="1" ht="21.75" customHeight="1">
      <c r="A46" s="461" t="s">
        <v>413</v>
      </c>
      <c r="B46" s="452" t="str">
        <f>B819</f>
        <v>ELECTRICAL FOR MECHANICAL EQUIPMENT (A.C, FAN, GATE MOTOR., PUMPS)</v>
      </c>
      <c r="C46" s="453"/>
      <c r="D46" s="454"/>
      <c r="E46" s="455" t="s">
        <v>326</v>
      </c>
      <c r="F46" s="1307">
        <v>1</v>
      </c>
      <c r="G46" s="456"/>
      <c r="H46" s="847">
        <f>H837</f>
        <v>2105.37</v>
      </c>
      <c r="I46" s="995"/>
      <c r="J46" s="459"/>
      <c r="K46" s="1169"/>
      <c r="L46" s="956"/>
      <c r="M46" s="956"/>
      <c r="N46" s="459"/>
      <c r="O46" s="764"/>
      <c r="P46" s="765"/>
      <c r="Q46" s="766"/>
      <c r="R46" s="747"/>
      <c r="S46" s="747"/>
      <c r="T46" s="788"/>
      <c r="U46" s="799"/>
      <c r="V46" s="799"/>
      <c r="W46" s="799"/>
      <c r="X46" s="858"/>
      <c r="Y46" s="448"/>
      <c r="Z46" s="864"/>
      <c r="AA46" s="809"/>
      <c r="AB46" s="447"/>
      <c r="AC46" s="448"/>
      <c r="AD46" s="714"/>
      <c r="AE46" s="460">
        <f>AE837</f>
        <v>1586.6499999999996</v>
      </c>
      <c r="AF46" s="460">
        <f>AF837</f>
        <v>324.01000000000005</v>
      </c>
      <c r="AG46" s="742"/>
      <c r="AH46" s="728"/>
      <c r="AI46" s="449"/>
      <c r="AJ46" s="449"/>
      <c r="AK46" s="449"/>
      <c r="AL46" s="448"/>
      <c r="AM46" s="457">
        <f>AM837</f>
        <v>0</v>
      </c>
      <c r="AN46" s="462"/>
      <c r="AO46" s="457">
        <f>AO837</f>
        <v>0</v>
      </c>
      <c r="AP46" s="450"/>
      <c r="AQ46" s="450"/>
      <c r="AR46" s="450"/>
      <c r="AS46" s="450"/>
      <c r="AT46" s="450"/>
      <c r="AU46" s="556"/>
      <c r="AV46" s="556"/>
    </row>
    <row r="47" spans="1:58" s="855" customFormat="1" ht="21.75" customHeight="1">
      <c r="A47" s="461" t="s">
        <v>415</v>
      </c>
      <c r="B47" s="452" t="str">
        <f>B839</f>
        <v>TELEPHONE SYSTEM EMPTY CONDUIT</v>
      </c>
      <c r="C47" s="453"/>
      <c r="D47" s="454"/>
      <c r="E47" s="455" t="s">
        <v>326</v>
      </c>
      <c r="F47" s="1307">
        <v>1</v>
      </c>
      <c r="G47" s="456"/>
      <c r="H47" s="847">
        <f>H852</f>
        <v>591.89</v>
      </c>
      <c r="I47" s="458"/>
      <c r="J47" s="459"/>
      <c r="K47" s="1169"/>
      <c r="L47" s="956"/>
      <c r="M47" s="956"/>
      <c r="N47" s="459"/>
      <c r="O47" s="764"/>
      <c r="P47" s="765"/>
      <c r="Q47" s="766"/>
      <c r="R47" s="747"/>
      <c r="S47" s="747"/>
      <c r="T47" s="788"/>
      <c r="U47" s="799"/>
      <c r="V47" s="799"/>
      <c r="W47" s="799"/>
      <c r="X47" s="858"/>
      <c r="Y47" s="448"/>
      <c r="Z47" s="864"/>
      <c r="AA47" s="809"/>
      <c r="AB47" s="447"/>
      <c r="AC47" s="448"/>
      <c r="AD47" s="714"/>
      <c r="AE47" s="819">
        <f>AE852</f>
        <v>398.53999999999996</v>
      </c>
      <c r="AF47" s="819">
        <f>AF852</f>
        <v>135.97999999999999</v>
      </c>
      <c r="AG47" s="741"/>
      <c r="AH47" s="728"/>
      <c r="AI47" s="449"/>
      <c r="AJ47" s="449"/>
      <c r="AK47" s="449"/>
      <c r="AL47" s="448"/>
      <c r="AM47" s="457">
        <f>AM852</f>
        <v>0</v>
      </c>
      <c r="AN47" s="462"/>
      <c r="AO47" s="457">
        <f>AO852</f>
        <v>0</v>
      </c>
      <c r="AP47" s="450"/>
      <c r="AQ47" s="450"/>
      <c r="AR47" s="450"/>
      <c r="AS47" s="450"/>
      <c r="AT47" s="450"/>
      <c r="AU47" s="556"/>
      <c r="AV47" s="556"/>
    </row>
    <row r="48" spans="1:58" s="855" customFormat="1" ht="21.75" customHeight="1">
      <c r="A48" s="451" t="s">
        <v>421</v>
      </c>
      <c r="B48" s="452" t="str">
        <f>B854</f>
        <v xml:space="preserve">LAN SYSTEM EMPTY CONDUIT </v>
      </c>
      <c r="C48" s="453"/>
      <c r="D48" s="454"/>
      <c r="E48" s="455" t="s">
        <v>326</v>
      </c>
      <c r="F48" s="1307">
        <v>1</v>
      </c>
      <c r="G48" s="456"/>
      <c r="H48" s="847">
        <f>H865</f>
        <v>117.1</v>
      </c>
      <c r="I48" s="458"/>
      <c r="J48" s="459"/>
      <c r="K48" s="1169"/>
      <c r="L48" s="956"/>
      <c r="M48" s="956"/>
      <c r="N48" s="459"/>
      <c r="O48" s="764"/>
      <c r="P48" s="765"/>
      <c r="Q48" s="766"/>
      <c r="R48" s="747"/>
      <c r="S48" s="747"/>
      <c r="T48" s="788"/>
      <c r="U48" s="799"/>
      <c r="V48" s="799"/>
      <c r="W48" s="799"/>
      <c r="X48" s="858"/>
      <c r="Y48" s="448"/>
      <c r="Z48" s="864"/>
      <c r="AA48" s="809"/>
      <c r="AB48" s="447"/>
      <c r="AC48" s="448"/>
      <c r="AD48" s="714"/>
      <c r="AE48" s="819">
        <f>AE865</f>
        <v>78.33</v>
      </c>
      <c r="AF48" s="819">
        <f>AF865</f>
        <v>25.53</v>
      </c>
      <c r="AG48" s="741"/>
      <c r="AH48" s="728"/>
      <c r="AI48" s="449"/>
      <c r="AJ48" s="449"/>
      <c r="AK48" s="449"/>
      <c r="AL48" s="448"/>
      <c r="AM48" s="457">
        <f>AM865</f>
        <v>0</v>
      </c>
      <c r="AN48" s="462"/>
      <c r="AO48" s="457">
        <f>AO865</f>
        <v>0</v>
      </c>
      <c r="AP48" s="450"/>
      <c r="AQ48" s="450"/>
      <c r="AR48" s="450"/>
      <c r="AS48" s="450"/>
      <c r="AT48" s="450"/>
      <c r="AU48" s="556"/>
      <c r="AV48" s="556"/>
    </row>
    <row r="49" spans="1:58" s="855" customFormat="1" ht="21.75" customHeight="1">
      <c r="A49" s="461" t="s">
        <v>520</v>
      </c>
      <c r="B49" s="452" t="str">
        <f>B867</f>
        <v>PUBLIC ADDRESS SYSTEM</v>
      </c>
      <c r="C49" s="453"/>
      <c r="D49" s="454"/>
      <c r="E49" s="455" t="s">
        <v>326</v>
      </c>
      <c r="F49" s="1307">
        <v>1</v>
      </c>
      <c r="G49" s="456"/>
      <c r="H49" s="847">
        <f>H880</f>
        <v>670.25</v>
      </c>
      <c r="I49" s="458"/>
      <c r="J49" s="459"/>
      <c r="K49" s="1169"/>
      <c r="L49" s="956"/>
      <c r="M49" s="956"/>
      <c r="N49" s="459"/>
      <c r="O49" s="764"/>
      <c r="P49" s="765"/>
      <c r="Q49" s="766"/>
      <c r="R49" s="747"/>
      <c r="S49" s="747"/>
      <c r="T49" s="788"/>
      <c r="U49" s="799"/>
      <c r="V49" s="799"/>
      <c r="W49" s="799"/>
      <c r="X49" s="858"/>
      <c r="Y49" s="448"/>
      <c r="Z49" s="864"/>
      <c r="AA49" s="809"/>
      <c r="AB49" s="447"/>
      <c r="AC49" s="448"/>
      <c r="AD49" s="714"/>
      <c r="AE49" s="819">
        <f>AE880</f>
        <v>384.4</v>
      </c>
      <c r="AF49" s="819">
        <f>AF880</f>
        <v>204.60999999999999</v>
      </c>
      <c r="AG49" s="741"/>
      <c r="AH49" s="728"/>
      <c r="AI49" s="449"/>
      <c r="AJ49" s="449"/>
      <c r="AK49" s="449"/>
      <c r="AL49" s="448"/>
      <c r="AM49" s="457">
        <f>AM880</f>
        <v>0</v>
      </c>
      <c r="AN49" s="462"/>
      <c r="AO49" s="457">
        <f>AO880</f>
        <v>0</v>
      </c>
      <c r="AP49" s="450"/>
      <c r="AQ49" s="450"/>
      <c r="AR49" s="450"/>
      <c r="AS49" s="450"/>
      <c r="AT49" s="450"/>
      <c r="AU49" s="556"/>
      <c r="AV49" s="556"/>
    </row>
    <row r="50" spans="1:58" s="855" customFormat="1" ht="21.75" customHeight="1">
      <c r="A50" s="461" t="s">
        <v>770</v>
      </c>
      <c r="B50" s="452" t="str">
        <f>B882</f>
        <v>FIRE ALARM SYSTEM</v>
      </c>
      <c r="C50" s="453"/>
      <c r="D50" s="454"/>
      <c r="E50" s="455" t="s">
        <v>326</v>
      </c>
      <c r="F50" s="1307">
        <v>1</v>
      </c>
      <c r="G50" s="456"/>
      <c r="H50" s="847">
        <f>H896</f>
        <v>2638.56</v>
      </c>
      <c r="I50" s="458"/>
      <c r="J50" s="459"/>
      <c r="K50" s="1169"/>
      <c r="L50" s="956"/>
      <c r="M50" s="956"/>
      <c r="N50" s="459"/>
      <c r="O50" s="764"/>
      <c r="P50" s="765"/>
      <c r="Q50" s="766"/>
      <c r="R50" s="747"/>
      <c r="S50" s="747"/>
      <c r="T50" s="788"/>
      <c r="U50" s="799"/>
      <c r="V50" s="799"/>
      <c r="W50" s="799"/>
      <c r="X50" s="858"/>
      <c r="Y50" s="448"/>
      <c r="Z50" s="864"/>
      <c r="AA50" s="809"/>
      <c r="AB50" s="447"/>
      <c r="AC50" s="448"/>
      <c r="AD50" s="714"/>
      <c r="AE50" s="819">
        <f>AE896</f>
        <v>1916.87</v>
      </c>
      <c r="AF50" s="819">
        <f>AF896</f>
        <v>440.54999999999995</v>
      </c>
      <c r="AG50" s="741"/>
      <c r="AH50" s="728"/>
      <c r="AI50" s="449"/>
      <c r="AJ50" s="449"/>
      <c r="AK50" s="449"/>
      <c r="AL50" s="448"/>
      <c r="AM50" s="457">
        <f>AM896</f>
        <v>0</v>
      </c>
      <c r="AN50" s="462"/>
      <c r="AO50" s="457">
        <f>AO896</f>
        <v>0</v>
      </c>
      <c r="AP50" s="450"/>
      <c r="AQ50" s="450"/>
      <c r="AR50" s="450"/>
      <c r="AS50" s="450"/>
      <c r="AT50" s="450"/>
      <c r="AU50" s="556"/>
      <c r="AV50" s="556"/>
    </row>
    <row r="51" spans="1:58" s="707" customFormat="1" ht="21.75" customHeight="1">
      <c r="A51" s="465"/>
      <c r="B51" s="466"/>
      <c r="C51" s="467"/>
      <c r="D51" s="468"/>
      <c r="E51" s="469"/>
      <c r="F51" s="1308"/>
      <c r="G51" s="470"/>
      <c r="H51" s="1048"/>
      <c r="I51" s="472"/>
      <c r="J51" s="473"/>
      <c r="K51" s="1170"/>
      <c r="L51" s="957"/>
      <c r="M51" s="957"/>
      <c r="N51" s="473"/>
      <c r="O51" s="767"/>
      <c r="P51" s="768"/>
      <c r="Q51" s="769"/>
      <c r="R51" s="748"/>
      <c r="S51" s="748"/>
      <c r="T51" s="789"/>
      <c r="U51" s="800"/>
      <c r="V51" s="800"/>
      <c r="W51" s="800"/>
      <c r="X51" s="859"/>
      <c r="Y51" s="475"/>
      <c r="Z51" s="865"/>
      <c r="AA51" s="810"/>
      <c r="AB51" s="474"/>
      <c r="AC51" s="475"/>
      <c r="AD51" s="715"/>
      <c r="AE51" s="820"/>
      <c r="AF51" s="820"/>
      <c r="AG51" s="741"/>
      <c r="AH51" s="728"/>
      <c r="AI51" s="476"/>
      <c r="AJ51" s="476"/>
      <c r="AK51" s="476"/>
      <c r="AL51" s="475"/>
      <c r="AM51" s="475"/>
      <c r="AN51" s="475"/>
      <c r="AO51" s="475"/>
      <c r="AP51" s="478"/>
      <c r="AQ51" s="478"/>
      <c r="AR51" s="478"/>
      <c r="AS51" s="478"/>
      <c r="AT51" s="478"/>
      <c r="AU51" s="556"/>
      <c r="AV51" s="556"/>
      <c r="AW51" s="855"/>
      <c r="AX51" s="855"/>
      <c r="AY51" s="855"/>
      <c r="AZ51" s="855"/>
      <c r="BA51" s="855"/>
      <c r="BB51" s="855"/>
      <c r="BC51" s="855"/>
      <c r="BD51" s="855"/>
      <c r="BE51" s="855"/>
      <c r="BF51" s="855"/>
    </row>
    <row r="52" spans="1:58" s="855" customFormat="1" ht="21.75" customHeight="1">
      <c r="A52" s="1273"/>
      <c r="B52" s="966" t="s">
        <v>1007</v>
      </c>
      <c r="C52" s="967"/>
      <c r="D52" s="968"/>
      <c r="E52" s="969"/>
      <c r="F52" s="1309"/>
      <c r="G52" s="970"/>
      <c r="H52" s="971">
        <f>SUBTOTAL(9,H38:H51)</f>
        <v>41999.18</v>
      </c>
      <c r="I52" s="972"/>
      <c r="J52" s="480"/>
      <c r="K52" s="1171"/>
      <c r="L52" s="876"/>
      <c r="M52" s="876"/>
      <c r="N52" s="480"/>
      <c r="O52" s="496"/>
      <c r="P52" s="770"/>
      <c r="Q52" s="771"/>
      <c r="R52" s="749"/>
      <c r="S52" s="749"/>
      <c r="T52" s="790"/>
      <c r="U52" s="801"/>
      <c r="V52" s="801"/>
      <c r="W52" s="801"/>
      <c r="X52" s="860"/>
      <c r="Y52" s="840"/>
      <c r="Z52" s="866"/>
      <c r="AA52" s="811"/>
      <c r="AB52" s="839"/>
      <c r="AC52" s="840"/>
      <c r="AD52" s="1049"/>
      <c r="AE52" s="821">
        <f>SUBTOTAL(9,AE38:AE51)</f>
        <v>28927.63</v>
      </c>
      <c r="AF52" s="821">
        <f>SUBTOTAL(9,AF38:AF51)</f>
        <v>8906.8700000000008</v>
      </c>
      <c r="AG52" s="708"/>
      <c r="AH52" s="841"/>
      <c r="AI52" s="842"/>
      <c r="AJ52" s="842"/>
      <c r="AK52" s="842"/>
      <c r="AL52" s="840"/>
      <c r="AM52" s="482">
        <f>SUBTOTAL(9,AM38:AM51)</f>
        <v>0</v>
      </c>
      <c r="AN52" s="840"/>
      <c r="AO52" s="482">
        <f>SUBTOTAL(9,AO38:AO51)</f>
        <v>0</v>
      </c>
      <c r="AP52" s="854"/>
      <c r="AQ52" s="854"/>
      <c r="AR52" s="854"/>
      <c r="AS52" s="854"/>
      <c r="AT52" s="854"/>
      <c r="AU52" s="706"/>
      <c r="AV52" s="706"/>
      <c r="AW52" s="707"/>
      <c r="AX52" s="707"/>
      <c r="AY52" s="707"/>
      <c r="AZ52" s="707"/>
      <c r="BA52" s="707"/>
      <c r="BB52" s="707"/>
      <c r="BC52" s="707"/>
      <c r="BD52" s="707"/>
      <c r="BE52" s="707"/>
      <c r="BF52" s="707"/>
    </row>
    <row r="53" spans="1:58" s="855" customFormat="1" ht="21.75" customHeight="1">
      <c r="A53" s="868"/>
      <c r="B53" s="869"/>
      <c r="C53" s="870"/>
      <c r="D53" s="871"/>
      <c r="E53" s="872"/>
      <c r="F53" s="1311"/>
      <c r="G53" s="873"/>
      <c r="H53" s="874"/>
      <c r="I53" s="875"/>
      <c r="J53" s="480"/>
      <c r="K53" s="1171"/>
      <c r="L53" s="876"/>
      <c r="M53" s="876"/>
      <c r="N53" s="480"/>
      <c r="O53" s="496"/>
      <c r="P53" s="770"/>
      <c r="Q53" s="771"/>
      <c r="R53" s="749"/>
      <c r="S53" s="749"/>
      <c r="T53" s="790"/>
      <c r="U53" s="801"/>
      <c r="V53" s="801"/>
      <c r="W53" s="801"/>
      <c r="X53" s="860"/>
      <c r="Y53" s="840"/>
      <c r="Z53" s="866"/>
      <c r="AA53" s="811"/>
      <c r="AB53" s="839"/>
      <c r="AC53" s="840"/>
      <c r="AD53" s="1049"/>
      <c r="AE53" s="877"/>
      <c r="AF53" s="877"/>
      <c r="AG53" s="708"/>
      <c r="AH53" s="841"/>
      <c r="AI53" s="842"/>
      <c r="AJ53" s="842"/>
      <c r="AK53" s="842"/>
      <c r="AL53" s="840"/>
      <c r="AM53" s="878"/>
      <c r="AN53" s="840"/>
      <c r="AO53" s="878"/>
      <c r="AP53" s="854"/>
      <c r="AQ53" s="854"/>
      <c r="AR53" s="854"/>
      <c r="AS53" s="854"/>
      <c r="AT53" s="854"/>
      <c r="AU53" s="706"/>
      <c r="AV53" s="706"/>
      <c r="AW53" s="707"/>
      <c r="AX53" s="707"/>
      <c r="AY53" s="707"/>
      <c r="AZ53" s="707"/>
      <c r="BA53" s="707"/>
      <c r="BB53" s="707"/>
      <c r="BC53" s="707"/>
      <c r="BD53" s="707"/>
      <c r="BE53" s="707"/>
      <c r="BF53" s="707"/>
    </row>
    <row r="54" spans="1:58" s="556" customFormat="1" ht="21.75" customHeight="1">
      <c r="A54" s="1273"/>
      <c r="B54" s="966" t="s">
        <v>730</v>
      </c>
      <c r="C54" s="967"/>
      <c r="D54" s="968"/>
      <c r="E54" s="969"/>
      <c r="F54" s="1309"/>
      <c r="G54" s="970"/>
      <c r="H54" s="1071">
        <f>ROUND(SUBTOTAL(9,H6:H52),0)</f>
        <v>1077848</v>
      </c>
      <c r="I54" s="1072"/>
      <c r="J54" s="1073"/>
      <c r="K54" s="1171"/>
      <c r="L54" s="1050"/>
      <c r="M54" s="1050"/>
      <c r="N54" s="1073"/>
      <c r="O54" s="479"/>
      <c r="P54" s="1074"/>
      <c r="Q54" s="1074"/>
      <c r="R54" s="749"/>
      <c r="S54" s="749"/>
      <c r="T54" s="790"/>
      <c r="U54" s="801"/>
      <c r="V54" s="801"/>
      <c r="W54" s="801"/>
      <c r="X54" s="860"/>
      <c r="Y54" s="840"/>
      <c r="Z54" s="866"/>
      <c r="AA54" s="811"/>
      <c r="AB54" s="839"/>
      <c r="AC54" s="840"/>
      <c r="AD54" s="1049"/>
      <c r="AE54" s="823">
        <f>SUBTOTAL(9,AE6:AE52)</f>
        <v>818806.94000000006</v>
      </c>
      <c r="AF54" s="823">
        <f>SUBTOTAL(9,AF6:AF52)</f>
        <v>153395.84999999998</v>
      </c>
      <c r="AG54" s="614"/>
      <c r="AH54" s="843"/>
      <c r="AI54" s="844"/>
      <c r="AJ54" s="844"/>
      <c r="AK54" s="844"/>
      <c r="AL54" s="845"/>
      <c r="AM54" s="497">
        <f>SUBTOTAL(9,AM6:AM52)</f>
        <v>0</v>
      </c>
      <c r="AN54" s="848"/>
      <c r="AO54" s="497">
        <f>SUBTOTAL(9,AO6:AO52)</f>
        <v>0</v>
      </c>
      <c r="AP54" s="854"/>
      <c r="AQ54" s="854"/>
      <c r="AR54" s="854"/>
      <c r="AS54" s="854"/>
      <c r="AT54" s="854"/>
      <c r="AU54" s="706"/>
      <c r="AV54" s="706"/>
      <c r="AW54" s="706"/>
      <c r="AX54" s="706"/>
      <c r="AY54" s="706"/>
      <c r="AZ54" s="706"/>
      <c r="BA54" s="706"/>
      <c r="BB54" s="706"/>
      <c r="BC54" s="706"/>
      <c r="BD54" s="706"/>
      <c r="BE54" s="706"/>
      <c r="BF54" s="706"/>
    </row>
    <row r="55" spans="1:58" s="855" customFormat="1" ht="22.5" customHeight="1">
      <c r="A55" s="498"/>
      <c r="B55" s="499"/>
      <c r="C55" s="500"/>
      <c r="D55" s="501"/>
      <c r="E55" s="502"/>
      <c r="F55" s="1307"/>
      <c r="G55" s="456"/>
      <c r="H55" s="457"/>
      <c r="I55" s="458"/>
      <c r="J55" s="459"/>
      <c r="K55" s="1169"/>
      <c r="L55" s="956"/>
      <c r="M55" s="956"/>
      <c r="N55" s="459"/>
      <c r="O55" s="764"/>
      <c r="P55" s="765"/>
      <c r="Q55" s="766"/>
      <c r="R55" s="747"/>
      <c r="S55" s="747"/>
      <c r="T55" s="788"/>
      <c r="U55" s="799"/>
      <c r="V55" s="799"/>
      <c r="W55" s="799"/>
      <c r="X55" s="858"/>
      <c r="Y55" s="448"/>
      <c r="Z55" s="864"/>
      <c r="AA55" s="809"/>
      <c r="AB55" s="447"/>
      <c r="AC55" s="448"/>
      <c r="AD55" s="714"/>
      <c r="AE55" s="824"/>
      <c r="AF55" s="824"/>
      <c r="AG55" s="741"/>
      <c r="AH55" s="728"/>
      <c r="AI55" s="449"/>
      <c r="AJ55" s="449"/>
      <c r="AK55" s="449"/>
      <c r="AL55" s="448"/>
      <c r="AM55" s="448"/>
      <c r="AN55" s="448"/>
      <c r="AO55" s="448"/>
      <c r="AP55" s="450"/>
      <c r="AQ55" s="450"/>
      <c r="AR55" s="450"/>
      <c r="AS55" s="450"/>
      <c r="AT55" s="450"/>
      <c r="AU55" s="556"/>
      <c r="AV55" s="556"/>
    </row>
    <row r="56" spans="1:58" s="855" customFormat="1" ht="22.5" customHeight="1">
      <c r="A56" s="498"/>
      <c r="B56" s="440" t="s">
        <v>731</v>
      </c>
      <c r="C56" s="500"/>
      <c r="D56" s="501"/>
      <c r="E56" s="502"/>
      <c r="F56" s="1307"/>
      <c r="G56" s="456"/>
      <c r="H56" s="457"/>
      <c r="I56" s="458"/>
      <c r="J56" s="459"/>
      <c r="K56" s="1169"/>
      <c r="L56" s="956"/>
      <c r="M56" s="956"/>
      <c r="N56" s="459"/>
      <c r="O56" s="764"/>
      <c r="P56" s="765"/>
      <c r="Q56" s="766"/>
      <c r="R56" s="747"/>
      <c r="S56" s="747"/>
      <c r="T56" s="788"/>
      <c r="U56" s="799"/>
      <c r="V56" s="799"/>
      <c r="W56" s="799"/>
      <c r="X56" s="858"/>
      <c r="Y56" s="448"/>
      <c r="Z56" s="864"/>
      <c r="AA56" s="809"/>
      <c r="AB56" s="447"/>
      <c r="AC56" s="448"/>
      <c r="AD56" s="714"/>
      <c r="AE56" s="819"/>
      <c r="AF56" s="819"/>
      <c r="AG56" s="741"/>
      <c r="AH56" s="728"/>
      <c r="AI56" s="449"/>
      <c r="AJ56" s="449"/>
      <c r="AK56" s="449"/>
      <c r="AL56" s="448"/>
      <c r="AM56" s="448"/>
      <c r="AN56" s="448"/>
      <c r="AO56" s="448"/>
      <c r="AP56" s="450"/>
      <c r="AQ56" s="450"/>
      <c r="AR56" s="450"/>
      <c r="AS56" s="450"/>
      <c r="AT56" s="450"/>
      <c r="AU56" s="556"/>
      <c r="AV56" s="556"/>
    </row>
    <row r="57" spans="1:58" s="555" customFormat="1" ht="22.5" customHeight="1">
      <c r="A57" s="498"/>
      <c r="B57" s="499"/>
      <c r="C57" s="500"/>
      <c r="D57" s="501"/>
      <c r="E57" s="502"/>
      <c r="F57" s="1307"/>
      <c r="G57" s="456"/>
      <c r="H57" s="457"/>
      <c r="I57" s="458"/>
      <c r="J57" s="459"/>
      <c r="K57" s="1169"/>
      <c r="L57" s="956"/>
      <c r="M57" s="956"/>
      <c r="N57" s="459"/>
      <c r="O57" s="764"/>
      <c r="P57" s="765"/>
      <c r="Q57" s="766"/>
      <c r="R57" s="747"/>
      <c r="S57" s="747"/>
      <c r="T57" s="788"/>
      <c r="U57" s="799"/>
      <c r="V57" s="799"/>
      <c r="W57" s="799"/>
      <c r="X57" s="858"/>
      <c r="Y57" s="448"/>
      <c r="Z57" s="864"/>
      <c r="AA57" s="809"/>
      <c r="AB57" s="447"/>
      <c r="AC57" s="448"/>
      <c r="AD57" s="714"/>
      <c r="AE57" s="819"/>
      <c r="AF57" s="819"/>
      <c r="AG57" s="741"/>
      <c r="AH57" s="728"/>
      <c r="AI57" s="449"/>
      <c r="AJ57" s="449"/>
      <c r="AK57" s="449"/>
      <c r="AL57" s="448"/>
      <c r="AM57" s="448"/>
      <c r="AN57" s="448"/>
      <c r="AO57" s="448"/>
      <c r="AP57" s="450"/>
      <c r="AQ57" s="450"/>
      <c r="AR57" s="450"/>
      <c r="AS57" s="450"/>
      <c r="AT57" s="450"/>
      <c r="AU57" s="556"/>
      <c r="AV57" s="556"/>
      <c r="AW57" s="855"/>
      <c r="AX57" s="855"/>
      <c r="AY57" s="855"/>
      <c r="AZ57" s="855"/>
      <c r="BA57" s="855"/>
      <c r="BB57" s="855"/>
      <c r="BC57" s="855"/>
      <c r="BD57" s="855"/>
      <c r="BE57" s="855"/>
      <c r="BF57" s="855"/>
    </row>
    <row r="58" spans="1:58" s="555" customFormat="1" ht="22.5" customHeight="1">
      <c r="A58" s="902" t="s">
        <v>399</v>
      </c>
      <c r="B58" s="439" t="s">
        <v>1006</v>
      </c>
      <c r="C58" s="503"/>
      <c r="D58" s="504"/>
      <c r="E58" s="505"/>
      <c r="F58" s="1312"/>
      <c r="G58" s="506"/>
      <c r="H58" s="506"/>
      <c r="I58" s="507"/>
      <c r="J58" s="508"/>
      <c r="K58" s="1173"/>
      <c r="L58" s="959"/>
      <c r="M58" s="959"/>
      <c r="N58" s="508"/>
      <c r="O58" s="775"/>
      <c r="P58" s="768"/>
      <c r="Q58" s="768"/>
      <c r="R58" s="751"/>
      <c r="S58" s="752"/>
      <c r="T58" s="792"/>
      <c r="U58" s="803"/>
      <c r="V58" s="803"/>
      <c r="W58" s="803"/>
      <c r="X58" s="858"/>
      <c r="Y58" s="310"/>
      <c r="Z58" s="858"/>
      <c r="AA58" s="813"/>
      <c r="AB58" s="447"/>
      <c r="AC58" s="310"/>
      <c r="AD58" s="717"/>
      <c r="AE58" s="825"/>
      <c r="AF58" s="825"/>
      <c r="AG58" s="743"/>
      <c r="AH58" s="728"/>
      <c r="AI58" s="509"/>
      <c r="AJ58" s="509"/>
      <c r="AK58" s="509"/>
      <c r="AL58" s="510"/>
      <c r="AM58" s="510"/>
      <c r="AN58" s="510"/>
      <c r="AO58" s="510"/>
      <c r="AP58" s="478"/>
      <c r="AQ58" s="478"/>
      <c r="AR58" s="478"/>
      <c r="AS58" s="478"/>
      <c r="AT58" s="478"/>
    </row>
    <row r="59" spans="1:58" s="555" customFormat="1" ht="22.5" customHeight="1">
      <c r="A59" s="511"/>
      <c r="B59" s="1058"/>
      <c r="C59" s="1075"/>
      <c r="D59" s="1064"/>
      <c r="E59" s="1059"/>
      <c r="F59" s="1313"/>
      <c r="G59" s="1060"/>
      <c r="H59" s="1060"/>
      <c r="I59" s="1076"/>
      <c r="J59" s="428"/>
      <c r="K59" s="1174"/>
      <c r="L59" s="960"/>
      <c r="M59" s="960"/>
      <c r="N59" s="428"/>
      <c r="O59" s="776"/>
      <c r="P59" s="777"/>
      <c r="Q59" s="777"/>
      <c r="R59" s="751"/>
      <c r="S59" s="752"/>
      <c r="T59" s="792"/>
      <c r="U59" s="803"/>
      <c r="V59" s="803"/>
      <c r="W59" s="803"/>
      <c r="X59" s="858"/>
      <c r="Y59" s="310"/>
      <c r="Z59" s="858"/>
      <c r="AA59" s="813"/>
      <c r="AB59" s="447"/>
      <c r="AC59" s="310"/>
      <c r="AD59" s="717"/>
      <c r="AE59" s="825"/>
      <c r="AF59" s="825"/>
      <c r="AG59" s="744"/>
      <c r="AH59" s="729"/>
      <c r="AI59" s="519"/>
      <c r="AJ59" s="519"/>
      <c r="AK59" s="520"/>
      <c r="AL59" s="520"/>
      <c r="AM59" s="520"/>
      <c r="AN59" s="520"/>
      <c r="AO59" s="718"/>
      <c r="AP59" s="718"/>
      <c r="AQ59" s="718"/>
      <c r="AR59" s="718"/>
      <c r="AS59" s="718"/>
      <c r="AT59" s="552"/>
    </row>
    <row r="60" spans="1:58" s="555" customFormat="1" ht="22.5" customHeight="1">
      <c r="A60" s="620" t="s">
        <v>405</v>
      </c>
      <c r="B60" s="522" t="s">
        <v>124</v>
      </c>
      <c r="C60" s="1075"/>
      <c r="D60" s="1064"/>
      <c r="E60" s="1059"/>
      <c r="F60" s="1313"/>
      <c r="G60" s="1060"/>
      <c r="H60" s="1061"/>
      <c r="I60" s="1077"/>
      <c r="J60" s="428"/>
      <c r="K60" s="1174"/>
      <c r="L60" s="960"/>
      <c r="M60" s="960"/>
      <c r="N60" s="428"/>
      <c r="O60" s="776"/>
      <c r="P60" s="777"/>
      <c r="Q60" s="777"/>
      <c r="R60" s="751"/>
      <c r="S60" s="752"/>
      <c r="T60" s="792"/>
      <c r="U60" s="803"/>
      <c r="V60" s="803"/>
      <c r="W60" s="803"/>
      <c r="X60" s="858"/>
      <c r="Y60" s="310"/>
      <c r="Z60" s="858"/>
      <c r="AA60" s="813"/>
      <c r="AB60" s="447"/>
      <c r="AC60" s="310"/>
      <c r="AD60" s="717"/>
      <c r="AE60" s="825"/>
      <c r="AF60" s="825"/>
      <c r="AG60" s="744"/>
      <c r="AH60" s="729"/>
      <c r="AI60" s="519"/>
      <c r="AJ60" s="519"/>
      <c r="AK60" s="520"/>
      <c r="AL60" s="520"/>
      <c r="AM60" s="520"/>
      <c r="AN60" s="520"/>
      <c r="AO60" s="718"/>
      <c r="AP60" s="718"/>
      <c r="AQ60" s="718"/>
      <c r="AR60" s="718"/>
      <c r="AS60" s="718"/>
      <c r="AT60" s="552"/>
    </row>
    <row r="61" spans="1:58" s="555" customFormat="1" ht="22.5" customHeight="1">
      <c r="A61" s="620"/>
      <c r="B61" s="522"/>
      <c r="C61" s="1075"/>
      <c r="D61" s="1064"/>
      <c r="E61" s="1059"/>
      <c r="F61" s="1313"/>
      <c r="G61" s="1060"/>
      <c r="H61" s="1061"/>
      <c r="I61" s="1077"/>
      <c r="J61" s="428"/>
      <c r="K61" s="1174"/>
      <c r="L61" s="960"/>
      <c r="M61" s="960"/>
      <c r="N61" s="428"/>
      <c r="O61" s="776"/>
      <c r="P61" s="777"/>
      <c r="Q61" s="777"/>
      <c r="R61" s="751"/>
      <c r="S61" s="752"/>
      <c r="T61" s="792"/>
      <c r="U61" s="803"/>
      <c r="V61" s="803"/>
      <c r="W61" s="803"/>
      <c r="X61" s="858"/>
      <c r="Y61" s="310"/>
      <c r="Z61" s="858"/>
      <c r="AA61" s="813"/>
      <c r="AB61" s="447"/>
      <c r="AC61" s="310"/>
      <c r="AD61" s="717"/>
      <c r="AE61" s="825"/>
      <c r="AF61" s="825"/>
      <c r="AG61" s="744"/>
      <c r="AH61" s="729"/>
      <c r="AI61" s="519"/>
      <c r="AJ61" s="519"/>
      <c r="AK61" s="520"/>
      <c r="AL61" s="520"/>
      <c r="AM61" s="520"/>
      <c r="AN61" s="520"/>
      <c r="AO61" s="718"/>
      <c r="AP61" s="718"/>
      <c r="AQ61" s="718"/>
      <c r="AR61" s="718"/>
      <c r="AS61" s="718"/>
      <c r="AT61" s="552"/>
    </row>
    <row r="62" spans="1:58" s="555" customFormat="1" ht="22.5" customHeight="1">
      <c r="A62" s="451"/>
      <c r="B62" s="522" t="s">
        <v>1028</v>
      </c>
      <c r="C62" s="1119"/>
      <c r="D62" s="525"/>
      <c r="E62" s="525"/>
      <c r="F62" s="1314"/>
      <c r="G62" s="527"/>
      <c r="H62" s="528"/>
      <c r="I62" s="420" t="s">
        <v>137</v>
      </c>
      <c r="J62" s="309"/>
      <c r="K62" s="1175"/>
      <c r="L62" s="530"/>
      <c r="M62" s="530"/>
      <c r="N62" s="309"/>
      <c r="O62" s="778"/>
      <c r="P62" s="777"/>
      <c r="Q62" s="777"/>
      <c r="R62" s="751"/>
      <c r="S62" s="752"/>
      <c r="T62" s="792"/>
      <c r="U62" s="803"/>
      <c r="V62" s="803"/>
      <c r="W62" s="803"/>
      <c r="X62" s="858"/>
      <c r="Y62" s="310"/>
      <c r="Z62" s="858"/>
      <c r="AA62" s="813"/>
      <c r="AB62" s="447"/>
      <c r="AC62" s="310"/>
      <c r="AD62" s="717"/>
      <c r="AE62" s="826"/>
      <c r="AF62" s="826"/>
      <c r="AG62" s="744"/>
      <c r="AH62" s="728"/>
      <c r="AI62" s="519"/>
      <c r="AJ62" s="519"/>
      <c r="AK62" s="519"/>
      <c r="AL62" s="520"/>
      <c r="AM62" s="520"/>
      <c r="AN62" s="520"/>
      <c r="AO62" s="520"/>
      <c r="AP62" s="719"/>
      <c r="AQ62" s="719"/>
      <c r="AR62" s="719"/>
      <c r="AS62" s="719"/>
      <c r="AT62" s="719"/>
    </row>
    <row r="63" spans="1:58" s="555" customFormat="1" ht="22.5" customHeight="1">
      <c r="A63" s="451"/>
      <c r="B63" s="531"/>
      <c r="C63" s="523"/>
      <c r="D63" s="1001"/>
      <c r="E63" s="525"/>
      <c r="F63" s="1315"/>
      <c r="G63" s="527"/>
      <c r="H63" s="528"/>
      <c r="I63" s="529"/>
      <c r="J63" s="309"/>
      <c r="K63" s="1175"/>
      <c r="L63" s="530"/>
      <c r="M63" s="530"/>
      <c r="N63" s="309"/>
      <c r="O63" s="778"/>
      <c r="P63" s="777"/>
      <c r="Q63" s="777"/>
      <c r="R63" s="751"/>
      <c r="S63" s="752"/>
      <c r="T63" s="792"/>
      <c r="U63" s="803">
        <v>0</v>
      </c>
      <c r="V63" s="803">
        <v>0</v>
      </c>
      <c r="W63" s="803">
        <v>0</v>
      </c>
      <c r="X63" s="858"/>
      <c r="Y63" s="310"/>
      <c r="Z63" s="858"/>
      <c r="AA63" s="813"/>
      <c r="AB63" s="447"/>
      <c r="AC63" s="310"/>
      <c r="AD63" s="717"/>
      <c r="AE63" s="826"/>
      <c r="AF63" s="826"/>
      <c r="AG63" s="744"/>
      <c r="AH63" s="728"/>
      <c r="AI63" s="519"/>
      <c r="AJ63" s="519"/>
      <c r="AK63" s="519"/>
      <c r="AL63" s="520"/>
      <c r="AM63" s="520"/>
      <c r="AN63" s="520"/>
      <c r="AO63" s="520"/>
      <c r="AP63" s="719"/>
      <c r="AQ63" s="719"/>
      <c r="AR63" s="719"/>
      <c r="AS63" s="719"/>
      <c r="AT63" s="719"/>
    </row>
    <row r="64" spans="1:58" s="555" customFormat="1" ht="22.5" customHeight="1">
      <c r="A64" s="451"/>
      <c r="B64" s="522" t="s">
        <v>667</v>
      </c>
      <c r="C64" s="566"/>
      <c r="D64" s="525"/>
      <c r="E64" s="525"/>
      <c r="F64" s="1314"/>
      <c r="G64" s="527"/>
      <c r="H64" s="528"/>
      <c r="I64" s="529"/>
      <c r="J64" s="309"/>
      <c r="K64" s="1175"/>
      <c r="L64" s="530"/>
      <c r="M64" s="530"/>
      <c r="N64" s="309"/>
      <c r="O64" s="778"/>
      <c r="P64" s="777"/>
      <c r="Q64" s="777"/>
      <c r="R64" s="751"/>
      <c r="S64" s="752"/>
      <c r="T64" s="792"/>
      <c r="U64" s="803"/>
      <c r="V64" s="803"/>
      <c r="W64" s="803"/>
      <c r="X64" s="858"/>
      <c r="Y64" s="310"/>
      <c r="Z64" s="858"/>
      <c r="AA64" s="813"/>
      <c r="AB64" s="447"/>
      <c r="AC64" s="310"/>
      <c r="AD64" s="717"/>
      <c r="AE64" s="826"/>
      <c r="AF64" s="826"/>
      <c r="AG64" s="744"/>
      <c r="AH64" s="728"/>
      <c r="AI64" s="519"/>
      <c r="AJ64" s="519"/>
      <c r="AK64" s="519"/>
      <c r="AL64" s="520"/>
      <c r="AM64" s="520"/>
      <c r="AN64" s="520"/>
      <c r="AO64" s="520"/>
      <c r="AP64" s="719"/>
      <c r="AQ64" s="719"/>
      <c r="AR64" s="719"/>
      <c r="AS64" s="719"/>
      <c r="AT64" s="719"/>
    </row>
    <row r="65" spans="1:46" s="555" customFormat="1" ht="22.5" customHeight="1">
      <c r="A65" s="451"/>
      <c r="B65" s="531" t="s">
        <v>908</v>
      </c>
      <c r="C65" s="566" t="s">
        <v>909</v>
      </c>
      <c r="D65" s="1001" t="s">
        <v>1115</v>
      </c>
      <c r="E65" s="525" t="s">
        <v>319</v>
      </c>
      <c r="F65" s="1315">
        <f t="shared" ref="F65:F96" si="0">K65</f>
        <v>2</v>
      </c>
      <c r="G65" s="527">
        <f t="shared" ref="G65:G94" si="1">ROUNDUP(AA65,2)</f>
        <v>220.35</v>
      </c>
      <c r="H65" s="528">
        <f t="shared" ref="H65:H96" si="2">ROUND(F65*G65,2)</f>
        <v>440.7</v>
      </c>
      <c r="I65" s="529"/>
      <c r="J65" s="309"/>
      <c r="K65" s="1175">
        <v>2</v>
      </c>
      <c r="L65" s="530">
        <f t="shared" ref="L65:L96" si="3">ROUND(AD65,2)</f>
        <v>105</v>
      </c>
      <c r="M65" s="530">
        <f t="shared" ref="M65:M94" si="4">ROUND(L65*F65,2)</f>
        <v>210</v>
      </c>
      <c r="N65" s="309"/>
      <c r="O65" s="778" t="s">
        <v>673</v>
      </c>
      <c r="P65" s="1093"/>
      <c r="Q65" s="1094"/>
      <c r="R65" s="882"/>
      <c r="S65" s="883">
        <v>4500000</v>
      </c>
      <c r="T65" s="880">
        <v>80</v>
      </c>
      <c r="U65" s="803">
        <v>0</v>
      </c>
      <c r="V65" s="803">
        <v>0</v>
      </c>
      <c r="W65" s="803">
        <v>0</v>
      </c>
      <c r="X65" s="858">
        <f>SUMIF('Summary-E'!O$4:O$50,D65,'Summary-E'!Q$4:Q$50)</f>
        <v>0.97</v>
      </c>
      <c r="Y65" s="310">
        <f>ROUND((R65+S65/'Summary-E'!$M$63)*X65,2)</f>
        <v>209.86</v>
      </c>
      <c r="Z65" s="858">
        <f t="shared" ref="Z65:Z128" si="5">$Z$4</f>
        <v>1.05</v>
      </c>
      <c r="AA65" s="813">
        <f t="shared" ref="AA65:AA96" si="6">ROUND(Y65*Z65,2)</f>
        <v>220.35</v>
      </c>
      <c r="AB65" s="447">
        <f t="shared" ref="AB65:AB96" si="7">$AB$3</f>
        <v>0.05</v>
      </c>
      <c r="AC65" s="310">
        <f t="shared" ref="AC65:AC96" si="8">ROUND((T65*(1+AB65)),2)</f>
        <v>84</v>
      </c>
      <c r="AD65" s="717">
        <f>ROUND(AC65*'[1]Summary E&amp;M'!$R$94,2)</f>
        <v>105</v>
      </c>
      <c r="AE65" s="826">
        <f t="shared" ref="AE65:AE96" si="9">ROUND($K65*$Y65,2)</f>
        <v>419.72</v>
      </c>
      <c r="AF65" s="826">
        <f t="shared" ref="AF65:AF96" si="10">ROUND($K65*$AC65,2)</f>
        <v>168</v>
      </c>
      <c r="AG65" s="744"/>
      <c r="AH65" s="728"/>
      <c r="AI65" s="519">
        <f t="shared" ref="AI65:AI96" si="11">$U65</f>
        <v>0</v>
      </c>
      <c r="AJ65" s="519">
        <f t="shared" ref="AJ65:AJ96" si="12">$V65</f>
        <v>0</v>
      </c>
      <c r="AK65" s="519">
        <f t="shared" ref="AK65:AK96" si="13">$W65</f>
        <v>0</v>
      </c>
      <c r="AL65" s="520">
        <f t="shared" ref="AL65:AL96" si="14">ROUND(Y65*AI65+((Y65*(1+AI65))*AJ65)+((Y65*AI65+((Y65*(1+AI65))*AJ65))*AK65),2)</f>
        <v>0</v>
      </c>
      <c r="AM65" s="520">
        <f t="shared" ref="AM65:AM96" si="15">AL65*$F65</f>
        <v>0</v>
      </c>
      <c r="AN65" s="520">
        <f t="shared" ref="AN65:AN96" si="16">ROUND(AL65*Z65,2)</f>
        <v>0</v>
      </c>
      <c r="AO65" s="520">
        <f t="shared" ref="AO65:AO96" si="17">AN65*$F65</f>
        <v>0</v>
      </c>
      <c r="AP65" s="719"/>
      <c r="AQ65" s="719"/>
      <c r="AR65" s="719"/>
      <c r="AS65" s="719"/>
      <c r="AT65" s="719"/>
    </row>
    <row r="66" spans="1:46" s="555" customFormat="1" ht="22.5" customHeight="1">
      <c r="A66" s="451"/>
      <c r="B66" s="531" t="s">
        <v>910</v>
      </c>
      <c r="C66" s="566"/>
      <c r="D66" s="1001" t="s">
        <v>1115</v>
      </c>
      <c r="E66" s="525" t="s">
        <v>319</v>
      </c>
      <c r="F66" s="1315">
        <f t="shared" si="0"/>
        <v>2</v>
      </c>
      <c r="G66" s="527">
        <f t="shared" si="1"/>
        <v>122.42</v>
      </c>
      <c r="H66" s="528">
        <f t="shared" si="2"/>
        <v>244.84</v>
      </c>
      <c r="I66" s="529"/>
      <c r="J66" s="309"/>
      <c r="K66" s="1175">
        <v>2</v>
      </c>
      <c r="L66" s="530">
        <f t="shared" si="3"/>
        <v>105</v>
      </c>
      <c r="M66" s="530">
        <f t="shared" si="4"/>
        <v>210</v>
      </c>
      <c r="N66" s="309"/>
      <c r="O66" s="778" t="s">
        <v>673</v>
      </c>
      <c r="P66" s="1093"/>
      <c r="Q66" s="1094"/>
      <c r="R66" s="882"/>
      <c r="S66" s="883">
        <v>2500000</v>
      </c>
      <c r="T66" s="880">
        <v>80</v>
      </c>
      <c r="U66" s="803">
        <v>0</v>
      </c>
      <c r="V66" s="803">
        <v>0</v>
      </c>
      <c r="W66" s="803">
        <v>0</v>
      </c>
      <c r="X66" s="858">
        <f>SUMIF('Summary-E'!O$4:O$50,D66,'Summary-E'!Q$4:Q$50)</f>
        <v>0.97</v>
      </c>
      <c r="Y66" s="310">
        <f>ROUND((R66+S66/'Summary-E'!$M$63)*X66,2)</f>
        <v>116.59</v>
      </c>
      <c r="Z66" s="858">
        <f t="shared" si="5"/>
        <v>1.05</v>
      </c>
      <c r="AA66" s="813">
        <f t="shared" si="6"/>
        <v>122.42</v>
      </c>
      <c r="AB66" s="447">
        <f t="shared" si="7"/>
        <v>0.05</v>
      </c>
      <c r="AC66" s="310">
        <f t="shared" si="8"/>
        <v>84</v>
      </c>
      <c r="AD66" s="717">
        <f>ROUND(AC66*'[1]Summary E&amp;M'!$R$94,2)</f>
        <v>105</v>
      </c>
      <c r="AE66" s="826">
        <f t="shared" si="9"/>
        <v>233.18</v>
      </c>
      <c r="AF66" s="826">
        <f t="shared" si="10"/>
        <v>168</v>
      </c>
      <c r="AG66" s="744"/>
      <c r="AH66" s="728"/>
      <c r="AI66" s="519">
        <f t="shared" si="11"/>
        <v>0</v>
      </c>
      <c r="AJ66" s="519">
        <f t="shared" si="12"/>
        <v>0</v>
      </c>
      <c r="AK66" s="519">
        <f t="shared" si="13"/>
        <v>0</v>
      </c>
      <c r="AL66" s="520">
        <f t="shared" si="14"/>
        <v>0</v>
      </c>
      <c r="AM66" s="520">
        <f t="shared" si="15"/>
        <v>0</v>
      </c>
      <c r="AN66" s="520">
        <f t="shared" si="16"/>
        <v>0</v>
      </c>
      <c r="AO66" s="520">
        <f t="shared" si="17"/>
        <v>0</v>
      </c>
      <c r="AP66" s="719"/>
      <c r="AQ66" s="719"/>
      <c r="AR66" s="719"/>
      <c r="AS66" s="719"/>
      <c r="AT66" s="719"/>
    </row>
    <row r="67" spans="1:46" s="555" customFormat="1" ht="22.5" customHeight="1">
      <c r="A67" s="451"/>
      <c r="B67" s="531" t="s">
        <v>911</v>
      </c>
      <c r="C67" s="566" t="s">
        <v>912</v>
      </c>
      <c r="D67" s="1001" t="s">
        <v>1115</v>
      </c>
      <c r="E67" s="525" t="s">
        <v>319</v>
      </c>
      <c r="F67" s="1315">
        <f t="shared" si="0"/>
        <v>11</v>
      </c>
      <c r="G67" s="527">
        <f t="shared" si="1"/>
        <v>31.83</v>
      </c>
      <c r="H67" s="528">
        <f t="shared" si="2"/>
        <v>350.13</v>
      </c>
      <c r="I67" s="529"/>
      <c r="J67" s="309"/>
      <c r="K67" s="1175">
        <v>11</v>
      </c>
      <c r="L67" s="530">
        <f t="shared" si="3"/>
        <v>6.56</v>
      </c>
      <c r="M67" s="530">
        <f t="shared" si="4"/>
        <v>72.16</v>
      </c>
      <c r="N67" s="309"/>
      <c r="O67" s="778" t="s">
        <v>673</v>
      </c>
      <c r="P67" s="1093"/>
      <c r="Q67" s="1094"/>
      <c r="R67" s="882"/>
      <c r="S67" s="883">
        <v>650000</v>
      </c>
      <c r="T67" s="880">
        <v>5</v>
      </c>
      <c r="U67" s="803">
        <v>0</v>
      </c>
      <c r="V67" s="803">
        <v>0</v>
      </c>
      <c r="W67" s="803">
        <v>0</v>
      </c>
      <c r="X67" s="858">
        <f>SUMIF('Summary-E'!O$4:O$50,D67,'Summary-E'!Q$4:Q$50)</f>
        <v>0.97</v>
      </c>
      <c r="Y67" s="310">
        <f>ROUND((R67+S67/'Summary-E'!$M$63)*X67,2)</f>
        <v>30.31</v>
      </c>
      <c r="Z67" s="858">
        <f t="shared" si="5"/>
        <v>1.05</v>
      </c>
      <c r="AA67" s="813">
        <f t="shared" si="6"/>
        <v>31.83</v>
      </c>
      <c r="AB67" s="447">
        <f t="shared" si="7"/>
        <v>0.05</v>
      </c>
      <c r="AC67" s="310">
        <f t="shared" si="8"/>
        <v>5.25</v>
      </c>
      <c r="AD67" s="717">
        <f>ROUND(AC67*'[1]Summary E&amp;M'!$R$94,2)</f>
        <v>6.56</v>
      </c>
      <c r="AE67" s="826">
        <f t="shared" si="9"/>
        <v>333.41</v>
      </c>
      <c r="AF67" s="826">
        <f t="shared" si="10"/>
        <v>57.75</v>
      </c>
      <c r="AG67" s="744"/>
      <c r="AH67" s="728"/>
      <c r="AI67" s="519">
        <f t="shared" si="11"/>
        <v>0</v>
      </c>
      <c r="AJ67" s="519">
        <f t="shared" si="12"/>
        <v>0</v>
      </c>
      <c r="AK67" s="519">
        <f t="shared" si="13"/>
        <v>0</v>
      </c>
      <c r="AL67" s="520">
        <f t="shared" si="14"/>
        <v>0</v>
      </c>
      <c r="AM67" s="520">
        <f t="shared" si="15"/>
        <v>0</v>
      </c>
      <c r="AN67" s="520">
        <f t="shared" si="16"/>
        <v>0</v>
      </c>
      <c r="AO67" s="520">
        <f t="shared" si="17"/>
        <v>0</v>
      </c>
      <c r="AP67" s="719"/>
      <c r="AQ67" s="719"/>
      <c r="AR67" s="719"/>
      <c r="AS67" s="719"/>
      <c r="AT67" s="719"/>
    </row>
    <row r="68" spans="1:46" s="555" customFormat="1" ht="22.5" customHeight="1">
      <c r="A68" s="451"/>
      <c r="B68" s="531" t="s">
        <v>913</v>
      </c>
      <c r="C68" s="523"/>
      <c r="D68" s="1001" t="s">
        <v>1115</v>
      </c>
      <c r="E68" s="525" t="s">
        <v>319</v>
      </c>
      <c r="F68" s="1315">
        <f t="shared" si="0"/>
        <v>3</v>
      </c>
      <c r="G68" s="527">
        <f t="shared" si="1"/>
        <v>10.28</v>
      </c>
      <c r="H68" s="528">
        <f t="shared" si="2"/>
        <v>30.84</v>
      </c>
      <c r="I68" s="529"/>
      <c r="J68" s="309"/>
      <c r="K68" s="1175">
        <v>3</v>
      </c>
      <c r="L68" s="530">
        <f t="shared" si="3"/>
        <v>6.56</v>
      </c>
      <c r="M68" s="530">
        <f t="shared" si="4"/>
        <v>19.68</v>
      </c>
      <c r="N68" s="309"/>
      <c r="O68" s="778" t="s">
        <v>673</v>
      </c>
      <c r="P68" s="1093"/>
      <c r="Q68" s="1094"/>
      <c r="R68" s="882"/>
      <c r="S68" s="883">
        <v>210000</v>
      </c>
      <c r="T68" s="879">
        <v>5</v>
      </c>
      <c r="U68" s="803">
        <v>0</v>
      </c>
      <c r="V68" s="803">
        <v>0</v>
      </c>
      <c r="W68" s="803">
        <v>0</v>
      </c>
      <c r="X68" s="858">
        <f>SUMIF('Summary-E'!O$4:O$50,D68,'Summary-E'!Q$4:Q$50)</f>
        <v>0.97</v>
      </c>
      <c r="Y68" s="310">
        <f>ROUND((R68+S68/'Summary-E'!$M$63)*X68,2)</f>
        <v>9.7899999999999991</v>
      </c>
      <c r="Z68" s="858">
        <f t="shared" si="5"/>
        <v>1.05</v>
      </c>
      <c r="AA68" s="813">
        <f t="shared" si="6"/>
        <v>10.28</v>
      </c>
      <c r="AB68" s="447">
        <f t="shared" si="7"/>
        <v>0.05</v>
      </c>
      <c r="AC68" s="310">
        <f t="shared" si="8"/>
        <v>5.25</v>
      </c>
      <c r="AD68" s="717">
        <f>ROUND(AC68*'[1]Summary E&amp;M'!$R$94,2)</f>
        <v>6.56</v>
      </c>
      <c r="AE68" s="826">
        <f t="shared" si="9"/>
        <v>29.37</v>
      </c>
      <c r="AF68" s="826">
        <f t="shared" si="10"/>
        <v>15.75</v>
      </c>
      <c r="AG68" s="744"/>
      <c r="AH68" s="728"/>
      <c r="AI68" s="519">
        <f t="shared" si="11"/>
        <v>0</v>
      </c>
      <c r="AJ68" s="519">
        <f t="shared" si="12"/>
        <v>0</v>
      </c>
      <c r="AK68" s="519">
        <f t="shared" si="13"/>
        <v>0</v>
      </c>
      <c r="AL68" s="520">
        <f t="shared" si="14"/>
        <v>0</v>
      </c>
      <c r="AM68" s="520">
        <f t="shared" si="15"/>
        <v>0</v>
      </c>
      <c r="AN68" s="520">
        <f t="shared" si="16"/>
        <v>0</v>
      </c>
      <c r="AO68" s="520">
        <f t="shared" si="17"/>
        <v>0</v>
      </c>
      <c r="AP68" s="719"/>
      <c r="AQ68" s="719"/>
      <c r="AR68" s="719"/>
      <c r="AS68" s="719"/>
      <c r="AT68" s="719"/>
    </row>
    <row r="69" spans="1:46" s="555" customFormat="1" ht="22.5" customHeight="1">
      <c r="A69" s="451"/>
      <c r="B69" s="531" t="s">
        <v>914</v>
      </c>
      <c r="C69" s="523"/>
      <c r="D69" s="1001" t="s">
        <v>1115</v>
      </c>
      <c r="E69" s="525" t="s">
        <v>319</v>
      </c>
      <c r="F69" s="1315">
        <f t="shared" si="0"/>
        <v>3</v>
      </c>
      <c r="G69" s="527">
        <f t="shared" si="1"/>
        <v>20.32</v>
      </c>
      <c r="H69" s="528">
        <f t="shared" si="2"/>
        <v>60.96</v>
      </c>
      <c r="I69" s="529"/>
      <c r="J69" s="309"/>
      <c r="K69" s="1175">
        <v>3</v>
      </c>
      <c r="L69" s="530">
        <f t="shared" si="3"/>
        <v>10.5</v>
      </c>
      <c r="M69" s="530">
        <f t="shared" si="4"/>
        <v>31.5</v>
      </c>
      <c r="N69" s="309"/>
      <c r="O69" s="778" t="s">
        <v>673</v>
      </c>
      <c r="P69" s="1093"/>
      <c r="Q69" s="1094"/>
      <c r="R69" s="882"/>
      <c r="S69" s="883">
        <f>120000+45000+250000</f>
        <v>415000</v>
      </c>
      <c r="T69" s="879">
        <v>8</v>
      </c>
      <c r="U69" s="803">
        <v>0</v>
      </c>
      <c r="V69" s="803">
        <v>0</v>
      </c>
      <c r="W69" s="803">
        <v>0</v>
      </c>
      <c r="X69" s="858">
        <f>SUMIF('Summary-E'!O$4:O$50,D69,'Summary-E'!Q$4:Q$50)</f>
        <v>0.97</v>
      </c>
      <c r="Y69" s="310">
        <f>ROUND((R69+S69/'Summary-E'!$M$63)*X69,2)</f>
        <v>19.350000000000001</v>
      </c>
      <c r="Z69" s="858">
        <f t="shared" si="5"/>
        <v>1.05</v>
      </c>
      <c r="AA69" s="813">
        <f t="shared" si="6"/>
        <v>20.32</v>
      </c>
      <c r="AB69" s="447">
        <f t="shared" si="7"/>
        <v>0.05</v>
      </c>
      <c r="AC69" s="310">
        <f t="shared" si="8"/>
        <v>8.4</v>
      </c>
      <c r="AD69" s="717">
        <f>ROUND(AC69*'[1]Summary E&amp;M'!$R$94,2)</f>
        <v>10.5</v>
      </c>
      <c r="AE69" s="826">
        <f t="shared" si="9"/>
        <v>58.05</v>
      </c>
      <c r="AF69" s="826">
        <f t="shared" si="10"/>
        <v>25.2</v>
      </c>
      <c r="AG69" s="744"/>
      <c r="AH69" s="728"/>
      <c r="AI69" s="519">
        <f t="shared" si="11"/>
        <v>0</v>
      </c>
      <c r="AJ69" s="519">
        <f t="shared" si="12"/>
        <v>0</v>
      </c>
      <c r="AK69" s="519">
        <f t="shared" si="13"/>
        <v>0</v>
      </c>
      <c r="AL69" s="520">
        <f t="shared" si="14"/>
        <v>0</v>
      </c>
      <c r="AM69" s="520">
        <f t="shared" si="15"/>
        <v>0</v>
      </c>
      <c r="AN69" s="520">
        <f t="shared" si="16"/>
        <v>0</v>
      </c>
      <c r="AO69" s="520">
        <f t="shared" si="17"/>
        <v>0</v>
      </c>
      <c r="AP69" s="719"/>
      <c r="AQ69" s="719"/>
      <c r="AR69" s="719"/>
      <c r="AS69" s="719"/>
      <c r="AT69" s="719"/>
    </row>
    <row r="70" spans="1:46" s="555" customFormat="1" ht="22.5" customHeight="1">
      <c r="A70" s="451"/>
      <c r="B70" s="531" t="s">
        <v>915</v>
      </c>
      <c r="C70" s="523"/>
      <c r="D70" s="1001" t="s">
        <v>1115</v>
      </c>
      <c r="E70" s="525" t="s">
        <v>319</v>
      </c>
      <c r="F70" s="1315">
        <f t="shared" si="0"/>
        <v>1</v>
      </c>
      <c r="G70" s="527">
        <f t="shared" si="1"/>
        <v>11751.93</v>
      </c>
      <c r="H70" s="528">
        <f t="shared" si="2"/>
        <v>11751.93</v>
      </c>
      <c r="I70" s="529"/>
      <c r="J70" s="309"/>
      <c r="K70" s="1175">
        <v>1</v>
      </c>
      <c r="L70" s="530">
        <f t="shared" si="3"/>
        <v>105</v>
      </c>
      <c r="M70" s="530">
        <f t="shared" si="4"/>
        <v>105</v>
      </c>
      <c r="N70" s="309"/>
      <c r="O70" s="778" t="s">
        <v>673</v>
      </c>
      <c r="P70" s="1093"/>
      <c r="Q70" s="1094"/>
      <c r="R70" s="882"/>
      <c r="S70" s="883">
        <v>240000000</v>
      </c>
      <c r="T70" s="879">
        <v>80</v>
      </c>
      <c r="U70" s="803">
        <v>0</v>
      </c>
      <c r="V70" s="803">
        <v>0</v>
      </c>
      <c r="W70" s="803">
        <v>0</v>
      </c>
      <c r="X70" s="858">
        <f>SUMIF('Summary-E'!O$4:O$50,D70,'Summary-E'!Q$4:Q$50)</f>
        <v>0.97</v>
      </c>
      <c r="Y70" s="310">
        <f>ROUND((R70+S70/'Summary-E'!$M$63)*X70,2)</f>
        <v>11192.31</v>
      </c>
      <c r="Z70" s="858">
        <f t="shared" si="5"/>
        <v>1.05</v>
      </c>
      <c r="AA70" s="813">
        <f t="shared" si="6"/>
        <v>11751.93</v>
      </c>
      <c r="AB70" s="447">
        <f t="shared" si="7"/>
        <v>0.05</v>
      </c>
      <c r="AC70" s="310">
        <f t="shared" si="8"/>
        <v>84</v>
      </c>
      <c r="AD70" s="717">
        <f>ROUND(AC70*'[1]Summary E&amp;M'!$R$94,2)</f>
        <v>105</v>
      </c>
      <c r="AE70" s="826">
        <f t="shared" si="9"/>
        <v>11192.31</v>
      </c>
      <c r="AF70" s="826">
        <f t="shared" si="10"/>
        <v>84</v>
      </c>
      <c r="AG70" s="744"/>
      <c r="AH70" s="728"/>
      <c r="AI70" s="519">
        <f t="shared" si="11"/>
        <v>0</v>
      </c>
      <c r="AJ70" s="519">
        <f t="shared" si="12"/>
        <v>0</v>
      </c>
      <c r="AK70" s="519">
        <f t="shared" si="13"/>
        <v>0</v>
      </c>
      <c r="AL70" s="520">
        <f t="shared" si="14"/>
        <v>0</v>
      </c>
      <c r="AM70" s="520">
        <f t="shared" si="15"/>
        <v>0</v>
      </c>
      <c r="AN70" s="520">
        <f t="shared" si="16"/>
        <v>0</v>
      </c>
      <c r="AO70" s="520">
        <f t="shared" si="17"/>
        <v>0</v>
      </c>
      <c r="AP70" s="719"/>
      <c r="AQ70" s="719"/>
      <c r="AR70" s="719"/>
      <c r="AS70" s="719"/>
      <c r="AT70" s="719"/>
    </row>
    <row r="71" spans="1:46" s="555" customFormat="1" ht="22.5" customHeight="1">
      <c r="A71" s="451"/>
      <c r="B71" s="531" t="s">
        <v>916</v>
      </c>
      <c r="C71" s="523"/>
      <c r="D71" s="1001" t="s">
        <v>1115</v>
      </c>
      <c r="E71" s="525" t="s">
        <v>319</v>
      </c>
      <c r="F71" s="1315">
        <f t="shared" si="0"/>
        <v>1</v>
      </c>
      <c r="G71" s="527">
        <f t="shared" si="1"/>
        <v>783.46</v>
      </c>
      <c r="H71" s="528">
        <f t="shared" si="2"/>
        <v>783.46</v>
      </c>
      <c r="I71" s="529"/>
      <c r="J71" s="309"/>
      <c r="K71" s="1175">
        <v>1</v>
      </c>
      <c r="L71" s="530">
        <f t="shared" si="3"/>
        <v>65.63</v>
      </c>
      <c r="M71" s="530">
        <f t="shared" si="4"/>
        <v>65.63</v>
      </c>
      <c r="N71" s="309"/>
      <c r="O71" s="778" t="s">
        <v>673</v>
      </c>
      <c r="P71" s="1093"/>
      <c r="Q71" s="1094"/>
      <c r="R71" s="882"/>
      <c r="S71" s="883">
        <v>16000000</v>
      </c>
      <c r="T71" s="879">
        <v>50</v>
      </c>
      <c r="U71" s="803">
        <v>0</v>
      </c>
      <c r="V71" s="803">
        <v>0</v>
      </c>
      <c r="W71" s="803">
        <v>0</v>
      </c>
      <c r="X71" s="858">
        <f>SUMIF('Summary-E'!O$4:O$50,D71,'Summary-E'!Q$4:Q$50)</f>
        <v>0.97</v>
      </c>
      <c r="Y71" s="310">
        <f>ROUND((R71+S71/'Summary-E'!$M$63)*X71,2)</f>
        <v>746.15</v>
      </c>
      <c r="Z71" s="858">
        <f t="shared" si="5"/>
        <v>1.05</v>
      </c>
      <c r="AA71" s="813">
        <f t="shared" si="6"/>
        <v>783.46</v>
      </c>
      <c r="AB71" s="447">
        <f t="shared" si="7"/>
        <v>0.05</v>
      </c>
      <c r="AC71" s="310">
        <f t="shared" si="8"/>
        <v>52.5</v>
      </c>
      <c r="AD71" s="717">
        <f>ROUND(AC71*'[1]Summary E&amp;M'!$R$94,2)</f>
        <v>65.63</v>
      </c>
      <c r="AE71" s="826">
        <f t="shared" si="9"/>
        <v>746.15</v>
      </c>
      <c r="AF71" s="826">
        <f t="shared" si="10"/>
        <v>52.5</v>
      </c>
      <c r="AG71" s="744"/>
      <c r="AH71" s="728"/>
      <c r="AI71" s="519">
        <f t="shared" si="11"/>
        <v>0</v>
      </c>
      <c r="AJ71" s="519">
        <f t="shared" si="12"/>
        <v>0</v>
      </c>
      <c r="AK71" s="519">
        <f t="shared" si="13"/>
        <v>0</v>
      </c>
      <c r="AL71" s="520">
        <f t="shared" si="14"/>
        <v>0</v>
      </c>
      <c r="AM71" s="520">
        <f t="shared" si="15"/>
        <v>0</v>
      </c>
      <c r="AN71" s="520">
        <f t="shared" si="16"/>
        <v>0</v>
      </c>
      <c r="AO71" s="520">
        <f t="shared" si="17"/>
        <v>0</v>
      </c>
      <c r="AP71" s="719"/>
      <c r="AQ71" s="719"/>
      <c r="AR71" s="719"/>
      <c r="AS71" s="719"/>
      <c r="AT71" s="719"/>
    </row>
    <row r="72" spans="1:46" s="555" customFormat="1" ht="22.5" customHeight="1">
      <c r="A72" s="451"/>
      <c r="B72" s="531" t="s">
        <v>917</v>
      </c>
      <c r="C72" s="523"/>
      <c r="D72" s="1001" t="s">
        <v>1115</v>
      </c>
      <c r="E72" s="525" t="s">
        <v>319</v>
      </c>
      <c r="F72" s="1315">
        <f t="shared" si="0"/>
        <v>3</v>
      </c>
      <c r="G72" s="527">
        <f t="shared" si="1"/>
        <v>35.26</v>
      </c>
      <c r="H72" s="528">
        <f t="shared" si="2"/>
        <v>105.78</v>
      </c>
      <c r="I72" s="529"/>
      <c r="J72" s="309"/>
      <c r="K72" s="1175">
        <v>3</v>
      </c>
      <c r="L72" s="530">
        <f t="shared" si="3"/>
        <v>10.5</v>
      </c>
      <c r="M72" s="530">
        <f t="shared" si="4"/>
        <v>31.5</v>
      </c>
      <c r="N72" s="309"/>
      <c r="O72" s="778" t="s">
        <v>673</v>
      </c>
      <c r="P72" s="1093"/>
      <c r="Q72" s="1094"/>
      <c r="R72" s="882"/>
      <c r="S72" s="883">
        <v>720000</v>
      </c>
      <c r="T72" s="879">
        <v>8</v>
      </c>
      <c r="U72" s="803">
        <v>0</v>
      </c>
      <c r="V72" s="803">
        <v>0</v>
      </c>
      <c r="W72" s="803">
        <v>0</v>
      </c>
      <c r="X72" s="858">
        <f>SUMIF('Summary-E'!O$4:O$50,D72,'Summary-E'!Q$4:Q$50)</f>
        <v>0.97</v>
      </c>
      <c r="Y72" s="310">
        <f>ROUND((R72+S72/'Summary-E'!$M$63)*X72,2)</f>
        <v>33.58</v>
      </c>
      <c r="Z72" s="858">
        <f t="shared" si="5"/>
        <v>1.05</v>
      </c>
      <c r="AA72" s="813">
        <f t="shared" si="6"/>
        <v>35.26</v>
      </c>
      <c r="AB72" s="447">
        <f t="shared" si="7"/>
        <v>0.05</v>
      </c>
      <c r="AC72" s="310">
        <f t="shared" si="8"/>
        <v>8.4</v>
      </c>
      <c r="AD72" s="717">
        <f>ROUND(AC72*'[1]Summary E&amp;M'!$R$94,2)</f>
        <v>10.5</v>
      </c>
      <c r="AE72" s="826">
        <f t="shared" si="9"/>
        <v>100.74</v>
      </c>
      <c r="AF72" s="826">
        <f t="shared" si="10"/>
        <v>25.2</v>
      </c>
      <c r="AG72" s="744"/>
      <c r="AH72" s="728"/>
      <c r="AI72" s="519">
        <f t="shared" si="11"/>
        <v>0</v>
      </c>
      <c r="AJ72" s="519">
        <f t="shared" si="12"/>
        <v>0</v>
      </c>
      <c r="AK72" s="519">
        <f t="shared" si="13"/>
        <v>0</v>
      </c>
      <c r="AL72" s="520">
        <f t="shared" si="14"/>
        <v>0</v>
      </c>
      <c r="AM72" s="520">
        <f t="shared" si="15"/>
        <v>0</v>
      </c>
      <c r="AN72" s="520">
        <f t="shared" si="16"/>
        <v>0</v>
      </c>
      <c r="AO72" s="520">
        <f t="shared" si="17"/>
        <v>0</v>
      </c>
      <c r="AP72" s="719"/>
      <c r="AQ72" s="719"/>
      <c r="AR72" s="719"/>
      <c r="AS72" s="719"/>
      <c r="AT72" s="719"/>
    </row>
    <row r="73" spans="1:46" s="555" customFormat="1" ht="22.5" customHeight="1">
      <c r="A73" s="451"/>
      <c r="B73" s="531" t="s">
        <v>918</v>
      </c>
      <c r="C73" s="523"/>
      <c r="D73" s="1001" t="s">
        <v>1115</v>
      </c>
      <c r="E73" s="525" t="s">
        <v>322</v>
      </c>
      <c r="F73" s="1315">
        <f t="shared" si="0"/>
        <v>1</v>
      </c>
      <c r="G73" s="527">
        <f t="shared" si="1"/>
        <v>1226.19</v>
      </c>
      <c r="H73" s="528">
        <f t="shared" si="2"/>
        <v>1226.19</v>
      </c>
      <c r="I73" s="529"/>
      <c r="J73" s="309"/>
      <c r="K73" s="1175">
        <v>1</v>
      </c>
      <c r="L73" s="530">
        <f t="shared" si="3"/>
        <v>474.04</v>
      </c>
      <c r="M73" s="530">
        <f t="shared" si="4"/>
        <v>474.04</v>
      </c>
      <c r="N73" s="309"/>
      <c r="O73" s="778" t="s">
        <v>673</v>
      </c>
      <c r="P73" s="1400">
        <v>0.1</v>
      </c>
      <c r="Q73" s="887"/>
      <c r="R73" s="884">
        <f>ROUND(SUM(AE70:AE72)*P73,2)</f>
        <v>1203.92</v>
      </c>
      <c r="S73" s="885"/>
      <c r="T73" s="880">
        <f>R73*0.3</f>
        <v>361.17599999999999</v>
      </c>
      <c r="U73" s="803">
        <v>0</v>
      </c>
      <c r="V73" s="803">
        <v>0</v>
      </c>
      <c r="W73" s="803">
        <v>0</v>
      </c>
      <c r="X73" s="858">
        <f>SUMIF('Summary-E'!O$4:O$50,D73,'Summary-E'!Q$4:Q$50)</f>
        <v>0.97</v>
      </c>
      <c r="Y73" s="310">
        <f>ROUND((R73+S73/'Summary-E'!$M$63)*X73,2)</f>
        <v>1167.8</v>
      </c>
      <c r="Z73" s="858">
        <f t="shared" si="5"/>
        <v>1.05</v>
      </c>
      <c r="AA73" s="813">
        <f t="shared" si="6"/>
        <v>1226.19</v>
      </c>
      <c r="AB73" s="447">
        <f t="shared" si="7"/>
        <v>0.05</v>
      </c>
      <c r="AC73" s="310">
        <f t="shared" si="8"/>
        <v>379.23</v>
      </c>
      <c r="AD73" s="717">
        <f>ROUND(AC73*'[1]Summary E&amp;M'!$R$94,2)</f>
        <v>474.04</v>
      </c>
      <c r="AE73" s="826">
        <f t="shared" si="9"/>
        <v>1167.8</v>
      </c>
      <c r="AF73" s="826">
        <f t="shared" si="10"/>
        <v>379.23</v>
      </c>
      <c r="AG73" s="744"/>
      <c r="AH73" s="728"/>
      <c r="AI73" s="519">
        <f t="shared" si="11"/>
        <v>0</v>
      </c>
      <c r="AJ73" s="519">
        <f t="shared" si="12"/>
        <v>0</v>
      </c>
      <c r="AK73" s="519">
        <f t="shared" si="13"/>
        <v>0</v>
      </c>
      <c r="AL73" s="520">
        <f t="shared" si="14"/>
        <v>0</v>
      </c>
      <c r="AM73" s="520">
        <f t="shared" si="15"/>
        <v>0</v>
      </c>
      <c r="AN73" s="520">
        <f t="shared" si="16"/>
        <v>0</v>
      </c>
      <c r="AO73" s="520">
        <f t="shared" si="17"/>
        <v>0</v>
      </c>
      <c r="AP73" s="719"/>
      <c r="AQ73" s="719"/>
      <c r="AR73" s="719"/>
      <c r="AS73" s="719"/>
      <c r="AT73" s="719"/>
    </row>
    <row r="74" spans="1:46" s="555" customFormat="1" ht="22.5" customHeight="1">
      <c r="A74" s="451"/>
      <c r="B74" s="531" t="s">
        <v>919</v>
      </c>
      <c r="C74" s="523"/>
      <c r="D74" s="1001" t="s">
        <v>1115</v>
      </c>
      <c r="E74" s="525" t="s">
        <v>319</v>
      </c>
      <c r="F74" s="1315">
        <f t="shared" si="0"/>
        <v>3</v>
      </c>
      <c r="G74" s="527">
        <f t="shared" si="1"/>
        <v>8.57</v>
      </c>
      <c r="H74" s="528">
        <f t="shared" si="2"/>
        <v>25.71</v>
      </c>
      <c r="I74" s="529"/>
      <c r="J74" s="309"/>
      <c r="K74" s="1175">
        <v>3</v>
      </c>
      <c r="L74" s="530">
        <f t="shared" si="3"/>
        <v>6.56</v>
      </c>
      <c r="M74" s="530">
        <f t="shared" si="4"/>
        <v>19.68</v>
      </c>
      <c r="N74" s="309"/>
      <c r="O74" s="778" t="s">
        <v>673</v>
      </c>
      <c r="P74" s="1093"/>
      <c r="Q74" s="1094"/>
      <c r="R74" s="882"/>
      <c r="S74" s="883">
        <f>90000+85000</f>
        <v>175000</v>
      </c>
      <c r="T74" s="879">
        <v>5</v>
      </c>
      <c r="U74" s="803">
        <v>0</v>
      </c>
      <c r="V74" s="803">
        <v>0</v>
      </c>
      <c r="W74" s="803">
        <v>0</v>
      </c>
      <c r="X74" s="858">
        <f>SUMIF('Summary-E'!O$4:O$50,D74,'Summary-E'!Q$4:Q$50)</f>
        <v>0.97</v>
      </c>
      <c r="Y74" s="310">
        <f>ROUND((R74+S74/'Summary-E'!$M$63)*X74,2)</f>
        <v>8.16</v>
      </c>
      <c r="Z74" s="858">
        <f t="shared" si="5"/>
        <v>1.05</v>
      </c>
      <c r="AA74" s="813">
        <f t="shared" si="6"/>
        <v>8.57</v>
      </c>
      <c r="AB74" s="447">
        <f t="shared" si="7"/>
        <v>0.05</v>
      </c>
      <c r="AC74" s="310">
        <f t="shared" si="8"/>
        <v>5.25</v>
      </c>
      <c r="AD74" s="717">
        <f>ROUND(AC74*'[1]Summary E&amp;M'!$R$94,2)</f>
        <v>6.56</v>
      </c>
      <c r="AE74" s="826">
        <f t="shared" si="9"/>
        <v>24.48</v>
      </c>
      <c r="AF74" s="826">
        <f t="shared" si="10"/>
        <v>15.75</v>
      </c>
      <c r="AG74" s="744"/>
      <c r="AH74" s="728"/>
      <c r="AI74" s="519">
        <f t="shared" si="11"/>
        <v>0</v>
      </c>
      <c r="AJ74" s="519">
        <f t="shared" si="12"/>
        <v>0</v>
      </c>
      <c r="AK74" s="519">
        <f t="shared" si="13"/>
        <v>0</v>
      </c>
      <c r="AL74" s="520">
        <f t="shared" si="14"/>
        <v>0</v>
      </c>
      <c r="AM74" s="520">
        <f t="shared" si="15"/>
        <v>0</v>
      </c>
      <c r="AN74" s="520">
        <f t="shared" si="16"/>
        <v>0</v>
      </c>
      <c r="AO74" s="520">
        <f t="shared" si="17"/>
        <v>0</v>
      </c>
      <c r="AP74" s="719"/>
      <c r="AQ74" s="719"/>
      <c r="AR74" s="719"/>
      <c r="AS74" s="719"/>
      <c r="AT74" s="719"/>
    </row>
    <row r="75" spans="1:46" s="555" customFormat="1" ht="22.5" customHeight="1">
      <c r="A75" s="451"/>
      <c r="B75" s="531" t="s">
        <v>938</v>
      </c>
      <c r="C75" s="523"/>
      <c r="D75" s="1001" t="s">
        <v>1115</v>
      </c>
      <c r="E75" s="525" t="s">
        <v>319</v>
      </c>
      <c r="F75" s="1315">
        <v>1</v>
      </c>
      <c r="G75" s="1078" t="s">
        <v>1029</v>
      </c>
      <c r="H75" s="1079"/>
      <c r="I75" s="420" t="s">
        <v>137</v>
      </c>
      <c r="J75" s="309"/>
      <c r="K75" s="1175">
        <v>1</v>
      </c>
      <c r="L75" s="530">
        <f t="shared" si="3"/>
        <v>0</v>
      </c>
      <c r="M75" s="530">
        <f t="shared" si="4"/>
        <v>0</v>
      </c>
      <c r="N75" s="309"/>
      <c r="O75" s="778" t="s">
        <v>673</v>
      </c>
      <c r="P75" s="1093"/>
      <c r="Q75" s="1094"/>
      <c r="R75" s="882"/>
      <c r="S75" s="883"/>
      <c r="T75" s="880"/>
      <c r="U75" s="803">
        <v>0</v>
      </c>
      <c r="V75" s="803">
        <v>0</v>
      </c>
      <c r="W75" s="803">
        <v>0</v>
      </c>
      <c r="X75" s="858">
        <f>SUMIF('Summary-E'!O$4:O$50,D75,'Summary-E'!Q$4:Q$50)</f>
        <v>0.97</v>
      </c>
      <c r="Y75" s="310">
        <f>ROUND((R75+S75/'Summary-E'!$M$63)*X75,2)</f>
        <v>0</v>
      </c>
      <c r="Z75" s="858">
        <f t="shared" si="5"/>
        <v>1.05</v>
      </c>
      <c r="AA75" s="813">
        <f t="shared" si="6"/>
        <v>0</v>
      </c>
      <c r="AB75" s="447">
        <f t="shared" si="7"/>
        <v>0.05</v>
      </c>
      <c r="AC75" s="310">
        <f t="shared" si="8"/>
        <v>0</v>
      </c>
      <c r="AD75" s="717">
        <f>ROUND(AC75*'[1]Summary E&amp;M'!$R$94,2)</f>
        <v>0</v>
      </c>
      <c r="AE75" s="826">
        <f t="shared" si="9"/>
        <v>0</v>
      </c>
      <c r="AF75" s="826">
        <f t="shared" si="10"/>
        <v>0</v>
      </c>
      <c r="AG75" s="744"/>
      <c r="AH75" s="728"/>
      <c r="AI75" s="519">
        <f t="shared" si="11"/>
        <v>0</v>
      </c>
      <c r="AJ75" s="519">
        <f t="shared" si="12"/>
        <v>0</v>
      </c>
      <c r="AK75" s="519">
        <f t="shared" si="13"/>
        <v>0</v>
      </c>
      <c r="AL75" s="520">
        <f t="shared" si="14"/>
        <v>0</v>
      </c>
      <c r="AM75" s="520">
        <f t="shared" si="15"/>
        <v>0</v>
      </c>
      <c r="AN75" s="520">
        <f t="shared" si="16"/>
        <v>0</v>
      </c>
      <c r="AO75" s="520">
        <f t="shared" si="17"/>
        <v>0</v>
      </c>
      <c r="AP75" s="719"/>
      <c r="AQ75" s="719"/>
      <c r="AR75" s="719"/>
      <c r="AS75" s="719"/>
      <c r="AT75" s="719"/>
    </row>
    <row r="76" spans="1:46" s="555" customFormat="1" ht="22.5" customHeight="1">
      <c r="A76" s="451"/>
      <c r="B76" s="531" t="s">
        <v>920</v>
      </c>
      <c r="C76" s="523" t="s">
        <v>921</v>
      </c>
      <c r="D76" s="1001" t="s">
        <v>1115</v>
      </c>
      <c r="E76" s="525" t="s">
        <v>319</v>
      </c>
      <c r="F76" s="1315"/>
      <c r="G76" s="527" t="s">
        <v>1008</v>
      </c>
      <c r="H76" s="528"/>
      <c r="I76" s="420" t="s">
        <v>137</v>
      </c>
      <c r="J76" s="309"/>
      <c r="K76" s="1175"/>
      <c r="L76" s="530">
        <f t="shared" si="3"/>
        <v>0</v>
      </c>
      <c r="M76" s="530">
        <f t="shared" si="4"/>
        <v>0</v>
      </c>
      <c r="N76" s="309"/>
      <c r="O76" s="778" t="s">
        <v>673</v>
      </c>
      <c r="P76" s="1093"/>
      <c r="Q76" s="1094"/>
      <c r="R76" s="882"/>
      <c r="S76" s="883"/>
      <c r="T76" s="880"/>
      <c r="U76" s="803">
        <v>0</v>
      </c>
      <c r="V76" s="803">
        <v>0</v>
      </c>
      <c r="W76" s="803">
        <v>0</v>
      </c>
      <c r="X76" s="858">
        <f>SUMIF('Summary-E'!O$4:O$50,D76,'Summary-E'!Q$4:Q$50)</f>
        <v>0.97</v>
      </c>
      <c r="Y76" s="310">
        <f>ROUND((R76+S76/'Summary-E'!$M$63)*X76,2)</f>
        <v>0</v>
      </c>
      <c r="Z76" s="858">
        <f t="shared" si="5"/>
        <v>1.05</v>
      </c>
      <c r="AA76" s="813">
        <f t="shared" si="6"/>
        <v>0</v>
      </c>
      <c r="AB76" s="447">
        <f t="shared" si="7"/>
        <v>0.05</v>
      </c>
      <c r="AC76" s="310">
        <f t="shared" si="8"/>
        <v>0</v>
      </c>
      <c r="AD76" s="717">
        <f>ROUND(AC76*'[1]Summary E&amp;M'!$R$94,2)</f>
        <v>0</v>
      </c>
      <c r="AE76" s="826">
        <f t="shared" si="9"/>
        <v>0</v>
      </c>
      <c r="AF76" s="826">
        <f t="shared" si="10"/>
        <v>0</v>
      </c>
      <c r="AG76" s="744"/>
      <c r="AH76" s="728"/>
      <c r="AI76" s="519">
        <f t="shared" si="11"/>
        <v>0</v>
      </c>
      <c r="AJ76" s="519">
        <f t="shared" si="12"/>
        <v>0</v>
      </c>
      <c r="AK76" s="519">
        <f t="shared" si="13"/>
        <v>0</v>
      </c>
      <c r="AL76" s="520">
        <f t="shared" si="14"/>
        <v>0</v>
      </c>
      <c r="AM76" s="520">
        <f t="shared" si="15"/>
        <v>0</v>
      </c>
      <c r="AN76" s="520">
        <f t="shared" si="16"/>
        <v>0</v>
      </c>
      <c r="AO76" s="520">
        <f t="shared" si="17"/>
        <v>0</v>
      </c>
      <c r="AP76" s="719"/>
      <c r="AQ76" s="719"/>
      <c r="AR76" s="719"/>
      <c r="AS76" s="719"/>
      <c r="AT76" s="719"/>
    </row>
    <row r="77" spans="1:46" s="555" customFormat="1" ht="22.5" customHeight="1">
      <c r="A77" s="451"/>
      <c r="B77" s="531" t="s">
        <v>922</v>
      </c>
      <c r="C77" s="523" t="s">
        <v>921</v>
      </c>
      <c r="D77" s="1001" t="s">
        <v>1115</v>
      </c>
      <c r="E77" s="525" t="s">
        <v>319</v>
      </c>
      <c r="F77" s="1315"/>
      <c r="G77" s="527" t="s">
        <v>1008</v>
      </c>
      <c r="H77" s="528"/>
      <c r="I77" s="420" t="s">
        <v>137</v>
      </c>
      <c r="J77" s="309"/>
      <c r="K77" s="1175"/>
      <c r="L77" s="530">
        <f t="shared" si="3"/>
        <v>0</v>
      </c>
      <c r="M77" s="530">
        <f t="shared" si="4"/>
        <v>0</v>
      </c>
      <c r="N77" s="309"/>
      <c r="O77" s="778" t="s">
        <v>673</v>
      </c>
      <c r="P77" s="1093"/>
      <c r="Q77" s="1094"/>
      <c r="R77" s="882"/>
      <c r="S77" s="883"/>
      <c r="T77" s="880"/>
      <c r="U77" s="803">
        <v>0</v>
      </c>
      <c r="V77" s="803">
        <v>0</v>
      </c>
      <c r="W77" s="803">
        <v>0</v>
      </c>
      <c r="X77" s="858">
        <f>SUMIF('Summary-E'!O$4:O$50,D77,'Summary-E'!Q$4:Q$50)</f>
        <v>0.97</v>
      </c>
      <c r="Y77" s="310">
        <f>ROUND((R77+S77/'Summary-E'!$M$63)*X77,2)</f>
        <v>0</v>
      </c>
      <c r="Z77" s="858">
        <f t="shared" si="5"/>
        <v>1.05</v>
      </c>
      <c r="AA77" s="813">
        <f t="shared" si="6"/>
        <v>0</v>
      </c>
      <c r="AB77" s="447">
        <f t="shared" si="7"/>
        <v>0.05</v>
      </c>
      <c r="AC77" s="310">
        <f t="shared" si="8"/>
        <v>0</v>
      </c>
      <c r="AD77" s="717">
        <f>ROUND(AC77*'[1]Summary E&amp;M'!$R$94,2)</f>
        <v>0</v>
      </c>
      <c r="AE77" s="826">
        <f t="shared" si="9"/>
        <v>0</v>
      </c>
      <c r="AF77" s="826">
        <f t="shared" si="10"/>
        <v>0</v>
      </c>
      <c r="AG77" s="744"/>
      <c r="AH77" s="728"/>
      <c r="AI77" s="519">
        <f t="shared" si="11"/>
        <v>0</v>
      </c>
      <c r="AJ77" s="519">
        <f t="shared" si="12"/>
        <v>0</v>
      </c>
      <c r="AK77" s="519">
        <f t="shared" si="13"/>
        <v>0</v>
      </c>
      <c r="AL77" s="520">
        <f t="shared" si="14"/>
        <v>0</v>
      </c>
      <c r="AM77" s="520">
        <f t="shared" si="15"/>
        <v>0</v>
      </c>
      <c r="AN77" s="520">
        <f t="shared" si="16"/>
        <v>0</v>
      </c>
      <c r="AO77" s="520">
        <f t="shared" si="17"/>
        <v>0</v>
      </c>
      <c r="AP77" s="719"/>
      <c r="AQ77" s="719"/>
      <c r="AR77" s="719"/>
      <c r="AS77" s="719"/>
      <c r="AT77" s="719"/>
    </row>
    <row r="78" spans="1:46" s="555" customFormat="1" ht="22.5" customHeight="1">
      <c r="A78" s="451"/>
      <c r="B78" s="531" t="s">
        <v>923</v>
      </c>
      <c r="C78" s="523" t="s">
        <v>924</v>
      </c>
      <c r="D78" s="1001" t="s">
        <v>1115</v>
      </c>
      <c r="E78" s="525" t="s">
        <v>319</v>
      </c>
      <c r="F78" s="1315">
        <f t="shared" si="0"/>
        <v>1</v>
      </c>
      <c r="G78" s="527">
        <f t="shared" ref="G78" si="18">ROUNDUP(AA78,2)</f>
        <v>710.01</v>
      </c>
      <c r="H78" s="528">
        <f t="shared" ref="H78" si="19">ROUND(F78*G78,2)</f>
        <v>710.01</v>
      </c>
      <c r="I78" s="420" t="s">
        <v>137</v>
      </c>
      <c r="J78" s="309"/>
      <c r="K78" s="1175">
        <v>1</v>
      </c>
      <c r="L78" s="530">
        <f t="shared" si="3"/>
        <v>0</v>
      </c>
      <c r="M78" s="530">
        <f t="shared" si="4"/>
        <v>0</v>
      </c>
      <c r="N78" s="309"/>
      <c r="O78" s="778" t="s">
        <v>673</v>
      </c>
      <c r="P78" s="1093"/>
      <c r="Q78" s="1094"/>
      <c r="R78" s="882"/>
      <c r="S78" s="883">
        <v>14500000</v>
      </c>
      <c r="T78" s="880"/>
      <c r="U78" s="803">
        <v>0</v>
      </c>
      <c r="V78" s="803">
        <v>0</v>
      </c>
      <c r="W78" s="803">
        <v>0</v>
      </c>
      <c r="X78" s="858">
        <f>SUMIF('Summary-E'!O$4:O$50,D78,'Summary-E'!Q$4:Q$50)</f>
        <v>0.97</v>
      </c>
      <c r="Y78" s="310">
        <f>ROUND((R78+S78/'Summary-E'!$M$63)*X78,2)</f>
        <v>676.2</v>
      </c>
      <c r="Z78" s="858">
        <f t="shared" si="5"/>
        <v>1.05</v>
      </c>
      <c r="AA78" s="813">
        <f t="shared" si="6"/>
        <v>710.01</v>
      </c>
      <c r="AB78" s="447">
        <f t="shared" si="7"/>
        <v>0.05</v>
      </c>
      <c r="AC78" s="310">
        <f t="shared" si="8"/>
        <v>0</v>
      </c>
      <c r="AD78" s="717">
        <f>ROUND(AC78*'[1]Summary E&amp;M'!$R$94,2)</f>
        <v>0</v>
      </c>
      <c r="AE78" s="826">
        <f t="shared" si="9"/>
        <v>676.2</v>
      </c>
      <c r="AF78" s="826">
        <f t="shared" si="10"/>
        <v>0</v>
      </c>
      <c r="AG78" s="744"/>
      <c r="AH78" s="728"/>
      <c r="AI78" s="519">
        <f t="shared" si="11"/>
        <v>0</v>
      </c>
      <c r="AJ78" s="519">
        <f t="shared" si="12"/>
        <v>0</v>
      </c>
      <c r="AK78" s="519">
        <f t="shared" si="13"/>
        <v>0</v>
      </c>
      <c r="AL78" s="520">
        <f t="shared" si="14"/>
        <v>0</v>
      </c>
      <c r="AM78" s="520">
        <f t="shared" si="15"/>
        <v>0</v>
      </c>
      <c r="AN78" s="520">
        <f t="shared" si="16"/>
        <v>0</v>
      </c>
      <c r="AO78" s="520">
        <f t="shared" si="17"/>
        <v>0</v>
      </c>
      <c r="AP78" s="719"/>
      <c r="AQ78" s="719"/>
      <c r="AR78" s="719"/>
      <c r="AS78" s="719"/>
      <c r="AT78" s="719"/>
    </row>
    <row r="79" spans="1:46" s="555" customFormat="1" ht="22.5" customHeight="1">
      <c r="A79" s="451"/>
      <c r="B79" s="531" t="s">
        <v>925</v>
      </c>
      <c r="C79" s="523"/>
      <c r="D79" s="1001" t="s">
        <v>1115</v>
      </c>
      <c r="E79" s="525" t="s">
        <v>322</v>
      </c>
      <c r="F79" s="1315">
        <f t="shared" si="0"/>
        <v>1</v>
      </c>
      <c r="G79" s="527">
        <f t="shared" si="1"/>
        <v>2037</v>
      </c>
      <c r="H79" s="528">
        <f t="shared" si="2"/>
        <v>2037</v>
      </c>
      <c r="I79" s="529"/>
      <c r="J79" s="309"/>
      <c r="K79" s="1175">
        <v>1</v>
      </c>
      <c r="L79" s="530">
        <f t="shared" si="3"/>
        <v>918.75</v>
      </c>
      <c r="M79" s="530">
        <f t="shared" si="4"/>
        <v>918.75</v>
      </c>
      <c r="N79" s="309"/>
      <c r="O79" s="778" t="s">
        <v>673</v>
      </c>
      <c r="P79" s="1093"/>
      <c r="Q79" s="1094"/>
      <c r="R79" s="882">
        <v>2000</v>
      </c>
      <c r="S79" s="883"/>
      <c r="T79" s="879">
        <v>700</v>
      </c>
      <c r="U79" s="803">
        <v>0</v>
      </c>
      <c r="V79" s="803">
        <v>0</v>
      </c>
      <c r="W79" s="803">
        <v>0</v>
      </c>
      <c r="X79" s="858">
        <f>SUMIF('Summary-E'!O$4:O$50,D79,'Summary-E'!Q$4:Q$50)</f>
        <v>0.97</v>
      </c>
      <c r="Y79" s="310">
        <f>ROUND((R79+S79/'Summary-E'!$M$63)*X79,2)</f>
        <v>1940</v>
      </c>
      <c r="Z79" s="858">
        <f t="shared" si="5"/>
        <v>1.05</v>
      </c>
      <c r="AA79" s="813">
        <f t="shared" si="6"/>
        <v>2037</v>
      </c>
      <c r="AB79" s="447">
        <f t="shared" si="7"/>
        <v>0.05</v>
      </c>
      <c r="AC79" s="310">
        <f t="shared" si="8"/>
        <v>735</v>
      </c>
      <c r="AD79" s="717">
        <f>ROUND(AC79*'[1]Summary E&amp;M'!$R$94,2)</f>
        <v>918.75</v>
      </c>
      <c r="AE79" s="826">
        <f t="shared" si="9"/>
        <v>1940</v>
      </c>
      <c r="AF79" s="826">
        <f t="shared" si="10"/>
        <v>735</v>
      </c>
      <c r="AG79" s="744"/>
      <c r="AH79" s="728"/>
      <c r="AI79" s="519">
        <f t="shared" si="11"/>
        <v>0</v>
      </c>
      <c r="AJ79" s="519">
        <f t="shared" si="12"/>
        <v>0</v>
      </c>
      <c r="AK79" s="519">
        <f t="shared" si="13"/>
        <v>0</v>
      </c>
      <c r="AL79" s="520">
        <f t="shared" si="14"/>
        <v>0</v>
      </c>
      <c r="AM79" s="520">
        <f t="shared" si="15"/>
        <v>0</v>
      </c>
      <c r="AN79" s="520">
        <f t="shared" si="16"/>
        <v>0</v>
      </c>
      <c r="AO79" s="520">
        <f t="shared" si="17"/>
        <v>0</v>
      </c>
      <c r="AP79" s="719"/>
      <c r="AQ79" s="719"/>
      <c r="AR79" s="719"/>
      <c r="AS79" s="719"/>
      <c r="AT79" s="719"/>
    </row>
    <row r="80" spans="1:46" s="555" customFormat="1" ht="22.5" customHeight="1">
      <c r="A80" s="451"/>
      <c r="B80" s="531" t="s">
        <v>926</v>
      </c>
      <c r="C80" s="523"/>
      <c r="D80" s="1001" t="s">
        <v>1115</v>
      </c>
      <c r="E80" s="525" t="s">
        <v>322</v>
      </c>
      <c r="F80" s="1315">
        <f t="shared" si="0"/>
        <v>1</v>
      </c>
      <c r="G80" s="527">
        <f t="shared" si="1"/>
        <v>98.79</v>
      </c>
      <c r="H80" s="528">
        <f t="shared" si="2"/>
        <v>98.79</v>
      </c>
      <c r="I80" s="529"/>
      <c r="J80" s="309"/>
      <c r="K80" s="1175">
        <v>1</v>
      </c>
      <c r="L80" s="530">
        <f t="shared" si="3"/>
        <v>25.46</v>
      </c>
      <c r="M80" s="530">
        <f t="shared" si="4"/>
        <v>25.46</v>
      </c>
      <c r="N80" s="309"/>
      <c r="O80" s="778" t="s">
        <v>673</v>
      </c>
      <c r="P80" s="1400">
        <v>0.05</v>
      </c>
      <c r="Q80" s="887"/>
      <c r="R80" s="884">
        <f>ROUND(SUM(AE79:AE79)*P80,2)</f>
        <v>97</v>
      </c>
      <c r="S80" s="886"/>
      <c r="T80" s="881">
        <f>R80*0.2</f>
        <v>19.400000000000002</v>
      </c>
      <c r="U80" s="803">
        <v>0</v>
      </c>
      <c r="V80" s="803">
        <v>0</v>
      </c>
      <c r="W80" s="803">
        <v>0</v>
      </c>
      <c r="X80" s="858">
        <f>SUMIF('Summary-E'!O$4:O$50,D80,'Summary-E'!Q$4:Q$50)</f>
        <v>0.97</v>
      </c>
      <c r="Y80" s="310">
        <f>ROUND((R80+S80/'Summary-E'!$M$63)*X80,2)</f>
        <v>94.09</v>
      </c>
      <c r="Z80" s="858">
        <f t="shared" si="5"/>
        <v>1.05</v>
      </c>
      <c r="AA80" s="813">
        <f t="shared" si="6"/>
        <v>98.79</v>
      </c>
      <c r="AB80" s="447">
        <f t="shared" si="7"/>
        <v>0.05</v>
      </c>
      <c r="AC80" s="310">
        <f t="shared" si="8"/>
        <v>20.37</v>
      </c>
      <c r="AD80" s="717">
        <f>ROUND(AC80*'[1]Summary E&amp;M'!$R$94,2)</f>
        <v>25.46</v>
      </c>
      <c r="AE80" s="826">
        <f t="shared" si="9"/>
        <v>94.09</v>
      </c>
      <c r="AF80" s="826">
        <f t="shared" si="10"/>
        <v>20.37</v>
      </c>
      <c r="AG80" s="744"/>
      <c r="AH80" s="728"/>
      <c r="AI80" s="519">
        <f t="shared" si="11"/>
        <v>0</v>
      </c>
      <c r="AJ80" s="519">
        <f t="shared" si="12"/>
        <v>0</v>
      </c>
      <c r="AK80" s="519">
        <f t="shared" si="13"/>
        <v>0</v>
      </c>
      <c r="AL80" s="520">
        <f t="shared" si="14"/>
        <v>0</v>
      </c>
      <c r="AM80" s="520">
        <f t="shared" si="15"/>
        <v>0</v>
      </c>
      <c r="AN80" s="520">
        <f t="shared" si="16"/>
        <v>0</v>
      </c>
      <c r="AO80" s="520">
        <f t="shared" si="17"/>
        <v>0</v>
      </c>
      <c r="AP80" s="719"/>
      <c r="AQ80" s="719"/>
      <c r="AR80" s="719"/>
      <c r="AS80" s="719"/>
      <c r="AT80" s="719"/>
    </row>
    <row r="81" spans="1:46" s="555" customFormat="1" ht="22.5" customHeight="1">
      <c r="A81" s="451"/>
      <c r="B81" s="531" t="s">
        <v>927</v>
      </c>
      <c r="C81" s="523" t="s">
        <v>940</v>
      </c>
      <c r="D81" s="1001" t="s">
        <v>1115</v>
      </c>
      <c r="E81" s="525" t="s">
        <v>321</v>
      </c>
      <c r="F81" s="1315">
        <f>ROUND(K81*'Summary-E'!$K$61,0)</f>
        <v>63</v>
      </c>
      <c r="G81" s="527">
        <f t="shared" si="1"/>
        <v>8.8800000000000008</v>
      </c>
      <c r="H81" s="528">
        <f t="shared" si="2"/>
        <v>559.44000000000005</v>
      </c>
      <c r="I81" s="529"/>
      <c r="J81" s="309"/>
      <c r="K81" s="1175">
        <v>60</v>
      </c>
      <c r="L81" s="530">
        <f t="shared" si="3"/>
        <v>1.31</v>
      </c>
      <c r="M81" s="530">
        <f t="shared" si="4"/>
        <v>82.53</v>
      </c>
      <c r="N81" s="309"/>
      <c r="O81" s="778" t="s">
        <v>673</v>
      </c>
      <c r="P81" s="1093"/>
      <c r="Q81" s="1094"/>
      <c r="R81" s="882"/>
      <c r="S81" s="883">
        <v>181340</v>
      </c>
      <c r="T81" s="879">
        <v>1</v>
      </c>
      <c r="U81" s="803">
        <v>0</v>
      </c>
      <c r="V81" s="803">
        <v>0</v>
      </c>
      <c r="W81" s="803">
        <v>0</v>
      </c>
      <c r="X81" s="858">
        <f>SUMIF('Summary-E'!O$4:O$50,D81,'Summary-E'!Q$4:Q$50)</f>
        <v>0.97</v>
      </c>
      <c r="Y81" s="310">
        <f>ROUND((R81+S81/'Summary-E'!$M$63)*X81,2)</f>
        <v>8.4600000000000009</v>
      </c>
      <c r="Z81" s="858">
        <f t="shared" si="5"/>
        <v>1.05</v>
      </c>
      <c r="AA81" s="813">
        <f t="shared" si="6"/>
        <v>8.8800000000000008</v>
      </c>
      <c r="AB81" s="447">
        <f t="shared" si="7"/>
        <v>0.05</v>
      </c>
      <c r="AC81" s="310">
        <f t="shared" si="8"/>
        <v>1.05</v>
      </c>
      <c r="AD81" s="717">
        <f>ROUND(AC81*'[1]Summary E&amp;M'!$R$94,2)</f>
        <v>1.31</v>
      </c>
      <c r="AE81" s="826">
        <f t="shared" si="9"/>
        <v>507.6</v>
      </c>
      <c r="AF81" s="826">
        <f t="shared" si="10"/>
        <v>63</v>
      </c>
      <c r="AG81" s="744"/>
      <c r="AH81" s="728"/>
      <c r="AI81" s="519">
        <f t="shared" si="11"/>
        <v>0</v>
      </c>
      <c r="AJ81" s="519">
        <f t="shared" si="12"/>
        <v>0</v>
      </c>
      <c r="AK81" s="519">
        <f t="shared" si="13"/>
        <v>0</v>
      </c>
      <c r="AL81" s="520">
        <f t="shared" si="14"/>
        <v>0</v>
      </c>
      <c r="AM81" s="520">
        <f t="shared" si="15"/>
        <v>0</v>
      </c>
      <c r="AN81" s="520">
        <f t="shared" si="16"/>
        <v>0</v>
      </c>
      <c r="AO81" s="520">
        <f t="shared" si="17"/>
        <v>0</v>
      </c>
      <c r="AP81" s="719"/>
      <c r="AQ81" s="719"/>
      <c r="AR81" s="719"/>
      <c r="AS81" s="719"/>
      <c r="AT81" s="719"/>
    </row>
    <row r="82" spans="1:46" s="555" customFormat="1" ht="22.5" customHeight="1">
      <c r="A82" s="451"/>
      <c r="B82" s="531" t="s">
        <v>927</v>
      </c>
      <c r="C82" s="523" t="s">
        <v>939</v>
      </c>
      <c r="D82" s="1001" t="s">
        <v>1115</v>
      </c>
      <c r="E82" s="525" t="s">
        <v>321</v>
      </c>
      <c r="F82" s="1315">
        <f>ROUND(K82*'Summary-E'!$K$61,0)</f>
        <v>84</v>
      </c>
      <c r="G82" s="527">
        <f t="shared" si="1"/>
        <v>61.4</v>
      </c>
      <c r="H82" s="528">
        <f t="shared" si="2"/>
        <v>5157.6000000000004</v>
      </c>
      <c r="I82" s="529"/>
      <c r="J82" s="309"/>
      <c r="K82" s="1175">
        <v>80</v>
      </c>
      <c r="L82" s="530">
        <f t="shared" si="3"/>
        <v>8.5399999999999991</v>
      </c>
      <c r="M82" s="530">
        <f t="shared" si="4"/>
        <v>717.36</v>
      </c>
      <c r="N82" s="309"/>
      <c r="O82" s="778" t="s">
        <v>673</v>
      </c>
      <c r="P82" s="1093"/>
      <c r="Q82" s="1094"/>
      <c r="R82" s="882"/>
      <c r="S82" s="1267">
        <v>1254100</v>
      </c>
      <c r="T82" s="879">
        <v>6.5</v>
      </c>
      <c r="U82" s="803">
        <v>0</v>
      </c>
      <c r="V82" s="803">
        <v>0</v>
      </c>
      <c r="W82" s="803">
        <v>0</v>
      </c>
      <c r="X82" s="858">
        <f>SUMIF('Summary-E'!O$4:O$50,D82,'Summary-E'!Q$4:Q$50)</f>
        <v>0.97</v>
      </c>
      <c r="Y82" s="310">
        <f>ROUND((R82+S82/'Summary-E'!$M$63)*X82,2)</f>
        <v>58.48</v>
      </c>
      <c r="Z82" s="858">
        <f t="shared" si="5"/>
        <v>1.05</v>
      </c>
      <c r="AA82" s="813">
        <f t="shared" si="6"/>
        <v>61.4</v>
      </c>
      <c r="AB82" s="447">
        <f t="shared" si="7"/>
        <v>0.05</v>
      </c>
      <c r="AC82" s="310">
        <f t="shared" si="8"/>
        <v>6.83</v>
      </c>
      <c r="AD82" s="717">
        <f>ROUND(AC82*'[1]Summary E&amp;M'!$R$94,2)</f>
        <v>8.5399999999999991</v>
      </c>
      <c r="AE82" s="826">
        <f t="shared" si="9"/>
        <v>4678.3999999999996</v>
      </c>
      <c r="AF82" s="826">
        <f t="shared" si="10"/>
        <v>546.4</v>
      </c>
      <c r="AG82" s="744"/>
      <c r="AH82" s="728"/>
      <c r="AI82" s="519">
        <f t="shared" si="11"/>
        <v>0</v>
      </c>
      <c r="AJ82" s="519">
        <f t="shared" si="12"/>
        <v>0</v>
      </c>
      <c r="AK82" s="519">
        <f t="shared" si="13"/>
        <v>0</v>
      </c>
      <c r="AL82" s="520">
        <f t="shared" si="14"/>
        <v>0</v>
      </c>
      <c r="AM82" s="520">
        <f t="shared" si="15"/>
        <v>0</v>
      </c>
      <c r="AN82" s="520">
        <f t="shared" si="16"/>
        <v>0</v>
      </c>
      <c r="AO82" s="520">
        <f t="shared" si="17"/>
        <v>0</v>
      </c>
      <c r="AP82" s="719"/>
      <c r="AQ82" s="719"/>
      <c r="AR82" s="719"/>
      <c r="AS82" s="719"/>
      <c r="AT82" s="719"/>
    </row>
    <row r="83" spans="1:46" s="555" customFormat="1" ht="22.5" customHeight="1">
      <c r="A83" s="451"/>
      <c r="B83" s="531" t="s">
        <v>1180</v>
      </c>
      <c r="C83" s="523" t="s">
        <v>1179</v>
      </c>
      <c r="D83" s="1001">
        <v>132</v>
      </c>
      <c r="E83" s="525" t="s">
        <v>319</v>
      </c>
      <c r="F83" s="1315">
        <f>K83</f>
        <v>1</v>
      </c>
      <c r="G83" s="527">
        <f>ROUNDUP(AA83,2)</f>
        <v>298.69</v>
      </c>
      <c r="H83" s="528">
        <f>ROUND(F83*G83,2)</f>
        <v>298.69</v>
      </c>
      <c r="I83" s="529"/>
      <c r="J83" s="309"/>
      <c r="K83" s="1175">
        <v>1</v>
      </c>
      <c r="L83" s="530">
        <f>ROUND(AD83,2)</f>
        <v>131.25</v>
      </c>
      <c r="M83" s="530">
        <f>ROUND(L83*F83,2)</f>
        <v>131.25</v>
      </c>
      <c r="N83" s="309"/>
      <c r="O83" s="778">
        <v>132</v>
      </c>
      <c r="P83" s="777"/>
      <c r="Q83" s="777"/>
      <c r="R83" s="751"/>
      <c r="S83" s="752">
        <v>6100000</v>
      </c>
      <c r="T83" s="792">
        <v>100</v>
      </c>
      <c r="U83" s="803">
        <v>0</v>
      </c>
      <c r="V83" s="803">
        <v>0</v>
      </c>
      <c r="W83" s="803">
        <v>0</v>
      </c>
      <c r="X83" s="858">
        <f>SUMIF('Summary-E'!O$4:O$50,D83,'Summary-E'!Q$4:Q$50)</f>
        <v>0.97</v>
      </c>
      <c r="Y83" s="310">
        <f>ROUND((R83+S83/'Summary-E'!$M$63)*X83,2)</f>
        <v>284.47000000000003</v>
      </c>
      <c r="Z83" s="858">
        <f t="shared" si="5"/>
        <v>1.05</v>
      </c>
      <c r="AA83" s="813">
        <f>ROUND(Y83*Z83,2)</f>
        <v>298.69</v>
      </c>
      <c r="AB83" s="447">
        <f>$AB$3</f>
        <v>0.05</v>
      </c>
      <c r="AC83" s="310">
        <f t="shared" si="8"/>
        <v>105</v>
      </c>
      <c r="AD83" s="717">
        <f>ROUND(AC83*'[1]Summary E&amp;M'!$R$94,2)</f>
        <v>131.25</v>
      </c>
      <c r="AE83" s="826">
        <f t="shared" si="9"/>
        <v>284.47000000000003</v>
      </c>
      <c r="AF83" s="826">
        <f t="shared" si="10"/>
        <v>105</v>
      </c>
      <c r="AG83" s="744"/>
      <c r="AH83" s="728"/>
      <c r="AI83" s="519">
        <f t="shared" si="11"/>
        <v>0</v>
      </c>
      <c r="AJ83" s="519">
        <f t="shared" si="12"/>
        <v>0</v>
      </c>
      <c r="AK83" s="519">
        <f t="shared" si="13"/>
        <v>0</v>
      </c>
      <c r="AL83" s="520">
        <f t="shared" si="14"/>
        <v>0</v>
      </c>
      <c r="AM83" s="520">
        <f t="shared" si="15"/>
        <v>0</v>
      </c>
      <c r="AN83" s="520">
        <f t="shared" si="16"/>
        <v>0</v>
      </c>
      <c r="AO83" s="520">
        <f t="shared" si="17"/>
        <v>0</v>
      </c>
      <c r="AP83" s="719"/>
      <c r="AQ83" s="719"/>
      <c r="AR83" s="719"/>
      <c r="AS83" s="719"/>
      <c r="AT83" s="719"/>
    </row>
    <row r="84" spans="1:46" s="555" customFormat="1" ht="22.5" customHeight="1">
      <c r="A84" s="451"/>
      <c r="B84" s="531" t="s">
        <v>1178</v>
      </c>
      <c r="C84" s="523"/>
      <c r="D84" s="1001" t="s">
        <v>1112</v>
      </c>
      <c r="E84" s="525" t="s">
        <v>321</v>
      </c>
      <c r="F84" s="1315">
        <f>ROUND(K84*'Summary-E'!$K$61,0)</f>
        <v>6</v>
      </c>
      <c r="G84" s="527">
        <f t="shared" si="1"/>
        <v>31.83</v>
      </c>
      <c r="H84" s="528">
        <f t="shared" si="2"/>
        <v>190.98</v>
      </c>
      <c r="I84" s="529"/>
      <c r="J84" s="309"/>
      <c r="K84" s="1175">
        <v>6</v>
      </c>
      <c r="L84" s="530">
        <f t="shared" si="3"/>
        <v>5.25</v>
      </c>
      <c r="M84" s="530">
        <f t="shared" si="4"/>
        <v>31.5</v>
      </c>
      <c r="N84" s="309"/>
      <c r="O84" s="778" t="s">
        <v>673</v>
      </c>
      <c r="P84" s="1093"/>
      <c r="Q84" s="1094"/>
      <c r="R84" s="882"/>
      <c r="S84" s="883">
        <v>650000</v>
      </c>
      <c r="T84" s="879">
        <v>4</v>
      </c>
      <c r="U84" s="803">
        <v>0</v>
      </c>
      <c r="V84" s="803">
        <v>0</v>
      </c>
      <c r="W84" s="803">
        <v>0</v>
      </c>
      <c r="X84" s="858">
        <f>SUMIF('Summary-E'!O$4:O$50,D84,'Summary-E'!Q$4:Q$50)</f>
        <v>0.97</v>
      </c>
      <c r="Y84" s="310">
        <f>ROUND((R84+S84/'Summary-E'!$M$63)*X84,2)</f>
        <v>30.31</v>
      </c>
      <c r="Z84" s="858">
        <f t="shared" si="5"/>
        <v>1.05</v>
      </c>
      <c r="AA84" s="813">
        <f t="shared" si="6"/>
        <v>31.83</v>
      </c>
      <c r="AB84" s="447">
        <f t="shared" si="7"/>
        <v>0.05</v>
      </c>
      <c r="AC84" s="310">
        <f t="shared" si="8"/>
        <v>4.2</v>
      </c>
      <c r="AD84" s="717">
        <f>ROUND(AC84*'[1]Summary E&amp;M'!$R$94,2)</f>
        <v>5.25</v>
      </c>
      <c r="AE84" s="826">
        <f t="shared" si="9"/>
        <v>181.86</v>
      </c>
      <c r="AF84" s="826">
        <f t="shared" si="10"/>
        <v>25.2</v>
      </c>
      <c r="AG84" s="744"/>
      <c r="AH84" s="728"/>
      <c r="AI84" s="519">
        <f t="shared" si="11"/>
        <v>0</v>
      </c>
      <c r="AJ84" s="519">
        <f t="shared" si="12"/>
        <v>0</v>
      </c>
      <c r="AK84" s="519">
        <f t="shared" si="13"/>
        <v>0</v>
      </c>
      <c r="AL84" s="520">
        <f t="shared" si="14"/>
        <v>0</v>
      </c>
      <c r="AM84" s="520">
        <f t="shared" si="15"/>
        <v>0</v>
      </c>
      <c r="AN84" s="520">
        <f t="shared" si="16"/>
        <v>0</v>
      </c>
      <c r="AO84" s="520">
        <f t="shared" si="17"/>
        <v>0</v>
      </c>
      <c r="AP84" s="719"/>
      <c r="AQ84" s="719"/>
      <c r="AR84" s="719"/>
      <c r="AS84" s="719"/>
      <c r="AT84" s="719"/>
    </row>
    <row r="85" spans="1:46" s="555" customFormat="1" ht="22.5" customHeight="1">
      <c r="A85" s="451"/>
      <c r="B85" s="531" t="s">
        <v>928</v>
      </c>
      <c r="C85" s="523" t="s">
        <v>929</v>
      </c>
      <c r="D85" s="1001" t="s">
        <v>1113</v>
      </c>
      <c r="E85" s="525" t="s">
        <v>321</v>
      </c>
      <c r="F85" s="1315">
        <f>ROUND(K85*'Summary-E'!$K$61,0)</f>
        <v>122</v>
      </c>
      <c r="G85" s="527">
        <f t="shared" si="1"/>
        <v>8.2200000000000006</v>
      </c>
      <c r="H85" s="528">
        <f t="shared" si="2"/>
        <v>1002.84</v>
      </c>
      <c r="I85" s="529"/>
      <c r="J85" s="309"/>
      <c r="K85" s="1175">
        <v>116</v>
      </c>
      <c r="L85" s="530">
        <f t="shared" si="3"/>
        <v>4.5999999999999996</v>
      </c>
      <c r="M85" s="530">
        <f t="shared" si="4"/>
        <v>561.20000000000005</v>
      </c>
      <c r="N85" s="309"/>
      <c r="O85" s="778" t="s">
        <v>673</v>
      </c>
      <c r="P85" s="1093"/>
      <c r="Q85" s="1094"/>
      <c r="R85" s="882"/>
      <c r="S85" s="883">
        <v>168000</v>
      </c>
      <c r="T85" s="879">
        <v>3.5</v>
      </c>
      <c r="U85" s="803">
        <v>0</v>
      </c>
      <c r="V85" s="803">
        <v>0</v>
      </c>
      <c r="W85" s="803">
        <v>0</v>
      </c>
      <c r="X85" s="858">
        <f>SUMIF('Summary-E'!O$4:O$50,D85,'Summary-E'!Q$4:Q$50)</f>
        <v>0.97</v>
      </c>
      <c r="Y85" s="310">
        <f>ROUND((R85+S85/'Summary-E'!$M$63)*X85,2)</f>
        <v>7.83</v>
      </c>
      <c r="Z85" s="858">
        <f t="shared" si="5"/>
        <v>1.05</v>
      </c>
      <c r="AA85" s="813">
        <f t="shared" si="6"/>
        <v>8.2200000000000006</v>
      </c>
      <c r="AB85" s="447">
        <f t="shared" si="7"/>
        <v>0.05</v>
      </c>
      <c r="AC85" s="310">
        <f t="shared" si="8"/>
        <v>3.68</v>
      </c>
      <c r="AD85" s="717">
        <f>ROUND(AC85*'[1]Summary E&amp;M'!$R$94,2)</f>
        <v>4.5999999999999996</v>
      </c>
      <c r="AE85" s="826">
        <f t="shared" si="9"/>
        <v>908.28</v>
      </c>
      <c r="AF85" s="826">
        <f t="shared" si="10"/>
        <v>426.88</v>
      </c>
      <c r="AG85" s="744"/>
      <c r="AH85" s="728"/>
      <c r="AI85" s="519">
        <f t="shared" si="11"/>
        <v>0</v>
      </c>
      <c r="AJ85" s="519">
        <f t="shared" si="12"/>
        <v>0</v>
      </c>
      <c r="AK85" s="519">
        <f t="shared" si="13"/>
        <v>0</v>
      </c>
      <c r="AL85" s="520">
        <f t="shared" si="14"/>
        <v>0</v>
      </c>
      <c r="AM85" s="520">
        <f t="shared" si="15"/>
        <v>0</v>
      </c>
      <c r="AN85" s="520">
        <f t="shared" si="16"/>
        <v>0</v>
      </c>
      <c r="AO85" s="520">
        <f t="shared" si="17"/>
        <v>0</v>
      </c>
      <c r="AP85" s="719"/>
      <c r="AQ85" s="719"/>
      <c r="AR85" s="719"/>
      <c r="AS85" s="719"/>
      <c r="AT85" s="719"/>
    </row>
    <row r="86" spans="1:46" s="555" customFormat="1" ht="22.5" customHeight="1">
      <c r="A86" s="451"/>
      <c r="B86" s="1399" t="s">
        <v>400</v>
      </c>
      <c r="C86" s="523"/>
      <c r="D86" s="1001" t="s">
        <v>1113</v>
      </c>
      <c r="E86" s="525" t="s">
        <v>322</v>
      </c>
      <c r="F86" s="1315">
        <f t="shared" si="0"/>
        <v>1</v>
      </c>
      <c r="G86" s="527">
        <f t="shared" si="1"/>
        <v>222.06</v>
      </c>
      <c r="H86" s="528">
        <f t="shared" si="2"/>
        <v>222.06</v>
      </c>
      <c r="I86" s="529"/>
      <c r="J86" s="309"/>
      <c r="K86" s="1175">
        <v>1</v>
      </c>
      <c r="L86" s="530">
        <f t="shared" si="3"/>
        <v>57.24</v>
      </c>
      <c r="M86" s="530">
        <f t="shared" si="4"/>
        <v>57.24</v>
      </c>
      <c r="N86" s="309"/>
      <c r="O86" s="778" t="s">
        <v>673</v>
      </c>
      <c r="P86" s="1400">
        <v>0.2</v>
      </c>
      <c r="Q86" s="887" t="s">
        <v>1343</v>
      </c>
      <c r="R86" s="884">
        <f>ROUND(SUM(AE84:AE85)*P86,2)</f>
        <v>218.03</v>
      </c>
      <c r="S86" s="886"/>
      <c r="T86" s="881">
        <f>R86*0.2</f>
        <v>43.606000000000002</v>
      </c>
      <c r="U86" s="803">
        <v>0</v>
      </c>
      <c r="V86" s="803">
        <v>0</v>
      </c>
      <c r="W86" s="803">
        <v>0</v>
      </c>
      <c r="X86" s="858">
        <f>SUMIF('Summary-E'!O$4:O$50,D86,'Summary-E'!Q$4:Q$50)</f>
        <v>0.97</v>
      </c>
      <c r="Y86" s="310">
        <f>ROUND((R86+S86/'Summary-E'!$M$63)*X86,2)</f>
        <v>211.49</v>
      </c>
      <c r="Z86" s="858">
        <f t="shared" si="5"/>
        <v>1.05</v>
      </c>
      <c r="AA86" s="813">
        <f t="shared" si="6"/>
        <v>222.06</v>
      </c>
      <c r="AB86" s="447">
        <f t="shared" si="7"/>
        <v>0.05</v>
      </c>
      <c r="AC86" s="310">
        <f t="shared" si="8"/>
        <v>45.79</v>
      </c>
      <c r="AD86" s="717">
        <f>ROUND(AC86*'[1]Summary E&amp;M'!$R$94,2)</f>
        <v>57.24</v>
      </c>
      <c r="AE86" s="826">
        <f t="shared" si="9"/>
        <v>211.49</v>
      </c>
      <c r="AF86" s="826">
        <f t="shared" si="10"/>
        <v>45.79</v>
      </c>
      <c r="AG86" s="744"/>
      <c r="AH86" s="728"/>
      <c r="AI86" s="519">
        <f t="shared" si="11"/>
        <v>0</v>
      </c>
      <c r="AJ86" s="519">
        <f t="shared" si="12"/>
        <v>0</v>
      </c>
      <c r="AK86" s="519">
        <f t="shared" si="13"/>
        <v>0</v>
      </c>
      <c r="AL86" s="520">
        <f t="shared" si="14"/>
        <v>0</v>
      </c>
      <c r="AM86" s="520">
        <f t="shared" si="15"/>
        <v>0</v>
      </c>
      <c r="AN86" s="520">
        <f t="shared" si="16"/>
        <v>0</v>
      </c>
      <c r="AO86" s="520">
        <f t="shared" si="17"/>
        <v>0</v>
      </c>
      <c r="AP86" s="719"/>
      <c r="AQ86" s="719"/>
      <c r="AR86" s="719"/>
      <c r="AS86" s="719"/>
      <c r="AT86" s="719"/>
    </row>
    <row r="87" spans="1:46" s="555" customFormat="1" ht="22.5" customHeight="1">
      <c r="A87" s="451"/>
      <c r="B87" s="531" t="s">
        <v>930</v>
      </c>
      <c r="C87" s="523" t="s">
        <v>931</v>
      </c>
      <c r="D87" s="1001" t="s">
        <v>1117</v>
      </c>
      <c r="E87" s="525" t="s">
        <v>319</v>
      </c>
      <c r="F87" s="1315">
        <f t="shared" si="0"/>
        <v>2</v>
      </c>
      <c r="G87" s="527">
        <f t="shared" si="1"/>
        <v>662.03</v>
      </c>
      <c r="H87" s="528">
        <f t="shared" si="2"/>
        <v>1324.06</v>
      </c>
      <c r="I87" s="529"/>
      <c r="J87" s="309"/>
      <c r="K87" s="1175">
        <v>2</v>
      </c>
      <c r="L87" s="530">
        <f t="shared" si="3"/>
        <v>196.88</v>
      </c>
      <c r="M87" s="530">
        <f t="shared" si="4"/>
        <v>393.76</v>
      </c>
      <c r="N87" s="309"/>
      <c r="O87" s="778" t="s">
        <v>673</v>
      </c>
      <c r="P87" s="1093"/>
      <c r="Q87" s="1094"/>
      <c r="R87" s="882">
        <v>650</v>
      </c>
      <c r="S87" s="883"/>
      <c r="T87" s="879">
        <v>150</v>
      </c>
      <c r="U87" s="803">
        <v>0</v>
      </c>
      <c r="V87" s="803">
        <v>0</v>
      </c>
      <c r="W87" s="803">
        <v>0</v>
      </c>
      <c r="X87" s="858">
        <f>SUMIF('Summary-E'!O$4:O$50,D87,'Summary-E'!Q$4:Q$50)</f>
        <v>0.97</v>
      </c>
      <c r="Y87" s="310">
        <f>ROUND((R87+S87/'Summary-E'!$M$63)*X87,2)</f>
        <v>630.5</v>
      </c>
      <c r="Z87" s="858">
        <f t="shared" si="5"/>
        <v>1.05</v>
      </c>
      <c r="AA87" s="813">
        <f t="shared" si="6"/>
        <v>662.03</v>
      </c>
      <c r="AB87" s="447">
        <f t="shared" si="7"/>
        <v>0.05</v>
      </c>
      <c r="AC87" s="310">
        <f t="shared" si="8"/>
        <v>157.5</v>
      </c>
      <c r="AD87" s="717">
        <f>ROUND(AC87*'[1]Summary E&amp;M'!$R$94,2)</f>
        <v>196.88</v>
      </c>
      <c r="AE87" s="826">
        <f t="shared" si="9"/>
        <v>1261</v>
      </c>
      <c r="AF87" s="826">
        <f t="shared" si="10"/>
        <v>315</v>
      </c>
      <c r="AG87" s="744"/>
      <c r="AH87" s="728"/>
      <c r="AI87" s="519">
        <f t="shared" si="11"/>
        <v>0</v>
      </c>
      <c r="AJ87" s="519">
        <f t="shared" si="12"/>
        <v>0</v>
      </c>
      <c r="AK87" s="519">
        <f t="shared" si="13"/>
        <v>0</v>
      </c>
      <c r="AL87" s="520">
        <f t="shared" si="14"/>
        <v>0</v>
      </c>
      <c r="AM87" s="520">
        <f t="shared" si="15"/>
        <v>0</v>
      </c>
      <c r="AN87" s="520">
        <f t="shared" si="16"/>
        <v>0</v>
      </c>
      <c r="AO87" s="520">
        <f t="shared" si="17"/>
        <v>0</v>
      </c>
      <c r="AP87" s="719"/>
      <c r="AQ87" s="719"/>
      <c r="AR87" s="719"/>
      <c r="AS87" s="719"/>
      <c r="AT87" s="719"/>
    </row>
    <row r="88" spans="1:46" s="555" customFormat="1" ht="22.5" customHeight="1">
      <c r="A88" s="451"/>
      <c r="B88" s="531" t="s">
        <v>932</v>
      </c>
      <c r="C88" s="523"/>
      <c r="D88" s="1001" t="s">
        <v>130</v>
      </c>
      <c r="E88" s="525" t="s">
        <v>633</v>
      </c>
      <c r="F88" s="1315">
        <f>ROUND(K88*'Summary-E'!$K$61,0)</f>
        <v>165</v>
      </c>
      <c r="G88" s="527">
        <f t="shared" si="1"/>
        <v>8.6199999999999992</v>
      </c>
      <c r="H88" s="528">
        <f t="shared" si="2"/>
        <v>1422.3</v>
      </c>
      <c r="I88" s="529"/>
      <c r="J88" s="309"/>
      <c r="K88" s="1175">
        <v>157</v>
      </c>
      <c r="L88" s="530">
        <f t="shared" si="3"/>
        <v>4.8099999999999996</v>
      </c>
      <c r="M88" s="530">
        <f t="shared" si="4"/>
        <v>793.65</v>
      </c>
      <c r="N88" s="309"/>
      <c r="O88" s="778" t="s">
        <v>673</v>
      </c>
      <c r="P88" s="1093"/>
      <c r="Q88" s="1094"/>
      <c r="R88" s="882"/>
      <c r="S88" s="883">
        <v>176000</v>
      </c>
      <c r="T88" s="879">
        <v>3.67</v>
      </c>
      <c r="U88" s="803">
        <v>0</v>
      </c>
      <c r="V88" s="803">
        <v>0</v>
      </c>
      <c r="W88" s="803">
        <v>0</v>
      </c>
      <c r="X88" s="858">
        <f>SUMIF('Summary-E'!O$4:O$50,D88,'Summary-E'!Q$4:Q$50)</f>
        <v>0.97</v>
      </c>
      <c r="Y88" s="310">
        <f>ROUND((R88+S88/'Summary-E'!$M$63)*X88,2)</f>
        <v>8.2100000000000009</v>
      </c>
      <c r="Z88" s="858">
        <f t="shared" si="5"/>
        <v>1.05</v>
      </c>
      <c r="AA88" s="813">
        <f t="shared" si="6"/>
        <v>8.6199999999999992</v>
      </c>
      <c r="AB88" s="447">
        <f t="shared" si="7"/>
        <v>0.05</v>
      </c>
      <c r="AC88" s="310">
        <f t="shared" si="8"/>
        <v>3.85</v>
      </c>
      <c r="AD88" s="717">
        <f>ROUND(AC88*'[1]Summary E&amp;M'!$R$94,2)</f>
        <v>4.8099999999999996</v>
      </c>
      <c r="AE88" s="826">
        <f t="shared" si="9"/>
        <v>1288.97</v>
      </c>
      <c r="AF88" s="826">
        <f t="shared" si="10"/>
        <v>604.45000000000005</v>
      </c>
      <c r="AG88" s="744"/>
      <c r="AH88" s="728"/>
      <c r="AI88" s="519">
        <f t="shared" si="11"/>
        <v>0</v>
      </c>
      <c r="AJ88" s="519">
        <f t="shared" si="12"/>
        <v>0</v>
      </c>
      <c r="AK88" s="519">
        <f t="shared" si="13"/>
        <v>0</v>
      </c>
      <c r="AL88" s="520">
        <f t="shared" si="14"/>
        <v>0</v>
      </c>
      <c r="AM88" s="520">
        <f t="shared" si="15"/>
        <v>0</v>
      </c>
      <c r="AN88" s="520">
        <f t="shared" si="16"/>
        <v>0</v>
      </c>
      <c r="AO88" s="520">
        <f t="shared" si="17"/>
        <v>0</v>
      </c>
      <c r="AP88" s="719"/>
      <c r="AQ88" s="719"/>
      <c r="AR88" s="719"/>
      <c r="AS88" s="719"/>
      <c r="AT88" s="719"/>
    </row>
    <row r="89" spans="1:46" s="555" customFormat="1" ht="22.5" customHeight="1">
      <c r="A89" s="451"/>
      <c r="B89" s="531" t="s">
        <v>933</v>
      </c>
      <c r="C89" s="523" t="s">
        <v>182</v>
      </c>
      <c r="D89" s="1001" t="s">
        <v>130</v>
      </c>
      <c r="E89" s="525" t="s">
        <v>633</v>
      </c>
      <c r="F89" s="1315">
        <f>ROUND(K89*'Summary-E'!$K$61,0)</f>
        <v>26</v>
      </c>
      <c r="G89" s="527">
        <f t="shared" si="1"/>
        <v>12.48</v>
      </c>
      <c r="H89" s="528">
        <f t="shared" si="2"/>
        <v>324.48</v>
      </c>
      <c r="I89" s="529"/>
      <c r="J89" s="309"/>
      <c r="K89" s="1175">
        <v>25</v>
      </c>
      <c r="L89" s="530">
        <f t="shared" si="3"/>
        <v>10.44</v>
      </c>
      <c r="M89" s="530">
        <f t="shared" si="4"/>
        <v>271.44</v>
      </c>
      <c r="N89" s="309"/>
      <c r="O89" s="778" t="s">
        <v>673</v>
      </c>
      <c r="P89" s="1093"/>
      <c r="Q89" s="1094"/>
      <c r="R89" s="882"/>
      <c r="S89" s="883">
        <v>255000</v>
      </c>
      <c r="T89" s="879">
        <v>7.95</v>
      </c>
      <c r="U89" s="803">
        <v>0</v>
      </c>
      <c r="V89" s="803">
        <v>0</v>
      </c>
      <c r="W89" s="803">
        <v>0</v>
      </c>
      <c r="X89" s="858">
        <f>SUMIF('Summary-E'!O$4:O$50,D89,'Summary-E'!Q$4:Q$50)</f>
        <v>0.97</v>
      </c>
      <c r="Y89" s="310">
        <f>ROUND((R89+S89/'Summary-E'!$M$63)*X89,2)</f>
        <v>11.89</v>
      </c>
      <c r="Z89" s="858">
        <f t="shared" si="5"/>
        <v>1.05</v>
      </c>
      <c r="AA89" s="813">
        <f t="shared" si="6"/>
        <v>12.48</v>
      </c>
      <c r="AB89" s="447">
        <f t="shared" si="7"/>
        <v>0.05</v>
      </c>
      <c r="AC89" s="310">
        <f t="shared" si="8"/>
        <v>8.35</v>
      </c>
      <c r="AD89" s="717">
        <f>ROUND(AC89*'[1]Summary E&amp;M'!$R$94,2)</f>
        <v>10.44</v>
      </c>
      <c r="AE89" s="826">
        <f t="shared" si="9"/>
        <v>297.25</v>
      </c>
      <c r="AF89" s="826">
        <f t="shared" si="10"/>
        <v>208.75</v>
      </c>
      <c r="AG89" s="744"/>
      <c r="AH89" s="728"/>
      <c r="AI89" s="519">
        <f t="shared" si="11"/>
        <v>0</v>
      </c>
      <c r="AJ89" s="519">
        <f t="shared" si="12"/>
        <v>0</v>
      </c>
      <c r="AK89" s="519">
        <f t="shared" si="13"/>
        <v>0</v>
      </c>
      <c r="AL89" s="520">
        <f t="shared" si="14"/>
        <v>0</v>
      </c>
      <c r="AM89" s="520">
        <f t="shared" si="15"/>
        <v>0</v>
      </c>
      <c r="AN89" s="520">
        <f t="shared" si="16"/>
        <v>0</v>
      </c>
      <c r="AO89" s="520">
        <f t="shared" si="17"/>
        <v>0</v>
      </c>
      <c r="AP89" s="719"/>
      <c r="AQ89" s="719"/>
      <c r="AR89" s="719"/>
      <c r="AS89" s="719"/>
      <c r="AT89" s="719"/>
    </row>
    <row r="90" spans="1:46" s="555" customFormat="1" ht="22.5" customHeight="1">
      <c r="A90" s="451"/>
      <c r="B90" s="531" t="s">
        <v>934</v>
      </c>
      <c r="C90" s="523"/>
      <c r="D90" s="1001" t="s">
        <v>1115</v>
      </c>
      <c r="E90" s="525" t="s">
        <v>321</v>
      </c>
      <c r="F90" s="1315">
        <f>ROUND(K90*'Summary-E'!$K$61,0)</f>
        <v>122</v>
      </c>
      <c r="G90" s="527">
        <f t="shared" si="1"/>
        <v>2.8</v>
      </c>
      <c r="H90" s="528">
        <f t="shared" si="2"/>
        <v>341.6</v>
      </c>
      <c r="I90" s="529"/>
      <c r="J90" s="309"/>
      <c r="K90" s="1175">
        <f>K85</f>
        <v>116</v>
      </c>
      <c r="L90" s="530">
        <f t="shared" si="3"/>
        <v>0.79</v>
      </c>
      <c r="M90" s="530">
        <f t="shared" si="4"/>
        <v>96.38</v>
      </c>
      <c r="N90" s="309"/>
      <c r="O90" s="778" t="s">
        <v>673</v>
      </c>
      <c r="P90" s="1093"/>
      <c r="Q90" s="1094"/>
      <c r="R90" s="882">
        <v>2.75</v>
      </c>
      <c r="S90" s="883"/>
      <c r="T90" s="879">
        <v>0.6</v>
      </c>
      <c r="U90" s="803">
        <v>0</v>
      </c>
      <c r="V90" s="803">
        <v>0</v>
      </c>
      <c r="W90" s="803">
        <v>0</v>
      </c>
      <c r="X90" s="858">
        <f>SUMIF('Summary-E'!O$4:O$50,D90,'Summary-E'!Q$4:Q$50)</f>
        <v>0.97</v>
      </c>
      <c r="Y90" s="310">
        <f>ROUND((R90+S90/'Summary-E'!$M$63)*X90,2)</f>
        <v>2.67</v>
      </c>
      <c r="Z90" s="858">
        <f t="shared" si="5"/>
        <v>1.05</v>
      </c>
      <c r="AA90" s="813">
        <f t="shared" si="6"/>
        <v>2.8</v>
      </c>
      <c r="AB90" s="447">
        <f t="shared" si="7"/>
        <v>0.05</v>
      </c>
      <c r="AC90" s="310">
        <f t="shared" si="8"/>
        <v>0.63</v>
      </c>
      <c r="AD90" s="717">
        <f>ROUND(AC90*'[1]Summary E&amp;M'!$R$94,2)</f>
        <v>0.79</v>
      </c>
      <c r="AE90" s="826">
        <f t="shared" si="9"/>
        <v>309.72000000000003</v>
      </c>
      <c r="AF90" s="826">
        <f t="shared" si="10"/>
        <v>73.08</v>
      </c>
      <c r="AG90" s="744"/>
      <c r="AH90" s="728"/>
      <c r="AI90" s="519">
        <f t="shared" si="11"/>
        <v>0</v>
      </c>
      <c r="AJ90" s="519">
        <f t="shared" si="12"/>
        <v>0</v>
      </c>
      <c r="AK90" s="519">
        <f t="shared" si="13"/>
        <v>0</v>
      </c>
      <c r="AL90" s="520">
        <f t="shared" si="14"/>
        <v>0</v>
      </c>
      <c r="AM90" s="520">
        <f t="shared" si="15"/>
        <v>0</v>
      </c>
      <c r="AN90" s="520">
        <f t="shared" si="16"/>
        <v>0</v>
      </c>
      <c r="AO90" s="520">
        <f t="shared" si="17"/>
        <v>0</v>
      </c>
      <c r="AP90" s="719"/>
      <c r="AQ90" s="719"/>
      <c r="AR90" s="719"/>
      <c r="AS90" s="719"/>
      <c r="AT90" s="719"/>
    </row>
    <row r="91" spans="1:46" s="555" customFormat="1" ht="22.5" customHeight="1">
      <c r="A91" s="451"/>
      <c r="B91" s="531" t="s">
        <v>935</v>
      </c>
      <c r="C91" s="523"/>
      <c r="D91" s="1001" t="s">
        <v>130</v>
      </c>
      <c r="E91" s="525" t="s">
        <v>319</v>
      </c>
      <c r="F91" s="1315">
        <f t="shared" si="0"/>
        <v>5</v>
      </c>
      <c r="G91" s="527">
        <f t="shared" si="1"/>
        <v>5.37</v>
      </c>
      <c r="H91" s="528">
        <f t="shared" si="2"/>
        <v>26.85</v>
      </c>
      <c r="I91" s="529"/>
      <c r="J91" s="309"/>
      <c r="K91" s="1175">
        <v>5</v>
      </c>
      <c r="L91" s="530">
        <f t="shared" si="3"/>
        <v>1.31</v>
      </c>
      <c r="M91" s="530">
        <f t="shared" si="4"/>
        <v>6.55</v>
      </c>
      <c r="N91" s="309"/>
      <c r="O91" s="778" t="s">
        <v>673</v>
      </c>
      <c r="P91" s="1093"/>
      <c r="Q91" s="1094"/>
      <c r="R91" s="882">
        <v>5.27</v>
      </c>
      <c r="S91" s="883"/>
      <c r="T91" s="879">
        <v>1</v>
      </c>
      <c r="U91" s="803">
        <v>0</v>
      </c>
      <c r="V91" s="803">
        <v>0</v>
      </c>
      <c r="W91" s="803">
        <v>0</v>
      </c>
      <c r="X91" s="858">
        <f>SUMIF('Summary-E'!O$4:O$50,D91,'Summary-E'!Q$4:Q$50)</f>
        <v>0.97</v>
      </c>
      <c r="Y91" s="310">
        <f>ROUND((R91+S91/'Summary-E'!$M$63)*X91,2)</f>
        <v>5.1100000000000003</v>
      </c>
      <c r="Z91" s="858">
        <f t="shared" si="5"/>
        <v>1.05</v>
      </c>
      <c r="AA91" s="813">
        <f t="shared" si="6"/>
        <v>5.37</v>
      </c>
      <c r="AB91" s="447">
        <f t="shared" si="7"/>
        <v>0.05</v>
      </c>
      <c r="AC91" s="310">
        <f t="shared" si="8"/>
        <v>1.05</v>
      </c>
      <c r="AD91" s="717">
        <f>ROUND(AC91*'[1]Summary E&amp;M'!$R$94,2)</f>
        <v>1.31</v>
      </c>
      <c r="AE91" s="826">
        <f t="shared" si="9"/>
        <v>25.55</v>
      </c>
      <c r="AF91" s="826">
        <f t="shared" si="10"/>
        <v>5.25</v>
      </c>
      <c r="AG91" s="744"/>
      <c r="AH91" s="728"/>
      <c r="AI91" s="519">
        <f t="shared" si="11"/>
        <v>0</v>
      </c>
      <c r="AJ91" s="519">
        <f t="shared" si="12"/>
        <v>0</v>
      </c>
      <c r="AK91" s="519">
        <f t="shared" si="13"/>
        <v>0</v>
      </c>
      <c r="AL91" s="520">
        <f t="shared" si="14"/>
        <v>0</v>
      </c>
      <c r="AM91" s="520">
        <f t="shared" si="15"/>
        <v>0</v>
      </c>
      <c r="AN91" s="520">
        <f t="shared" si="16"/>
        <v>0</v>
      </c>
      <c r="AO91" s="520">
        <f t="shared" si="17"/>
        <v>0</v>
      </c>
      <c r="AP91" s="719"/>
      <c r="AQ91" s="719"/>
      <c r="AR91" s="719"/>
      <c r="AS91" s="719"/>
      <c r="AT91" s="719"/>
    </row>
    <row r="92" spans="1:46" s="555" customFormat="1" ht="22.5" customHeight="1">
      <c r="A92" s="451"/>
      <c r="B92" s="531" t="s">
        <v>936</v>
      </c>
      <c r="C92" s="523"/>
      <c r="D92" s="1001" t="s">
        <v>130</v>
      </c>
      <c r="E92" s="525" t="s">
        <v>633</v>
      </c>
      <c r="F92" s="1315">
        <f>ROUND(K92*'Summary-E'!$K$61,0)</f>
        <v>14</v>
      </c>
      <c r="G92" s="527">
        <f t="shared" si="1"/>
        <v>95.74</v>
      </c>
      <c r="H92" s="528">
        <f t="shared" si="2"/>
        <v>1340.36</v>
      </c>
      <c r="I92" s="529"/>
      <c r="J92" s="309"/>
      <c r="K92" s="1175">
        <v>13</v>
      </c>
      <c r="L92" s="530">
        <f t="shared" si="3"/>
        <v>39.380000000000003</v>
      </c>
      <c r="M92" s="530">
        <f t="shared" si="4"/>
        <v>551.32000000000005</v>
      </c>
      <c r="N92" s="309"/>
      <c r="O92" s="778" t="s">
        <v>673</v>
      </c>
      <c r="P92" s="1093"/>
      <c r="Q92" s="1094"/>
      <c r="R92" s="882">
        <v>94</v>
      </c>
      <c r="S92" s="883"/>
      <c r="T92" s="879">
        <v>30</v>
      </c>
      <c r="U92" s="803">
        <v>0</v>
      </c>
      <c r="V92" s="803">
        <v>0</v>
      </c>
      <c r="W92" s="803">
        <v>0</v>
      </c>
      <c r="X92" s="858">
        <f>SUMIF('Summary-E'!O$4:O$50,D92,'Summary-E'!Q$4:Q$50)</f>
        <v>0.97</v>
      </c>
      <c r="Y92" s="310">
        <f>ROUND((R92+S92/'Summary-E'!$M$63)*X92,2)</f>
        <v>91.18</v>
      </c>
      <c r="Z92" s="858">
        <f t="shared" si="5"/>
        <v>1.05</v>
      </c>
      <c r="AA92" s="813">
        <f t="shared" si="6"/>
        <v>95.74</v>
      </c>
      <c r="AB92" s="447">
        <f t="shared" si="7"/>
        <v>0.05</v>
      </c>
      <c r="AC92" s="310">
        <f t="shared" si="8"/>
        <v>31.5</v>
      </c>
      <c r="AD92" s="717">
        <f>ROUND(AC92*'[1]Summary E&amp;M'!$R$94,2)</f>
        <v>39.380000000000003</v>
      </c>
      <c r="AE92" s="826">
        <f t="shared" si="9"/>
        <v>1185.3399999999999</v>
      </c>
      <c r="AF92" s="826">
        <f t="shared" si="10"/>
        <v>409.5</v>
      </c>
      <c r="AG92" s="744"/>
      <c r="AH92" s="728"/>
      <c r="AI92" s="519">
        <f t="shared" si="11"/>
        <v>0</v>
      </c>
      <c r="AJ92" s="519">
        <f t="shared" si="12"/>
        <v>0</v>
      </c>
      <c r="AK92" s="519">
        <f t="shared" si="13"/>
        <v>0</v>
      </c>
      <c r="AL92" s="520">
        <f t="shared" si="14"/>
        <v>0</v>
      </c>
      <c r="AM92" s="520">
        <f t="shared" si="15"/>
        <v>0</v>
      </c>
      <c r="AN92" s="520">
        <f t="shared" si="16"/>
        <v>0</v>
      </c>
      <c r="AO92" s="520">
        <f t="shared" si="17"/>
        <v>0</v>
      </c>
      <c r="AP92" s="719"/>
      <c r="AQ92" s="719"/>
      <c r="AR92" s="719"/>
      <c r="AS92" s="719"/>
      <c r="AT92" s="719"/>
    </row>
    <row r="93" spans="1:46" s="555" customFormat="1" ht="22.5" customHeight="1">
      <c r="A93" s="451"/>
      <c r="B93" s="1399" t="s">
        <v>687</v>
      </c>
      <c r="C93" s="523"/>
      <c r="D93" s="1001">
        <v>159</v>
      </c>
      <c r="E93" s="525" t="s">
        <v>322</v>
      </c>
      <c r="F93" s="1315">
        <f t="shared" si="0"/>
        <v>1</v>
      </c>
      <c r="G93" s="527">
        <f t="shared" si="1"/>
        <v>860.29</v>
      </c>
      <c r="H93" s="528">
        <f t="shared" si="2"/>
        <v>860.29</v>
      </c>
      <c r="I93" s="529"/>
      <c r="J93" s="309"/>
      <c r="K93" s="1175">
        <v>1</v>
      </c>
      <c r="L93" s="530">
        <f t="shared" si="3"/>
        <v>221.73</v>
      </c>
      <c r="M93" s="530">
        <f t="shared" si="4"/>
        <v>221.73</v>
      </c>
      <c r="N93" s="309"/>
      <c r="O93" s="778" t="s">
        <v>673</v>
      </c>
      <c r="P93" s="1400">
        <v>0.03</v>
      </c>
      <c r="Q93" s="887" t="s">
        <v>1342</v>
      </c>
      <c r="R93" s="884">
        <f>ROUND(SUM(AE65:AE92)*P93,2)</f>
        <v>844.66</v>
      </c>
      <c r="S93" s="886"/>
      <c r="T93" s="881">
        <f>R93*0.2</f>
        <v>168.93200000000002</v>
      </c>
      <c r="U93" s="803">
        <v>0</v>
      </c>
      <c r="V93" s="803">
        <v>0</v>
      </c>
      <c r="W93" s="803">
        <v>0</v>
      </c>
      <c r="X93" s="858">
        <f>SUMIF('Summary-E'!O$4:O$50,D93,'Summary-E'!Q$4:Q$50)</f>
        <v>0.97</v>
      </c>
      <c r="Y93" s="310">
        <f>ROUND((R93+S93/'Summary-E'!$M$63)*X93,2)</f>
        <v>819.32</v>
      </c>
      <c r="Z93" s="858">
        <f t="shared" si="5"/>
        <v>1.05</v>
      </c>
      <c r="AA93" s="813">
        <f t="shared" si="6"/>
        <v>860.29</v>
      </c>
      <c r="AB93" s="447">
        <f t="shared" si="7"/>
        <v>0.05</v>
      </c>
      <c r="AC93" s="310">
        <f t="shared" si="8"/>
        <v>177.38</v>
      </c>
      <c r="AD93" s="717">
        <f>ROUND(AC93*'[1]Summary E&amp;M'!$R$94,2)</f>
        <v>221.73</v>
      </c>
      <c r="AE93" s="826">
        <f t="shared" si="9"/>
        <v>819.32</v>
      </c>
      <c r="AF93" s="826">
        <f t="shared" si="10"/>
        <v>177.38</v>
      </c>
      <c r="AG93" s="744"/>
      <c r="AH93" s="728"/>
      <c r="AI93" s="519">
        <f t="shared" si="11"/>
        <v>0</v>
      </c>
      <c r="AJ93" s="519">
        <f t="shared" si="12"/>
        <v>0</v>
      </c>
      <c r="AK93" s="519">
        <f t="shared" si="13"/>
        <v>0</v>
      </c>
      <c r="AL93" s="520">
        <f t="shared" si="14"/>
        <v>0</v>
      </c>
      <c r="AM93" s="520">
        <f t="shared" si="15"/>
        <v>0</v>
      </c>
      <c r="AN93" s="520">
        <f t="shared" si="16"/>
        <v>0</v>
      </c>
      <c r="AO93" s="520">
        <f t="shared" si="17"/>
        <v>0</v>
      </c>
      <c r="AP93" s="719"/>
      <c r="AQ93" s="719"/>
      <c r="AR93" s="719"/>
      <c r="AS93" s="719"/>
      <c r="AT93" s="719"/>
    </row>
    <row r="94" spans="1:46" s="555" customFormat="1" ht="22.5" customHeight="1">
      <c r="A94" s="451"/>
      <c r="B94" s="1399" t="s">
        <v>634</v>
      </c>
      <c r="C94" s="523" t="s">
        <v>937</v>
      </c>
      <c r="D94" s="1001" t="s">
        <v>523</v>
      </c>
      <c r="E94" s="525" t="s">
        <v>322</v>
      </c>
      <c r="F94" s="1315">
        <f t="shared" si="0"/>
        <v>1</v>
      </c>
      <c r="G94" s="527">
        <f t="shared" si="1"/>
        <v>2007.34</v>
      </c>
      <c r="H94" s="528">
        <f t="shared" si="2"/>
        <v>2007.34</v>
      </c>
      <c r="I94" s="529"/>
      <c r="J94" s="309"/>
      <c r="K94" s="1175">
        <v>1</v>
      </c>
      <c r="L94" s="530">
        <f t="shared" si="3"/>
        <v>0</v>
      </c>
      <c r="M94" s="530">
        <f t="shared" si="4"/>
        <v>0</v>
      </c>
      <c r="N94" s="309"/>
      <c r="O94" s="778" t="s">
        <v>673</v>
      </c>
      <c r="P94" s="1400">
        <v>7.0000000000000007E-2</v>
      </c>
      <c r="Q94" s="887"/>
      <c r="R94" s="884">
        <f>ROUND(SUM(AE65:AE92)*P94,2)</f>
        <v>1970.88</v>
      </c>
      <c r="S94" s="883"/>
      <c r="T94" s="879"/>
      <c r="U94" s="803">
        <v>0</v>
      </c>
      <c r="V94" s="803">
        <v>0</v>
      </c>
      <c r="W94" s="803">
        <v>0</v>
      </c>
      <c r="X94" s="858">
        <f>SUMIF('Summary-E'!O$4:O$50,D94,'Summary-E'!Q$4:Q$50)</f>
        <v>0.97</v>
      </c>
      <c r="Y94" s="310">
        <f>ROUND((R94+S94/'Summary-E'!$M$63)*X94,2)</f>
        <v>1911.75</v>
      </c>
      <c r="Z94" s="858">
        <f t="shared" si="5"/>
        <v>1.05</v>
      </c>
      <c r="AA94" s="813">
        <f t="shared" si="6"/>
        <v>2007.34</v>
      </c>
      <c r="AB94" s="447">
        <f t="shared" si="7"/>
        <v>0.05</v>
      </c>
      <c r="AC94" s="310">
        <f t="shared" si="8"/>
        <v>0</v>
      </c>
      <c r="AD94" s="717">
        <f>ROUND(AC94*'[1]Summary E&amp;M'!$R$94,2)</f>
        <v>0</v>
      </c>
      <c r="AE94" s="826">
        <f t="shared" si="9"/>
        <v>1911.75</v>
      </c>
      <c r="AF94" s="826">
        <f t="shared" si="10"/>
        <v>0</v>
      </c>
      <c r="AG94" s="744"/>
      <c r="AH94" s="728"/>
      <c r="AI94" s="519">
        <f t="shared" si="11"/>
        <v>0</v>
      </c>
      <c r="AJ94" s="519">
        <f t="shared" si="12"/>
        <v>0</v>
      </c>
      <c r="AK94" s="519">
        <f t="shared" si="13"/>
        <v>0</v>
      </c>
      <c r="AL94" s="520">
        <f t="shared" si="14"/>
        <v>0</v>
      </c>
      <c r="AM94" s="520">
        <f t="shared" si="15"/>
        <v>0</v>
      </c>
      <c r="AN94" s="520">
        <f t="shared" si="16"/>
        <v>0</v>
      </c>
      <c r="AO94" s="520">
        <f t="shared" si="17"/>
        <v>0</v>
      </c>
      <c r="AP94" s="719"/>
      <c r="AQ94" s="719"/>
      <c r="AR94" s="719"/>
      <c r="AS94" s="719"/>
      <c r="AT94" s="719"/>
    </row>
    <row r="95" spans="1:46" s="555" customFormat="1" ht="22.5" customHeight="1">
      <c r="A95" s="451"/>
      <c r="B95" s="531"/>
      <c r="C95" s="523"/>
      <c r="D95" s="1001"/>
      <c r="E95" s="525"/>
      <c r="F95" s="1315"/>
      <c r="G95" s="527"/>
      <c r="H95" s="528"/>
      <c r="I95" s="529"/>
      <c r="J95" s="309"/>
      <c r="K95" s="1175"/>
      <c r="L95" s="530"/>
      <c r="M95" s="530"/>
      <c r="N95" s="309"/>
      <c r="O95" s="778"/>
      <c r="P95" s="777"/>
      <c r="Q95" s="777"/>
      <c r="R95" s="751"/>
      <c r="S95" s="752"/>
      <c r="T95" s="792"/>
      <c r="U95" s="803"/>
      <c r="V95" s="803"/>
      <c r="W95" s="803"/>
      <c r="X95" s="858">
        <f>SUMIF('Summary-E'!O$4:O$50,D95,'Summary-E'!Q$4:Q$50)</f>
        <v>0</v>
      </c>
      <c r="Y95" s="310"/>
      <c r="Z95" s="858">
        <f t="shared" si="5"/>
        <v>1.05</v>
      </c>
      <c r="AA95" s="813"/>
      <c r="AB95" s="447"/>
      <c r="AC95" s="310"/>
      <c r="AD95" s="717"/>
      <c r="AE95" s="826"/>
      <c r="AF95" s="826"/>
      <c r="AG95" s="744"/>
      <c r="AH95" s="728"/>
      <c r="AI95" s="519"/>
      <c r="AJ95" s="519"/>
      <c r="AK95" s="519"/>
      <c r="AL95" s="520"/>
      <c r="AM95" s="520"/>
      <c r="AN95" s="520"/>
      <c r="AO95" s="520"/>
      <c r="AP95" s="719"/>
      <c r="AQ95" s="719"/>
      <c r="AR95" s="719"/>
      <c r="AS95" s="719"/>
      <c r="AT95" s="719"/>
    </row>
    <row r="96" spans="1:46" s="555" customFormat="1" ht="22.5" customHeight="1">
      <c r="A96" s="451"/>
      <c r="B96" s="531" t="s">
        <v>324</v>
      </c>
      <c r="C96" s="523"/>
      <c r="D96" s="1001">
        <v>210</v>
      </c>
      <c r="E96" s="525" t="s">
        <v>1099</v>
      </c>
      <c r="F96" s="1315">
        <f t="shared" si="0"/>
        <v>1</v>
      </c>
      <c r="G96" s="527">
        <f>M96</f>
        <v>6099.3099999999995</v>
      </c>
      <c r="H96" s="528">
        <f t="shared" si="2"/>
        <v>6099.31</v>
      </c>
      <c r="I96" s="529"/>
      <c r="J96" s="309"/>
      <c r="K96" s="1175">
        <v>1</v>
      </c>
      <c r="L96" s="530">
        <f t="shared" si="3"/>
        <v>0</v>
      </c>
      <c r="M96" s="1051">
        <f>SUBTOTAL(9,M64:M94)</f>
        <v>6099.3099999999995</v>
      </c>
      <c r="N96" s="309"/>
      <c r="O96" s="778" t="s">
        <v>673</v>
      </c>
      <c r="P96" s="777"/>
      <c r="Q96" s="777"/>
      <c r="R96" s="751"/>
      <c r="S96" s="752"/>
      <c r="T96" s="792"/>
      <c r="U96" s="803">
        <v>0</v>
      </c>
      <c r="V96" s="803">
        <v>0</v>
      </c>
      <c r="W96" s="803">
        <v>0</v>
      </c>
      <c r="X96" s="858">
        <f>SUMIF('Summary-E'!O$4:O$50,D96,'Summary-E'!Q$4:Q$50)</f>
        <v>0.05</v>
      </c>
      <c r="Y96" s="310">
        <f>ROUND((R96+S96/'Summary-E'!$M$63)*X96,2)</f>
        <v>0</v>
      </c>
      <c r="Z96" s="858">
        <f t="shared" si="5"/>
        <v>1.05</v>
      </c>
      <c r="AA96" s="813">
        <f t="shared" si="6"/>
        <v>0</v>
      </c>
      <c r="AB96" s="447">
        <f t="shared" si="7"/>
        <v>0.05</v>
      </c>
      <c r="AC96" s="310">
        <f t="shared" si="8"/>
        <v>0</v>
      </c>
      <c r="AD96" s="717">
        <f>ROUND(AC96*'[1]Summary E&amp;M'!$R$94,2)</f>
        <v>0</v>
      </c>
      <c r="AE96" s="826">
        <f t="shared" si="9"/>
        <v>0</v>
      </c>
      <c r="AF96" s="826">
        <f t="shared" si="10"/>
        <v>0</v>
      </c>
      <c r="AG96" s="744"/>
      <c r="AH96" s="728"/>
      <c r="AI96" s="519">
        <f t="shared" si="11"/>
        <v>0</v>
      </c>
      <c r="AJ96" s="519">
        <f t="shared" si="12"/>
        <v>0</v>
      </c>
      <c r="AK96" s="519">
        <f t="shared" si="13"/>
        <v>0</v>
      </c>
      <c r="AL96" s="520">
        <f t="shared" si="14"/>
        <v>0</v>
      </c>
      <c r="AM96" s="520">
        <f t="shared" si="15"/>
        <v>0</v>
      </c>
      <c r="AN96" s="520">
        <f t="shared" si="16"/>
        <v>0</v>
      </c>
      <c r="AO96" s="520">
        <f t="shared" si="17"/>
        <v>0</v>
      </c>
      <c r="AP96" s="719"/>
      <c r="AQ96" s="719"/>
      <c r="AR96" s="719"/>
      <c r="AS96" s="719"/>
      <c r="AT96" s="719"/>
    </row>
    <row r="97" spans="1:46" s="555" customFormat="1" ht="22.5" customHeight="1">
      <c r="A97" s="451"/>
      <c r="B97" s="531"/>
      <c r="C97" s="523"/>
      <c r="D97" s="1001"/>
      <c r="E97" s="525"/>
      <c r="F97" s="1315"/>
      <c r="G97" s="527"/>
      <c r="H97" s="528"/>
      <c r="I97" s="529"/>
      <c r="J97" s="309"/>
      <c r="K97" s="1175"/>
      <c r="L97" s="530"/>
      <c r="M97" s="530"/>
      <c r="N97" s="309"/>
      <c r="O97" s="778"/>
      <c r="P97" s="777"/>
      <c r="Q97" s="777"/>
      <c r="R97" s="751"/>
      <c r="S97" s="752"/>
      <c r="T97" s="792"/>
      <c r="U97" s="803">
        <v>0</v>
      </c>
      <c r="V97" s="803">
        <v>0</v>
      </c>
      <c r="W97" s="803">
        <v>0</v>
      </c>
      <c r="X97" s="858">
        <f>SUMIF('Summary-E'!O$4:O$50,D97,'Summary-E'!Q$4:Q$50)</f>
        <v>0</v>
      </c>
      <c r="Y97" s="310"/>
      <c r="Z97" s="858">
        <f t="shared" si="5"/>
        <v>1.05</v>
      </c>
      <c r="AA97" s="813"/>
      <c r="AB97" s="447"/>
      <c r="AC97" s="310"/>
      <c r="AD97" s="717"/>
      <c r="AE97" s="826"/>
      <c r="AF97" s="826"/>
      <c r="AG97" s="744"/>
      <c r="AH97" s="728"/>
      <c r="AI97" s="519"/>
      <c r="AJ97" s="519"/>
      <c r="AK97" s="519"/>
      <c r="AL97" s="520"/>
      <c r="AM97" s="520"/>
      <c r="AN97" s="520"/>
      <c r="AO97" s="520"/>
      <c r="AP97" s="719"/>
      <c r="AQ97" s="719"/>
      <c r="AR97" s="719"/>
      <c r="AS97" s="719"/>
      <c r="AT97" s="719"/>
    </row>
    <row r="98" spans="1:46" s="555" customFormat="1" ht="22.5" customHeight="1">
      <c r="A98" s="451"/>
      <c r="B98" s="522" t="s">
        <v>941</v>
      </c>
      <c r="C98" s="523"/>
      <c r="D98" s="524"/>
      <c r="E98" s="525"/>
      <c r="F98" s="1314"/>
      <c r="G98" s="527"/>
      <c r="H98" s="528"/>
      <c r="I98" s="529"/>
      <c r="J98" s="309"/>
      <c r="K98" s="1175"/>
      <c r="L98" s="530"/>
      <c r="M98" s="530"/>
      <c r="N98" s="309"/>
      <c r="O98" s="778"/>
      <c r="P98" s="777"/>
      <c r="Q98" s="777"/>
      <c r="R98" s="751"/>
      <c r="S98" s="752"/>
      <c r="T98" s="792"/>
      <c r="U98" s="803"/>
      <c r="V98" s="803"/>
      <c r="W98" s="803"/>
      <c r="X98" s="858">
        <f>SUMIF('Summary-E'!O$4:O$50,D98,'Summary-E'!Q$4:Q$50)</f>
        <v>0</v>
      </c>
      <c r="Y98" s="310"/>
      <c r="Z98" s="858">
        <f t="shared" si="5"/>
        <v>1.05</v>
      </c>
      <c r="AA98" s="813"/>
      <c r="AB98" s="447"/>
      <c r="AC98" s="310"/>
      <c r="AD98" s="717"/>
      <c r="AE98" s="826"/>
      <c r="AF98" s="826"/>
      <c r="AG98" s="744"/>
      <c r="AH98" s="728"/>
      <c r="AI98" s="519"/>
      <c r="AJ98" s="519"/>
      <c r="AK98" s="519"/>
      <c r="AL98" s="520"/>
      <c r="AM98" s="520"/>
      <c r="AN98" s="520"/>
      <c r="AO98" s="520"/>
      <c r="AP98" s="719"/>
      <c r="AQ98" s="719"/>
      <c r="AR98" s="719"/>
      <c r="AS98" s="719"/>
      <c r="AT98" s="719"/>
    </row>
    <row r="99" spans="1:46" s="555" customFormat="1" ht="22.5" customHeight="1">
      <c r="A99" s="451"/>
      <c r="B99" s="997" t="s">
        <v>942</v>
      </c>
      <c r="C99" s="1217" t="s">
        <v>943</v>
      </c>
      <c r="D99" s="1001"/>
      <c r="E99" s="525"/>
      <c r="F99" s="1315"/>
      <c r="G99" s="527"/>
      <c r="H99" s="528"/>
      <c r="I99" s="529"/>
      <c r="J99" s="309"/>
      <c r="K99" s="1175"/>
      <c r="L99" s="530"/>
      <c r="M99" s="530"/>
      <c r="N99" s="309"/>
      <c r="O99" s="778"/>
      <c r="P99" s="777"/>
      <c r="Q99" s="777"/>
      <c r="R99" s="751"/>
      <c r="S99" s="752"/>
      <c r="T99" s="792"/>
      <c r="U99" s="803"/>
      <c r="V99" s="803"/>
      <c r="W99" s="803"/>
      <c r="X99" s="858">
        <f>SUMIF('Summary-E'!O$4:O$50,D99,'Summary-E'!Q$4:Q$50)</f>
        <v>0</v>
      </c>
      <c r="Y99" s="310"/>
      <c r="Z99" s="858">
        <f t="shared" si="5"/>
        <v>1.05</v>
      </c>
      <c r="AA99" s="813"/>
      <c r="AB99" s="447"/>
      <c r="AC99" s="310"/>
      <c r="AD99" s="717"/>
      <c r="AE99" s="826"/>
      <c r="AF99" s="826"/>
      <c r="AG99" s="744"/>
      <c r="AH99" s="728"/>
      <c r="AI99" s="519"/>
      <c r="AJ99" s="519"/>
      <c r="AK99" s="519"/>
      <c r="AL99" s="520"/>
      <c r="AM99" s="520"/>
      <c r="AN99" s="520"/>
      <c r="AO99" s="520"/>
      <c r="AP99" s="719"/>
      <c r="AQ99" s="719"/>
      <c r="AR99" s="719"/>
      <c r="AS99" s="719"/>
      <c r="AT99" s="719"/>
    </row>
    <row r="100" spans="1:46" s="555" customFormat="1" ht="30.75" customHeight="1">
      <c r="A100" s="451"/>
      <c r="B100" s="1150" t="s">
        <v>1302</v>
      </c>
      <c r="C100" s="1217"/>
      <c r="D100" s="1001" t="s">
        <v>673</v>
      </c>
      <c r="E100" s="525" t="s">
        <v>319</v>
      </c>
      <c r="F100" s="1315">
        <f t="shared" ref="F100:F105" si="20">K100</f>
        <v>1</v>
      </c>
      <c r="G100" s="527">
        <f t="shared" ref="G100:G104" si="21">ROUNDUP(AA100,2)</f>
        <v>12054.81</v>
      </c>
      <c r="H100" s="528">
        <f t="shared" ref="H100:H104" si="22">ROUND(F100*G100,2)</f>
        <v>12054.81</v>
      </c>
      <c r="I100" s="529"/>
      <c r="J100" s="309"/>
      <c r="K100" s="1175">
        <v>1</v>
      </c>
      <c r="L100" s="530">
        <f t="shared" ref="L100:L105" si="23">ROUND(AD100,2)</f>
        <v>590.63</v>
      </c>
      <c r="M100" s="530">
        <f t="shared" ref="M100:M105" si="24">ROUND(L100*F100,2)</f>
        <v>590.63</v>
      </c>
      <c r="N100" s="309"/>
      <c r="O100" s="778" t="s">
        <v>673</v>
      </c>
      <c r="P100" s="777"/>
      <c r="Q100" s="777"/>
      <c r="R100" s="751"/>
      <c r="S100" s="752">
        <v>238800000</v>
      </c>
      <c r="T100" s="792">
        <v>450</v>
      </c>
      <c r="U100" s="803">
        <v>0</v>
      </c>
      <c r="V100" s="803">
        <v>0</v>
      </c>
      <c r="W100" s="803">
        <v>0</v>
      </c>
      <c r="X100" s="858">
        <v>1</v>
      </c>
      <c r="Y100" s="310">
        <f>ROUND((R100+S100/'Summary-E'!$M$63)*X100,2)</f>
        <v>11480.77</v>
      </c>
      <c r="Z100" s="858">
        <f t="shared" si="5"/>
        <v>1.05</v>
      </c>
      <c r="AA100" s="813">
        <f>ROUND(Y100*Z100,2)</f>
        <v>12054.81</v>
      </c>
      <c r="AB100" s="447">
        <f t="shared" ref="AB100:AB104" si="25">$AB$3</f>
        <v>0.05</v>
      </c>
      <c r="AC100" s="310">
        <f>ROUND((T100*(1+AB100)),2)</f>
        <v>472.5</v>
      </c>
      <c r="AD100" s="717">
        <f>ROUND(AC100*'[1]Summary E&amp;M'!$R$94,2)</f>
        <v>590.63</v>
      </c>
      <c r="AE100" s="826">
        <f t="shared" ref="AE100:AE129" si="26">ROUND($K100*$Y100,2)</f>
        <v>11480.77</v>
      </c>
      <c r="AF100" s="826">
        <f t="shared" ref="AF100:AF129" si="27">ROUND($K100*$AC100,2)</f>
        <v>472.5</v>
      </c>
      <c r="AG100" s="744"/>
      <c r="AH100" s="728"/>
      <c r="AI100" s="519">
        <f t="shared" ref="AI100:AI129" si="28">$U100</f>
        <v>0</v>
      </c>
      <c r="AJ100" s="519">
        <f t="shared" ref="AJ100:AJ129" si="29">$V100</f>
        <v>0</v>
      </c>
      <c r="AK100" s="519">
        <f t="shared" ref="AK100:AK129" si="30">$W100</f>
        <v>0</v>
      </c>
      <c r="AL100" s="520">
        <f t="shared" ref="AL100:AL105" si="31">ROUND(Y100*AI100+((Y100*(1+AI100))*AJ100)+((Y100*AI100+((Y100*(1+AI100))*AJ100))*AK100),2)</f>
        <v>0</v>
      </c>
      <c r="AM100" s="520">
        <f t="shared" ref="AM100:AM105" si="32">AL100*$F100</f>
        <v>0</v>
      </c>
      <c r="AN100" s="520">
        <f t="shared" ref="AN100:AN105" si="33">ROUND(AL100*Z100,2)</f>
        <v>0</v>
      </c>
      <c r="AO100" s="520">
        <f t="shared" ref="AO100:AO105" si="34">AN100*$F100</f>
        <v>0</v>
      </c>
      <c r="AP100" s="719"/>
      <c r="AQ100" s="719"/>
      <c r="AR100" s="719"/>
      <c r="AS100" s="719"/>
      <c r="AT100" s="719"/>
    </row>
    <row r="101" spans="1:46" s="555" customFormat="1" ht="30.75" customHeight="1">
      <c r="A101" s="451"/>
      <c r="B101" s="1150" t="s">
        <v>944</v>
      </c>
      <c r="C101" s="1243"/>
      <c r="D101" s="1001" t="s">
        <v>673</v>
      </c>
      <c r="E101" s="525" t="s">
        <v>319</v>
      </c>
      <c r="F101" s="1315">
        <f t="shared" si="20"/>
        <v>1</v>
      </c>
      <c r="G101" s="527">
        <f t="shared" si="21"/>
        <v>12918.02</v>
      </c>
      <c r="H101" s="528">
        <f t="shared" si="22"/>
        <v>12918.02</v>
      </c>
      <c r="I101" s="529"/>
      <c r="J101" s="309"/>
      <c r="K101" s="1175">
        <v>1</v>
      </c>
      <c r="L101" s="530">
        <f t="shared" si="23"/>
        <v>590.63</v>
      </c>
      <c r="M101" s="530">
        <f t="shared" si="24"/>
        <v>590.63</v>
      </c>
      <c r="N101" s="309"/>
      <c r="O101" s="778" t="s">
        <v>673</v>
      </c>
      <c r="P101" s="777"/>
      <c r="Q101" s="777"/>
      <c r="R101" s="751"/>
      <c r="S101" s="752">
        <v>255900000</v>
      </c>
      <c r="T101" s="792">
        <v>450</v>
      </c>
      <c r="U101" s="803">
        <v>0</v>
      </c>
      <c r="V101" s="803">
        <v>0</v>
      </c>
      <c r="W101" s="803">
        <v>0</v>
      </c>
      <c r="X101" s="858">
        <v>1</v>
      </c>
      <c r="Y101" s="310">
        <f>ROUND((R101+S101/'Summary-E'!$M$63)*X101,2)</f>
        <v>12302.88</v>
      </c>
      <c r="Z101" s="858">
        <f t="shared" si="5"/>
        <v>1.05</v>
      </c>
      <c r="AA101" s="813">
        <f t="shared" ref="AA101:AA105" si="35">ROUND(Y101*Z101,2)</f>
        <v>12918.02</v>
      </c>
      <c r="AB101" s="447">
        <f t="shared" si="25"/>
        <v>0.05</v>
      </c>
      <c r="AC101" s="310">
        <f t="shared" ref="AC101:AC105" si="36">ROUND((T101*(1+AB101)),2)</f>
        <v>472.5</v>
      </c>
      <c r="AD101" s="717">
        <f>ROUND(AC101*'[1]Summary E&amp;M'!$R$94,2)</f>
        <v>590.63</v>
      </c>
      <c r="AE101" s="826">
        <f>ROUND($K101*$Y101,2)</f>
        <v>12302.88</v>
      </c>
      <c r="AF101" s="826">
        <f>ROUND($K101*$AC101,2)</f>
        <v>472.5</v>
      </c>
      <c r="AG101" s="744"/>
      <c r="AH101" s="728"/>
      <c r="AI101" s="519">
        <f>$U101</f>
        <v>0</v>
      </c>
      <c r="AJ101" s="519">
        <f>$V101</f>
        <v>0</v>
      </c>
      <c r="AK101" s="519">
        <f>$W101</f>
        <v>0</v>
      </c>
      <c r="AL101" s="520">
        <f t="shared" si="31"/>
        <v>0</v>
      </c>
      <c r="AM101" s="520">
        <f>AL101*$F101</f>
        <v>0</v>
      </c>
      <c r="AN101" s="520">
        <f t="shared" si="33"/>
        <v>0</v>
      </c>
      <c r="AO101" s="520">
        <f>AN101*$F101</f>
        <v>0</v>
      </c>
      <c r="AP101" s="719"/>
      <c r="AQ101" s="719"/>
      <c r="AR101" s="719"/>
      <c r="AS101" s="719"/>
      <c r="AT101" s="719"/>
    </row>
    <row r="102" spans="1:46" s="555" customFormat="1" ht="30.75" customHeight="1">
      <c r="A102" s="451"/>
      <c r="B102" s="1150" t="s">
        <v>1217</v>
      </c>
      <c r="C102" s="1243" t="s">
        <v>1305</v>
      </c>
      <c r="D102" s="1001" t="s">
        <v>673</v>
      </c>
      <c r="E102" s="525" t="s">
        <v>319</v>
      </c>
      <c r="F102" s="1315">
        <f t="shared" si="20"/>
        <v>1</v>
      </c>
      <c r="G102" s="527">
        <f t="shared" si="21"/>
        <v>5169.2299999999996</v>
      </c>
      <c r="H102" s="528">
        <f t="shared" si="22"/>
        <v>5169.2299999999996</v>
      </c>
      <c r="I102" s="529"/>
      <c r="J102" s="309"/>
      <c r="K102" s="1175">
        <v>1</v>
      </c>
      <c r="L102" s="530">
        <f t="shared" si="23"/>
        <v>590.63</v>
      </c>
      <c r="M102" s="530">
        <f t="shared" si="24"/>
        <v>590.63</v>
      </c>
      <c r="N102" s="309"/>
      <c r="O102" s="778" t="s">
        <v>673</v>
      </c>
      <c r="P102" s="777"/>
      <c r="Q102" s="777"/>
      <c r="R102" s="751"/>
      <c r="S102" s="752">
        <v>102400000</v>
      </c>
      <c r="T102" s="792">
        <v>450</v>
      </c>
      <c r="U102" s="803">
        <v>0</v>
      </c>
      <c r="V102" s="803">
        <v>0</v>
      </c>
      <c r="W102" s="803">
        <v>0</v>
      </c>
      <c r="X102" s="858">
        <v>1</v>
      </c>
      <c r="Y102" s="310">
        <f>ROUND((R102+S102/'Summary-E'!$M$63)*X102,2)</f>
        <v>4923.08</v>
      </c>
      <c r="Z102" s="858">
        <f t="shared" si="5"/>
        <v>1.05</v>
      </c>
      <c r="AA102" s="813">
        <f t="shared" si="35"/>
        <v>5169.2299999999996</v>
      </c>
      <c r="AB102" s="447">
        <f t="shared" si="25"/>
        <v>0.05</v>
      </c>
      <c r="AC102" s="310">
        <f t="shared" si="36"/>
        <v>472.5</v>
      </c>
      <c r="AD102" s="717">
        <f>ROUND(AC102*'[1]Summary E&amp;M'!$R$94,2)</f>
        <v>590.63</v>
      </c>
      <c r="AE102" s="826">
        <f t="shared" si="26"/>
        <v>4923.08</v>
      </c>
      <c r="AF102" s="826">
        <f t="shared" si="27"/>
        <v>472.5</v>
      </c>
      <c r="AG102" s="744"/>
      <c r="AH102" s="728"/>
      <c r="AI102" s="519">
        <f t="shared" si="28"/>
        <v>0</v>
      </c>
      <c r="AJ102" s="519">
        <f t="shared" si="29"/>
        <v>0</v>
      </c>
      <c r="AK102" s="519">
        <f t="shared" si="30"/>
        <v>0</v>
      </c>
      <c r="AL102" s="520">
        <f t="shared" si="31"/>
        <v>0</v>
      </c>
      <c r="AM102" s="520">
        <f t="shared" si="32"/>
        <v>0</v>
      </c>
      <c r="AN102" s="520">
        <f t="shared" si="33"/>
        <v>0</v>
      </c>
      <c r="AO102" s="520">
        <f t="shared" si="34"/>
        <v>0</v>
      </c>
      <c r="AP102" s="719"/>
      <c r="AQ102" s="719"/>
      <c r="AR102" s="719"/>
      <c r="AS102" s="719"/>
      <c r="AT102" s="719"/>
    </row>
    <row r="103" spans="1:46" s="555" customFormat="1" ht="30.75" customHeight="1">
      <c r="A103" s="451"/>
      <c r="B103" s="1150" t="s">
        <v>1217</v>
      </c>
      <c r="C103" s="1243" t="s">
        <v>1306</v>
      </c>
      <c r="D103" s="1001" t="s">
        <v>673</v>
      </c>
      <c r="E103" s="525" t="s">
        <v>319</v>
      </c>
      <c r="F103" s="1315">
        <f t="shared" si="20"/>
        <v>1</v>
      </c>
      <c r="G103" s="527">
        <f t="shared" si="21"/>
        <v>5169.2299999999996</v>
      </c>
      <c r="H103" s="528">
        <f t="shared" si="22"/>
        <v>5169.2299999999996</v>
      </c>
      <c r="I103" s="529"/>
      <c r="J103" s="309"/>
      <c r="K103" s="1097">
        <v>1</v>
      </c>
      <c r="L103" s="530">
        <f t="shared" si="23"/>
        <v>590.63</v>
      </c>
      <c r="M103" s="530">
        <f t="shared" si="24"/>
        <v>590.63</v>
      </c>
      <c r="N103" s="309"/>
      <c r="O103" s="778" t="s">
        <v>673</v>
      </c>
      <c r="P103" s="777"/>
      <c r="Q103" s="777"/>
      <c r="R103" s="751"/>
      <c r="S103" s="752">
        <v>102400000</v>
      </c>
      <c r="T103" s="792">
        <v>450</v>
      </c>
      <c r="U103" s="803">
        <v>0</v>
      </c>
      <c r="V103" s="803">
        <v>0</v>
      </c>
      <c r="W103" s="803">
        <v>0</v>
      </c>
      <c r="X103" s="858">
        <v>1</v>
      </c>
      <c r="Y103" s="310">
        <f>ROUND((R103+S103/'Summary-E'!$M$63)*X103,2)</f>
        <v>4923.08</v>
      </c>
      <c r="Z103" s="858">
        <f t="shared" si="5"/>
        <v>1.05</v>
      </c>
      <c r="AA103" s="813">
        <f t="shared" si="35"/>
        <v>5169.2299999999996</v>
      </c>
      <c r="AB103" s="447">
        <f t="shared" si="25"/>
        <v>0.05</v>
      </c>
      <c r="AC103" s="310">
        <f t="shared" si="36"/>
        <v>472.5</v>
      </c>
      <c r="AD103" s="717">
        <f>ROUND(AC103*'[1]Summary E&amp;M'!$R$94,2)</f>
        <v>590.63</v>
      </c>
      <c r="AE103" s="826">
        <f t="shared" si="26"/>
        <v>4923.08</v>
      </c>
      <c r="AF103" s="826">
        <f t="shared" si="27"/>
        <v>472.5</v>
      </c>
      <c r="AG103" s="744"/>
      <c r="AH103" s="728"/>
      <c r="AI103" s="519">
        <f t="shared" si="28"/>
        <v>0</v>
      </c>
      <c r="AJ103" s="519">
        <f t="shared" si="29"/>
        <v>0</v>
      </c>
      <c r="AK103" s="519">
        <f t="shared" si="30"/>
        <v>0</v>
      </c>
      <c r="AL103" s="520">
        <f t="shared" si="31"/>
        <v>0</v>
      </c>
      <c r="AM103" s="520">
        <f t="shared" si="32"/>
        <v>0</v>
      </c>
      <c r="AN103" s="520">
        <f t="shared" si="33"/>
        <v>0</v>
      </c>
      <c r="AO103" s="520">
        <f t="shared" si="34"/>
        <v>0</v>
      </c>
      <c r="AP103" s="719"/>
      <c r="AQ103" s="719"/>
      <c r="AR103" s="719"/>
      <c r="AS103" s="719"/>
      <c r="AT103" s="719"/>
    </row>
    <row r="104" spans="1:46" s="555" customFormat="1" ht="22.5" customHeight="1">
      <c r="A104" s="451"/>
      <c r="B104" s="1150" t="s">
        <v>945</v>
      </c>
      <c r="C104" s="1243"/>
      <c r="D104" s="1001">
        <v>132</v>
      </c>
      <c r="E104" s="525" t="s">
        <v>319</v>
      </c>
      <c r="F104" s="1315">
        <f t="shared" si="20"/>
        <v>1</v>
      </c>
      <c r="G104" s="527">
        <f t="shared" si="21"/>
        <v>977.76</v>
      </c>
      <c r="H104" s="528">
        <f t="shared" si="22"/>
        <v>977.76</v>
      </c>
      <c r="I104" s="529"/>
      <c r="J104" s="309"/>
      <c r="K104" s="1175">
        <v>1</v>
      </c>
      <c r="L104" s="530">
        <f t="shared" si="23"/>
        <v>65.63</v>
      </c>
      <c r="M104" s="530">
        <f t="shared" si="24"/>
        <v>65.63</v>
      </c>
      <c r="N104" s="309"/>
      <c r="O104" s="778" t="s">
        <v>673</v>
      </c>
      <c r="P104" s="777"/>
      <c r="Q104" s="777"/>
      <c r="R104" s="751">
        <v>960</v>
      </c>
      <c r="S104" s="752"/>
      <c r="T104" s="792">
        <v>50</v>
      </c>
      <c r="U104" s="803">
        <v>0</v>
      </c>
      <c r="V104" s="803">
        <v>0</v>
      </c>
      <c r="W104" s="803">
        <v>0</v>
      </c>
      <c r="X104" s="858">
        <f>SUMIF('Summary-E'!O$4:O$50,D104,'Summary-E'!Q$4:Q$50)</f>
        <v>0.97</v>
      </c>
      <c r="Y104" s="310">
        <f>ROUND((R104+S104/'Summary-E'!$M$63)*X104,2)</f>
        <v>931.2</v>
      </c>
      <c r="Z104" s="858">
        <f t="shared" si="5"/>
        <v>1.05</v>
      </c>
      <c r="AA104" s="813">
        <f t="shared" si="35"/>
        <v>977.76</v>
      </c>
      <c r="AB104" s="447">
        <f t="shared" si="25"/>
        <v>0.05</v>
      </c>
      <c r="AC104" s="310">
        <f t="shared" si="36"/>
        <v>52.5</v>
      </c>
      <c r="AD104" s="717">
        <f>ROUND(AC104*'[1]Summary E&amp;M'!$R$94,2)</f>
        <v>65.63</v>
      </c>
      <c r="AE104" s="826">
        <f t="shared" si="26"/>
        <v>931.2</v>
      </c>
      <c r="AF104" s="826">
        <f t="shared" si="27"/>
        <v>52.5</v>
      </c>
      <c r="AG104" s="744"/>
      <c r="AH104" s="728"/>
      <c r="AI104" s="519">
        <f t="shared" si="28"/>
        <v>0</v>
      </c>
      <c r="AJ104" s="519">
        <f t="shared" si="29"/>
        <v>0</v>
      </c>
      <c r="AK104" s="519">
        <f t="shared" si="30"/>
        <v>0</v>
      </c>
      <c r="AL104" s="520">
        <f t="shared" si="31"/>
        <v>0</v>
      </c>
      <c r="AM104" s="520">
        <f t="shared" si="32"/>
        <v>0</v>
      </c>
      <c r="AN104" s="520">
        <f t="shared" si="33"/>
        <v>0</v>
      </c>
      <c r="AO104" s="520">
        <f t="shared" si="34"/>
        <v>0</v>
      </c>
      <c r="AP104" s="719"/>
      <c r="AQ104" s="719"/>
      <c r="AR104" s="719"/>
      <c r="AS104" s="719"/>
      <c r="AT104" s="719"/>
    </row>
    <row r="105" spans="1:46" s="555" customFormat="1" ht="22.5" customHeight="1">
      <c r="A105" s="451"/>
      <c r="B105" s="531" t="s">
        <v>946</v>
      </c>
      <c r="C105" s="523"/>
      <c r="D105" s="524"/>
      <c r="E105" s="525" t="s">
        <v>671</v>
      </c>
      <c r="F105" s="1315">
        <f t="shared" si="20"/>
        <v>1</v>
      </c>
      <c r="G105" s="527" t="s">
        <v>809</v>
      </c>
      <c r="H105" s="528"/>
      <c r="I105" s="420" t="s">
        <v>674</v>
      </c>
      <c r="J105" s="309"/>
      <c r="K105" s="1175">
        <v>1</v>
      </c>
      <c r="L105" s="530">
        <f t="shared" si="23"/>
        <v>0</v>
      </c>
      <c r="M105" s="530">
        <f t="shared" si="24"/>
        <v>0</v>
      </c>
      <c r="N105" s="309"/>
      <c r="O105" s="778" t="s">
        <v>636</v>
      </c>
      <c r="P105" s="777"/>
      <c r="Q105" s="777"/>
      <c r="R105" s="751"/>
      <c r="S105" s="752"/>
      <c r="T105" s="792"/>
      <c r="U105" s="803">
        <v>0</v>
      </c>
      <c r="V105" s="803">
        <v>0</v>
      </c>
      <c r="W105" s="803">
        <v>0</v>
      </c>
      <c r="X105" s="858">
        <f>SUMIF('Summary-E'!O$4:O$50,D105,'Summary-E'!Q$4:Q$50)</f>
        <v>0</v>
      </c>
      <c r="Y105" s="310">
        <f>ROUND((R105+S105/'Summary-E'!$M$63)*X105,2)</f>
        <v>0</v>
      </c>
      <c r="Z105" s="858">
        <f t="shared" si="5"/>
        <v>1.05</v>
      </c>
      <c r="AA105" s="813">
        <f t="shared" si="35"/>
        <v>0</v>
      </c>
      <c r="AB105" s="447">
        <f t="shared" ref="AB105:AB111" si="37">$AB$3</f>
        <v>0.05</v>
      </c>
      <c r="AC105" s="310">
        <f t="shared" si="36"/>
        <v>0</v>
      </c>
      <c r="AD105" s="717">
        <f>ROUND(AC105*'[1]Summary E&amp;M'!$R$94,2)</f>
        <v>0</v>
      </c>
      <c r="AE105" s="826">
        <f t="shared" si="26"/>
        <v>0</v>
      </c>
      <c r="AF105" s="826">
        <f t="shared" si="27"/>
        <v>0</v>
      </c>
      <c r="AG105" s="744"/>
      <c r="AH105" s="728"/>
      <c r="AI105" s="519">
        <f t="shared" si="28"/>
        <v>0</v>
      </c>
      <c r="AJ105" s="519">
        <f t="shared" si="29"/>
        <v>0</v>
      </c>
      <c r="AK105" s="519">
        <f t="shared" si="30"/>
        <v>0</v>
      </c>
      <c r="AL105" s="520">
        <f t="shared" si="31"/>
        <v>0</v>
      </c>
      <c r="AM105" s="520">
        <f t="shared" si="32"/>
        <v>0</v>
      </c>
      <c r="AN105" s="520">
        <f t="shared" si="33"/>
        <v>0</v>
      </c>
      <c r="AO105" s="520">
        <f t="shared" si="34"/>
        <v>0</v>
      </c>
      <c r="AP105" s="719"/>
      <c r="AQ105" s="719"/>
      <c r="AR105" s="719"/>
      <c r="AS105" s="719"/>
      <c r="AT105" s="719"/>
    </row>
    <row r="106" spans="1:46" s="555" customFormat="1" ht="22.5" customHeight="1">
      <c r="A106" s="451"/>
      <c r="B106" s="531" t="s">
        <v>1161</v>
      </c>
      <c r="C106" s="523"/>
      <c r="D106" s="524" t="s">
        <v>636</v>
      </c>
      <c r="E106" s="525" t="s">
        <v>319</v>
      </c>
      <c r="F106" s="1315">
        <f t="shared" ref="F106:F111" si="38">K106</f>
        <v>0</v>
      </c>
      <c r="G106" s="1269" t="s">
        <v>1308</v>
      </c>
      <c r="H106" s="1270"/>
      <c r="I106" s="420" t="s">
        <v>137</v>
      </c>
      <c r="J106" s="309"/>
      <c r="K106" s="1268">
        <v>0</v>
      </c>
      <c r="L106" s="530">
        <f t="shared" ref="L106:L111" si="39">ROUND(AD106,2)</f>
        <v>1312.5</v>
      </c>
      <c r="M106" s="530">
        <f t="shared" ref="M106:M111" si="40">ROUND(L106*F106,2)</f>
        <v>0</v>
      </c>
      <c r="N106" s="309"/>
      <c r="O106" s="778" t="s">
        <v>636</v>
      </c>
      <c r="P106" s="777"/>
      <c r="Q106" s="777"/>
      <c r="R106" s="751"/>
      <c r="S106" s="1098">
        <f>861653000+3500000</f>
        <v>865153000</v>
      </c>
      <c r="T106" s="1099">
        <v>1000</v>
      </c>
      <c r="U106" s="803">
        <v>0</v>
      </c>
      <c r="V106" s="803">
        <v>0</v>
      </c>
      <c r="W106" s="803">
        <v>0</v>
      </c>
      <c r="X106" s="858">
        <f>SUMIF('Summary-E'!O$4:O$50,D106,'Summary-E'!Q$4:Q$50)</f>
        <v>0.97</v>
      </c>
      <c r="Y106" s="310">
        <f>ROUND((R106+S106/'Summary-E'!$M$63)*X106,2)</f>
        <v>40346.080000000002</v>
      </c>
      <c r="Z106" s="858">
        <f t="shared" si="5"/>
        <v>1.05</v>
      </c>
      <c r="AA106" s="813">
        <f t="shared" ref="AA106:AA111" si="41">ROUND(Y106*Z106,2)</f>
        <v>42363.38</v>
      </c>
      <c r="AB106" s="447">
        <f t="shared" si="37"/>
        <v>0.05</v>
      </c>
      <c r="AC106" s="310">
        <f>ROUND((T106*(1+AB106)),2)</f>
        <v>1050</v>
      </c>
      <c r="AD106" s="717">
        <f>ROUND(AC106*'[1]Summary E&amp;M'!$R$94,2)</f>
        <v>1312.5</v>
      </c>
      <c r="AE106" s="826">
        <f t="shared" si="26"/>
        <v>0</v>
      </c>
      <c r="AF106" s="826">
        <f t="shared" si="27"/>
        <v>0</v>
      </c>
      <c r="AG106" s="744"/>
      <c r="AH106" s="728"/>
      <c r="AI106" s="519">
        <f t="shared" si="28"/>
        <v>0</v>
      </c>
      <c r="AJ106" s="519">
        <f t="shared" si="29"/>
        <v>0</v>
      </c>
      <c r="AK106" s="519">
        <f t="shared" si="30"/>
        <v>0</v>
      </c>
      <c r="AL106" s="520">
        <f t="shared" ref="AL106:AL129" si="42">ROUND(Y106*AI106+((Y106*(1+AI106))*AJ106)+((Y106*AI106+((Y106*(1+AI106))*AJ106))*AK106),2)</f>
        <v>0</v>
      </c>
      <c r="AM106" s="520">
        <f t="shared" ref="AM106:AM129" si="43">AL106*$F106</f>
        <v>0</v>
      </c>
      <c r="AN106" s="520">
        <f t="shared" ref="AN106:AN129" si="44">ROUND(AL106*Z106,2)</f>
        <v>0</v>
      </c>
      <c r="AO106" s="520">
        <f t="shared" ref="AO106:AO129" si="45">AN106*$F106</f>
        <v>0</v>
      </c>
      <c r="AP106" s="719"/>
      <c r="AQ106" s="719"/>
      <c r="AR106" s="719"/>
      <c r="AS106" s="719"/>
      <c r="AT106" s="719"/>
    </row>
    <row r="107" spans="1:46" s="555" customFormat="1" ht="22.5" customHeight="1">
      <c r="A107" s="451"/>
      <c r="B107" s="531" t="s">
        <v>749</v>
      </c>
      <c r="C107" s="523"/>
      <c r="D107" s="524"/>
      <c r="E107" s="525" t="s">
        <v>671</v>
      </c>
      <c r="F107" s="1315">
        <f t="shared" si="38"/>
        <v>1</v>
      </c>
      <c r="G107" s="527" t="s">
        <v>809</v>
      </c>
      <c r="H107" s="528"/>
      <c r="I107" s="420" t="s">
        <v>674</v>
      </c>
      <c r="J107" s="309"/>
      <c r="K107" s="1175">
        <v>1</v>
      </c>
      <c r="L107" s="530">
        <f t="shared" si="39"/>
        <v>0</v>
      </c>
      <c r="M107" s="530">
        <f t="shared" si="40"/>
        <v>0</v>
      </c>
      <c r="N107" s="309"/>
      <c r="O107" s="778" t="s">
        <v>636</v>
      </c>
      <c r="P107" s="777"/>
      <c r="Q107" s="777"/>
      <c r="R107" s="751"/>
      <c r="S107" s="752"/>
      <c r="T107" s="792"/>
      <c r="U107" s="803">
        <v>0</v>
      </c>
      <c r="V107" s="803">
        <v>0</v>
      </c>
      <c r="W107" s="803">
        <v>0</v>
      </c>
      <c r="X107" s="858">
        <f>SUMIF('Summary-E'!O$4:O$50,D107,'Summary-E'!Q$4:Q$50)</f>
        <v>0</v>
      </c>
      <c r="Y107" s="310">
        <f>ROUND((R107+S107/'Summary-E'!$M$63)*X107,2)</f>
        <v>0</v>
      </c>
      <c r="Z107" s="858">
        <f t="shared" si="5"/>
        <v>1.05</v>
      </c>
      <c r="AA107" s="813">
        <f t="shared" si="41"/>
        <v>0</v>
      </c>
      <c r="AB107" s="447">
        <f t="shared" si="37"/>
        <v>0.05</v>
      </c>
      <c r="AC107" s="310">
        <f>ROUND((T107*(1+AB107)),2)</f>
        <v>0</v>
      </c>
      <c r="AD107" s="717">
        <f>ROUND(AC107*'[1]Summary E&amp;M'!$R$94,2)</f>
        <v>0</v>
      </c>
      <c r="AE107" s="826">
        <f t="shared" si="26"/>
        <v>0</v>
      </c>
      <c r="AF107" s="826">
        <f t="shared" si="27"/>
        <v>0</v>
      </c>
      <c r="AG107" s="744"/>
      <c r="AH107" s="728"/>
      <c r="AI107" s="519">
        <f t="shared" si="28"/>
        <v>0</v>
      </c>
      <c r="AJ107" s="519">
        <f t="shared" si="29"/>
        <v>0</v>
      </c>
      <c r="AK107" s="519">
        <f t="shared" si="30"/>
        <v>0</v>
      </c>
      <c r="AL107" s="520">
        <f t="shared" si="42"/>
        <v>0</v>
      </c>
      <c r="AM107" s="520">
        <f t="shared" si="43"/>
        <v>0</v>
      </c>
      <c r="AN107" s="520">
        <f t="shared" si="44"/>
        <v>0</v>
      </c>
      <c r="AO107" s="520">
        <f t="shared" si="45"/>
        <v>0</v>
      </c>
      <c r="AP107" s="719"/>
      <c r="AQ107" s="719"/>
      <c r="AR107" s="719"/>
      <c r="AS107" s="719"/>
      <c r="AT107" s="719"/>
    </row>
    <row r="108" spans="1:46" s="555" customFormat="1" ht="22.5" customHeight="1">
      <c r="A108" s="451"/>
      <c r="B108" s="531" t="s">
        <v>675</v>
      </c>
      <c r="C108" s="523"/>
      <c r="D108" s="524"/>
      <c r="E108" s="525" t="s">
        <v>671</v>
      </c>
      <c r="F108" s="1315">
        <f t="shared" si="38"/>
        <v>1</v>
      </c>
      <c r="G108" s="527" t="s">
        <v>809</v>
      </c>
      <c r="H108" s="528"/>
      <c r="I108" s="420" t="s">
        <v>674</v>
      </c>
      <c r="J108" s="309"/>
      <c r="K108" s="1175">
        <v>1</v>
      </c>
      <c r="L108" s="530">
        <f t="shared" si="39"/>
        <v>0</v>
      </c>
      <c r="M108" s="530">
        <f t="shared" si="40"/>
        <v>0</v>
      </c>
      <c r="N108" s="309"/>
      <c r="O108" s="778" t="s">
        <v>636</v>
      </c>
      <c r="P108" s="777"/>
      <c r="Q108" s="777"/>
      <c r="R108" s="751"/>
      <c r="S108" s="752"/>
      <c r="T108" s="792"/>
      <c r="U108" s="803">
        <v>0</v>
      </c>
      <c r="V108" s="803">
        <v>0</v>
      </c>
      <c r="W108" s="803">
        <v>0</v>
      </c>
      <c r="X108" s="858">
        <f>SUMIF('Summary-E'!O$4:O$50,D108,'Summary-E'!Q$4:Q$50)</f>
        <v>0</v>
      </c>
      <c r="Y108" s="310">
        <f>ROUND((R108+S108/'Summary-E'!$M$63)*X108,2)</f>
        <v>0</v>
      </c>
      <c r="Z108" s="858">
        <f t="shared" si="5"/>
        <v>1.05</v>
      </c>
      <c r="AA108" s="813">
        <f t="shared" si="41"/>
        <v>0</v>
      </c>
      <c r="AB108" s="447">
        <f t="shared" si="37"/>
        <v>0.05</v>
      </c>
      <c r="AC108" s="310">
        <f t="shared" ref="AC108:AC172" si="46">ROUND((T108*(1+AB108)),2)</f>
        <v>0</v>
      </c>
      <c r="AD108" s="717">
        <f>ROUND(AC108*'[1]Summary E&amp;M'!$R$94,2)</f>
        <v>0</v>
      </c>
      <c r="AE108" s="826">
        <f t="shared" si="26"/>
        <v>0</v>
      </c>
      <c r="AF108" s="826">
        <f t="shared" si="27"/>
        <v>0</v>
      </c>
      <c r="AG108" s="744"/>
      <c r="AH108" s="728"/>
      <c r="AI108" s="519">
        <f t="shared" si="28"/>
        <v>0</v>
      </c>
      <c r="AJ108" s="519">
        <f t="shared" si="29"/>
        <v>0</v>
      </c>
      <c r="AK108" s="519">
        <f t="shared" si="30"/>
        <v>0</v>
      </c>
      <c r="AL108" s="520">
        <f t="shared" si="42"/>
        <v>0</v>
      </c>
      <c r="AM108" s="520">
        <f t="shared" si="43"/>
        <v>0</v>
      </c>
      <c r="AN108" s="520">
        <f t="shared" si="44"/>
        <v>0</v>
      </c>
      <c r="AO108" s="520">
        <f t="shared" si="45"/>
        <v>0</v>
      </c>
      <c r="AP108" s="719"/>
      <c r="AQ108" s="719"/>
      <c r="AR108" s="719"/>
      <c r="AS108" s="719"/>
      <c r="AT108" s="719"/>
    </row>
    <row r="109" spans="1:46" s="555" customFormat="1" ht="22.5" customHeight="1">
      <c r="A109" s="451"/>
      <c r="B109" s="531" t="s">
        <v>672</v>
      </c>
      <c r="C109" s="523"/>
      <c r="D109" s="524" t="s">
        <v>139</v>
      </c>
      <c r="E109" s="525" t="s">
        <v>322</v>
      </c>
      <c r="F109" s="1315">
        <f t="shared" si="38"/>
        <v>1</v>
      </c>
      <c r="G109" s="527">
        <f>ROUNDUP(AA109,2)</f>
        <v>509.25</v>
      </c>
      <c r="H109" s="528">
        <f>ROUND(F109*G109,2)</f>
        <v>509.25</v>
      </c>
      <c r="I109" s="529"/>
      <c r="J109" s="309"/>
      <c r="K109" s="1175">
        <v>1</v>
      </c>
      <c r="L109" s="530">
        <f t="shared" si="39"/>
        <v>157.5</v>
      </c>
      <c r="M109" s="530">
        <f t="shared" si="40"/>
        <v>157.5</v>
      </c>
      <c r="N109" s="309"/>
      <c r="O109" s="778" t="s">
        <v>130</v>
      </c>
      <c r="P109" s="777"/>
      <c r="Q109" s="777"/>
      <c r="R109" s="751">
        <v>500</v>
      </c>
      <c r="S109" s="752"/>
      <c r="T109" s="792">
        <v>120</v>
      </c>
      <c r="U109" s="803">
        <v>0</v>
      </c>
      <c r="V109" s="803">
        <v>0</v>
      </c>
      <c r="W109" s="803">
        <v>0</v>
      </c>
      <c r="X109" s="858">
        <f>SUMIF('Summary-E'!O$4:O$50,D109,'Summary-E'!Q$4:Q$50)</f>
        <v>0.97</v>
      </c>
      <c r="Y109" s="310">
        <f>ROUND((R109+S109/'Summary-E'!$M$63)*X109,2)</f>
        <v>485</v>
      </c>
      <c r="Z109" s="858">
        <f t="shared" si="5"/>
        <v>1.05</v>
      </c>
      <c r="AA109" s="813">
        <f t="shared" si="41"/>
        <v>509.25</v>
      </c>
      <c r="AB109" s="447">
        <f t="shared" si="37"/>
        <v>0.05</v>
      </c>
      <c r="AC109" s="310">
        <f t="shared" si="46"/>
        <v>126</v>
      </c>
      <c r="AD109" s="717">
        <f>ROUND(AC109*'[1]Summary E&amp;M'!$R$94,2)</f>
        <v>157.5</v>
      </c>
      <c r="AE109" s="826">
        <f t="shared" si="26"/>
        <v>485</v>
      </c>
      <c r="AF109" s="826">
        <f t="shared" si="27"/>
        <v>126</v>
      </c>
      <c r="AG109" s="744"/>
      <c r="AH109" s="728"/>
      <c r="AI109" s="519">
        <f t="shared" si="28"/>
        <v>0</v>
      </c>
      <c r="AJ109" s="519">
        <f t="shared" si="29"/>
        <v>0</v>
      </c>
      <c r="AK109" s="519">
        <f t="shared" si="30"/>
        <v>0</v>
      </c>
      <c r="AL109" s="520">
        <f t="shared" si="42"/>
        <v>0</v>
      </c>
      <c r="AM109" s="520">
        <f t="shared" si="43"/>
        <v>0</v>
      </c>
      <c r="AN109" s="520">
        <f t="shared" si="44"/>
        <v>0</v>
      </c>
      <c r="AO109" s="520">
        <f t="shared" si="45"/>
        <v>0</v>
      </c>
      <c r="AP109" s="719"/>
      <c r="AQ109" s="719"/>
      <c r="AR109" s="719"/>
      <c r="AS109" s="719"/>
      <c r="AT109" s="719"/>
    </row>
    <row r="110" spans="1:46" s="555" customFormat="1" ht="22.5" customHeight="1">
      <c r="A110" s="451"/>
      <c r="B110" s="531" t="s">
        <v>925</v>
      </c>
      <c r="C110" s="523"/>
      <c r="D110" s="1001">
        <v>151</v>
      </c>
      <c r="E110" s="525" t="s">
        <v>319</v>
      </c>
      <c r="F110" s="1315">
        <f t="shared" si="38"/>
        <v>1</v>
      </c>
      <c r="G110" s="527">
        <f>ROUNDUP(AA110,2)</f>
        <v>2037</v>
      </c>
      <c r="H110" s="528">
        <f>ROUND(F110*G110,2)</f>
        <v>2037</v>
      </c>
      <c r="I110" s="529"/>
      <c r="J110" s="309"/>
      <c r="K110" s="1175">
        <v>1</v>
      </c>
      <c r="L110" s="530">
        <f t="shared" si="39"/>
        <v>918.75</v>
      </c>
      <c r="M110" s="530">
        <f t="shared" si="40"/>
        <v>918.75</v>
      </c>
      <c r="N110" s="309"/>
      <c r="O110" s="778" t="s">
        <v>673</v>
      </c>
      <c r="P110" s="777"/>
      <c r="Q110" s="777"/>
      <c r="R110" s="882">
        <v>2000</v>
      </c>
      <c r="S110" s="883"/>
      <c r="T110" s="879">
        <v>700</v>
      </c>
      <c r="U110" s="803">
        <v>0</v>
      </c>
      <c r="V110" s="803">
        <v>0</v>
      </c>
      <c r="W110" s="803">
        <v>0</v>
      </c>
      <c r="X110" s="858">
        <f>SUMIF('Summary-E'!O$4:O$50,D110,'Summary-E'!Q$4:Q$50)</f>
        <v>0.97</v>
      </c>
      <c r="Y110" s="310">
        <f>ROUND((R110+S110/'Summary-E'!$M$63)*X110,2)</f>
        <v>1940</v>
      </c>
      <c r="Z110" s="858">
        <f t="shared" si="5"/>
        <v>1.05</v>
      </c>
      <c r="AA110" s="813">
        <f t="shared" si="41"/>
        <v>2037</v>
      </c>
      <c r="AB110" s="447">
        <f t="shared" si="37"/>
        <v>0.05</v>
      </c>
      <c r="AC110" s="310">
        <f t="shared" si="46"/>
        <v>735</v>
      </c>
      <c r="AD110" s="717">
        <f>ROUND(AC110*'[1]Summary E&amp;M'!$R$94,2)</f>
        <v>918.75</v>
      </c>
      <c r="AE110" s="826">
        <f t="shared" si="26"/>
        <v>1940</v>
      </c>
      <c r="AF110" s="826">
        <f t="shared" si="27"/>
        <v>735</v>
      </c>
      <c r="AG110" s="744"/>
      <c r="AH110" s="728"/>
      <c r="AI110" s="519">
        <f t="shared" si="28"/>
        <v>0</v>
      </c>
      <c r="AJ110" s="519">
        <f t="shared" si="29"/>
        <v>0</v>
      </c>
      <c r="AK110" s="519">
        <f t="shared" si="30"/>
        <v>0</v>
      </c>
      <c r="AL110" s="520">
        <f t="shared" si="42"/>
        <v>0</v>
      </c>
      <c r="AM110" s="520">
        <f t="shared" si="43"/>
        <v>0</v>
      </c>
      <c r="AN110" s="520">
        <f t="shared" si="44"/>
        <v>0</v>
      </c>
      <c r="AO110" s="520">
        <f t="shared" si="45"/>
        <v>0</v>
      </c>
      <c r="AP110" s="719"/>
      <c r="AQ110" s="719"/>
      <c r="AR110" s="719"/>
      <c r="AS110" s="719"/>
      <c r="AT110" s="719"/>
    </row>
    <row r="111" spans="1:46" s="555" customFormat="1" ht="22.5" customHeight="1">
      <c r="A111" s="451"/>
      <c r="B111" s="531" t="s">
        <v>676</v>
      </c>
      <c r="C111" s="523"/>
      <c r="D111" s="524" t="s">
        <v>132</v>
      </c>
      <c r="E111" s="525" t="s">
        <v>322</v>
      </c>
      <c r="F111" s="1315">
        <f t="shared" si="38"/>
        <v>1</v>
      </c>
      <c r="G111" s="527">
        <f>ROUNDUP(AA111,2)</f>
        <v>437.96</v>
      </c>
      <c r="H111" s="528">
        <f>ROUND(F111*G111,2)</f>
        <v>437.96</v>
      </c>
      <c r="I111" s="529"/>
      <c r="J111" s="309"/>
      <c r="K111" s="1175">
        <v>1</v>
      </c>
      <c r="L111" s="530">
        <f t="shared" si="39"/>
        <v>19.690000000000001</v>
      </c>
      <c r="M111" s="530">
        <f t="shared" si="40"/>
        <v>19.690000000000001</v>
      </c>
      <c r="N111" s="309"/>
      <c r="O111" s="778">
        <v>151</v>
      </c>
      <c r="P111" s="777"/>
      <c r="Q111" s="777"/>
      <c r="R111" s="751">
        <v>430</v>
      </c>
      <c r="S111" s="752"/>
      <c r="T111" s="792">
        <v>15</v>
      </c>
      <c r="U111" s="803">
        <v>0</v>
      </c>
      <c r="V111" s="803">
        <v>0</v>
      </c>
      <c r="W111" s="803">
        <v>0</v>
      </c>
      <c r="X111" s="858">
        <f>SUMIF('Summary-E'!O$4:O$50,D111,'Summary-E'!Q$4:Q$50)</f>
        <v>0.97</v>
      </c>
      <c r="Y111" s="310">
        <f>ROUND((R111+S111/'Summary-E'!$M$63)*X111,2)</f>
        <v>417.1</v>
      </c>
      <c r="Z111" s="858">
        <f t="shared" si="5"/>
        <v>1.05</v>
      </c>
      <c r="AA111" s="813">
        <f t="shared" si="41"/>
        <v>437.96</v>
      </c>
      <c r="AB111" s="447">
        <f t="shared" si="37"/>
        <v>0.05</v>
      </c>
      <c r="AC111" s="310">
        <f t="shared" si="46"/>
        <v>15.75</v>
      </c>
      <c r="AD111" s="717">
        <f>ROUND(AC111*'[1]Summary E&amp;M'!$R$94,2)</f>
        <v>19.690000000000001</v>
      </c>
      <c r="AE111" s="826">
        <f t="shared" si="26"/>
        <v>417.1</v>
      </c>
      <c r="AF111" s="826">
        <f t="shared" si="27"/>
        <v>15.75</v>
      </c>
      <c r="AG111" s="744"/>
      <c r="AH111" s="728"/>
      <c r="AI111" s="519">
        <f t="shared" si="28"/>
        <v>0</v>
      </c>
      <c r="AJ111" s="519">
        <f t="shared" si="29"/>
        <v>0</v>
      </c>
      <c r="AK111" s="519">
        <f t="shared" si="30"/>
        <v>0</v>
      </c>
      <c r="AL111" s="520">
        <f t="shared" si="42"/>
        <v>0</v>
      </c>
      <c r="AM111" s="520">
        <f t="shared" si="43"/>
        <v>0</v>
      </c>
      <c r="AN111" s="520">
        <f t="shared" si="44"/>
        <v>0</v>
      </c>
      <c r="AO111" s="520">
        <f t="shared" si="45"/>
        <v>0</v>
      </c>
      <c r="AP111" s="719"/>
      <c r="AQ111" s="719"/>
      <c r="AR111" s="719"/>
      <c r="AS111" s="719"/>
      <c r="AT111" s="719"/>
    </row>
    <row r="112" spans="1:46" s="555" customFormat="1" ht="22.5" customHeight="1">
      <c r="A112" s="620"/>
      <c r="B112" s="522"/>
      <c r="C112" s="523"/>
      <c r="D112" s="524"/>
      <c r="E112" s="525"/>
      <c r="F112" s="1316"/>
      <c r="G112" s="527"/>
      <c r="H112" s="528"/>
      <c r="I112" s="529"/>
      <c r="J112" s="311"/>
      <c r="K112" s="1176"/>
      <c r="L112" s="530"/>
      <c r="M112" s="530"/>
      <c r="N112" s="309"/>
      <c r="O112" s="776"/>
      <c r="P112" s="777"/>
      <c r="Q112" s="777"/>
      <c r="R112" s="751"/>
      <c r="S112" s="752"/>
      <c r="T112" s="792"/>
      <c r="U112" s="803"/>
      <c r="V112" s="803"/>
      <c r="W112" s="803"/>
      <c r="X112" s="858">
        <f>SUMIF('Summary-E'!O$4:O$50,D112,'Summary-E'!Q$4:Q$50)</f>
        <v>0</v>
      </c>
      <c r="Y112" s="310">
        <f>ROUND((R112+S112/'Summary-E'!$M$63)*X112,2)</f>
        <v>0</v>
      </c>
      <c r="Z112" s="858">
        <f t="shared" si="5"/>
        <v>1.05</v>
      </c>
      <c r="AA112" s="813"/>
      <c r="AB112" s="447"/>
      <c r="AC112" s="310">
        <f t="shared" si="46"/>
        <v>0</v>
      </c>
      <c r="AD112" s="717">
        <f>ROUND(AC112*'[1]Summary E&amp;M'!$R$94,2)</f>
        <v>0</v>
      </c>
      <c r="AE112" s="826">
        <f t="shared" si="26"/>
        <v>0</v>
      </c>
      <c r="AF112" s="826">
        <f t="shared" si="27"/>
        <v>0</v>
      </c>
      <c r="AG112" s="744"/>
      <c r="AH112" s="728"/>
      <c r="AI112" s="519">
        <f t="shared" si="28"/>
        <v>0</v>
      </c>
      <c r="AJ112" s="519">
        <f t="shared" si="29"/>
        <v>0</v>
      </c>
      <c r="AK112" s="519">
        <f t="shared" si="30"/>
        <v>0</v>
      </c>
      <c r="AL112" s="520">
        <f t="shared" si="42"/>
        <v>0</v>
      </c>
      <c r="AM112" s="520">
        <f t="shared" si="43"/>
        <v>0</v>
      </c>
      <c r="AN112" s="520">
        <f t="shared" si="44"/>
        <v>0</v>
      </c>
      <c r="AO112" s="520">
        <f t="shared" si="45"/>
        <v>0</v>
      </c>
      <c r="AP112" s="719"/>
      <c r="AQ112" s="719"/>
      <c r="AR112" s="719"/>
      <c r="AS112" s="719"/>
      <c r="AT112" s="719"/>
    </row>
    <row r="113" spans="1:46" s="555" customFormat="1" ht="22.5" customHeight="1">
      <c r="A113" s="451"/>
      <c r="B113" s="531" t="s">
        <v>669</v>
      </c>
      <c r="C113" s="523" t="s">
        <v>1086</v>
      </c>
      <c r="D113" s="1001" t="s">
        <v>1115</v>
      </c>
      <c r="E113" s="525" t="s">
        <v>321</v>
      </c>
      <c r="F113" s="1314">
        <f>ROUND(K113*'Summary-E'!$K$61,0)</f>
        <v>46</v>
      </c>
      <c r="G113" s="527">
        <f>ROUNDUP(AA113,2)</f>
        <v>20.92</v>
      </c>
      <c r="H113" s="528">
        <f>ROUND(F113*G113,2)</f>
        <v>962.32</v>
      </c>
      <c r="I113" s="529"/>
      <c r="J113" s="309"/>
      <c r="K113" s="1097">
        <f>25+19</f>
        <v>44</v>
      </c>
      <c r="L113" s="530">
        <f>ROUND(AD113,2)</f>
        <v>3.29</v>
      </c>
      <c r="M113" s="530">
        <f>ROUND(L113*F113,2)</f>
        <v>151.34</v>
      </c>
      <c r="N113" s="309"/>
      <c r="O113" s="778">
        <v>131</v>
      </c>
      <c r="P113" s="777"/>
      <c r="Q113" s="777"/>
      <c r="R113" s="751"/>
      <c r="S113" s="1098">
        <v>414250</v>
      </c>
      <c r="T113" s="792">
        <v>2.5</v>
      </c>
      <c r="U113" s="803">
        <v>0</v>
      </c>
      <c r="V113" s="803">
        <v>0</v>
      </c>
      <c r="W113" s="803">
        <v>0</v>
      </c>
      <c r="X113" s="858">
        <v>1</v>
      </c>
      <c r="Y113" s="310">
        <f>ROUND((R113+S113/'Summary-E'!$M$63)*X113,2)</f>
        <v>19.920000000000002</v>
      </c>
      <c r="Z113" s="858">
        <f t="shared" si="5"/>
        <v>1.05</v>
      </c>
      <c r="AA113" s="813">
        <f>ROUND(Y113*Z113,2)</f>
        <v>20.92</v>
      </c>
      <c r="AB113" s="447">
        <f>$AB$3</f>
        <v>0.05</v>
      </c>
      <c r="AC113" s="310">
        <f>ROUND((T113*(1+AB113)),2)</f>
        <v>2.63</v>
      </c>
      <c r="AD113" s="717">
        <f>ROUND(AC113*'[1]Summary E&amp;M'!$R$94,2)</f>
        <v>3.29</v>
      </c>
      <c r="AE113" s="826">
        <f>ROUND($K113*$Y113,2)</f>
        <v>876.48</v>
      </c>
      <c r="AF113" s="826">
        <f>ROUND($K113*$AC113,2)</f>
        <v>115.72</v>
      </c>
      <c r="AG113" s="744"/>
      <c r="AH113" s="728"/>
      <c r="AI113" s="519">
        <f t="shared" si="28"/>
        <v>0</v>
      </c>
      <c r="AJ113" s="519">
        <f t="shared" si="29"/>
        <v>0</v>
      </c>
      <c r="AK113" s="519">
        <f t="shared" si="30"/>
        <v>0</v>
      </c>
      <c r="AL113" s="520">
        <f t="shared" si="42"/>
        <v>0</v>
      </c>
      <c r="AM113" s="520">
        <f t="shared" si="43"/>
        <v>0</v>
      </c>
      <c r="AN113" s="520">
        <f t="shared" si="44"/>
        <v>0</v>
      </c>
      <c r="AO113" s="520">
        <f t="shared" si="45"/>
        <v>0</v>
      </c>
      <c r="AP113" s="719"/>
      <c r="AQ113" s="719"/>
      <c r="AR113" s="719"/>
      <c r="AS113" s="719"/>
      <c r="AT113" s="719"/>
    </row>
    <row r="114" spans="1:46" s="555" customFormat="1" ht="22.5" customHeight="1">
      <c r="A114" s="451"/>
      <c r="B114" s="531" t="s">
        <v>670</v>
      </c>
      <c r="C114" s="523" t="s">
        <v>1179</v>
      </c>
      <c r="D114" s="1001">
        <v>132</v>
      </c>
      <c r="E114" s="525" t="s">
        <v>319</v>
      </c>
      <c r="F114" s="1315">
        <f>K114</f>
        <v>1</v>
      </c>
      <c r="G114" s="527">
        <f>ROUNDUP(AA114,2)</f>
        <v>298.69</v>
      </c>
      <c r="H114" s="528">
        <f>ROUND(F114*G114,2)</f>
        <v>298.69</v>
      </c>
      <c r="I114" s="529"/>
      <c r="J114" s="309"/>
      <c r="K114" s="1097">
        <v>1</v>
      </c>
      <c r="L114" s="530">
        <f>ROUND(AD114,2)</f>
        <v>131.25</v>
      </c>
      <c r="M114" s="530">
        <f>ROUND(L114*F114,2)</f>
        <v>131.25</v>
      </c>
      <c r="N114" s="309"/>
      <c r="O114" s="778">
        <v>132</v>
      </c>
      <c r="P114" s="777"/>
      <c r="Q114" s="777"/>
      <c r="R114" s="751"/>
      <c r="S114" s="752">
        <v>6100000</v>
      </c>
      <c r="T114" s="792">
        <v>100</v>
      </c>
      <c r="U114" s="803">
        <v>0</v>
      </c>
      <c r="V114" s="803">
        <v>0</v>
      </c>
      <c r="W114" s="803">
        <v>0</v>
      </c>
      <c r="X114" s="858">
        <f>SUMIF('Summary-E'!O$4:O$50,D114,'Summary-E'!Q$4:Q$50)</f>
        <v>0.97</v>
      </c>
      <c r="Y114" s="310">
        <f>ROUND((R114+S114/'Summary-E'!$M$63)*X114,2)</f>
        <v>284.47000000000003</v>
      </c>
      <c r="Z114" s="858">
        <f t="shared" si="5"/>
        <v>1.05</v>
      </c>
      <c r="AA114" s="813">
        <f>ROUND(Y114*Z114,2)</f>
        <v>298.69</v>
      </c>
      <c r="AB114" s="447">
        <f>$AB$3</f>
        <v>0.05</v>
      </c>
      <c r="AC114" s="310">
        <f t="shared" ref="AC114" si="47">ROUND((T114*(1+AB114)),2)</f>
        <v>105</v>
      </c>
      <c r="AD114" s="717">
        <f>ROUND(AC114*'[1]Summary E&amp;M'!$R$94,2)</f>
        <v>131.25</v>
      </c>
      <c r="AE114" s="826">
        <f t="shared" ref="AE114" si="48">ROUND($K114*$Y114,2)</f>
        <v>284.47000000000003</v>
      </c>
      <c r="AF114" s="826">
        <f t="shared" ref="AF114" si="49">ROUND($K114*$AC114,2)</f>
        <v>105</v>
      </c>
      <c r="AG114" s="744"/>
      <c r="AH114" s="728"/>
      <c r="AI114" s="519">
        <f t="shared" si="28"/>
        <v>0</v>
      </c>
      <c r="AJ114" s="519">
        <f t="shared" si="29"/>
        <v>0</v>
      </c>
      <c r="AK114" s="519">
        <f t="shared" si="30"/>
        <v>0</v>
      </c>
      <c r="AL114" s="520">
        <f t="shared" si="42"/>
        <v>0</v>
      </c>
      <c r="AM114" s="520">
        <f t="shared" si="43"/>
        <v>0</v>
      </c>
      <c r="AN114" s="520">
        <f t="shared" si="44"/>
        <v>0</v>
      </c>
      <c r="AO114" s="520">
        <f t="shared" si="45"/>
        <v>0</v>
      </c>
      <c r="AP114" s="719"/>
      <c r="AQ114" s="719"/>
      <c r="AR114" s="719"/>
      <c r="AS114" s="719"/>
      <c r="AT114" s="719"/>
    </row>
    <row r="115" spans="1:46" s="555" customFormat="1" ht="22.5" customHeight="1">
      <c r="A115" s="451"/>
      <c r="B115" s="531" t="s">
        <v>670</v>
      </c>
      <c r="C115" s="523" t="s">
        <v>1087</v>
      </c>
      <c r="D115" s="1001">
        <v>132</v>
      </c>
      <c r="E115" s="525" t="s">
        <v>319</v>
      </c>
      <c r="F115" s="1315">
        <f>K115</f>
        <v>4</v>
      </c>
      <c r="G115" s="527">
        <f>ROUNDUP(AA115,2)</f>
        <v>166.49</v>
      </c>
      <c r="H115" s="528">
        <f>ROUND(F115*G115,2)</f>
        <v>665.96</v>
      </c>
      <c r="I115" s="529"/>
      <c r="J115" s="309"/>
      <c r="K115" s="1097">
        <v>4</v>
      </c>
      <c r="L115" s="530">
        <f>ROUND(AD115,2)</f>
        <v>131.25</v>
      </c>
      <c r="M115" s="530">
        <f>ROUND(L115*F115,2)</f>
        <v>525</v>
      </c>
      <c r="N115" s="309"/>
      <c r="O115" s="778">
        <v>132</v>
      </c>
      <c r="P115" s="777"/>
      <c r="Q115" s="777"/>
      <c r="R115" s="751"/>
      <c r="S115" s="752">
        <v>3400000</v>
      </c>
      <c r="T115" s="792">
        <v>100</v>
      </c>
      <c r="U115" s="803">
        <v>0</v>
      </c>
      <c r="V115" s="803">
        <v>0</v>
      </c>
      <c r="W115" s="803">
        <v>0</v>
      </c>
      <c r="X115" s="858">
        <f>SUMIF('Summary-E'!O$4:O$50,D115,'Summary-E'!Q$4:Q$50)</f>
        <v>0.97</v>
      </c>
      <c r="Y115" s="310">
        <f>ROUND((R115+S115/'Summary-E'!$M$63)*X115,2)</f>
        <v>158.56</v>
      </c>
      <c r="Z115" s="858">
        <f t="shared" si="5"/>
        <v>1.05</v>
      </c>
      <c r="AA115" s="813">
        <f>ROUND(Y115*Z115,2)</f>
        <v>166.49</v>
      </c>
      <c r="AB115" s="447">
        <f>$AB$3</f>
        <v>0.05</v>
      </c>
      <c r="AC115" s="310">
        <f t="shared" si="46"/>
        <v>105</v>
      </c>
      <c r="AD115" s="717">
        <f>ROUND(AC115*'[1]Summary E&amp;M'!$R$94,2)</f>
        <v>131.25</v>
      </c>
      <c r="AE115" s="826">
        <f t="shared" si="26"/>
        <v>634.24</v>
      </c>
      <c r="AF115" s="826">
        <f t="shared" si="27"/>
        <v>420</v>
      </c>
      <c r="AG115" s="744"/>
      <c r="AH115" s="728"/>
      <c r="AI115" s="519">
        <f t="shared" si="28"/>
        <v>0</v>
      </c>
      <c r="AJ115" s="519">
        <f t="shared" si="29"/>
        <v>0</v>
      </c>
      <c r="AK115" s="519">
        <f t="shared" si="30"/>
        <v>0</v>
      </c>
      <c r="AL115" s="520">
        <f t="shared" si="42"/>
        <v>0</v>
      </c>
      <c r="AM115" s="520">
        <f t="shared" si="43"/>
        <v>0</v>
      </c>
      <c r="AN115" s="520">
        <f t="shared" si="44"/>
        <v>0</v>
      </c>
      <c r="AO115" s="520">
        <f t="shared" si="45"/>
        <v>0</v>
      </c>
      <c r="AP115" s="719"/>
      <c r="AQ115" s="719"/>
      <c r="AR115" s="719"/>
      <c r="AS115" s="719"/>
      <c r="AT115" s="719"/>
    </row>
    <row r="116" spans="1:46" s="555" customFormat="1" ht="22.5" customHeight="1">
      <c r="A116" s="451"/>
      <c r="B116" s="531" t="s">
        <v>792</v>
      </c>
      <c r="C116" s="523" t="s">
        <v>1030</v>
      </c>
      <c r="D116" s="524">
        <v>121</v>
      </c>
      <c r="E116" s="525" t="s">
        <v>321</v>
      </c>
      <c r="F116" s="1314">
        <f>ROUND(K116*'Summary-E'!$K$61,0)</f>
        <v>21</v>
      </c>
      <c r="G116" s="527">
        <f t="shared" ref="G116:G118" si="50">ROUNDUP(AA116,2)</f>
        <v>12.12</v>
      </c>
      <c r="H116" s="528">
        <f>ROUND(F116*G116,2)</f>
        <v>254.52</v>
      </c>
      <c r="I116" s="529"/>
      <c r="J116" s="309"/>
      <c r="K116" s="1175">
        <v>20</v>
      </c>
      <c r="L116" s="530">
        <f>ROUND(AD116,2)</f>
        <v>3.94</v>
      </c>
      <c r="M116" s="530">
        <f t="shared" ref="M116:M118" si="51">ROUND(L116*F116,2)</f>
        <v>82.74</v>
      </c>
      <c r="N116" s="309"/>
      <c r="O116" s="778">
        <v>121</v>
      </c>
      <c r="P116" s="777"/>
      <c r="Q116" s="777"/>
      <c r="R116" s="751"/>
      <c r="S116" s="752">
        <v>240000</v>
      </c>
      <c r="T116" s="792">
        <v>3</v>
      </c>
      <c r="U116" s="803">
        <v>0</v>
      </c>
      <c r="V116" s="803">
        <v>0</v>
      </c>
      <c r="W116" s="803">
        <v>0</v>
      </c>
      <c r="X116" s="858">
        <v>1</v>
      </c>
      <c r="Y116" s="310">
        <f>ROUND((R116+S116/'Summary-E'!$M$63)*X116,2)</f>
        <v>11.54</v>
      </c>
      <c r="Z116" s="858">
        <f t="shared" si="5"/>
        <v>1.05</v>
      </c>
      <c r="AA116" s="813">
        <f>ROUND(Y116*Z116,2)</f>
        <v>12.12</v>
      </c>
      <c r="AB116" s="447">
        <f t="shared" ref="AB116:AB118" si="52">$AB$3</f>
        <v>0.05</v>
      </c>
      <c r="AC116" s="310">
        <f t="shared" si="46"/>
        <v>3.15</v>
      </c>
      <c r="AD116" s="717">
        <f>ROUND(AC116*'[1]Summary E&amp;M'!$R$94,2)</f>
        <v>3.94</v>
      </c>
      <c r="AE116" s="826">
        <f>ROUND($K116*$Y116,2)</f>
        <v>230.8</v>
      </c>
      <c r="AF116" s="826">
        <f>ROUND($K116*$AC116,2)</f>
        <v>63</v>
      </c>
      <c r="AG116" s="731"/>
      <c r="AH116" s="732"/>
      <c r="AI116" s="519">
        <f>$U116</f>
        <v>0</v>
      </c>
      <c r="AJ116" s="519">
        <f>$V116</f>
        <v>0</v>
      </c>
      <c r="AK116" s="519">
        <f>$W116</f>
        <v>0</v>
      </c>
      <c r="AL116" s="520">
        <f t="shared" si="42"/>
        <v>0</v>
      </c>
      <c r="AM116" s="520">
        <f t="shared" si="43"/>
        <v>0</v>
      </c>
      <c r="AN116" s="520">
        <f t="shared" si="44"/>
        <v>0</v>
      </c>
      <c r="AO116" s="520">
        <f t="shared" si="45"/>
        <v>0</v>
      </c>
      <c r="AP116" s="719"/>
      <c r="AQ116" s="719"/>
      <c r="AR116" s="719"/>
      <c r="AS116" s="719"/>
      <c r="AT116" s="719"/>
    </row>
    <row r="117" spans="1:46" s="555" customFormat="1" ht="22.5" customHeight="1">
      <c r="A117" s="451"/>
      <c r="B117" s="531" t="s">
        <v>400</v>
      </c>
      <c r="C117" s="523"/>
      <c r="D117" s="524">
        <v>121</v>
      </c>
      <c r="E117" s="525" t="s">
        <v>322</v>
      </c>
      <c r="F117" s="1315">
        <f>K117</f>
        <v>1</v>
      </c>
      <c r="G117" s="527">
        <f t="shared" si="50"/>
        <v>105.78</v>
      </c>
      <c r="H117" s="528">
        <f t="shared" ref="H117:H118" si="53">ROUND(F117*G117,2)</f>
        <v>105.78</v>
      </c>
      <c r="I117" s="529"/>
      <c r="J117" s="309"/>
      <c r="K117" s="1175">
        <v>1</v>
      </c>
      <c r="L117" s="530">
        <f t="shared" ref="L117:L118" si="54">ROUND(AD117,2)</f>
        <v>27.26</v>
      </c>
      <c r="M117" s="530">
        <f t="shared" si="51"/>
        <v>27.26</v>
      </c>
      <c r="N117" s="309"/>
      <c r="O117" s="778" t="s">
        <v>139</v>
      </c>
      <c r="P117" s="777">
        <v>0.45</v>
      </c>
      <c r="Q117" s="777"/>
      <c r="R117" s="751">
        <f>ROUND(SUM(AE116:AE116)*P117,2)</f>
        <v>103.86</v>
      </c>
      <c r="S117" s="752"/>
      <c r="T117" s="792">
        <f>R117*0.2</f>
        <v>20.772000000000002</v>
      </c>
      <c r="U117" s="803">
        <v>0</v>
      </c>
      <c r="V117" s="803">
        <v>0</v>
      </c>
      <c r="W117" s="803">
        <v>0</v>
      </c>
      <c r="X117" s="858">
        <f>SUMIF('Summary-E'!O$4:O$50,D117,'Summary-E'!Q$4:Q$50)</f>
        <v>0.97</v>
      </c>
      <c r="Y117" s="310">
        <f>ROUND((R117+S117/'Summary-E'!$M$63)*X117,2)</f>
        <v>100.74</v>
      </c>
      <c r="Z117" s="858">
        <f t="shared" si="5"/>
        <v>1.05</v>
      </c>
      <c r="AA117" s="813">
        <f t="shared" ref="AA117:AA118" si="55">ROUND(Y117*Z117,2)</f>
        <v>105.78</v>
      </c>
      <c r="AB117" s="447">
        <f t="shared" si="52"/>
        <v>0.05</v>
      </c>
      <c r="AC117" s="310">
        <f t="shared" si="46"/>
        <v>21.81</v>
      </c>
      <c r="AD117" s="717">
        <f>ROUND(AC117*'[1]Summary E&amp;M'!$R$94,2)</f>
        <v>27.26</v>
      </c>
      <c r="AE117" s="826">
        <f t="shared" ref="AE117:AE119" si="56">ROUND($K117*$Y117,2)</f>
        <v>100.74</v>
      </c>
      <c r="AF117" s="826">
        <f t="shared" ref="AF117:AF119" si="57">ROUND($K117*$AC117,2)</f>
        <v>21.81</v>
      </c>
      <c r="AG117" s="731"/>
      <c r="AH117" s="732"/>
      <c r="AI117" s="519">
        <f t="shared" ref="AI117:AI118" si="58">$U117</f>
        <v>0</v>
      </c>
      <c r="AJ117" s="519">
        <f t="shared" ref="AJ117:AJ118" si="59">$V117</f>
        <v>0</v>
      </c>
      <c r="AK117" s="519">
        <f t="shared" ref="AK117:AK118" si="60">$W117</f>
        <v>0</v>
      </c>
      <c r="AL117" s="520">
        <f t="shared" si="42"/>
        <v>0</v>
      </c>
      <c r="AM117" s="520">
        <f t="shared" si="43"/>
        <v>0</v>
      </c>
      <c r="AN117" s="520">
        <f t="shared" si="44"/>
        <v>0</v>
      </c>
      <c r="AO117" s="520">
        <f t="shared" si="45"/>
        <v>0</v>
      </c>
      <c r="AP117" s="719"/>
      <c r="AQ117" s="719"/>
      <c r="AR117" s="719"/>
      <c r="AS117" s="719"/>
      <c r="AT117" s="719"/>
    </row>
    <row r="118" spans="1:46" s="555" customFormat="1" ht="22.5" customHeight="1">
      <c r="A118" s="451"/>
      <c r="B118" s="531" t="s">
        <v>677</v>
      </c>
      <c r="C118" s="523"/>
      <c r="D118" s="524" t="s">
        <v>139</v>
      </c>
      <c r="E118" s="525" t="s">
        <v>322</v>
      </c>
      <c r="F118" s="1315">
        <f>K118</f>
        <v>1</v>
      </c>
      <c r="G118" s="527">
        <f t="shared" si="50"/>
        <v>497.66</v>
      </c>
      <c r="H118" s="528">
        <f t="shared" si="53"/>
        <v>497.66</v>
      </c>
      <c r="I118" s="529"/>
      <c r="J118" s="309"/>
      <c r="K118" s="1175">
        <v>1</v>
      </c>
      <c r="L118" s="530">
        <f t="shared" si="54"/>
        <v>192.4</v>
      </c>
      <c r="M118" s="530">
        <f t="shared" si="51"/>
        <v>192.4</v>
      </c>
      <c r="N118" s="309"/>
      <c r="O118" s="778" t="s">
        <v>130</v>
      </c>
      <c r="P118" s="777">
        <v>0.2</v>
      </c>
      <c r="Q118" s="777"/>
      <c r="R118" s="751">
        <f>ROUND(SUM(AE111:AE116)*P118,2)</f>
        <v>488.62</v>
      </c>
      <c r="S118" s="752"/>
      <c r="T118" s="792">
        <f>R118*0.3</f>
        <v>146.58599999999998</v>
      </c>
      <c r="U118" s="803">
        <v>0</v>
      </c>
      <c r="V118" s="803">
        <v>0</v>
      </c>
      <c r="W118" s="803">
        <v>0</v>
      </c>
      <c r="X118" s="858">
        <f>SUMIF('Summary-E'!O$4:O$50,D118,'Summary-E'!Q$4:Q$50)</f>
        <v>0.97</v>
      </c>
      <c r="Y118" s="310">
        <f>ROUND((R118+S118/'Summary-E'!$M$63)*X118,2)</f>
        <v>473.96</v>
      </c>
      <c r="Z118" s="858">
        <f t="shared" si="5"/>
        <v>1.05</v>
      </c>
      <c r="AA118" s="813">
        <f t="shared" si="55"/>
        <v>497.66</v>
      </c>
      <c r="AB118" s="447">
        <f t="shared" si="52"/>
        <v>0.05</v>
      </c>
      <c r="AC118" s="310">
        <f t="shared" si="46"/>
        <v>153.91999999999999</v>
      </c>
      <c r="AD118" s="717">
        <f>ROUND(AC118*'[1]Summary E&amp;M'!$R$94,2)</f>
        <v>192.4</v>
      </c>
      <c r="AE118" s="826">
        <f t="shared" si="56"/>
        <v>473.96</v>
      </c>
      <c r="AF118" s="826">
        <f t="shared" si="57"/>
        <v>153.91999999999999</v>
      </c>
      <c r="AG118" s="731"/>
      <c r="AH118" s="732"/>
      <c r="AI118" s="519">
        <f t="shared" si="58"/>
        <v>0</v>
      </c>
      <c r="AJ118" s="519">
        <f t="shared" si="59"/>
        <v>0</v>
      </c>
      <c r="AK118" s="519">
        <f t="shared" si="60"/>
        <v>0</v>
      </c>
      <c r="AL118" s="520">
        <f t="shared" si="42"/>
        <v>0</v>
      </c>
      <c r="AM118" s="520">
        <f t="shared" si="43"/>
        <v>0</v>
      </c>
      <c r="AN118" s="520">
        <f t="shared" si="44"/>
        <v>0</v>
      </c>
      <c r="AO118" s="520">
        <f t="shared" si="45"/>
        <v>0</v>
      </c>
      <c r="AP118" s="719"/>
      <c r="AQ118" s="719"/>
      <c r="AR118" s="719"/>
      <c r="AS118" s="719"/>
      <c r="AT118" s="719"/>
    </row>
    <row r="119" spans="1:46" s="555" customFormat="1" ht="22.5" customHeight="1">
      <c r="A119" s="451"/>
      <c r="B119" s="531" t="s">
        <v>401</v>
      </c>
      <c r="C119" s="523"/>
      <c r="D119" s="524">
        <v>159</v>
      </c>
      <c r="E119" s="525" t="s">
        <v>322</v>
      </c>
      <c r="F119" s="1315">
        <f>K119</f>
        <v>1</v>
      </c>
      <c r="G119" s="527">
        <f>ROUNDUP(AA119,2)</f>
        <v>435.26</v>
      </c>
      <c r="H119" s="528">
        <f>ROUND(F119*G119,2)</f>
        <v>435.26</v>
      </c>
      <c r="I119" s="529"/>
      <c r="J119" s="309"/>
      <c r="K119" s="1175">
        <v>1</v>
      </c>
      <c r="L119" s="530">
        <f>ROUND(AD119,2)</f>
        <v>0</v>
      </c>
      <c r="M119" s="530">
        <f>ROUND(L119*F119,2)</f>
        <v>0</v>
      </c>
      <c r="N119" s="309"/>
      <c r="O119" s="778">
        <v>159</v>
      </c>
      <c r="P119" s="777">
        <v>0.01</v>
      </c>
      <c r="Q119" s="777"/>
      <c r="R119" s="751">
        <f>ROUND(SUM(AE93:AE118)*P119,2)</f>
        <v>427.35</v>
      </c>
      <c r="S119" s="752"/>
      <c r="T119" s="792"/>
      <c r="U119" s="803">
        <v>0</v>
      </c>
      <c r="V119" s="803">
        <v>0</v>
      </c>
      <c r="W119" s="803">
        <v>0</v>
      </c>
      <c r="X119" s="858">
        <f>SUMIF('Summary-E'!O$4:O$50,D119,'Summary-E'!Q$4:Q$50)</f>
        <v>0.97</v>
      </c>
      <c r="Y119" s="310">
        <f>ROUND((R119+S119/'Summary-E'!$M$63)*X119,2)</f>
        <v>414.53</v>
      </c>
      <c r="Z119" s="858">
        <f t="shared" si="5"/>
        <v>1.05</v>
      </c>
      <c r="AA119" s="813">
        <f>ROUND(Y119*Z119,2)</f>
        <v>435.26</v>
      </c>
      <c r="AB119" s="447">
        <f>$AB$3</f>
        <v>0.05</v>
      </c>
      <c r="AC119" s="310">
        <f t="shared" si="46"/>
        <v>0</v>
      </c>
      <c r="AD119" s="717">
        <f>ROUND(AC119*'[1]Summary E&amp;M'!$R$94,2)</f>
        <v>0</v>
      </c>
      <c r="AE119" s="826">
        <f t="shared" si="56"/>
        <v>414.53</v>
      </c>
      <c r="AF119" s="826">
        <f t="shared" si="57"/>
        <v>0</v>
      </c>
      <c r="AG119" s="731"/>
      <c r="AH119" s="732"/>
      <c r="AI119" s="519">
        <f>$U119</f>
        <v>0</v>
      </c>
      <c r="AJ119" s="519">
        <f>$V119</f>
        <v>0</v>
      </c>
      <c r="AK119" s="519">
        <f>$W119</f>
        <v>0</v>
      </c>
      <c r="AL119" s="520">
        <f>ROUND(Y119*AI119+((Y119*(1+AI119))*AJ119)+((Y119*AI119+((Y119*(1+AI119))*AJ119))*AK119),2)</f>
        <v>0</v>
      </c>
      <c r="AM119" s="520">
        <f>AL119*$F119</f>
        <v>0</v>
      </c>
      <c r="AN119" s="520">
        <f>ROUND(AL119*Z119,2)</f>
        <v>0</v>
      </c>
      <c r="AO119" s="520">
        <f>AN119*$F119</f>
        <v>0</v>
      </c>
      <c r="AP119" s="719"/>
      <c r="AQ119" s="719"/>
      <c r="AR119" s="719"/>
      <c r="AS119" s="719"/>
      <c r="AT119" s="719"/>
    </row>
    <row r="120" spans="1:46" s="555" customFormat="1" ht="22.5" customHeight="1">
      <c r="A120" s="451"/>
      <c r="B120" s="531"/>
      <c r="C120" s="523"/>
      <c r="D120" s="524"/>
      <c r="E120" s="525"/>
      <c r="F120" s="1314"/>
      <c r="G120" s="527"/>
      <c r="H120" s="528"/>
      <c r="I120" s="529"/>
      <c r="J120" s="309"/>
      <c r="K120" s="1175"/>
      <c r="L120" s="530"/>
      <c r="M120" s="530"/>
      <c r="N120" s="309"/>
      <c r="O120" s="778"/>
      <c r="P120" s="777"/>
      <c r="Q120" s="777"/>
      <c r="R120" s="751"/>
      <c r="S120" s="752"/>
      <c r="T120" s="792"/>
      <c r="U120" s="803"/>
      <c r="V120" s="803"/>
      <c r="W120" s="803"/>
      <c r="X120" s="858">
        <f>SUMIF('Summary-E'!O$4:O$50,D120,'Summary-E'!Q$4:Q$50)</f>
        <v>0</v>
      </c>
      <c r="Y120" s="310">
        <f>ROUND((R120+S120/'Summary-E'!$M$63)*X120,2)</f>
        <v>0</v>
      </c>
      <c r="Z120" s="858">
        <f t="shared" si="5"/>
        <v>1.05</v>
      </c>
      <c r="AA120" s="813"/>
      <c r="AB120" s="447"/>
      <c r="AC120" s="310">
        <f t="shared" si="46"/>
        <v>0</v>
      </c>
      <c r="AD120" s="717">
        <f>ROUND(AC120*'[1]Summary E&amp;M'!$R$94,2)</f>
        <v>0</v>
      </c>
      <c r="AE120" s="826">
        <f t="shared" si="26"/>
        <v>0</v>
      </c>
      <c r="AF120" s="826">
        <f t="shared" si="27"/>
        <v>0</v>
      </c>
      <c r="AG120" s="744"/>
      <c r="AH120" s="728"/>
      <c r="AI120" s="519">
        <f t="shared" si="28"/>
        <v>0</v>
      </c>
      <c r="AJ120" s="519">
        <f t="shared" si="29"/>
        <v>0</v>
      </c>
      <c r="AK120" s="519">
        <f t="shared" si="30"/>
        <v>0</v>
      </c>
      <c r="AL120" s="520">
        <f t="shared" si="42"/>
        <v>0</v>
      </c>
      <c r="AM120" s="520">
        <f t="shared" si="43"/>
        <v>0</v>
      </c>
      <c r="AN120" s="520">
        <f t="shared" si="44"/>
        <v>0</v>
      </c>
      <c r="AO120" s="520">
        <f t="shared" si="45"/>
        <v>0</v>
      </c>
      <c r="AP120" s="719"/>
      <c r="AQ120" s="719"/>
      <c r="AR120" s="719"/>
      <c r="AS120" s="719"/>
      <c r="AT120" s="719"/>
    </row>
    <row r="121" spans="1:46" s="555" customFormat="1" ht="22.5" customHeight="1">
      <c r="A121" s="451"/>
      <c r="B121" s="531" t="s">
        <v>678</v>
      </c>
      <c r="C121" s="523"/>
      <c r="D121" s="524"/>
      <c r="E121" s="525"/>
      <c r="F121" s="1314"/>
      <c r="G121" s="527"/>
      <c r="H121" s="528"/>
      <c r="I121" s="529"/>
      <c r="J121" s="309"/>
      <c r="K121" s="1175"/>
      <c r="L121" s="530">
        <f t="shared" ref="L121:L129" si="61">ROUND(AD121,2)</f>
        <v>0</v>
      </c>
      <c r="M121" s="530">
        <f>ROUND(L121*F121,2)</f>
        <v>0</v>
      </c>
      <c r="N121" s="309"/>
      <c r="O121" s="778"/>
      <c r="P121" s="777"/>
      <c r="Q121" s="777"/>
      <c r="R121" s="751"/>
      <c r="S121" s="752"/>
      <c r="T121" s="792"/>
      <c r="U121" s="803">
        <v>0</v>
      </c>
      <c r="V121" s="803">
        <v>0</v>
      </c>
      <c r="W121" s="803">
        <v>0</v>
      </c>
      <c r="X121" s="858">
        <f>SUMIF('Summary-E'!O$4:O$50,D121,'Summary-E'!Q$4:Q$50)</f>
        <v>0</v>
      </c>
      <c r="Y121" s="310">
        <f>ROUND((R121+S121/'Summary-E'!$M$63)*X121,2)</f>
        <v>0</v>
      </c>
      <c r="Z121" s="858">
        <f t="shared" si="5"/>
        <v>1.05</v>
      </c>
      <c r="AA121" s="813">
        <f t="shared" ref="AA121:AA129" si="62">ROUND(Y121*Z121,2)</f>
        <v>0</v>
      </c>
      <c r="AB121" s="447">
        <f t="shared" ref="AB121:AB129" si="63">$AB$3</f>
        <v>0.05</v>
      </c>
      <c r="AC121" s="310">
        <f t="shared" si="46"/>
        <v>0</v>
      </c>
      <c r="AD121" s="717">
        <f>ROUND(AC121*'[1]Summary E&amp;M'!$R$94,2)</f>
        <v>0</v>
      </c>
      <c r="AE121" s="826">
        <f t="shared" si="26"/>
        <v>0</v>
      </c>
      <c r="AF121" s="826">
        <f t="shared" si="27"/>
        <v>0</v>
      </c>
      <c r="AG121" s="744"/>
      <c r="AH121" s="728"/>
      <c r="AI121" s="519">
        <f t="shared" si="28"/>
        <v>0</v>
      </c>
      <c r="AJ121" s="519">
        <f t="shared" si="29"/>
        <v>0</v>
      </c>
      <c r="AK121" s="519">
        <f t="shared" si="30"/>
        <v>0</v>
      </c>
      <c r="AL121" s="520">
        <f t="shared" si="42"/>
        <v>0</v>
      </c>
      <c r="AM121" s="520">
        <f t="shared" si="43"/>
        <v>0</v>
      </c>
      <c r="AN121" s="520">
        <f t="shared" si="44"/>
        <v>0</v>
      </c>
      <c r="AO121" s="520">
        <f t="shared" si="45"/>
        <v>0</v>
      </c>
      <c r="AP121" s="719"/>
      <c r="AQ121" s="719"/>
      <c r="AR121" s="719"/>
      <c r="AS121" s="719"/>
      <c r="AT121" s="719"/>
    </row>
    <row r="122" spans="1:46" s="555" customFormat="1" ht="22.5" customHeight="1">
      <c r="A122" s="451"/>
      <c r="B122" s="531" t="s">
        <v>679</v>
      </c>
      <c r="C122" s="523"/>
      <c r="D122" s="524" t="s">
        <v>133</v>
      </c>
      <c r="E122" s="525" t="s">
        <v>322</v>
      </c>
      <c r="F122" s="1315">
        <f t="shared" ref="F122:F129" si="64">K122</f>
        <v>1</v>
      </c>
      <c r="G122" s="527">
        <f t="shared" ref="G122:G129" si="65">ROUNDUP(AA122,2)</f>
        <v>1324.05</v>
      </c>
      <c r="H122" s="528">
        <f t="shared" ref="H122:H129" si="66">ROUND(F122*G122,2)</f>
        <v>1324.05</v>
      </c>
      <c r="I122" s="529"/>
      <c r="J122" s="309"/>
      <c r="K122" s="1175">
        <v>1</v>
      </c>
      <c r="L122" s="530">
        <f t="shared" si="61"/>
        <v>0</v>
      </c>
      <c r="M122" s="530">
        <f>ROUND(L122*F122,2)</f>
        <v>0</v>
      </c>
      <c r="N122" s="309"/>
      <c r="O122" s="778" t="s">
        <v>133</v>
      </c>
      <c r="P122" s="777"/>
      <c r="Q122" s="777"/>
      <c r="R122" s="751">
        <v>1300</v>
      </c>
      <c r="S122" s="752"/>
      <c r="T122" s="792"/>
      <c r="U122" s="803">
        <v>0</v>
      </c>
      <c r="V122" s="803">
        <v>0</v>
      </c>
      <c r="W122" s="803">
        <v>0</v>
      </c>
      <c r="X122" s="858">
        <f>SUMIF('Summary-E'!O$4:O$50,D122,'Summary-E'!Q$4:Q$50)</f>
        <v>0.97</v>
      </c>
      <c r="Y122" s="310">
        <f>ROUND((R122+S122/'Summary-E'!$M$63)*X122,2)</f>
        <v>1261</v>
      </c>
      <c r="Z122" s="858">
        <f t="shared" si="5"/>
        <v>1.05</v>
      </c>
      <c r="AA122" s="813">
        <f t="shared" si="62"/>
        <v>1324.05</v>
      </c>
      <c r="AB122" s="447">
        <f t="shared" si="63"/>
        <v>0.05</v>
      </c>
      <c r="AC122" s="310">
        <f t="shared" si="46"/>
        <v>0</v>
      </c>
      <c r="AD122" s="717">
        <f>ROUND(AC122*'[1]Summary E&amp;M'!$R$94,2)</f>
        <v>0</v>
      </c>
      <c r="AE122" s="826">
        <f t="shared" si="26"/>
        <v>1261</v>
      </c>
      <c r="AF122" s="826">
        <f t="shared" si="27"/>
        <v>0</v>
      </c>
      <c r="AG122" s="744"/>
      <c r="AH122" s="728"/>
      <c r="AI122" s="519">
        <f t="shared" si="28"/>
        <v>0</v>
      </c>
      <c r="AJ122" s="519">
        <f t="shared" si="29"/>
        <v>0</v>
      </c>
      <c r="AK122" s="519">
        <f t="shared" si="30"/>
        <v>0</v>
      </c>
      <c r="AL122" s="520">
        <f t="shared" si="42"/>
        <v>0</v>
      </c>
      <c r="AM122" s="520">
        <f t="shared" si="43"/>
        <v>0</v>
      </c>
      <c r="AN122" s="520">
        <f t="shared" si="44"/>
        <v>0</v>
      </c>
      <c r="AO122" s="520">
        <f t="shared" si="45"/>
        <v>0</v>
      </c>
      <c r="AP122" s="719"/>
      <c r="AQ122" s="719"/>
      <c r="AR122" s="719"/>
      <c r="AS122" s="719"/>
      <c r="AT122" s="719"/>
    </row>
    <row r="123" spans="1:46" s="555" customFormat="1" ht="22.5" customHeight="1">
      <c r="A123" s="451"/>
      <c r="B123" s="531" t="s">
        <v>680</v>
      </c>
      <c r="C123" s="523"/>
      <c r="D123" s="524" t="s">
        <v>133</v>
      </c>
      <c r="E123" s="525" t="s">
        <v>322</v>
      </c>
      <c r="F123" s="1315">
        <f t="shared" si="64"/>
        <v>1</v>
      </c>
      <c r="G123" s="527">
        <f t="shared" si="65"/>
        <v>3091.15</v>
      </c>
      <c r="H123" s="528">
        <f t="shared" si="66"/>
        <v>3091.15</v>
      </c>
      <c r="I123" s="529"/>
      <c r="J123" s="309"/>
      <c r="K123" s="1175">
        <v>1</v>
      </c>
      <c r="L123" s="530">
        <f t="shared" si="61"/>
        <v>0</v>
      </c>
      <c r="M123" s="530">
        <f>ROUND(L123*F123,2)</f>
        <v>0</v>
      </c>
      <c r="N123" s="309"/>
      <c r="O123" s="778" t="s">
        <v>133</v>
      </c>
      <c r="P123" s="777"/>
      <c r="Q123" s="777"/>
      <c r="R123" s="751">
        <v>3035</v>
      </c>
      <c r="S123" s="752"/>
      <c r="T123" s="792"/>
      <c r="U123" s="803">
        <v>0</v>
      </c>
      <c r="V123" s="803">
        <v>0</v>
      </c>
      <c r="W123" s="803">
        <v>0</v>
      </c>
      <c r="X123" s="858">
        <f>SUMIF('Summary-E'!O$4:O$50,D123,'Summary-E'!Q$4:Q$50)</f>
        <v>0.97</v>
      </c>
      <c r="Y123" s="310">
        <f>ROUND((R123+S123/'Summary-E'!$M$63)*X123,2)</f>
        <v>2943.95</v>
      </c>
      <c r="Z123" s="858">
        <f t="shared" si="5"/>
        <v>1.05</v>
      </c>
      <c r="AA123" s="813">
        <f t="shared" si="62"/>
        <v>3091.15</v>
      </c>
      <c r="AB123" s="447">
        <f t="shared" si="63"/>
        <v>0.05</v>
      </c>
      <c r="AC123" s="310">
        <f t="shared" si="46"/>
        <v>0</v>
      </c>
      <c r="AD123" s="717">
        <f>ROUND(AC123*'[1]Summary E&amp;M'!$R$94,2)</f>
        <v>0</v>
      </c>
      <c r="AE123" s="826">
        <f t="shared" si="26"/>
        <v>2943.95</v>
      </c>
      <c r="AF123" s="826">
        <f t="shared" si="27"/>
        <v>0</v>
      </c>
      <c r="AG123" s="744"/>
      <c r="AH123" s="728"/>
      <c r="AI123" s="519">
        <f t="shared" si="28"/>
        <v>0</v>
      </c>
      <c r="AJ123" s="519">
        <f t="shared" si="29"/>
        <v>0</v>
      </c>
      <c r="AK123" s="519">
        <f t="shared" si="30"/>
        <v>0</v>
      </c>
      <c r="AL123" s="520">
        <f t="shared" si="42"/>
        <v>0</v>
      </c>
      <c r="AM123" s="520">
        <f t="shared" si="43"/>
        <v>0</v>
      </c>
      <c r="AN123" s="520">
        <f t="shared" si="44"/>
        <v>0</v>
      </c>
      <c r="AO123" s="520">
        <f t="shared" si="45"/>
        <v>0</v>
      </c>
      <c r="AP123" s="719"/>
      <c r="AQ123" s="719"/>
      <c r="AR123" s="719"/>
      <c r="AS123" s="719"/>
      <c r="AT123" s="719"/>
    </row>
    <row r="124" spans="1:46" s="555" customFormat="1" ht="22.5" customHeight="1">
      <c r="A124" s="451"/>
      <c r="B124" s="531" t="s">
        <v>681</v>
      </c>
      <c r="C124" s="523"/>
      <c r="D124" s="524" t="s">
        <v>133</v>
      </c>
      <c r="E124" s="525" t="s">
        <v>322</v>
      </c>
      <c r="F124" s="1315">
        <f t="shared" si="64"/>
        <v>1</v>
      </c>
      <c r="G124" s="527">
        <f t="shared" si="65"/>
        <v>1629.6</v>
      </c>
      <c r="H124" s="528">
        <f t="shared" si="66"/>
        <v>1629.6</v>
      </c>
      <c r="I124" s="529"/>
      <c r="J124" s="309"/>
      <c r="K124" s="1175">
        <v>1</v>
      </c>
      <c r="L124" s="530">
        <f t="shared" si="61"/>
        <v>0</v>
      </c>
      <c r="M124" s="530">
        <f>ROUND(L124*F124,2)</f>
        <v>0</v>
      </c>
      <c r="N124" s="309"/>
      <c r="O124" s="778" t="s">
        <v>133</v>
      </c>
      <c r="P124" s="777"/>
      <c r="Q124" s="777"/>
      <c r="R124" s="751">
        <v>1600</v>
      </c>
      <c r="S124" s="752"/>
      <c r="T124" s="792"/>
      <c r="U124" s="803">
        <v>0</v>
      </c>
      <c r="V124" s="803">
        <v>0</v>
      </c>
      <c r="W124" s="803">
        <v>0</v>
      </c>
      <c r="X124" s="858">
        <f>SUMIF('Summary-E'!O$4:O$50,D124,'Summary-E'!Q$4:Q$50)</f>
        <v>0.97</v>
      </c>
      <c r="Y124" s="310">
        <f>ROUND((R124+S124/'Summary-E'!$M$63)*X124,2)</f>
        <v>1552</v>
      </c>
      <c r="Z124" s="858">
        <f t="shared" si="5"/>
        <v>1.05</v>
      </c>
      <c r="AA124" s="813">
        <f t="shared" si="62"/>
        <v>1629.6</v>
      </c>
      <c r="AB124" s="447">
        <f t="shared" si="63"/>
        <v>0.05</v>
      </c>
      <c r="AC124" s="310">
        <f t="shared" si="46"/>
        <v>0</v>
      </c>
      <c r="AD124" s="717">
        <f>ROUND(AC124*'[1]Summary E&amp;M'!$R$94,2)</f>
        <v>0</v>
      </c>
      <c r="AE124" s="826">
        <f t="shared" si="26"/>
        <v>1552</v>
      </c>
      <c r="AF124" s="826">
        <f t="shared" si="27"/>
        <v>0</v>
      </c>
      <c r="AG124" s="744"/>
      <c r="AH124" s="728"/>
      <c r="AI124" s="519">
        <f t="shared" si="28"/>
        <v>0</v>
      </c>
      <c r="AJ124" s="519">
        <f t="shared" si="29"/>
        <v>0</v>
      </c>
      <c r="AK124" s="519">
        <f t="shared" si="30"/>
        <v>0</v>
      </c>
      <c r="AL124" s="520">
        <f t="shared" si="42"/>
        <v>0</v>
      </c>
      <c r="AM124" s="520">
        <f t="shared" si="43"/>
        <v>0</v>
      </c>
      <c r="AN124" s="520">
        <f t="shared" si="44"/>
        <v>0</v>
      </c>
      <c r="AO124" s="520">
        <f t="shared" si="45"/>
        <v>0</v>
      </c>
      <c r="AP124" s="719"/>
      <c r="AQ124" s="719"/>
      <c r="AR124" s="719"/>
      <c r="AS124" s="719"/>
      <c r="AT124" s="719"/>
    </row>
    <row r="125" spans="1:46" s="555" customFormat="1" ht="22.5" customHeight="1">
      <c r="A125" s="451"/>
      <c r="B125" s="531"/>
      <c r="C125" s="523"/>
      <c r="D125" s="524"/>
      <c r="E125" s="525"/>
      <c r="F125" s="1315"/>
      <c r="G125" s="528"/>
      <c r="H125" s="528"/>
      <c r="I125" s="529"/>
      <c r="J125" s="309"/>
      <c r="K125" s="1175"/>
      <c r="L125" s="530"/>
      <c r="M125" s="530"/>
      <c r="N125" s="309"/>
      <c r="O125" s="778"/>
      <c r="P125" s="777"/>
      <c r="Q125" s="777"/>
      <c r="R125" s="751"/>
      <c r="S125" s="752"/>
      <c r="T125" s="792"/>
      <c r="U125" s="803"/>
      <c r="V125" s="803"/>
      <c r="W125" s="803"/>
      <c r="X125" s="858">
        <f>SUMIF('Summary-E'!O$4:O$50,D125,'Summary-E'!Q$4:Q$50)</f>
        <v>0</v>
      </c>
      <c r="Y125" s="310">
        <f>ROUND((R125+S125/'Summary-E'!$M$63)*X125,2)</f>
        <v>0</v>
      </c>
      <c r="Z125" s="858">
        <f t="shared" si="5"/>
        <v>1.05</v>
      </c>
      <c r="AA125" s="813"/>
      <c r="AB125" s="447"/>
      <c r="AC125" s="310"/>
      <c r="AD125" s="717"/>
      <c r="AE125" s="826"/>
      <c r="AF125" s="826"/>
      <c r="AG125" s="744"/>
      <c r="AH125" s="728"/>
      <c r="AI125" s="519"/>
      <c r="AJ125" s="519"/>
      <c r="AK125" s="519"/>
      <c r="AL125" s="520"/>
      <c r="AM125" s="520"/>
      <c r="AN125" s="520"/>
      <c r="AO125" s="520"/>
      <c r="AP125" s="719"/>
      <c r="AQ125" s="719"/>
      <c r="AR125" s="719"/>
      <c r="AS125" s="719"/>
      <c r="AT125" s="719"/>
    </row>
    <row r="126" spans="1:46" s="555" customFormat="1" ht="22.5" customHeight="1">
      <c r="A126" s="451"/>
      <c r="B126" s="531" t="s">
        <v>324</v>
      </c>
      <c r="C126" s="523"/>
      <c r="D126" s="524">
        <v>210</v>
      </c>
      <c r="E126" s="525" t="s">
        <v>319</v>
      </c>
      <c r="F126" s="1315">
        <f t="shared" si="64"/>
        <v>1</v>
      </c>
      <c r="G126" s="528">
        <f>M126</f>
        <v>4634.08</v>
      </c>
      <c r="H126" s="528">
        <f t="shared" si="66"/>
        <v>4634.08</v>
      </c>
      <c r="I126" s="529"/>
      <c r="J126" s="309"/>
      <c r="K126" s="1175">
        <v>1</v>
      </c>
      <c r="L126" s="530">
        <f t="shared" si="61"/>
        <v>0</v>
      </c>
      <c r="M126" s="1051">
        <f>SUBTOTAL(9,M98:M124)</f>
        <v>4634.08</v>
      </c>
      <c r="N126" s="309"/>
      <c r="O126" s="778">
        <v>210</v>
      </c>
      <c r="P126" s="777"/>
      <c r="Q126" s="777"/>
      <c r="R126" s="751"/>
      <c r="S126" s="752"/>
      <c r="T126" s="792"/>
      <c r="U126" s="803">
        <v>0</v>
      </c>
      <c r="V126" s="803">
        <v>0</v>
      </c>
      <c r="W126" s="803">
        <v>0</v>
      </c>
      <c r="X126" s="858">
        <f>SUMIF('Summary-E'!O$4:O$50,D126,'Summary-E'!Q$4:Q$50)</f>
        <v>0.05</v>
      </c>
      <c r="Y126" s="310">
        <f>ROUND((R126+S126/'Summary-E'!$M$63)*X126,2)</f>
        <v>0</v>
      </c>
      <c r="Z126" s="858">
        <f t="shared" si="5"/>
        <v>1.05</v>
      </c>
      <c r="AA126" s="813">
        <f t="shared" si="62"/>
        <v>0</v>
      </c>
      <c r="AB126" s="447">
        <f t="shared" si="63"/>
        <v>0.05</v>
      </c>
      <c r="AC126" s="310">
        <f t="shared" si="46"/>
        <v>0</v>
      </c>
      <c r="AD126" s="717">
        <f>ROUND(AC126*'[1]Summary E&amp;M'!$R$94,2)</f>
        <v>0</v>
      </c>
      <c r="AE126" s="826">
        <f t="shared" si="26"/>
        <v>0</v>
      </c>
      <c r="AF126" s="826">
        <f t="shared" si="27"/>
        <v>0</v>
      </c>
      <c r="AG126" s="744"/>
      <c r="AH126" s="728"/>
      <c r="AI126" s="519">
        <f t="shared" si="28"/>
        <v>0</v>
      </c>
      <c r="AJ126" s="519">
        <f t="shared" si="29"/>
        <v>0</v>
      </c>
      <c r="AK126" s="519">
        <f t="shared" si="30"/>
        <v>0</v>
      </c>
      <c r="AL126" s="520">
        <f t="shared" si="42"/>
        <v>0</v>
      </c>
      <c r="AM126" s="520">
        <f t="shared" si="43"/>
        <v>0</v>
      </c>
      <c r="AN126" s="520">
        <f t="shared" si="44"/>
        <v>0</v>
      </c>
      <c r="AO126" s="520">
        <f t="shared" si="45"/>
        <v>0</v>
      </c>
      <c r="AP126" s="719"/>
      <c r="AQ126" s="719"/>
      <c r="AR126" s="719"/>
      <c r="AS126" s="719"/>
      <c r="AT126" s="719"/>
    </row>
    <row r="127" spans="1:46" s="555" customFormat="1" ht="22.5" customHeight="1">
      <c r="A127" s="451"/>
      <c r="B127" s="531"/>
      <c r="C127" s="523"/>
      <c r="D127" s="524"/>
      <c r="E127" s="525"/>
      <c r="F127" s="1315"/>
      <c r="G127" s="528"/>
      <c r="H127" s="528"/>
      <c r="I127" s="529"/>
      <c r="J127" s="309"/>
      <c r="K127" s="1175"/>
      <c r="L127" s="530"/>
      <c r="M127" s="530"/>
      <c r="N127" s="309"/>
      <c r="O127" s="778"/>
      <c r="P127" s="777"/>
      <c r="Q127" s="777"/>
      <c r="R127" s="751"/>
      <c r="S127" s="752"/>
      <c r="T127" s="792"/>
      <c r="U127" s="803"/>
      <c r="V127" s="803"/>
      <c r="W127" s="803"/>
      <c r="X127" s="858">
        <f>SUMIF('Summary-E'!O$4:O$50,D127,'Summary-E'!Q$4:Q$50)</f>
        <v>0</v>
      </c>
      <c r="Y127" s="310">
        <f>ROUND((R127+S127/'Summary-E'!$M$63)*X127,2)</f>
        <v>0</v>
      </c>
      <c r="Z127" s="858">
        <f t="shared" si="5"/>
        <v>1.05</v>
      </c>
      <c r="AA127" s="813"/>
      <c r="AB127" s="447"/>
      <c r="AC127" s="310"/>
      <c r="AD127" s="717"/>
      <c r="AE127" s="826"/>
      <c r="AF127" s="826"/>
      <c r="AG127" s="744"/>
      <c r="AH127" s="728"/>
      <c r="AI127" s="519"/>
      <c r="AJ127" s="519"/>
      <c r="AK127" s="519"/>
      <c r="AL127" s="520"/>
      <c r="AM127" s="520"/>
      <c r="AN127" s="520"/>
      <c r="AO127" s="520"/>
      <c r="AP127" s="719"/>
      <c r="AQ127" s="719"/>
      <c r="AR127" s="719"/>
      <c r="AS127" s="719"/>
      <c r="AT127" s="719"/>
    </row>
    <row r="128" spans="1:46" s="555" customFormat="1" ht="22.5" customHeight="1">
      <c r="A128" s="451"/>
      <c r="B128" s="531" t="s">
        <v>327</v>
      </c>
      <c r="C128" s="523"/>
      <c r="D128" s="524" t="s">
        <v>134</v>
      </c>
      <c r="E128" s="525" t="s">
        <v>319</v>
      </c>
      <c r="F128" s="1315">
        <f t="shared" si="64"/>
        <v>1</v>
      </c>
      <c r="G128" s="527">
        <f t="shared" si="65"/>
        <v>704.79</v>
      </c>
      <c r="H128" s="528">
        <f t="shared" si="66"/>
        <v>704.79</v>
      </c>
      <c r="I128" s="529"/>
      <c r="J128" s="309"/>
      <c r="K128" s="1175">
        <v>1</v>
      </c>
      <c r="L128" s="530">
        <f t="shared" si="61"/>
        <v>0</v>
      </c>
      <c r="M128" s="530">
        <f>ROUND(L128*F128,2)</f>
        <v>0</v>
      </c>
      <c r="N128" s="309"/>
      <c r="O128" s="778" t="s">
        <v>134</v>
      </c>
      <c r="P128" s="777">
        <v>0.2</v>
      </c>
      <c r="Q128" s="777"/>
      <c r="R128" s="751">
        <f>ROUND(SUM(AF99:AF115)*P128,2)</f>
        <v>691.99</v>
      </c>
      <c r="S128" s="752"/>
      <c r="T128" s="792"/>
      <c r="U128" s="803">
        <v>0</v>
      </c>
      <c r="V128" s="803">
        <v>0</v>
      </c>
      <c r="W128" s="803">
        <v>0</v>
      </c>
      <c r="X128" s="858">
        <f>SUMIF('Summary-E'!O$4:O$50,D128,'Summary-E'!Q$4:Q$50)</f>
        <v>0.97</v>
      </c>
      <c r="Y128" s="310">
        <f>ROUND((R128+S128/'Summary-E'!$M$63)*X128,2)</f>
        <v>671.23</v>
      </c>
      <c r="Z128" s="858">
        <f t="shared" si="5"/>
        <v>1.05</v>
      </c>
      <c r="AA128" s="813">
        <f t="shared" si="62"/>
        <v>704.79</v>
      </c>
      <c r="AB128" s="447">
        <f t="shared" si="63"/>
        <v>0.05</v>
      </c>
      <c r="AC128" s="310">
        <f t="shared" si="46"/>
        <v>0</v>
      </c>
      <c r="AD128" s="717">
        <f>ROUND(AC128*'[1]Summary E&amp;M'!$R$94,2)</f>
        <v>0</v>
      </c>
      <c r="AE128" s="826">
        <f t="shared" si="26"/>
        <v>671.23</v>
      </c>
      <c r="AF128" s="826">
        <f t="shared" si="27"/>
        <v>0</v>
      </c>
      <c r="AG128" s="744"/>
      <c r="AH128" s="728"/>
      <c r="AI128" s="519">
        <f t="shared" si="28"/>
        <v>0</v>
      </c>
      <c r="AJ128" s="519">
        <f t="shared" si="29"/>
        <v>0</v>
      </c>
      <c r="AK128" s="519">
        <f t="shared" si="30"/>
        <v>0</v>
      </c>
      <c r="AL128" s="520">
        <f t="shared" si="42"/>
        <v>0</v>
      </c>
      <c r="AM128" s="520">
        <f t="shared" si="43"/>
        <v>0</v>
      </c>
      <c r="AN128" s="520">
        <f t="shared" si="44"/>
        <v>0</v>
      </c>
      <c r="AO128" s="520">
        <f t="shared" si="45"/>
        <v>0</v>
      </c>
      <c r="AP128" s="719"/>
      <c r="AQ128" s="719"/>
      <c r="AR128" s="719"/>
      <c r="AS128" s="719"/>
      <c r="AT128" s="719"/>
    </row>
    <row r="129" spans="1:46" s="555" customFormat="1" ht="22.5" customHeight="1">
      <c r="A129" s="451"/>
      <c r="B129" s="531" t="s">
        <v>682</v>
      </c>
      <c r="C129" s="523"/>
      <c r="D129" s="524">
        <v>159</v>
      </c>
      <c r="E129" s="525" t="s">
        <v>322</v>
      </c>
      <c r="F129" s="1315">
        <f t="shared" si="64"/>
        <v>1</v>
      </c>
      <c r="G129" s="527">
        <f t="shared" si="65"/>
        <v>798.47</v>
      </c>
      <c r="H129" s="528">
        <f t="shared" si="66"/>
        <v>798.47</v>
      </c>
      <c r="I129" s="529"/>
      <c r="J129" s="309"/>
      <c r="K129" s="1175">
        <v>1</v>
      </c>
      <c r="L129" s="530">
        <f t="shared" si="61"/>
        <v>0</v>
      </c>
      <c r="M129" s="530">
        <f>ROUND(L129*F129,2)</f>
        <v>0</v>
      </c>
      <c r="N129" s="309"/>
      <c r="O129" s="778">
        <v>159</v>
      </c>
      <c r="P129" s="777">
        <v>0.02</v>
      </c>
      <c r="Q129" s="777"/>
      <c r="R129" s="751">
        <f>ROUND(SUM(AE99:AE115)*P129,2)</f>
        <v>783.97</v>
      </c>
      <c r="S129" s="752"/>
      <c r="T129" s="792"/>
      <c r="U129" s="803">
        <v>0</v>
      </c>
      <c r="V129" s="803">
        <v>0</v>
      </c>
      <c r="W129" s="803">
        <v>0</v>
      </c>
      <c r="X129" s="858">
        <f>SUMIF('Summary-E'!O$4:O$50,D129,'Summary-E'!Q$4:Q$50)</f>
        <v>0.97</v>
      </c>
      <c r="Y129" s="310">
        <f>ROUND((R129+S129/'Summary-E'!$M$63)*X129,2)</f>
        <v>760.45</v>
      </c>
      <c r="Z129" s="858">
        <f t="shared" ref="Z129:Z192" si="67">$Z$4</f>
        <v>1.05</v>
      </c>
      <c r="AA129" s="813">
        <f t="shared" si="62"/>
        <v>798.47</v>
      </c>
      <c r="AB129" s="447">
        <f t="shared" si="63"/>
        <v>0.05</v>
      </c>
      <c r="AC129" s="310">
        <f t="shared" si="46"/>
        <v>0</v>
      </c>
      <c r="AD129" s="717">
        <f>ROUND(AC129*'[1]Summary E&amp;M'!$R$94,2)</f>
        <v>0</v>
      </c>
      <c r="AE129" s="826">
        <f t="shared" si="26"/>
        <v>760.45</v>
      </c>
      <c r="AF129" s="826">
        <f t="shared" si="27"/>
        <v>0</v>
      </c>
      <c r="AG129" s="744"/>
      <c r="AH129" s="728"/>
      <c r="AI129" s="519">
        <f t="shared" si="28"/>
        <v>0</v>
      </c>
      <c r="AJ129" s="519">
        <f t="shared" si="29"/>
        <v>0</v>
      </c>
      <c r="AK129" s="519">
        <f t="shared" si="30"/>
        <v>0</v>
      </c>
      <c r="AL129" s="520">
        <f t="shared" si="42"/>
        <v>0</v>
      </c>
      <c r="AM129" s="520">
        <f t="shared" si="43"/>
        <v>0</v>
      </c>
      <c r="AN129" s="520">
        <f t="shared" si="44"/>
        <v>0</v>
      </c>
      <c r="AO129" s="520">
        <f t="shared" si="45"/>
        <v>0</v>
      </c>
      <c r="AP129" s="719"/>
      <c r="AQ129" s="719"/>
      <c r="AR129" s="719"/>
      <c r="AS129" s="719"/>
      <c r="AT129" s="719"/>
    </row>
    <row r="130" spans="1:46" s="555" customFormat="1" ht="22.5" customHeight="1">
      <c r="A130" s="451"/>
      <c r="B130" s="531"/>
      <c r="C130" s="523"/>
      <c r="D130" s="524"/>
      <c r="E130" s="525"/>
      <c r="F130" s="1314"/>
      <c r="G130" s="527"/>
      <c r="H130" s="528"/>
      <c r="I130" s="529"/>
      <c r="J130" s="311"/>
      <c r="K130" s="1175"/>
      <c r="L130" s="530"/>
      <c r="M130" s="530"/>
      <c r="N130" s="309"/>
      <c r="O130" s="776"/>
      <c r="P130" s="777"/>
      <c r="Q130" s="777"/>
      <c r="R130" s="753"/>
      <c r="S130" s="754"/>
      <c r="T130" s="793"/>
      <c r="U130" s="804"/>
      <c r="V130" s="804"/>
      <c r="W130" s="804"/>
      <c r="X130" s="858">
        <f>SUMIF('Summary-E'!O$4:O$50,D130,'Summary-E'!Q$4:Q$50)</f>
        <v>0</v>
      </c>
      <c r="Y130" s="310">
        <f>ROUND((R130+S130/'Summary-E'!$M$63)*X130,2)</f>
        <v>0</v>
      </c>
      <c r="Z130" s="858">
        <f t="shared" si="67"/>
        <v>1.05</v>
      </c>
      <c r="AA130" s="814"/>
      <c r="AB130" s="474"/>
      <c r="AC130" s="310">
        <f t="shared" si="46"/>
        <v>0</v>
      </c>
      <c r="AD130" s="717">
        <f>ROUND(AC130*'[1]Summary E&amp;M'!$R$94,2)</f>
        <v>0</v>
      </c>
      <c r="AE130" s="827"/>
      <c r="AF130" s="827"/>
      <c r="AG130" s="744"/>
      <c r="AH130" s="728"/>
      <c r="AI130" s="519"/>
      <c r="AJ130" s="519"/>
      <c r="AK130" s="519"/>
      <c r="AL130" s="520"/>
      <c r="AM130" s="520"/>
      <c r="AN130" s="520"/>
      <c r="AO130" s="520"/>
      <c r="AP130" s="719"/>
      <c r="AQ130" s="719"/>
      <c r="AR130" s="719"/>
      <c r="AS130" s="719"/>
      <c r="AT130" s="719"/>
    </row>
    <row r="131" spans="1:46" s="711" customFormat="1" ht="22.5" customHeight="1">
      <c r="A131" s="973"/>
      <c r="B131" s="974" t="s">
        <v>125</v>
      </c>
      <c r="C131" s="975"/>
      <c r="D131" s="976"/>
      <c r="E131" s="973"/>
      <c r="F131" s="1317"/>
      <c r="G131" s="971"/>
      <c r="H131" s="977">
        <f>SUBTOTAL(9,H58:H130)</f>
        <v>93720.13</v>
      </c>
      <c r="I131" s="978"/>
      <c r="J131" s="551"/>
      <c r="K131" s="1177"/>
      <c r="L131" s="550"/>
      <c r="M131" s="1051">
        <f>SUBTOTAL(9,M59:M129)</f>
        <v>10733.39</v>
      </c>
      <c r="N131" s="549"/>
      <c r="O131" s="779"/>
      <c r="P131" s="780"/>
      <c r="Q131" s="780"/>
      <c r="R131" s="755"/>
      <c r="S131" s="756"/>
      <c r="T131" s="850"/>
      <c r="U131" s="851">
        <v>0</v>
      </c>
      <c r="V131" s="851">
        <v>0</v>
      </c>
      <c r="W131" s="851">
        <v>0</v>
      </c>
      <c r="X131" s="858">
        <f>SUMIF('Summary-E'!O$4:O$50,D131,'Summary-E'!Q$4:Q$50)</f>
        <v>0</v>
      </c>
      <c r="Y131" s="310">
        <f>ROUND((R131+S131/'Summary-E'!$M$63)*X131,2)</f>
        <v>0</v>
      </c>
      <c r="Z131" s="858">
        <f t="shared" si="67"/>
        <v>1.05</v>
      </c>
      <c r="AA131" s="852"/>
      <c r="AB131" s="853"/>
      <c r="AC131" s="310">
        <f t="shared" si="46"/>
        <v>0</v>
      </c>
      <c r="AD131" s="717">
        <f>ROUND(AC131*'[1]Summary E&amp;M'!$R$94,2)</f>
        <v>0</v>
      </c>
      <c r="AE131" s="828">
        <f>SUBTOTAL(9,AE58:AE130)</f>
        <v>78493.460000000006</v>
      </c>
      <c r="AF131" s="828">
        <f>SUBTOTAL(9,AF58:AF130)</f>
        <v>8451.130000000001</v>
      </c>
      <c r="AG131" s="618"/>
      <c r="AH131" s="730"/>
      <c r="AI131" s="720"/>
      <c r="AJ131" s="720"/>
      <c r="AK131" s="720"/>
      <c r="AL131" s="720"/>
      <c r="AM131" s="712">
        <f>SUBTOTAL(9,AM57:AM129)</f>
        <v>0</v>
      </c>
      <c r="AN131" s="720"/>
      <c r="AO131" s="712">
        <f>SUBTOTAL(9,AO57:AO129)</f>
        <v>0</v>
      </c>
      <c r="AP131" s="722"/>
      <c r="AQ131" s="722"/>
      <c r="AR131" s="722"/>
      <c r="AS131" s="722"/>
      <c r="AT131" s="722"/>
    </row>
    <row r="132" spans="1:46" s="555" customFormat="1" ht="22.5" customHeight="1">
      <c r="A132" s="451"/>
      <c r="B132" s="531"/>
      <c r="C132" s="523"/>
      <c r="D132" s="524"/>
      <c r="E132" s="525"/>
      <c r="F132" s="1314"/>
      <c r="G132" s="527"/>
      <c r="H132" s="528"/>
      <c r="I132" s="529"/>
      <c r="J132" s="311"/>
      <c r="K132" s="1175"/>
      <c r="L132" s="530"/>
      <c r="M132" s="530"/>
      <c r="N132" s="309"/>
      <c r="O132" s="776"/>
      <c r="P132" s="777"/>
      <c r="Q132" s="777"/>
      <c r="R132" s="757"/>
      <c r="S132" s="758"/>
      <c r="T132" s="794"/>
      <c r="U132" s="805"/>
      <c r="V132" s="805"/>
      <c r="W132" s="805"/>
      <c r="X132" s="858">
        <f>SUMIF('Summary-E'!O$4:O$50,D132,'Summary-E'!Q$4:Q$50)</f>
        <v>0</v>
      </c>
      <c r="Y132" s="310">
        <f>ROUND((R132+S132/'Summary-E'!$M$63)*X132,2)</f>
        <v>0</v>
      </c>
      <c r="Z132" s="858">
        <f t="shared" si="67"/>
        <v>1.05</v>
      </c>
      <c r="AA132" s="815"/>
      <c r="AB132" s="492"/>
      <c r="AC132" s="310">
        <f t="shared" si="46"/>
        <v>0</v>
      </c>
      <c r="AD132" s="717">
        <f>ROUND(AC132*'[1]Summary E&amp;M'!$R$94,2)</f>
        <v>0</v>
      </c>
      <c r="AE132" s="826">
        <f t="shared" ref="AE132:AE154" si="68">ROUND($K132*$Y132,2)</f>
        <v>0</v>
      </c>
      <c r="AF132" s="826">
        <f t="shared" ref="AF132:AF154" si="69">ROUND($K132*$AC132,2)</f>
        <v>0</v>
      </c>
      <c r="AG132" s="731"/>
      <c r="AH132" s="732"/>
      <c r="AI132" s="519"/>
      <c r="AJ132" s="519"/>
      <c r="AK132" s="519"/>
      <c r="AL132" s="520"/>
      <c r="AM132" s="520"/>
      <c r="AN132" s="520"/>
      <c r="AO132" s="520"/>
      <c r="AP132" s="719"/>
      <c r="AQ132" s="719"/>
      <c r="AR132" s="719"/>
      <c r="AS132" s="719"/>
      <c r="AT132" s="719"/>
    </row>
    <row r="133" spans="1:46" s="555" customFormat="1" ht="22.5" customHeight="1">
      <c r="A133" s="620" t="s">
        <v>406</v>
      </c>
      <c r="B133" s="522" t="s">
        <v>144</v>
      </c>
      <c r="C133" s="523"/>
      <c r="D133" s="524"/>
      <c r="E133" s="525"/>
      <c r="F133" s="1314"/>
      <c r="G133" s="527"/>
      <c r="H133" s="528"/>
      <c r="I133" s="529"/>
      <c r="J133" s="309"/>
      <c r="K133" s="1175"/>
      <c r="L133" s="530">
        <f>ROUND(AD133,2)</f>
        <v>0</v>
      </c>
      <c r="M133" s="530">
        <f>ROUND(L133*F133,2)</f>
        <v>0</v>
      </c>
      <c r="N133" s="309"/>
      <c r="O133" s="778"/>
      <c r="P133" s="777"/>
      <c r="Q133" s="777"/>
      <c r="R133" s="751"/>
      <c r="S133" s="752"/>
      <c r="T133" s="792"/>
      <c r="U133" s="803">
        <v>0</v>
      </c>
      <c r="V133" s="803">
        <v>0</v>
      </c>
      <c r="W133" s="803">
        <v>0</v>
      </c>
      <c r="X133" s="858">
        <f>SUMIF('Summary-E'!O$4:O$50,D133,'Summary-E'!Q$4:Q$50)</f>
        <v>0</v>
      </c>
      <c r="Y133" s="310">
        <f>ROUND((R133+S133/'Summary-E'!$M$63)*X133,2)</f>
        <v>0</v>
      </c>
      <c r="Z133" s="858">
        <f t="shared" si="67"/>
        <v>1.05</v>
      </c>
      <c r="AA133" s="813">
        <f>ROUND(Y133*Z133,2)</f>
        <v>0</v>
      </c>
      <c r="AB133" s="447">
        <f>$AB$3</f>
        <v>0.05</v>
      </c>
      <c r="AC133" s="310">
        <f t="shared" si="46"/>
        <v>0</v>
      </c>
      <c r="AD133" s="717">
        <f>ROUND(AC133*'[1]Summary E&amp;M'!$R$94,2)</f>
        <v>0</v>
      </c>
      <c r="AE133" s="826">
        <f t="shared" si="68"/>
        <v>0</v>
      </c>
      <c r="AF133" s="826">
        <f t="shared" si="69"/>
        <v>0</v>
      </c>
      <c r="AG133" s="731"/>
      <c r="AH133" s="732"/>
      <c r="AI133" s="519">
        <f t="shared" ref="AI133:AI173" si="70">$U133</f>
        <v>0</v>
      </c>
      <c r="AJ133" s="519">
        <f t="shared" ref="AJ133:AJ173" si="71">$V133</f>
        <v>0</v>
      </c>
      <c r="AK133" s="519">
        <f t="shared" ref="AK133:AK173" si="72">$W133</f>
        <v>0</v>
      </c>
      <c r="AL133" s="520">
        <f t="shared" ref="AL133:AL173" si="73">ROUND(Y133*AI133+((Y133*(1+AI133))*AJ133)+((Y133*AI133+((Y133*(1+AI133))*AJ133))*AK133),2)</f>
        <v>0</v>
      </c>
      <c r="AM133" s="520">
        <f t="shared" ref="AM133:AM173" si="74">AL133*$F133</f>
        <v>0</v>
      </c>
      <c r="AN133" s="520">
        <f t="shared" ref="AN133:AN173" si="75">ROUND(AL133*Z133,2)</f>
        <v>0</v>
      </c>
      <c r="AO133" s="520">
        <f t="shared" ref="AO133:AO173" si="76">AN133*$F133</f>
        <v>0</v>
      </c>
      <c r="AP133" s="719"/>
      <c r="AQ133" s="719"/>
      <c r="AR133" s="719"/>
      <c r="AS133" s="719"/>
      <c r="AT133" s="719"/>
    </row>
    <row r="134" spans="1:46" s="555" customFormat="1" ht="22.5" customHeight="1">
      <c r="A134" s="620"/>
      <c r="B134" s="539" t="s">
        <v>689</v>
      </c>
      <c r="C134" s="523"/>
      <c r="D134" s="524"/>
      <c r="E134" s="525"/>
      <c r="F134" s="1314"/>
      <c r="G134" s="527"/>
      <c r="H134" s="528"/>
      <c r="I134" s="529"/>
      <c r="J134" s="309"/>
      <c r="K134" s="1175"/>
      <c r="L134" s="530"/>
      <c r="M134" s="530"/>
      <c r="N134" s="309"/>
      <c r="O134" s="778"/>
      <c r="P134" s="777"/>
      <c r="Q134" s="777"/>
      <c r="R134" s="751"/>
      <c r="S134" s="752"/>
      <c r="T134" s="792"/>
      <c r="U134" s="803"/>
      <c r="V134" s="803"/>
      <c r="W134" s="803"/>
      <c r="X134" s="858">
        <f>SUMIF('Summary-E'!O$4:O$50,D134,'Summary-E'!Q$4:Q$50)</f>
        <v>0</v>
      </c>
      <c r="Y134" s="310">
        <f>ROUND((R134+S134/'Summary-E'!$M$63)*X134,2)</f>
        <v>0</v>
      </c>
      <c r="Z134" s="858">
        <f t="shared" si="67"/>
        <v>1.05</v>
      </c>
      <c r="AA134" s="813"/>
      <c r="AB134" s="447"/>
      <c r="AC134" s="310">
        <f t="shared" si="46"/>
        <v>0</v>
      </c>
      <c r="AD134" s="717">
        <f>ROUND(AC134*'[1]Summary E&amp;M'!$R$94,2)</f>
        <v>0</v>
      </c>
      <c r="AE134" s="826">
        <f t="shared" si="68"/>
        <v>0</v>
      </c>
      <c r="AF134" s="826">
        <f t="shared" si="69"/>
        <v>0</v>
      </c>
      <c r="AG134" s="731"/>
      <c r="AH134" s="732"/>
      <c r="AI134" s="519">
        <f t="shared" si="70"/>
        <v>0</v>
      </c>
      <c r="AJ134" s="519">
        <f t="shared" si="71"/>
        <v>0</v>
      </c>
      <c r="AK134" s="519">
        <f t="shared" si="72"/>
        <v>0</v>
      </c>
      <c r="AL134" s="520">
        <f t="shared" si="73"/>
        <v>0</v>
      </c>
      <c r="AM134" s="520">
        <f t="shared" si="74"/>
        <v>0</v>
      </c>
      <c r="AN134" s="520">
        <f t="shared" si="75"/>
        <v>0</v>
      </c>
      <c r="AO134" s="520">
        <f t="shared" si="76"/>
        <v>0</v>
      </c>
      <c r="AP134" s="719"/>
      <c r="AQ134" s="719"/>
      <c r="AR134" s="719"/>
      <c r="AS134" s="719"/>
      <c r="AT134" s="719"/>
    </row>
    <row r="135" spans="1:46" s="555" customFormat="1" ht="22.5" customHeight="1">
      <c r="A135" s="451"/>
      <c r="B135" s="531" t="s">
        <v>1307</v>
      </c>
      <c r="C135" s="523" t="s">
        <v>1181</v>
      </c>
      <c r="D135" s="524" t="s">
        <v>132</v>
      </c>
      <c r="E135" s="525" t="s">
        <v>684</v>
      </c>
      <c r="F135" s="1315">
        <f>K135</f>
        <v>1</v>
      </c>
      <c r="G135" s="527">
        <f>ROUNDUP(AA135,2)</f>
        <v>61187.74</v>
      </c>
      <c r="H135" s="528">
        <f>ROUND(F135*G135,2)</f>
        <v>61187.74</v>
      </c>
      <c r="I135" s="1244"/>
      <c r="J135" s="309"/>
      <c r="K135" s="1175">
        <v>1</v>
      </c>
      <c r="L135" s="530">
        <f>ROUND(AD135,2)</f>
        <v>2100</v>
      </c>
      <c r="M135" s="530">
        <f>ROUND(L135*F135,2)</f>
        <v>2100</v>
      </c>
      <c r="N135" s="309"/>
      <c r="O135" s="778" t="s">
        <v>132</v>
      </c>
      <c r="P135" s="777"/>
      <c r="Q135" s="777"/>
      <c r="R135" s="1096"/>
      <c r="S135" s="1098">
        <v>1212100000</v>
      </c>
      <c r="T135" s="1099">
        <v>1600</v>
      </c>
      <c r="U135" s="803">
        <v>0</v>
      </c>
      <c r="V135" s="803">
        <v>0</v>
      </c>
      <c r="W135" s="803">
        <v>0</v>
      </c>
      <c r="X135" s="858">
        <v>1</v>
      </c>
      <c r="Y135" s="310">
        <f>ROUND((R135+S135/'Summary-E'!$M$63)*X135,2)</f>
        <v>58274.04</v>
      </c>
      <c r="Z135" s="858">
        <f t="shared" si="67"/>
        <v>1.05</v>
      </c>
      <c r="AA135" s="813">
        <f>ROUND(Y135*Z135,2)</f>
        <v>61187.74</v>
      </c>
      <c r="AB135" s="447">
        <f>$AB$3</f>
        <v>0.05</v>
      </c>
      <c r="AC135" s="310">
        <f t="shared" si="46"/>
        <v>1680</v>
      </c>
      <c r="AD135" s="717">
        <f>ROUND(AC135*'[1]Summary E&amp;M'!$R$94,2)</f>
        <v>2100</v>
      </c>
      <c r="AE135" s="826">
        <f t="shared" si="68"/>
        <v>58274.04</v>
      </c>
      <c r="AF135" s="826">
        <f t="shared" si="69"/>
        <v>1680</v>
      </c>
      <c r="AG135" s="731"/>
      <c r="AH135" s="732"/>
      <c r="AI135" s="519">
        <f t="shared" si="70"/>
        <v>0</v>
      </c>
      <c r="AJ135" s="519">
        <f t="shared" si="71"/>
        <v>0</v>
      </c>
      <c r="AK135" s="519">
        <f t="shared" si="72"/>
        <v>0</v>
      </c>
      <c r="AL135" s="520">
        <f t="shared" si="73"/>
        <v>0</v>
      </c>
      <c r="AM135" s="520">
        <f t="shared" si="74"/>
        <v>0</v>
      </c>
      <c r="AN135" s="520">
        <f t="shared" si="75"/>
        <v>0</v>
      </c>
      <c r="AO135" s="520">
        <f t="shared" si="76"/>
        <v>0</v>
      </c>
      <c r="AP135" s="719"/>
      <c r="AQ135" s="719"/>
      <c r="AR135" s="719"/>
      <c r="AS135" s="719"/>
      <c r="AT135" s="719"/>
    </row>
    <row r="136" spans="1:46" s="555" customFormat="1" ht="22.5" customHeight="1">
      <c r="A136" s="451"/>
      <c r="B136" s="531" t="s">
        <v>672</v>
      </c>
      <c r="C136" s="523"/>
      <c r="D136" s="524" t="s">
        <v>139</v>
      </c>
      <c r="E136" s="525" t="s">
        <v>322</v>
      </c>
      <c r="F136" s="1315">
        <f>K136</f>
        <v>1</v>
      </c>
      <c r="G136" s="527">
        <f>ROUNDUP(AA136,2)</f>
        <v>296.76</v>
      </c>
      <c r="H136" s="528">
        <f>ROUND(F136*G136,2)</f>
        <v>296.76</v>
      </c>
      <c r="I136" s="529"/>
      <c r="J136" s="309"/>
      <c r="K136" s="1175">
        <v>1</v>
      </c>
      <c r="L136" s="530">
        <f>ROUND(AD136,2)</f>
        <v>76.489999999999995</v>
      </c>
      <c r="M136" s="530">
        <f>ROUND(L136*F136,2)</f>
        <v>76.489999999999995</v>
      </c>
      <c r="N136" s="309"/>
      <c r="O136" s="778" t="s">
        <v>130</v>
      </c>
      <c r="P136" s="781">
        <v>5.0000000000000001E-3</v>
      </c>
      <c r="Q136" s="777"/>
      <c r="R136" s="751">
        <f>ROUND(SUM(AE135:AE135)*P136,2)</f>
        <v>291.37</v>
      </c>
      <c r="S136" s="752"/>
      <c r="T136" s="792">
        <f>R136*0.2</f>
        <v>58.274000000000001</v>
      </c>
      <c r="U136" s="803">
        <v>0</v>
      </c>
      <c r="V136" s="803">
        <v>0</v>
      </c>
      <c r="W136" s="803">
        <v>0</v>
      </c>
      <c r="X136" s="858">
        <f>SUMIF('Summary-E'!O$4:O$50,D136,'Summary-E'!Q$4:Q$50)</f>
        <v>0.97</v>
      </c>
      <c r="Y136" s="310">
        <f>ROUND((R136+S136/'Summary-E'!$M$63)*X136,2)</f>
        <v>282.63</v>
      </c>
      <c r="Z136" s="858">
        <f t="shared" si="67"/>
        <v>1.05</v>
      </c>
      <c r="AA136" s="813">
        <f>ROUND(Y136*Z136,2)</f>
        <v>296.76</v>
      </c>
      <c r="AB136" s="447">
        <f>$AB$3</f>
        <v>0.05</v>
      </c>
      <c r="AC136" s="310">
        <f t="shared" si="46"/>
        <v>61.19</v>
      </c>
      <c r="AD136" s="717">
        <f>ROUND(AC136*'[1]Summary E&amp;M'!$R$94,2)</f>
        <v>76.489999999999995</v>
      </c>
      <c r="AE136" s="826">
        <f t="shared" si="68"/>
        <v>282.63</v>
      </c>
      <c r="AF136" s="826">
        <f t="shared" si="69"/>
        <v>61.19</v>
      </c>
      <c r="AG136" s="731"/>
      <c r="AH136" s="732"/>
      <c r="AI136" s="519">
        <f t="shared" si="70"/>
        <v>0</v>
      </c>
      <c r="AJ136" s="519">
        <f t="shared" si="71"/>
        <v>0</v>
      </c>
      <c r="AK136" s="519">
        <f t="shared" si="72"/>
        <v>0</v>
      </c>
      <c r="AL136" s="520">
        <f t="shared" si="73"/>
        <v>0</v>
      </c>
      <c r="AM136" s="520">
        <f t="shared" si="74"/>
        <v>0</v>
      </c>
      <c r="AN136" s="520">
        <f t="shared" si="75"/>
        <v>0</v>
      </c>
      <c r="AO136" s="520">
        <f t="shared" si="76"/>
        <v>0</v>
      </c>
      <c r="AP136" s="719"/>
      <c r="AQ136" s="719"/>
      <c r="AR136" s="719"/>
      <c r="AS136" s="719"/>
      <c r="AT136" s="719"/>
    </row>
    <row r="137" spans="1:46" s="555" customFormat="1" ht="22.5" customHeight="1">
      <c r="A137" s="451"/>
      <c r="B137" s="531" t="s">
        <v>1164</v>
      </c>
      <c r="C137" s="1354" t="s">
        <v>1324</v>
      </c>
      <c r="D137" s="1239" t="s">
        <v>197</v>
      </c>
      <c r="E137" s="525" t="s">
        <v>321</v>
      </c>
      <c r="F137" s="1314">
        <f>ROUND(K137*'Summary-E'!$K$61,0)</f>
        <v>9</v>
      </c>
      <c r="G137" s="527">
        <f t="shared" ref="G137:G143" si="77">ROUNDUP(AA137,2)</f>
        <v>444.72</v>
      </c>
      <c r="H137" s="528">
        <f t="shared" ref="H137:H143" si="78">ROUND(F137*G137,2)</f>
        <v>4002.48</v>
      </c>
      <c r="I137" s="1245"/>
      <c r="J137" s="309"/>
      <c r="K137" s="1175">
        <v>9</v>
      </c>
      <c r="L137" s="530">
        <f t="shared" ref="L137:L143" si="79">ROUND(AD137,2)</f>
        <v>23.63</v>
      </c>
      <c r="M137" s="530">
        <f t="shared" ref="M137:M143" si="80">ROUND(L137*F137,2)</f>
        <v>212.67</v>
      </c>
      <c r="N137" s="309"/>
      <c r="O137" s="778">
        <v>131</v>
      </c>
      <c r="P137" s="777"/>
      <c r="Q137" s="777"/>
      <c r="R137" s="751"/>
      <c r="S137" s="1098">
        <f>1.08*8157000</f>
        <v>8809560</v>
      </c>
      <c r="T137" s="1099">
        <v>18</v>
      </c>
      <c r="U137" s="803">
        <v>0</v>
      </c>
      <c r="V137" s="803">
        <v>0</v>
      </c>
      <c r="W137" s="803">
        <v>0</v>
      </c>
      <c r="X137" s="858">
        <v>1</v>
      </c>
      <c r="Y137" s="310">
        <f>ROUND((R137+S137/'Summary-E'!$M$63)*X137,2)</f>
        <v>423.54</v>
      </c>
      <c r="Z137" s="858">
        <f t="shared" si="67"/>
        <v>1.05</v>
      </c>
      <c r="AA137" s="813">
        <f t="shared" ref="AA137:AA143" si="81">ROUND(Y137*Z137,2)</f>
        <v>444.72</v>
      </c>
      <c r="AB137" s="447">
        <f t="shared" ref="AB137:AB143" si="82">$AB$3</f>
        <v>0.05</v>
      </c>
      <c r="AC137" s="310">
        <f t="shared" ref="AC137:AC143" si="83">ROUND((T137*(1+AB137)),2)</f>
        <v>18.899999999999999</v>
      </c>
      <c r="AD137" s="717">
        <f>ROUND(AC137*'[1]Summary E&amp;M'!$R$94,2)</f>
        <v>23.63</v>
      </c>
      <c r="AE137" s="826">
        <f t="shared" si="68"/>
        <v>3811.86</v>
      </c>
      <c r="AF137" s="826">
        <f t="shared" si="69"/>
        <v>170.1</v>
      </c>
      <c r="AG137" s="731">
        <v>21495.599999999999</v>
      </c>
      <c r="AH137" s="732">
        <v>1596</v>
      </c>
      <c r="AI137" s="519">
        <f t="shared" si="70"/>
        <v>0</v>
      </c>
      <c r="AJ137" s="519">
        <f t="shared" si="71"/>
        <v>0</v>
      </c>
      <c r="AK137" s="519">
        <f t="shared" si="72"/>
        <v>0</v>
      </c>
      <c r="AL137" s="520">
        <f t="shared" ref="AL137:AL143" si="84">ROUND(Y137*AI137+((Y137*(1+AI137))*AJ137)+((Y137*AI137+((Y137*(1+AI137))*AJ137))*AK137),2)</f>
        <v>0</v>
      </c>
      <c r="AM137" s="520">
        <f t="shared" ref="AM137:AM143" si="85">AL137*$F137</f>
        <v>0</v>
      </c>
      <c r="AN137" s="520">
        <f t="shared" ref="AN137:AN143" si="86">ROUND(AL137*Z137,2)</f>
        <v>0</v>
      </c>
      <c r="AO137" s="520">
        <f t="shared" ref="AO137:AO143" si="87">AN137*$F137</f>
        <v>0</v>
      </c>
      <c r="AP137" s="719"/>
      <c r="AQ137" s="719"/>
      <c r="AR137" s="719"/>
      <c r="AS137" s="719"/>
      <c r="AT137" s="719"/>
    </row>
    <row r="138" spans="1:46" s="555" customFormat="1" ht="22.5" customHeight="1">
      <c r="A138" s="451"/>
      <c r="B138" s="531" t="s">
        <v>1165</v>
      </c>
      <c r="C138" s="523"/>
      <c r="D138" s="1239" t="s">
        <v>197</v>
      </c>
      <c r="E138" s="525" t="s">
        <v>684</v>
      </c>
      <c r="F138" s="1315">
        <f t="shared" ref="F138:F143" si="88">K138</f>
        <v>2</v>
      </c>
      <c r="G138" s="527">
        <f t="shared" si="77"/>
        <v>415.43</v>
      </c>
      <c r="H138" s="528">
        <f t="shared" si="78"/>
        <v>830.86</v>
      </c>
      <c r="I138" s="1245"/>
      <c r="J138" s="649"/>
      <c r="K138" s="1175">
        <v>2</v>
      </c>
      <c r="L138" s="530">
        <f t="shared" si="79"/>
        <v>28.88</v>
      </c>
      <c r="M138" s="530">
        <f t="shared" si="80"/>
        <v>57.76</v>
      </c>
      <c r="N138" s="309"/>
      <c r="O138" s="778" t="s">
        <v>132</v>
      </c>
      <c r="P138" s="777"/>
      <c r="Q138" s="777"/>
      <c r="R138" s="1096"/>
      <c r="S138" s="1098">
        <f>1.08*7620000</f>
        <v>8229600.0000000009</v>
      </c>
      <c r="T138" s="1099">
        <v>22</v>
      </c>
      <c r="U138" s="803">
        <v>0</v>
      </c>
      <c r="V138" s="803">
        <v>0</v>
      </c>
      <c r="W138" s="803">
        <v>0</v>
      </c>
      <c r="X138" s="858">
        <v>1</v>
      </c>
      <c r="Y138" s="310">
        <f>ROUND((R138+S138/'Summary-E'!$M$63)*X138,2)</f>
        <v>395.65</v>
      </c>
      <c r="Z138" s="858">
        <f t="shared" si="67"/>
        <v>1.05</v>
      </c>
      <c r="AA138" s="813">
        <f t="shared" si="81"/>
        <v>415.43</v>
      </c>
      <c r="AB138" s="447">
        <f t="shared" si="82"/>
        <v>0.05</v>
      </c>
      <c r="AC138" s="310">
        <f t="shared" si="83"/>
        <v>23.1</v>
      </c>
      <c r="AD138" s="717">
        <f>ROUND(AC138*'[1]Summary E&amp;M'!$R$94,2)</f>
        <v>28.88</v>
      </c>
      <c r="AE138" s="826">
        <f t="shared" si="68"/>
        <v>791.3</v>
      </c>
      <c r="AF138" s="826">
        <f t="shared" si="69"/>
        <v>46.2</v>
      </c>
      <c r="AG138" s="731">
        <v>1910.45</v>
      </c>
      <c r="AH138" s="732">
        <v>49.88</v>
      </c>
      <c r="AI138" s="519">
        <f t="shared" si="70"/>
        <v>0</v>
      </c>
      <c r="AJ138" s="519">
        <f t="shared" si="71"/>
        <v>0</v>
      </c>
      <c r="AK138" s="519">
        <f t="shared" si="72"/>
        <v>0</v>
      </c>
      <c r="AL138" s="520">
        <f t="shared" si="84"/>
        <v>0</v>
      </c>
      <c r="AM138" s="520">
        <f t="shared" si="85"/>
        <v>0</v>
      </c>
      <c r="AN138" s="520">
        <f t="shared" si="86"/>
        <v>0</v>
      </c>
      <c r="AO138" s="520">
        <f t="shared" si="87"/>
        <v>0</v>
      </c>
      <c r="AP138" s="719"/>
      <c r="AQ138" s="719"/>
      <c r="AR138" s="719"/>
      <c r="AS138" s="719"/>
      <c r="AT138" s="719"/>
    </row>
    <row r="139" spans="1:46" s="555" customFormat="1" ht="22.5" customHeight="1">
      <c r="A139" s="451"/>
      <c r="B139" s="531" t="s">
        <v>1166</v>
      </c>
      <c r="C139" s="523"/>
      <c r="D139" s="1239" t="s">
        <v>197</v>
      </c>
      <c r="E139" s="525" t="s">
        <v>684</v>
      </c>
      <c r="F139" s="1315">
        <f t="shared" si="88"/>
        <v>2</v>
      </c>
      <c r="G139" s="527">
        <f t="shared" si="77"/>
        <v>392.21</v>
      </c>
      <c r="H139" s="528">
        <f t="shared" si="78"/>
        <v>784.42</v>
      </c>
      <c r="I139" s="1245"/>
      <c r="J139" s="649"/>
      <c r="K139" s="1175">
        <v>2</v>
      </c>
      <c r="L139" s="530">
        <f t="shared" si="79"/>
        <v>10.5</v>
      </c>
      <c r="M139" s="530">
        <f t="shared" si="80"/>
        <v>21</v>
      </c>
      <c r="N139" s="309"/>
      <c r="O139" s="778" t="s">
        <v>132</v>
      </c>
      <c r="P139" s="777"/>
      <c r="Q139" s="777"/>
      <c r="R139" s="1096"/>
      <c r="S139" s="1098">
        <f>1.08*7194000</f>
        <v>7769520.0000000009</v>
      </c>
      <c r="T139" s="1099">
        <v>8</v>
      </c>
      <c r="U139" s="803">
        <v>0</v>
      </c>
      <c r="V139" s="803">
        <v>0</v>
      </c>
      <c r="W139" s="803">
        <v>0</v>
      </c>
      <c r="X139" s="858">
        <v>1</v>
      </c>
      <c r="Y139" s="310">
        <f>ROUND((R139+S139/'Summary-E'!$M$63)*X139,2)</f>
        <v>373.53</v>
      </c>
      <c r="Z139" s="858">
        <f t="shared" si="67"/>
        <v>1.05</v>
      </c>
      <c r="AA139" s="813">
        <f t="shared" si="81"/>
        <v>392.21</v>
      </c>
      <c r="AB139" s="447">
        <f t="shared" si="82"/>
        <v>0.05</v>
      </c>
      <c r="AC139" s="310">
        <f t="shared" si="83"/>
        <v>8.4</v>
      </c>
      <c r="AD139" s="717">
        <f>ROUND(AC139*'[1]Summary E&amp;M'!$R$94,2)</f>
        <v>10.5</v>
      </c>
      <c r="AE139" s="826">
        <f t="shared" si="68"/>
        <v>747.06</v>
      </c>
      <c r="AF139" s="826">
        <f t="shared" si="69"/>
        <v>16.8</v>
      </c>
      <c r="AG139" s="731">
        <v>1910.45</v>
      </c>
      <c r="AH139" s="732">
        <v>49.88</v>
      </c>
      <c r="AI139" s="519">
        <f t="shared" si="70"/>
        <v>0</v>
      </c>
      <c r="AJ139" s="519">
        <f t="shared" si="71"/>
        <v>0</v>
      </c>
      <c r="AK139" s="519">
        <f t="shared" si="72"/>
        <v>0</v>
      </c>
      <c r="AL139" s="520">
        <f t="shared" si="84"/>
        <v>0</v>
      </c>
      <c r="AM139" s="520">
        <f t="shared" si="85"/>
        <v>0</v>
      </c>
      <c r="AN139" s="520">
        <f t="shared" si="86"/>
        <v>0</v>
      </c>
      <c r="AO139" s="520">
        <f t="shared" si="87"/>
        <v>0</v>
      </c>
      <c r="AP139" s="719"/>
      <c r="AQ139" s="719"/>
      <c r="AR139" s="719"/>
      <c r="AS139" s="719"/>
      <c r="AT139" s="719"/>
    </row>
    <row r="140" spans="1:46" s="555" customFormat="1" ht="22.5" customHeight="1">
      <c r="A140" s="451"/>
      <c r="B140" s="531" t="s">
        <v>1167</v>
      </c>
      <c r="C140" s="523"/>
      <c r="D140" s="1239" t="s">
        <v>197</v>
      </c>
      <c r="E140" s="525" t="s">
        <v>684</v>
      </c>
      <c r="F140" s="1315">
        <f t="shared" si="88"/>
        <v>1</v>
      </c>
      <c r="G140" s="527">
        <f t="shared" si="77"/>
        <v>2195.54</v>
      </c>
      <c r="H140" s="528">
        <f t="shared" si="78"/>
        <v>2195.54</v>
      </c>
      <c r="I140" s="1245"/>
      <c r="J140" s="649"/>
      <c r="K140" s="1175">
        <v>1</v>
      </c>
      <c r="L140" s="530">
        <f t="shared" si="79"/>
        <v>36.75</v>
      </c>
      <c r="M140" s="530">
        <f t="shared" si="80"/>
        <v>36.75</v>
      </c>
      <c r="N140" s="309"/>
      <c r="O140" s="778" t="s">
        <v>132</v>
      </c>
      <c r="P140" s="777"/>
      <c r="Q140" s="777"/>
      <c r="R140" s="1096"/>
      <c r="S140" s="1098">
        <f>1.08*40271000</f>
        <v>43492680</v>
      </c>
      <c r="T140" s="1099">
        <v>28</v>
      </c>
      <c r="U140" s="803">
        <v>0</v>
      </c>
      <c r="V140" s="803">
        <v>0</v>
      </c>
      <c r="W140" s="803">
        <v>0</v>
      </c>
      <c r="X140" s="858">
        <v>1</v>
      </c>
      <c r="Y140" s="310">
        <f>ROUND((R140+S140/'Summary-E'!$M$63)*X140,2)</f>
        <v>2090.9899999999998</v>
      </c>
      <c r="Z140" s="858">
        <f t="shared" si="67"/>
        <v>1.05</v>
      </c>
      <c r="AA140" s="813">
        <f t="shared" si="81"/>
        <v>2195.54</v>
      </c>
      <c r="AB140" s="447">
        <f t="shared" si="82"/>
        <v>0.05</v>
      </c>
      <c r="AC140" s="310">
        <f t="shared" si="83"/>
        <v>29.4</v>
      </c>
      <c r="AD140" s="717">
        <f>ROUND(AC140*'[1]Summary E&amp;M'!$R$94,2)</f>
        <v>36.75</v>
      </c>
      <c r="AE140" s="826">
        <f t="shared" si="68"/>
        <v>2090.9899999999998</v>
      </c>
      <c r="AF140" s="826">
        <f t="shared" si="69"/>
        <v>29.4</v>
      </c>
      <c r="AG140" s="731">
        <v>1910.45</v>
      </c>
      <c r="AH140" s="732">
        <v>49.88</v>
      </c>
      <c r="AI140" s="519">
        <f t="shared" si="70"/>
        <v>0</v>
      </c>
      <c r="AJ140" s="519">
        <f t="shared" si="71"/>
        <v>0</v>
      </c>
      <c r="AK140" s="519">
        <f t="shared" si="72"/>
        <v>0</v>
      </c>
      <c r="AL140" s="520">
        <f t="shared" si="84"/>
        <v>0</v>
      </c>
      <c r="AM140" s="520">
        <f t="shared" si="85"/>
        <v>0</v>
      </c>
      <c r="AN140" s="520">
        <f t="shared" si="86"/>
        <v>0</v>
      </c>
      <c r="AO140" s="520">
        <f t="shared" si="87"/>
        <v>0</v>
      </c>
      <c r="AP140" s="719"/>
      <c r="AQ140" s="719"/>
      <c r="AR140" s="719"/>
      <c r="AS140" s="719"/>
      <c r="AT140" s="719"/>
    </row>
    <row r="141" spans="1:46" s="555" customFormat="1" ht="22.5" customHeight="1">
      <c r="A141" s="451"/>
      <c r="B141" s="531" t="s">
        <v>1168</v>
      </c>
      <c r="C141" s="523"/>
      <c r="D141" s="1239" t="s">
        <v>197</v>
      </c>
      <c r="E141" s="525" t="s">
        <v>684</v>
      </c>
      <c r="F141" s="1315">
        <f t="shared" si="88"/>
        <v>4</v>
      </c>
      <c r="G141" s="527">
        <f t="shared" si="77"/>
        <v>32.26</v>
      </c>
      <c r="H141" s="528">
        <f t="shared" si="78"/>
        <v>129.04</v>
      </c>
      <c r="I141" s="1245"/>
      <c r="J141" s="649"/>
      <c r="K141" s="1175">
        <v>4</v>
      </c>
      <c r="L141" s="530">
        <f t="shared" si="79"/>
        <v>7.88</v>
      </c>
      <c r="M141" s="530">
        <f t="shared" si="80"/>
        <v>31.52</v>
      </c>
      <c r="N141" s="309"/>
      <c r="O141" s="778" t="s">
        <v>132</v>
      </c>
      <c r="P141" s="777"/>
      <c r="Q141" s="777"/>
      <c r="R141" s="1096"/>
      <c r="S141" s="1098">
        <v>639000</v>
      </c>
      <c r="T141" s="1099">
        <v>6</v>
      </c>
      <c r="U141" s="803">
        <v>0</v>
      </c>
      <c r="V141" s="803">
        <v>0</v>
      </c>
      <c r="W141" s="803">
        <v>0</v>
      </c>
      <c r="X141" s="858">
        <v>1</v>
      </c>
      <c r="Y141" s="310">
        <f>ROUND((R141+S141/'Summary-E'!$M$63)*X141,2)</f>
        <v>30.72</v>
      </c>
      <c r="Z141" s="858">
        <f t="shared" si="67"/>
        <v>1.05</v>
      </c>
      <c r="AA141" s="813">
        <f t="shared" si="81"/>
        <v>32.26</v>
      </c>
      <c r="AB141" s="447">
        <f t="shared" si="82"/>
        <v>0.05</v>
      </c>
      <c r="AC141" s="310">
        <f t="shared" si="83"/>
        <v>6.3</v>
      </c>
      <c r="AD141" s="717">
        <f>ROUND(AC141*'[1]Summary E&amp;M'!$R$94,2)</f>
        <v>7.88</v>
      </c>
      <c r="AE141" s="826">
        <f t="shared" si="68"/>
        <v>122.88</v>
      </c>
      <c r="AF141" s="826">
        <f t="shared" si="69"/>
        <v>25.2</v>
      </c>
      <c r="AG141" s="731">
        <v>1910.45</v>
      </c>
      <c r="AH141" s="732">
        <v>49.88</v>
      </c>
      <c r="AI141" s="519">
        <f t="shared" si="70"/>
        <v>0</v>
      </c>
      <c r="AJ141" s="519">
        <f t="shared" si="71"/>
        <v>0</v>
      </c>
      <c r="AK141" s="519">
        <f t="shared" si="72"/>
        <v>0</v>
      </c>
      <c r="AL141" s="520">
        <f t="shared" si="84"/>
        <v>0</v>
      </c>
      <c r="AM141" s="520">
        <f t="shared" si="85"/>
        <v>0</v>
      </c>
      <c r="AN141" s="520">
        <f t="shared" si="86"/>
        <v>0</v>
      </c>
      <c r="AO141" s="520">
        <f t="shared" si="87"/>
        <v>0</v>
      </c>
      <c r="AP141" s="719"/>
      <c r="AQ141" s="719"/>
      <c r="AR141" s="719"/>
      <c r="AS141" s="719"/>
      <c r="AT141" s="719"/>
    </row>
    <row r="142" spans="1:46" s="555" customFormat="1" ht="22.5" customHeight="1">
      <c r="A142" s="451"/>
      <c r="B142" s="531" t="s">
        <v>685</v>
      </c>
      <c r="C142" s="523"/>
      <c r="D142" s="524">
        <v>121</v>
      </c>
      <c r="E142" s="525" t="s">
        <v>322</v>
      </c>
      <c r="F142" s="1315">
        <f t="shared" si="88"/>
        <v>1</v>
      </c>
      <c r="G142" s="527">
        <f t="shared" si="77"/>
        <v>1155.5999999999999</v>
      </c>
      <c r="H142" s="528">
        <f t="shared" si="78"/>
        <v>1155.5999999999999</v>
      </c>
      <c r="I142" s="1245"/>
      <c r="J142" s="309"/>
      <c r="K142" s="1175">
        <v>1</v>
      </c>
      <c r="L142" s="530">
        <f t="shared" si="79"/>
        <v>297.83999999999997</v>
      </c>
      <c r="M142" s="530">
        <f t="shared" si="80"/>
        <v>297.83999999999997</v>
      </c>
      <c r="N142" s="309"/>
      <c r="O142" s="778" t="s">
        <v>139</v>
      </c>
      <c r="P142" s="777">
        <v>0.15</v>
      </c>
      <c r="Q142" s="777"/>
      <c r="R142" s="1096">
        <f>ROUND(SUM(AE137:AE141)*P142,2)</f>
        <v>1134.6099999999999</v>
      </c>
      <c r="S142" s="1098"/>
      <c r="T142" s="1099">
        <f>R142*0.2</f>
        <v>226.922</v>
      </c>
      <c r="U142" s="803">
        <v>0</v>
      </c>
      <c r="V142" s="803">
        <v>0</v>
      </c>
      <c r="W142" s="803">
        <v>0</v>
      </c>
      <c r="X142" s="858">
        <f>SUMIF('Summary-E'!O$4:O$50,D142,'Summary-E'!Q$4:Q$50)</f>
        <v>0.97</v>
      </c>
      <c r="Y142" s="310">
        <f>ROUND((R142+S142/'Summary-E'!$M$63)*X142,2)</f>
        <v>1100.57</v>
      </c>
      <c r="Z142" s="858">
        <f t="shared" si="67"/>
        <v>1.05</v>
      </c>
      <c r="AA142" s="813">
        <f t="shared" si="81"/>
        <v>1155.5999999999999</v>
      </c>
      <c r="AB142" s="447">
        <f t="shared" si="82"/>
        <v>0.05</v>
      </c>
      <c r="AC142" s="310">
        <f t="shared" si="83"/>
        <v>238.27</v>
      </c>
      <c r="AD142" s="717">
        <f>ROUND(AC142*'[1]Summary E&amp;M'!$R$94,2)</f>
        <v>297.83999999999997</v>
      </c>
      <c r="AE142" s="826">
        <f t="shared" si="68"/>
        <v>1100.57</v>
      </c>
      <c r="AF142" s="826">
        <f t="shared" si="69"/>
        <v>238.27</v>
      </c>
      <c r="AG142" s="731"/>
      <c r="AH142" s="732"/>
      <c r="AI142" s="519">
        <f t="shared" si="70"/>
        <v>0</v>
      </c>
      <c r="AJ142" s="519">
        <f t="shared" si="71"/>
        <v>0</v>
      </c>
      <c r="AK142" s="519">
        <f t="shared" si="72"/>
        <v>0</v>
      </c>
      <c r="AL142" s="520">
        <f t="shared" si="84"/>
        <v>0</v>
      </c>
      <c r="AM142" s="520">
        <f t="shared" si="85"/>
        <v>0</v>
      </c>
      <c r="AN142" s="520">
        <f t="shared" si="86"/>
        <v>0</v>
      </c>
      <c r="AO142" s="520">
        <f t="shared" si="87"/>
        <v>0</v>
      </c>
      <c r="AP142" s="719"/>
      <c r="AQ142" s="719"/>
      <c r="AR142" s="719"/>
      <c r="AS142" s="719"/>
      <c r="AT142" s="719"/>
    </row>
    <row r="143" spans="1:46" s="555" customFormat="1" ht="22.5" customHeight="1">
      <c r="A143" s="451"/>
      <c r="B143" s="531" t="s">
        <v>672</v>
      </c>
      <c r="C143" s="523"/>
      <c r="D143" s="524" t="s">
        <v>139</v>
      </c>
      <c r="E143" s="525" t="s">
        <v>322</v>
      </c>
      <c r="F143" s="1315">
        <f t="shared" si="88"/>
        <v>1</v>
      </c>
      <c r="G143" s="527">
        <f t="shared" si="77"/>
        <v>385.19</v>
      </c>
      <c r="H143" s="528">
        <f t="shared" si="78"/>
        <v>385.19</v>
      </c>
      <c r="I143" s="1245"/>
      <c r="J143" s="309"/>
      <c r="K143" s="1175">
        <v>1</v>
      </c>
      <c r="L143" s="530">
        <f t="shared" si="79"/>
        <v>148.91</v>
      </c>
      <c r="M143" s="530">
        <f t="shared" si="80"/>
        <v>148.91</v>
      </c>
      <c r="N143" s="309"/>
      <c r="O143" s="778" t="s">
        <v>130</v>
      </c>
      <c r="P143" s="777">
        <v>0.05</v>
      </c>
      <c r="Q143" s="777"/>
      <c r="R143" s="1096">
        <f>ROUND(SUM(AE137:AE141)*P143,2)</f>
        <v>378.2</v>
      </c>
      <c r="S143" s="1098"/>
      <c r="T143" s="1099">
        <f>R143*0.3</f>
        <v>113.46</v>
      </c>
      <c r="U143" s="803">
        <v>0</v>
      </c>
      <c r="V143" s="803">
        <v>0</v>
      </c>
      <c r="W143" s="803">
        <v>0</v>
      </c>
      <c r="X143" s="858">
        <f>SUMIF('Summary-E'!O$4:O$50,D143,'Summary-E'!Q$4:Q$50)</f>
        <v>0.97</v>
      </c>
      <c r="Y143" s="310">
        <f>ROUND((R143+S143/'Summary-E'!$M$63)*X143,2)</f>
        <v>366.85</v>
      </c>
      <c r="Z143" s="858">
        <f t="shared" si="67"/>
        <v>1.05</v>
      </c>
      <c r="AA143" s="813">
        <f t="shared" si="81"/>
        <v>385.19</v>
      </c>
      <c r="AB143" s="447">
        <f t="shared" si="82"/>
        <v>0.05</v>
      </c>
      <c r="AC143" s="310">
        <f t="shared" si="83"/>
        <v>119.13</v>
      </c>
      <c r="AD143" s="717">
        <f>ROUND(AC143*'[1]Summary E&amp;M'!$R$94,2)</f>
        <v>148.91</v>
      </c>
      <c r="AE143" s="826">
        <f t="shared" si="68"/>
        <v>366.85</v>
      </c>
      <c r="AF143" s="826">
        <f t="shared" si="69"/>
        <v>119.13</v>
      </c>
      <c r="AG143" s="731"/>
      <c r="AH143" s="732"/>
      <c r="AI143" s="519">
        <f t="shared" si="70"/>
        <v>0</v>
      </c>
      <c r="AJ143" s="519">
        <f t="shared" si="71"/>
        <v>0</v>
      </c>
      <c r="AK143" s="519">
        <f t="shared" si="72"/>
        <v>0</v>
      </c>
      <c r="AL143" s="520">
        <f t="shared" si="84"/>
        <v>0</v>
      </c>
      <c r="AM143" s="520">
        <f t="shared" si="85"/>
        <v>0</v>
      </c>
      <c r="AN143" s="520">
        <f t="shared" si="86"/>
        <v>0</v>
      </c>
      <c r="AO143" s="520">
        <f t="shared" si="87"/>
        <v>0</v>
      </c>
      <c r="AP143" s="719"/>
      <c r="AQ143" s="719"/>
      <c r="AR143" s="719"/>
      <c r="AS143" s="719"/>
      <c r="AT143" s="719"/>
    </row>
    <row r="144" spans="1:46" s="555" customFormat="1" ht="22.5" customHeight="1">
      <c r="A144" s="451"/>
      <c r="B144" s="531" t="s">
        <v>686</v>
      </c>
      <c r="C144" s="523"/>
      <c r="D144" s="524">
        <v>151</v>
      </c>
      <c r="E144" s="525" t="s">
        <v>322</v>
      </c>
      <c r="F144" s="1315">
        <f>K144</f>
        <v>1</v>
      </c>
      <c r="G144" s="527">
        <f>ROUNDUP(AA144,2)</f>
        <v>2037</v>
      </c>
      <c r="H144" s="528">
        <f>ROUND(F144*G144,2)</f>
        <v>2037</v>
      </c>
      <c r="I144" s="529"/>
      <c r="J144" s="309"/>
      <c r="K144" s="1175">
        <v>1</v>
      </c>
      <c r="L144" s="530">
        <f>ROUND(AD144,2)</f>
        <v>918.75</v>
      </c>
      <c r="M144" s="530">
        <f>ROUND(L144*F144,2)</f>
        <v>918.75</v>
      </c>
      <c r="N144" s="309"/>
      <c r="O144" s="778">
        <v>131</v>
      </c>
      <c r="P144" s="777"/>
      <c r="Q144" s="777"/>
      <c r="R144" s="882">
        <v>2000</v>
      </c>
      <c r="S144" s="883"/>
      <c r="T144" s="879">
        <v>700</v>
      </c>
      <c r="U144" s="803">
        <v>0</v>
      </c>
      <c r="V144" s="803">
        <v>0</v>
      </c>
      <c r="W144" s="803">
        <v>0</v>
      </c>
      <c r="X144" s="858">
        <f>SUMIF('Summary-E'!O$4:O$50,D144,'Summary-E'!Q$4:Q$50)</f>
        <v>0.97</v>
      </c>
      <c r="Y144" s="310">
        <f>ROUND((R144+S144/'Summary-E'!$M$63)*X144,2)</f>
        <v>1940</v>
      </c>
      <c r="Z144" s="858">
        <f t="shared" si="67"/>
        <v>1.05</v>
      </c>
      <c r="AA144" s="813">
        <f>ROUND(Y144*Z144,2)</f>
        <v>2037</v>
      </c>
      <c r="AB144" s="447">
        <f>$AB$3</f>
        <v>0.05</v>
      </c>
      <c r="AC144" s="310">
        <f t="shared" si="46"/>
        <v>735</v>
      </c>
      <c r="AD144" s="717">
        <f>ROUND(AC144*'[1]Summary E&amp;M'!$R$94,2)</f>
        <v>918.75</v>
      </c>
      <c r="AE144" s="826">
        <f t="shared" si="68"/>
        <v>1940</v>
      </c>
      <c r="AF144" s="826">
        <f t="shared" si="69"/>
        <v>735</v>
      </c>
      <c r="AG144" s="731"/>
      <c r="AH144" s="732"/>
      <c r="AI144" s="519">
        <f t="shared" si="70"/>
        <v>0</v>
      </c>
      <c r="AJ144" s="519">
        <f t="shared" si="71"/>
        <v>0</v>
      </c>
      <c r="AK144" s="519">
        <f t="shared" si="72"/>
        <v>0</v>
      </c>
      <c r="AL144" s="520">
        <f t="shared" si="73"/>
        <v>0</v>
      </c>
      <c r="AM144" s="520">
        <f t="shared" si="74"/>
        <v>0</v>
      </c>
      <c r="AN144" s="520">
        <f t="shared" si="75"/>
        <v>0</v>
      </c>
      <c r="AO144" s="520">
        <f t="shared" si="76"/>
        <v>0</v>
      </c>
      <c r="AP144" s="719"/>
      <c r="AQ144" s="719"/>
      <c r="AR144" s="719"/>
      <c r="AS144" s="719"/>
      <c r="AT144" s="719"/>
    </row>
    <row r="145" spans="1:46" s="555" customFormat="1" ht="22.5" customHeight="1">
      <c r="A145" s="451"/>
      <c r="B145" s="531"/>
      <c r="C145" s="523"/>
      <c r="D145" s="524"/>
      <c r="E145" s="525"/>
      <c r="F145" s="1314"/>
      <c r="G145" s="528"/>
      <c r="H145" s="528"/>
      <c r="I145" s="529"/>
      <c r="J145" s="309"/>
      <c r="K145" s="1175"/>
      <c r="L145" s="530"/>
      <c r="M145" s="530"/>
      <c r="N145" s="309"/>
      <c r="O145" s="778"/>
      <c r="P145" s="777"/>
      <c r="Q145" s="777"/>
      <c r="R145" s="751"/>
      <c r="S145" s="752"/>
      <c r="T145" s="792"/>
      <c r="U145" s="803"/>
      <c r="V145" s="803"/>
      <c r="W145" s="803"/>
      <c r="X145" s="858">
        <f>SUMIF('Summary-E'!O$4:O$50,D145,'Summary-E'!Q$4:Q$50)</f>
        <v>0</v>
      </c>
      <c r="Y145" s="310">
        <f>ROUND((R145+S145/'Summary-E'!$M$63)*X145,2)</f>
        <v>0</v>
      </c>
      <c r="Z145" s="858">
        <f t="shared" si="67"/>
        <v>1.05</v>
      </c>
      <c r="AA145" s="813"/>
      <c r="AB145" s="447"/>
      <c r="AC145" s="310">
        <f t="shared" si="46"/>
        <v>0</v>
      </c>
      <c r="AD145" s="717">
        <f>ROUND(AC145*'[1]Summary E&amp;M'!$R$94,2)</f>
        <v>0</v>
      </c>
      <c r="AE145" s="826">
        <f t="shared" si="68"/>
        <v>0</v>
      </c>
      <c r="AF145" s="826">
        <f t="shared" si="69"/>
        <v>0</v>
      </c>
      <c r="AG145" s="731"/>
      <c r="AH145" s="732"/>
      <c r="AI145" s="519">
        <f t="shared" si="70"/>
        <v>0</v>
      </c>
      <c r="AJ145" s="519">
        <f t="shared" si="71"/>
        <v>0</v>
      </c>
      <c r="AK145" s="519">
        <f t="shared" si="72"/>
        <v>0</v>
      </c>
      <c r="AL145" s="520">
        <f t="shared" si="73"/>
        <v>0</v>
      </c>
      <c r="AM145" s="520">
        <f t="shared" si="74"/>
        <v>0</v>
      </c>
      <c r="AN145" s="520">
        <f t="shared" si="75"/>
        <v>0</v>
      </c>
      <c r="AO145" s="520">
        <f t="shared" si="76"/>
        <v>0</v>
      </c>
      <c r="AP145" s="719"/>
      <c r="AQ145" s="719"/>
      <c r="AR145" s="719"/>
      <c r="AS145" s="719"/>
      <c r="AT145" s="719"/>
    </row>
    <row r="146" spans="1:46" s="555" customFormat="1" ht="22.5" customHeight="1">
      <c r="A146" s="451"/>
      <c r="B146" s="531" t="s">
        <v>324</v>
      </c>
      <c r="C146" s="523"/>
      <c r="D146" s="524">
        <v>210</v>
      </c>
      <c r="E146" s="525" t="s">
        <v>319</v>
      </c>
      <c r="F146" s="1315">
        <f>K146</f>
        <v>1</v>
      </c>
      <c r="G146" s="528">
        <f>M150</f>
        <v>3901.69</v>
      </c>
      <c r="H146" s="528">
        <f>ROUND(F146*G146,2)</f>
        <v>3901.69</v>
      </c>
      <c r="I146" s="529"/>
      <c r="J146" s="309"/>
      <c r="K146" s="1175">
        <v>1</v>
      </c>
      <c r="L146" s="530">
        <f>ROUND(AD146,2)</f>
        <v>0</v>
      </c>
      <c r="M146" s="530">
        <f>ROUND(L146*F146,2)</f>
        <v>0</v>
      </c>
      <c r="N146" s="309"/>
      <c r="O146" s="778">
        <v>210</v>
      </c>
      <c r="P146" s="777"/>
      <c r="Q146" s="777"/>
      <c r="R146" s="751"/>
      <c r="S146" s="752"/>
      <c r="T146" s="792"/>
      <c r="U146" s="803">
        <v>0</v>
      </c>
      <c r="V146" s="803">
        <v>0</v>
      </c>
      <c r="W146" s="803">
        <v>0</v>
      </c>
      <c r="X146" s="858">
        <f>SUMIF('Summary-E'!O$4:O$50,D146,'Summary-E'!Q$4:Q$50)</f>
        <v>0.05</v>
      </c>
      <c r="Y146" s="310">
        <f>ROUND((R146+S146/'Summary-E'!$M$63)*X146,2)</f>
        <v>0</v>
      </c>
      <c r="Z146" s="858">
        <f t="shared" si="67"/>
        <v>1.05</v>
      </c>
      <c r="AA146" s="813">
        <f>ROUND(Y146*Z146,2)</f>
        <v>0</v>
      </c>
      <c r="AB146" s="447">
        <f>$AB$3</f>
        <v>0.05</v>
      </c>
      <c r="AC146" s="310">
        <f t="shared" si="46"/>
        <v>0</v>
      </c>
      <c r="AD146" s="717">
        <f>ROUND(AC146*'[1]Summary E&amp;M'!$R$94,2)</f>
        <v>0</v>
      </c>
      <c r="AE146" s="826">
        <f t="shared" si="68"/>
        <v>0</v>
      </c>
      <c r="AF146" s="826">
        <f t="shared" si="69"/>
        <v>0</v>
      </c>
      <c r="AG146" s="731"/>
      <c r="AH146" s="732"/>
      <c r="AI146" s="519">
        <f t="shared" si="70"/>
        <v>0</v>
      </c>
      <c r="AJ146" s="519">
        <f t="shared" si="71"/>
        <v>0</v>
      </c>
      <c r="AK146" s="519">
        <f t="shared" si="72"/>
        <v>0</v>
      </c>
      <c r="AL146" s="520">
        <f t="shared" si="73"/>
        <v>0</v>
      </c>
      <c r="AM146" s="520">
        <f t="shared" si="74"/>
        <v>0</v>
      </c>
      <c r="AN146" s="520">
        <f t="shared" si="75"/>
        <v>0</v>
      </c>
      <c r="AO146" s="520">
        <f t="shared" si="76"/>
        <v>0</v>
      </c>
      <c r="AP146" s="719"/>
      <c r="AQ146" s="719"/>
      <c r="AR146" s="719"/>
      <c r="AS146" s="719"/>
      <c r="AT146" s="719"/>
    </row>
    <row r="147" spans="1:46" s="555" customFormat="1" ht="22.5" customHeight="1">
      <c r="A147" s="451"/>
      <c r="B147" s="531" t="s">
        <v>327</v>
      </c>
      <c r="C147" s="523"/>
      <c r="D147" s="524" t="s">
        <v>134</v>
      </c>
      <c r="E147" s="525" t="s">
        <v>319</v>
      </c>
      <c r="F147" s="1315">
        <f>K147</f>
        <v>1</v>
      </c>
      <c r="G147" s="527">
        <f>ROUNDUP(AA147,2)</f>
        <v>486.09</v>
      </c>
      <c r="H147" s="528">
        <f>ROUND(F147*G147,2)</f>
        <v>486.09</v>
      </c>
      <c r="I147" s="529"/>
      <c r="J147" s="309"/>
      <c r="K147" s="1175">
        <v>1</v>
      </c>
      <c r="L147" s="530">
        <f>ROUND(AD147,2)</f>
        <v>0</v>
      </c>
      <c r="M147" s="530">
        <f>ROUND(L147*F147,2)</f>
        <v>0</v>
      </c>
      <c r="N147" s="309"/>
      <c r="O147" s="778" t="s">
        <v>134</v>
      </c>
      <c r="P147" s="777">
        <v>0.2</v>
      </c>
      <c r="Q147" s="777"/>
      <c r="R147" s="751">
        <f>ROUND(SUM(AF135:AF143)*P147,2)</f>
        <v>477.26</v>
      </c>
      <c r="S147" s="752"/>
      <c r="T147" s="792"/>
      <c r="U147" s="803">
        <v>0</v>
      </c>
      <c r="V147" s="803">
        <v>0</v>
      </c>
      <c r="W147" s="803">
        <v>0</v>
      </c>
      <c r="X147" s="858">
        <f>SUMIF('Summary-E'!O$4:O$50,D147,'Summary-E'!Q$4:Q$50)</f>
        <v>0.97</v>
      </c>
      <c r="Y147" s="310">
        <f>ROUND((R147+S147/'Summary-E'!$M$63)*X147,2)</f>
        <v>462.94</v>
      </c>
      <c r="Z147" s="858">
        <f t="shared" si="67"/>
        <v>1.05</v>
      </c>
      <c r="AA147" s="813">
        <f>ROUND(Y147*Z147,2)</f>
        <v>486.09</v>
      </c>
      <c r="AB147" s="447">
        <f>$AB$3</f>
        <v>0.05</v>
      </c>
      <c r="AC147" s="310">
        <f t="shared" si="46"/>
        <v>0</v>
      </c>
      <c r="AD147" s="717">
        <f>ROUND(AC147*'[1]Summary E&amp;M'!$R$94,2)</f>
        <v>0</v>
      </c>
      <c r="AE147" s="826">
        <f t="shared" si="68"/>
        <v>462.94</v>
      </c>
      <c r="AF147" s="826">
        <f t="shared" si="69"/>
        <v>0</v>
      </c>
      <c r="AG147" s="731"/>
      <c r="AH147" s="732"/>
      <c r="AI147" s="519">
        <f t="shared" si="70"/>
        <v>0</v>
      </c>
      <c r="AJ147" s="519">
        <f t="shared" si="71"/>
        <v>0</v>
      </c>
      <c r="AK147" s="519">
        <f t="shared" si="72"/>
        <v>0</v>
      </c>
      <c r="AL147" s="520">
        <f t="shared" si="73"/>
        <v>0</v>
      </c>
      <c r="AM147" s="520">
        <f t="shared" si="74"/>
        <v>0</v>
      </c>
      <c r="AN147" s="520">
        <f t="shared" si="75"/>
        <v>0</v>
      </c>
      <c r="AO147" s="520">
        <f t="shared" si="76"/>
        <v>0</v>
      </c>
      <c r="AP147" s="719"/>
      <c r="AQ147" s="719"/>
      <c r="AR147" s="719"/>
      <c r="AS147" s="719"/>
      <c r="AT147" s="719"/>
    </row>
    <row r="148" spans="1:46" s="555" customFormat="1" ht="22.5" customHeight="1">
      <c r="A148" s="451"/>
      <c r="B148" s="531" t="s">
        <v>679</v>
      </c>
      <c r="C148" s="523"/>
      <c r="D148" s="524" t="s">
        <v>133</v>
      </c>
      <c r="E148" s="525" t="s">
        <v>322</v>
      </c>
      <c r="F148" s="1315">
        <f>K148</f>
        <v>1</v>
      </c>
      <c r="G148" s="527">
        <f>ROUNDUP(AA148,2)</f>
        <v>509.25</v>
      </c>
      <c r="H148" s="528">
        <f>ROUND(F148*G148,2)</f>
        <v>509.25</v>
      </c>
      <c r="I148" s="529"/>
      <c r="J148" s="309"/>
      <c r="K148" s="1175">
        <v>1</v>
      </c>
      <c r="L148" s="530">
        <f>ROUND(AD148,2)</f>
        <v>0</v>
      </c>
      <c r="M148" s="530">
        <f>ROUND(L148*F148,2)</f>
        <v>0</v>
      </c>
      <c r="N148" s="309"/>
      <c r="O148" s="778" t="s">
        <v>133</v>
      </c>
      <c r="P148" s="777"/>
      <c r="Q148" s="777"/>
      <c r="R148" s="751">
        <v>500</v>
      </c>
      <c r="S148" s="752"/>
      <c r="T148" s="792"/>
      <c r="U148" s="803">
        <v>0</v>
      </c>
      <c r="V148" s="803">
        <v>0</v>
      </c>
      <c r="W148" s="803">
        <v>0</v>
      </c>
      <c r="X148" s="858">
        <f>SUMIF('Summary-E'!O$4:O$50,D148,'Summary-E'!Q$4:Q$50)</f>
        <v>0.97</v>
      </c>
      <c r="Y148" s="310">
        <f>ROUND((R148+S148/'Summary-E'!$M$63)*X148,2)</f>
        <v>485</v>
      </c>
      <c r="Z148" s="858">
        <f t="shared" si="67"/>
        <v>1.05</v>
      </c>
      <c r="AA148" s="813">
        <f>ROUND(Y148*Z148,2)</f>
        <v>509.25</v>
      </c>
      <c r="AB148" s="447">
        <f>$AB$3</f>
        <v>0.05</v>
      </c>
      <c r="AC148" s="310">
        <f t="shared" si="46"/>
        <v>0</v>
      </c>
      <c r="AD148" s="717">
        <f>ROUND(AC148*'[1]Summary E&amp;M'!$R$94,2)</f>
        <v>0</v>
      </c>
      <c r="AE148" s="826">
        <f t="shared" si="68"/>
        <v>485</v>
      </c>
      <c r="AF148" s="826">
        <f t="shared" si="69"/>
        <v>0</v>
      </c>
      <c r="AG148" s="731"/>
      <c r="AH148" s="732"/>
      <c r="AI148" s="519">
        <f t="shared" si="70"/>
        <v>0</v>
      </c>
      <c r="AJ148" s="519">
        <f t="shared" si="71"/>
        <v>0</v>
      </c>
      <c r="AK148" s="519">
        <f t="shared" si="72"/>
        <v>0</v>
      </c>
      <c r="AL148" s="520">
        <f t="shared" si="73"/>
        <v>0</v>
      </c>
      <c r="AM148" s="520">
        <f t="shared" si="74"/>
        <v>0</v>
      </c>
      <c r="AN148" s="520">
        <f t="shared" si="75"/>
        <v>0</v>
      </c>
      <c r="AO148" s="520">
        <f t="shared" si="76"/>
        <v>0</v>
      </c>
      <c r="AP148" s="719"/>
      <c r="AQ148" s="719"/>
      <c r="AR148" s="719"/>
      <c r="AS148" s="719"/>
      <c r="AT148" s="719"/>
    </row>
    <row r="149" spans="1:46" s="555" customFormat="1" ht="22.5" customHeight="1">
      <c r="A149" s="451"/>
      <c r="B149" s="531" t="s">
        <v>687</v>
      </c>
      <c r="C149" s="523"/>
      <c r="D149" s="524">
        <v>159</v>
      </c>
      <c r="E149" s="525" t="s">
        <v>322</v>
      </c>
      <c r="F149" s="1315">
        <f>K149</f>
        <v>1</v>
      </c>
      <c r="G149" s="527">
        <f>ROUNDUP(AA149,2)</f>
        <v>358.9</v>
      </c>
      <c r="H149" s="528">
        <f>ROUND(F149*G149,2)</f>
        <v>358.9</v>
      </c>
      <c r="I149" s="529"/>
      <c r="J149" s="309"/>
      <c r="K149" s="1175">
        <v>1</v>
      </c>
      <c r="L149" s="530">
        <f>ROUND(AD149,2)</f>
        <v>0</v>
      </c>
      <c r="M149" s="530">
        <f>ROUND(L149*F149,2)</f>
        <v>0</v>
      </c>
      <c r="N149" s="309"/>
      <c r="O149" s="778">
        <v>159</v>
      </c>
      <c r="P149" s="782">
        <v>5.0000000000000001E-3</v>
      </c>
      <c r="Q149" s="777"/>
      <c r="R149" s="751">
        <f>ROUND(SUM(AE135:AE148)*P149,2)</f>
        <v>352.38</v>
      </c>
      <c r="S149" s="752"/>
      <c r="T149" s="792"/>
      <c r="U149" s="803">
        <v>0</v>
      </c>
      <c r="V149" s="803">
        <v>0</v>
      </c>
      <c r="W149" s="803">
        <v>0</v>
      </c>
      <c r="X149" s="858">
        <f>SUMIF('Summary-E'!O$4:O$50,D149,'Summary-E'!Q$4:Q$50)</f>
        <v>0.97</v>
      </c>
      <c r="Y149" s="310">
        <f>ROUND((R149+S149/'Summary-E'!$M$63)*X149,2)</f>
        <v>341.81</v>
      </c>
      <c r="Z149" s="858">
        <f t="shared" si="67"/>
        <v>1.05</v>
      </c>
      <c r="AA149" s="813">
        <f>ROUND(Y149*Z149,2)</f>
        <v>358.9</v>
      </c>
      <c r="AB149" s="447">
        <f>$AB$3</f>
        <v>0.05</v>
      </c>
      <c r="AC149" s="310">
        <f t="shared" si="46"/>
        <v>0</v>
      </c>
      <c r="AD149" s="717">
        <f>ROUND(AC149*'[1]Summary E&amp;M'!$R$94,2)</f>
        <v>0</v>
      </c>
      <c r="AE149" s="826">
        <f t="shared" si="68"/>
        <v>341.81</v>
      </c>
      <c r="AF149" s="826">
        <f t="shared" si="69"/>
        <v>0</v>
      </c>
      <c r="AG149" s="731"/>
      <c r="AH149" s="732"/>
      <c r="AI149" s="519">
        <f t="shared" si="70"/>
        <v>0</v>
      </c>
      <c r="AJ149" s="519">
        <f t="shared" si="71"/>
        <v>0</v>
      </c>
      <c r="AK149" s="519">
        <f t="shared" si="72"/>
        <v>0</v>
      </c>
      <c r="AL149" s="520">
        <f t="shared" si="73"/>
        <v>0</v>
      </c>
      <c r="AM149" s="520">
        <f t="shared" si="74"/>
        <v>0</v>
      </c>
      <c r="AN149" s="520">
        <f t="shared" si="75"/>
        <v>0</v>
      </c>
      <c r="AO149" s="520">
        <f t="shared" si="76"/>
        <v>0</v>
      </c>
      <c r="AP149" s="719"/>
      <c r="AQ149" s="719"/>
      <c r="AR149" s="719"/>
      <c r="AS149" s="719"/>
      <c r="AT149" s="719"/>
    </row>
    <row r="150" spans="1:46" s="555" customFormat="1" ht="22.5" customHeight="1">
      <c r="A150" s="451"/>
      <c r="B150" s="531"/>
      <c r="C150" s="523"/>
      <c r="D150" s="524"/>
      <c r="E150" s="525"/>
      <c r="F150" s="1314"/>
      <c r="G150" s="527"/>
      <c r="H150" s="528"/>
      <c r="I150" s="529"/>
      <c r="J150" s="311"/>
      <c r="K150" s="1175"/>
      <c r="L150" s="530"/>
      <c r="M150" s="537">
        <f>SUBTOTAL(9,M133:M148)</f>
        <v>3901.69</v>
      </c>
      <c r="N150" s="309"/>
      <c r="O150" s="776"/>
      <c r="P150" s="777"/>
      <c r="Q150" s="777"/>
      <c r="R150" s="751"/>
      <c r="S150" s="752"/>
      <c r="T150" s="792"/>
      <c r="U150" s="803"/>
      <c r="V150" s="803"/>
      <c r="W150" s="803"/>
      <c r="X150" s="858">
        <f>SUMIF('Summary-E'!O$4:O$50,D150,'Summary-E'!Q$4:Q$50)</f>
        <v>0</v>
      </c>
      <c r="Y150" s="310">
        <f>ROUND((R150+S150/'Summary-E'!$M$63)*X150,2)</f>
        <v>0</v>
      </c>
      <c r="Z150" s="858">
        <f t="shared" si="67"/>
        <v>1.05</v>
      </c>
      <c r="AA150" s="813"/>
      <c r="AB150" s="447"/>
      <c r="AC150" s="310">
        <f t="shared" si="46"/>
        <v>0</v>
      </c>
      <c r="AD150" s="717">
        <f>ROUND(AC150*'[1]Summary E&amp;M'!$R$94,2)</f>
        <v>0</v>
      </c>
      <c r="AE150" s="826">
        <f t="shared" si="68"/>
        <v>0</v>
      </c>
      <c r="AF150" s="826">
        <f t="shared" si="69"/>
        <v>0</v>
      </c>
      <c r="AG150" s="731"/>
      <c r="AH150" s="732"/>
      <c r="AI150" s="519">
        <f t="shared" si="70"/>
        <v>0</v>
      </c>
      <c r="AJ150" s="519">
        <f t="shared" si="71"/>
        <v>0</v>
      </c>
      <c r="AK150" s="519">
        <f t="shared" si="72"/>
        <v>0</v>
      </c>
      <c r="AL150" s="520">
        <f t="shared" si="73"/>
        <v>0</v>
      </c>
      <c r="AM150" s="520">
        <f t="shared" si="74"/>
        <v>0</v>
      </c>
      <c r="AN150" s="520">
        <f t="shared" si="75"/>
        <v>0</v>
      </c>
      <c r="AO150" s="520">
        <f t="shared" si="76"/>
        <v>0</v>
      </c>
      <c r="AP150" s="719"/>
      <c r="AQ150" s="719"/>
      <c r="AR150" s="719"/>
      <c r="AS150" s="719"/>
      <c r="AT150" s="719"/>
    </row>
    <row r="151" spans="1:46" s="555" customFormat="1" ht="22.5" customHeight="1">
      <c r="A151" s="620"/>
      <c r="B151" s="542" t="s">
        <v>688</v>
      </c>
      <c r="C151" s="523"/>
      <c r="D151" s="524"/>
      <c r="E151" s="525"/>
      <c r="F151" s="1314"/>
      <c r="G151" s="527"/>
      <c r="H151" s="528"/>
      <c r="I151" s="529"/>
      <c r="J151" s="309"/>
      <c r="K151" s="1175"/>
      <c r="L151" s="530"/>
      <c r="M151" s="530"/>
      <c r="N151" s="309"/>
      <c r="O151" s="778"/>
      <c r="P151" s="777"/>
      <c r="Q151" s="777"/>
      <c r="R151" s="751"/>
      <c r="S151" s="752"/>
      <c r="T151" s="792"/>
      <c r="U151" s="803"/>
      <c r="V151" s="803"/>
      <c r="W151" s="803"/>
      <c r="X151" s="858">
        <f>SUMIF('Summary-E'!O$4:O$50,D151,'Summary-E'!Q$4:Q$50)</f>
        <v>0</v>
      </c>
      <c r="Y151" s="310">
        <f>ROUND((R151+S151/'Summary-E'!$M$63)*X151,2)</f>
        <v>0</v>
      </c>
      <c r="Z151" s="858">
        <f t="shared" si="67"/>
        <v>1.05</v>
      </c>
      <c r="AA151" s="813"/>
      <c r="AB151" s="447"/>
      <c r="AC151" s="310">
        <f t="shared" si="46"/>
        <v>0</v>
      </c>
      <c r="AD151" s="717">
        <f>ROUND(AC151*'[1]Summary E&amp;M'!$R$94,2)</f>
        <v>0</v>
      </c>
      <c r="AE151" s="826">
        <f t="shared" si="68"/>
        <v>0</v>
      </c>
      <c r="AF151" s="826">
        <f t="shared" si="69"/>
        <v>0</v>
      </c>
      <c r="AG151" s="731"/>
      <c r="AH151" s="732"/>
      <c r="AI151" s="519">
        <f t="shared" si="70"/>
        <v>0</v>
      </c>
      <c r="AJ151" s="519">
        <f t="shared" si="71"/>
        <v>0</v>
      </c>
      <c r="AK151" s="519">
        <f t="shared" si="72"/>
        <v>0</v>
      </c>
      <c r="AL151" s="520">
        <f t="shared" si="73"/>
        <v>0</v>
      </c>
      <c r="AM151" s="520">
        <f t="shared" si="74"/>
        <v>0</v>
      </c>
      <c r="AN151" s="520">
        <f t="shared" si="75"/>
        <v>0</v>
      </c>
      <c r="AO151" s="520">
        <f t="shared" si="76"/>
        <v>0</v>
      </c>
      <c r="AP151" s="719"/>
      <c r="AQ151" s="719"/>
      <c r="AR151" s="719"/>
      <c r="AS151" s="719"/>
      <c r="AT151" s="719"/>
    </row>
    <row r="152" spans="1:46" s="555" customFormat="1" ht="22.5" customHeight="1">
      <c r="A152" s="451"/>
      <c r="B152" s="531" t="s">
        <v>1161</v>
      </c>
      <c r="C152" s="523" t="s">
        <v>1315</v>
      </c>
      <c r="D152" s="524" t="s">
        <v>636</v>
      </c>
      <c r="E152" s="525" t="s">
        <v>319</v>
      </c>
      <c r="F152" s="1315">
        <f>K152</f>
        <v>0</v>
      </c>
      <c r="G152" s="1269" t="s">
        <v>1308</v>
      </c>
      <c r="H152" s="1270"/>
      <c r="I152" s="420" t="s">
        <v>137</v>
      </c>
      <c r="J152" s="309"/>
      <c r="K152" s="1268">
        <v>0</v>
      </c>
      <c r="L152" s="530">
        <f>ROUND(AD152,2)</f>
        <v>1312.5</v>
      </c>
      <c r="M152" s="530">
        <f>ROUND(L152*F152,2)</f>
        <v>0</v>
      </c>
      <c r="N152" s="309"/>
      <c r="O152" s="778" t="s">
        <v>636</v>
      </c>
      <c r="P152" s="777"/>
      <c r="Q152" s="777"/>
      <c r="R152" s="751"/>
      <c r="S152" s="1098">
        <f>861653000+3500000</f>
        <v>865153000</v>
      </c>
      <c r="T152" s="1099">
        <v>1000</v>
      </c>
      <c r="U152" s="803">
        <v>0</v>
      </c>
      <c r="V152" s="803">
        <v>0</v>
      </c>
      <c r="W152" s="803">
        <v>0</v>
      </c>
      <c r="X152" s="858">
        <f>SUMIF('Summary-E'!O$4:O$50,D152,'Summary-E'!Q$4:Q$50)</f>
        <v>0.97</v>
      </c>
      <c r="Y152" s="310">
        <f>ROUND((R152+S152/'[2]Summary E&amp;M (Origin)'!$O$103)*X152,2)</f>
        <v>40346.080000000002</v>
      </c>
      <c r="Z152" s="858">
        <f t="shared" si="67"/>
        <v>1.05</v>
      </c>
      <c r="AA152" s="813">
        <f>ROUND(Y152*Z152,2)</f>
        <v>42363.38</v>
      </c>
      <c r="AB152" s="447">
        <f>$AB$3</f>
        <v>0.05</v>
      </c>
      <c r="AC152" s="310">
        <f>ROUND((T152*(1+AB152)),2)</f>
        <v>1050</v>
      </c>
      <c r="AD152" s="717">
        <f>ROUND(AC152*'[1]Summary E&amp;M'!$R$94,2)</f>
        <v>1312.5</v>
      </c>
      <c r="AE152" s="826">
        <f t="shared" si="68"/>
        <v>0</v>
      </c>
      <c r="AF152" s="826">
        <f t="shared" si="69"/>
        <v>0</v>
      </c>
      <c r="AG152" s="744"/>
      <c r="AH152" s="728"/>
      <c r="AI152" s="519">
        <f t="shared" si="70"/>
        <v>0</v>
      </c>
      <c r="AJ152" s="519">
        <f t="shared" si="71"/>
        <v>0</v>
      </c>
      <c r="AK152" s="519">
        <f t="shared" si="72"/>
        <v>0</v>
      </c>
      <c r="AL152" s="520">
        <f t="shared" si="73"/>
        <v>0</v>
      </c>
      <c r="AM152" s="520">
        <f t="shared" si="74"/>
        <v>0</v>
      </c>
      <c r="AN152" s="520">
        <f t="shared" si="75"/>
        <v>0</v>
      </c>
      <c r="AO152" s="520">
        <f t="shared" si="76"/>
        <v>0</v>
      </c>
      <c r="AP152" s="719"/>
      <c r="AQ152" s="719"/>
      <c r="AR152" s="719"/>
      <c r="AS152" s="719"/>
      <c r="AT152" s="719"/>
    </row>
    <row r="153" spans="1:46" s="555" customFormat="1" ht="22.5" customHeight="1">
      <c r="A153" s="451"/>
      <c r="B153" s="1151" t="s">
        <v>749</v>
      </c>
      <c r="C153" s="523"/>
      <c r="D153" s="524"/>
      <c r="E153" s="525" t="s">
        <v>322</v>
      </c>
      <c r="F153" s="1315">
        <f>K153</f>
        <v>1</v>
      </c>
      <c r="G153" s="1007" t="s">
        <v>1314</v>
      </c>
      <c r="H153" s="528"/>
      <c r="I153" s="420" t="s">
        <v>137</v>
      </c>
      <c r="J153" s="309"/>
      <c r="K153" s="1175">
        <v>1</v>
      </c>
      <c r="L153" s="530">
        <f>ROUND(AD153,2)</f>
        <v>0</v>
      </c>
      <c r="M153" s="530">
        <f>ROUND(L153*F153,2)</f>
        <v>0</v>
      </c>
      <c r="N153" s="309"/>
      <c r="O153" s="778" t="s">
        <v>139</v>
      </c>
      <c r="P153" s="777"/>
      <c r="Q153" s="777"/>
      <c r="R153" s="751"/>
      <c r="S153" s="752"/>
      <c r="T153" s="792"/>
      <c r="U153" s="803">
        <v>0</v>
      </c>
      <c r="V153" s="803">
        <v>0</v>
      </c>
      <c r="W153" s="803">
        <v>0</v>
      </c>
      <c r="X153" s="858">
        <f>SUMIF('Summary-E'!O$4:O$50,D153,'Summary-E'!Q$4:Q$50)</f>
        <v>0</v>
      </c>
      <c r="Y153" s="310">
        <f>ROUND((R153+S153/'Summary-E'!$M$63)*X153,2)</f>
        <v>0</v>
      </c>
      <c r="Z153" s="858">
        <f t="shared" si="67"/>
        <v>1.05</v>
      </c>
      <c r="AA153" s="813">
        <f>ROUND(Y153*Z153,2)</f>
        <v>0</v>
      </c>
      <c r="AB153" s="447">
        <f>$AB$3</f>
        <v>0.05</v>
      </c>
      <c r="AC153" s="310">
        <f t="shared" si="46"/>
        <v>0</v>
      </c>
      <c r="AD153" s="717">
        <f>ROUND(AC153*'[1]Summary E&amp;M'!$R$94,2)</f>
        <v>0</v>
      </c>
      <c r="AE153" s="826">
        <f t="shared" si="68"/>
        <v>0</v>
      </c>
      <c r="AF153" s="826">
        <f t="shared" si="69"/>
        <v>0</v>
      </c>
      <c r="AG153" s="731"/>
      <c r="AH153" s="732"/>
      <c r="AI153" s="519">
        <f t="shared" si="70"/>
        <v>0</v>
      </c>
      <c r="AJ153" s="519">
        <f t="shared" si="71"/>
        <v>0</v>
      </c>
      <c r="AK153" s="519">
        <f t="shared" si="72"/>
        <v>0</v>
      </c>
      <c r="AL153" s="520">
        <f t="shared" si="73"/>
        <v>0</v>
      </c>
      <c r="AM153" s="520">
        <f t="shared" si="74"/>
        <v>0</v>
      </c>
      <c r="AN153" s="520">
        <f t="shared" si="75"/>
        <v>0</v>
      </c>
      <c r="AO153" s="520">
        <f t="shared" si="76"/>
        <v>0</v>
      </c>
      <c r="AP153" s="719"/>
      <c r="AQ153" s="719"/>
      <c r="AR153" s="719"/>
      <c r="AS153" s="719"/>
      <c r="AT153" s="719"/>
    </row>
    <row r="154" spans="1:46" s="555" customFormat="1" ht="22.5" customHeight="1">
      <c r="A154" s="451"/>
      <c r="B154" s="531" t="s">
        <v>675</v>
      </c>
      <c r="C154" s="523"/>
      <c r="D154" s="524"/>
      <c r="E154" s="525" t="s">
        <v>671</v>
      </c>
      <c r="F154" s="1315">
        <f>K154</f>
        <v>1</v>
      </c>
      <c r="G154" s="1007" t="s">
        <v>1314</v>
      </c>
      <c r="H154" s="528"/>
      <c r="I154" s="420" t="s">
        <v>137</v>
      </c>
      <c r="J154" s="309"/>
      <c r="K154" s="1175">
        <v>1</v>
      </c>
      <c r="L154" s="530">
        <f>ROUND(AD154,2)</f>
        <v>0</v>
      </c>
      <c r="M154" s="530">
        <f>ROUND(L154*F154,2)</f>
        <v>0</v>
      </c>
      <c r="N154" s="309"/>
      <c r="O154" s="778" t="s">
        <v>636</v>
      </c>
      <c r="P154" s="777"/>
      <c r="Q154" s="777"/>
      <c r="R154" s="751"/>
      <c r="S154" s="752"/>
      <c r="T154" s="792"/>
      <c r="U154" s="803">
        <v>0</v>
      </c>
      <c r="V154" s="803">
        <v>0</v>
      </c>
      <c r="W154" s="803">
        <v>0</v>
      </c>
      <c r="X154" s="858">
        <f>SUMIF('Summary-E'!O$4:O$50,D154,'Summary-E'!Q$4:Q$50)</f>
        <v>0</v>
      </c>
      <c r="Y154" s="310">
        <f>ROUND((R154+S154/'Summary-E'!$M$63)*X154,2)</f>
        <v>0</v>
      </c>
      <c r="Z154" s="858">
        <f t="shared" si="67"/>
        <v>1.05</v>
      </c>
      <c r="AA154" s="813">
        <f>ROUND(Y154*Z154,2)</f>
        <v>0</v>
      </c>
      <c r="AB154" s="447">
        <f>$AB$3</f>
        <v>0.05</v>
      </c>
      <c r="AC154" s="310">
        <f t="shared" si="46"/>
        <v>0</v>
      </c>
      <c r="AD154" s="717">
        <f>ROUND(AC154*'[1]Summary E&amp;M'!$R$94,2)</f>
        <v>0</v>
      </c>
      <c r="AE154" s="826">
        <f t="shared" si="68"/>
        <v>0</v>
      </c>
      <c r="AF154" s="826">
        <f t="shared" si="69"/>
        <v>0</v>
      </c>
      <c r="AG154" s="744"/>
      <c r="AH154" s="728"/>
      <c r="AI154" s="519">
        <f t="shared" si="70"/>
        <v>0</v>
      </c>
      <c r="AJ154" s="519">
        <f t="shared" si="71"/>
        <v>0</v>
      </c>
      <c r="AK154" s="519">
        <f t="shared" si="72"/>
        <v>0</v>
      </c>
      <c r="AL154" s="520">
        <f t="shared" si="73"/>
        <v>0</v>
      </c>
      <c r="AM154" s="520">
        <f t="shared" si="74"/>
        <v>0</v>
      </c>
      <c r="AN154" s="520">
        <f t="shared" si="75"/>
        <v>0</v>
      </c>
      <c r="AO154" s="520">
        <f t="shared" si="76"/>
        <v>0</v>
      </c>
      <c r="AP154" s="719"/>
      <c r="AQ154" s="719"/>
      <c r="AR154" s="719"/>
      <c r="AS154" s="719"/>
      <c r="AT154" s="719"/>
    </row>
    <row r="155" spans="1:46" s="555" customFormat="1" ht="22.5" customHeight="1">
      <c r="A155" s="620"/>
      <c r="B155" s="542"/>
      <c r="C155" s="523"/>
      <c r="D155" s="524"/>
      <c r="E155" s="525"/>
      <c r="F155" s="1318"/>
      <c r="G155" s="527"/>
      <c r="H155" s="528"/>
      <c r="I155" s="529"/>
      <c r="J155" s="309"/>
      <c r="K155" s="1175"/>
      <c r="L155" s="530"/>
      <c r="M155" s="530"/>
      <c r="N155" s="309"/>
      <c r="O155" s="778"/>
      <c r="P155" s="777"/>
      <c r="Q155" s="777"/>
      <c r="R155" s="751"/>
      <c r="S155" s="752"/>
      <c r="T155" s="792"/>
      <c r="U155" s="803"/>
      <c r="V155" s="803"/>
      <c r="W155" s="803"/>
      <c r="X155" s="858">
        <f>SUMIF('Summary-E'!O$4:O$50,D155,'Summary-E'!Q$4:Q$50)</f>
        <v>0</v>
      </c>
      <c r="Y155" s="310">
        <f>ROUND((R155+S155/'Summary-E'!$M$63)*X155,2)</f>
        <v>0</v>
      </c>
      <c r="Z155" s="858">
        <f t="shared" si="67"/>
        <v>1.05</v>
      </c>
      <c r="AA155" s="813"/>
      <c r="AB155" s="447"/>
      <c r="AC155" s="310">
        <f t="shared" si="46"/>
        <v>0</v>
      </c>
      <c r="AD155" s="717">
        <f>ROUND(AC155*'[1]Summary E&amp;M'!$R$94,2)</f>
        <v>0</v>
      </c>
      <c r="AE155" s="826"/>
      <c r="AF155" s="826"/>
      <c r="AG155" s="731"/>
      <c r="AH155" s="732"/>
      <c r="AI155" s="519">
        <f t="shared" si="70"/>
        <v>0</v>
      </c>
      <c r="AJ155" s="519">
        <f t="shared" si="71"/>
        <v>0</v>
      </c>
      <c r="AK155" s="519">
        <f t="shared" si="72"/>
        <v>0</v>
      </c>
      <c r="AL155" s="520">
        <f t="shared" si="73"/>
        <v>0</v>
      </c>
      <c r="AM155" s="520">
        <f t="shared" si="74"/>
        <v>0</v>
      </c>
      <c r="AN155" s="520">
        <f t="shared" si="75"/>
        <v>0</v>
      </c>
      <c r="AO155" s="520">
        <f t="shared" si="76"/>
        <v>0</v>
      </c>
      <c r="AP155" s="719"/>
      <c r="AQ155" s="719"/>
      <c r="AR155" s="719"/>
      <c r="AS155" s="719"/>
      <c r="AT155" s="719"/>
    </row>
    <row r="156" spans="1:46" s="555" customFormat="1" ht="22.5" customHeight="1">
      <c r="A156" s="451"/>
      <c r="B156" s="531" t="s">
        <v>784</v>
      </c>
      <c r="C156" s="523"/>
      <c r="D156" s="524" t="s">
        <v>132</v>
      </c>
      <c r="E156" s="525" t="s">
        <v>684</v>
      </c>
      <c r="F156" s="1315">
        <f>K156</f>
        <v>1</v>
      </c>
      <c r="G156" s="527">
        <f>ROUNDUP(AA156,2)</f>
        <v>76040.820000000007</v>
      </c>
      <c r="H156" s="528">
        <f>ROUND(F156*G156,2)</f>
        <v>76040.820000000007</v>
      </c>
      <c r="I156" s="1245"/>
      <c r="J156" s="309"/>
      <c r="K156" s="1175">
        <v>1</v>
      </c>
      <c r="L156" s="530">
        <f>ROUND(AD156,2)</f>
        <v>2362.5</v>
      </c>
      <c r="M156" s="530">
        <f>ROUND(L156*F156,2)</f>
        <v>2362.5</v>
      </c>
      <c r="N156" s="309"/>
      <c r="O156" s="778" t="s">
        <v>132</v>
      </c>
      <c r="P156" s="777"/>
      <c r="Q156" s="777"/>
      <c r="R156" s="751"/>
      <c r="S156" s="1098">
        <v>1552920000</v>
      </c>
      <c r="T156" s="792">
        <v>1800</v>
      </c>
      <c r="U156" s="803">
        <v>0</v>
      </c>
      <c r="V156" s="803">
        <v>0</v>
      </c>
      <c r="W156" s="803">
        <v>0.1</v>
      </c>
      <c r="X156" s="858">
        <v>0.97</v>
      </c>
      <c r="Y156" s="310">
        <f>ROUND((R156+S156/'[2]Summary E&amp;M (Origin)'!$O$103)*X156,2)</f>
        <v>72419.83</v>
      </c>
      <c r="Z156" s="858">
        <f t="shared" si="67"/>
        <v>1.05</v>
      </c>
      <c r="AA156" s="813">
        <f>ROUND(Y156*Z156,2)</f>
        <v>76040.820000000007</v>
      </c>
      <c r="AB156" s="447">
        <f>$AB$3</f>
        <v>0.05</v>
      </c>
      <c r="AC156" s="310">
        <f t="shared" si="46"/>
        <v>1890</v>
      </c>
      <c r="AD156" s="717">
        <f>ROUND(AC156*'[1]Summary E&amp;M'!$R$94,2)</f>
        <v>2362.5</v>
      </c>
      <c r="AE156" s="826">
        <f>ROUND($K156*$Y156,2)</f>
        <v>72419.83</v>
      </c>
      <c r="AF156" s="826">
        <f>ROUND($K156*$AC156,2)</f>
        <v>1890</v>
      </c>
      <c r="AG156" s="731">
        <v>50191.35</v>
      </c>
      <c r="AH156" s="732">
        <v>997.5</v>
      </c>
      <c r="AI156" s="519">
        <f t="shared" si="70"/>
        <v>0</v>
      </c>
      <c r="AJ156" s="519">
        <f t="shared" si="71"/>
        <v>0</v>
      </c>
      <c r="AK156" s="519">
        <f t="shared" si="72"/>
        <v>0.1</v>
      </c>
      <c r="AL156" s="520">
        <f t="shared" si="73"/>
        <v>0</v>
      </c>
      <c r="AM156" s="520">
        <f t="shared" si="74"/>
        <v>0</v>
      </c>
      <c r="AN156" s="520">
        <f t="shared" si="75"/>
        <v>0</v>
      </c>
      <c r="AO156" s="520">
        <f t="shared" si="76"/>
        <v>0</v>
      </c>
      <c r="AP156" s="719"/>
      <c r="AQ156" s="719"/>
      <c r="AR156" s="719"/>
      <c r="AS156" s="719"/>
      <c r="AT156" s="719"/>
    </row>
    <row r="157" spans="1:46" s="555" customFormat="1" ht="22.5" customHeight="1">
      <c r="A157" s="451"/>
      <c r="B157" s="531" t="s">
        <v>672</v>
      </c>
      <c r="C157" s="523"/>
      <c r="D157" s="524" t="s">
        <v>139</v>
      </c>
      <c r="E157" s="525" t="s">
        <v>322</v>
      </c>
      <c r="F157" s="1315">
        <f>K157</f>
        <v>1</v>
      </c>
      <c r="G157" s="527">
        <f>ROUNDUP(AA157,2)</f>
        <v>511.19</v>
      </c>
      <c r="H157" s="528">
        <f>ROUND(F157*G157,2)</f>
        <v>511.19</v>
      </c>
      <c r="I157" s="529"/>
      <c r="J157" s="309"/>
      <c r="K157" s="1175">
        <v>1</v>
      </c>
      <c r="L157" s="530">
        <f>ROUND(AD157,2)</f>
        <v>131.75</v>
      </c>
      <c r="M157" s="530">
        <f>ROUND(L157*F157,2)</f>
        <v>131.75</v>
      </c>
      <c r="N157" s="309"/>
      <c r="O157" s="778" t="s">
        <v>130</v>
      </c>
      <c r="P157" s="777">
        <v>0.01</v>
      </c>
      <c r="Q157" s="777"/>
      <c r="R157" s="751">
        <f>ROUND(SUM(AG156:AG156)*P157,2)</f>
        <v>501.91</v>
      </c>
      <c r="S157" s="752"/>
      <c r="T157" s="792">
        <f>R157*0.2</f>
        <v>100.38200000000001</v>
      </c>
      <c r="U157" s="803">
        <v>0</v>
      </c>
      <c r="V157" s="803">
        <v>0</v>
      </c>
      <c r="W157" s="803">
        <v>0</v>
      </c>
      <c r="X157" s="858">
        <f>SUMIF('Summary-E'!O$4:O$50,D157,'Summary-E'!Q$4:Q$50)</f>
        <v>0.97</v>
      </c>
      <c r="Y157" s="310">
        <f>ROUND((R157+S157/'Summary-E'!$M$63)*X157,2)</f>
        <v>486.85</v>
      </c>
      <c r="Z157" s="858">
        <f t="shared" si="67"/>
        <v>1.05</v>
      </c>
      <c r="AA157" s="813">
        <f>ROUND(Y157*Z157,2)</f>
        <v>511.19</v>
      </c>
      <c r="AB157" s="447">
        <f>$AB$3</f>
        <v>0.05</v>
      </c>
      <c r="AC157" s="310">
        <f t="shared" si="46"/>
        <v>105.4</v>
      </c>
      <c r="AD157" s="717">
        <f>ROUND(AC157*'[1]Summary E&amp;M'!$R$94,2)</f>
        <v>131.75</v>
      </c>
      <c r="AE157" s="826">
        <f>ROUND($K157*$Y157,2)</f>
        <v>486.85</v>
      </c>
      <c r="AF157" s="826">
        <f>ROUND($K157*$AC157,2)</f>
        <v>105.4</v>
      </c>
      <c r="AG157" s="731"/>
      <c r="AH157" s="732"/>
      <c r="AI157" s="519">
        <f t="shared" si="70"/>
        <v>0</v>
      </c>
      <c r="AJ157" s="519">
        <f t="shared" si="71"/>
        <v>0</v>
      </c>
      <c r="AK157" s="519">
        <f t="shared" si="72"/>
        <v>0</v>
      </c>
      <c r="AL157" s="520">
        <f t="shared" si="73"/>
        <v>0</v>
      </c>
      <c r="AM157" s="520">
        <f t="shared" si="74"/>
        <v>0</v>
      </c>
      <c r="AN157" s="520">
        <f t="shared" si="75"/>
        <v>0</v>
      </c>
      <c r="AO157" s="520">
        <f t="shared" si="76"/>
        <v>0</v>
      </c>
      <c r="AP157" s="719"/>
      <c r="AQ157" s="719"/>
      <c r="AR157" s="719"/>
      <c r="AS157" s="719"/>
      <c r="AT157" s="719"/>
    </row>
    <row r="158" spans="1:46" s="555" customFormat="1" ht="22.5" customHeight="1">
      <c r="A158" s="451"/>
      <c r="B158" s="531"/>
      <c r="C158" s="523"/>
      <c r="D158" s="524"/>
      <c r="E158" s="525"/>
      <c r="F158" s="1314"/>
      <c r="G158" s="527"/>
      <c r="H158" s="528"/>
      <c r="I158" s="529"/>
      <c r="J158" s="309"/>
      <c r="K158" s="1175"/>
      <c r="L158" s="530"/>
      <c r="M158" s="530"/>
      <c r="N158" s="309"/>
      <c r="O158" s="778"/>
      <c r="P158" s="777"/>
      <c r="Q158" s="777"/>
      <c r="R158" s="751"/>
      <c r="S158" s="752"/>
      <c r="T158" s="792"/>
      <c r="U158" s="803"/>
      <c r="V158" s="803"/>
      <c r="W158" s="803"/>
      <c r="X158" s="858">
        <f>SUMIF('Summary-E'!O$4:O$50,D158,'Summary-E'!Q$4:Q$50)</f>
        <v>0</v>
      </c>
      <c r="Y158" s="310">
        <f>ROUND((R158+S158/'Summary-E'!$M$63)*X158,2)</f>
        <v>0</v>
      </c>
      <c r="Z158" s="858">
        <f t="shared" si="67"/>
        <v>1.05</v>
      </c>
      <c r="AA158" s="813"/>
      <c r="AB158" s="447"/>
      <c r="AC158" s="310">
        <f t="shared" si="46"/>
        <v>0</v>
      </c>
      <c r="AD158" s="717">
        <f>ROUND(AC158*'[1]Summary E&amp;M'!$R$94,2)</f>
        <v>0</v>
      </c>
      <c r="AE158" s="826"/>
      <c r="AF158" s="826"/>
      <c r="AG158" s="731"/>
      <c r="AH158" s="732"/>
      <c r="AI158" s="519">
        <f t="shared" si="70"/>
        <v>0</v>
      </c>
      <c r="AJ158" s="519">
        <f t="shared" si="71"/>
        <v>0</v>
      </c>
      <c r="AK158" s="519">
        <f t="shared" si="72"/>
        <v>0</v>
      </c>
      <c r="AL158" s="520">
        <f t="shared" si="73"/>
        <v>0</v>
      </c>
      <c r="AM158" s="520">
        <f t="shared" si="74"/>
        <v>0</v>
      </c>
      <c r="AN158" s="520">
        <f t="shared" si="75"/>
        <v>0</v>
      </c>
      <c r="AO158" s="520">
        <f t="shared" si="76"/>
        <v>0</v>
      </c>
      <c r="AP158" s="719"/>
      <c r="AQ158" s="719"/>
      <c r="AR158" s="719"/>
      <c r="AS158" s="719"/>
      <c r="AT158" s="719"/>
    </row>
    <row r="159" spans="1:46" s="555" customFormat="1" ht="22.5" customHeight="1">
      <c r="A159" s="451"/>
      <c r="B159" s="531" t="s">
        <v>1164</v>
      </c>
      <c r="C159" s="1354" t="s">
        <v>1324</v>
      </c>
      <c r="D159" s="1239" t="s">
        <v>197</v>
      </c>
      <c r="E159" s="525" t="s">
        <v>321</v>
      </c>
      <c r="F159" s="1314">
        <f>ROUND(K159*'Summary-E'!$K$61,0)</f>
        <v>9</v>
      </c>
      <c r="G159" s="527">
        <f t="shared" ref="G159:G165" si="89">ROUNDUP(AA159,2)</f>
        <v>444.72</v>
      </c>
      <c r="H159" s="528">
        <f t="shared" ref="H159:H165" si="90">ROUND(F159*G159,2)</f>
        <v>4002.48</v>
      </c>
      <c r="I159" s="1245"/>
      <c r="J159" s="309"/>
      <c r="K159" s="1175">
        <v>9</v>
      </c>
      <c r="L159" s="530">
        <f t="shared" ref="L159:L165" si="91">ROUND(AD159,2)</f>
        <v>23.63</v>
      </c>
      <c r="M159" s="530">
        <f t="shared" ref="M159:M165" si="92">ROUND(L159*F159,2)</f>
        <v>212.67</v>
      </c>
      <c r="N159" s="309"/>
      <c r="O159" s="778">
        <v>131</v>
      </c>
      <c r="P159" s="777"/>
      <c r="Q159" s="777"/>
      <c r="R159" s="751"/>
      <c r="S159" s="1098">
        <f>1.08*8157000</f>
        <v>8809560</v>
      </c>
      <c r="T159" s="1099">
        <v>18</v>
      </c>
      <c r="U159" s="803">
        <v>0</v>
      </c>
      <c r="V159" s="803">
        <v>0</v>
      </c>
      <c r="W159" s="803">
        <v>0</v>
      </c>
      <c r="X159" s="858">
        <v>1</v>
      </c>
      <c r="Y159" s="310">
        <f>ROUND((R159+S159/'Summary-E'!$M$63)*X159,2)</f>
        <v>423.54</v>
      </c>
      <c r="Z159" s="858">
        <f t="shared" si="67"/>
        <v>1.05</v>
      </c>
      <c r="AA159" s="813">
        <f t="shared" ref="AA159:AA165" si="93">ROUND(Y159*Z159,2)</f>
        <v>444.72</v>
      </c>
      <c r="AB159" s="447">
        <f t="shared" ref="AB159:AB165" si="94">$AB$3</f>
        <v>0.05</v>
      </c>
      <c r="AC159" s="310">
        <f t="shared" si="46"/>
        <v>18.899999999999999</v>
      </c>
      <c r="AD159" s="717">
        <f>ROUND(AC159*'[1]Summary E&amp;M'!$R$94,2)</f>
        <v>23.63</v>
      </c>
      <c r="AE159" s="826">
        <f t="shared" ref="AE159:AE165" si="95">ROUND($K159*$Y159,2)</f>
        <v>3811.86</v>
      </c>
      <c r="AF159" s="826">
        <f t="shared" ref="AF159:AF165" si="96">ROUND($K159*$AC159,2)</f>
        <v>170.1</v>
      </c>
      <c r="AG159" s="731">
        <v>21495.599999999999</v>
      </c>
      <c r="AH159" s="732">
        <v>1596</v>
      </c>
      <c r="AI159" s="519">
        <f t="shared" si="70"/>
        <v>0</v>
      </c>
      <c r="AJ159" s="519">
        <f t="shared" si="71"/>
        <v>0</v>
      </c>
      <c r="AK159" s="519">
        <f t="shared" si="72"/>
        <v>0</v>
      </c>
      <c r="AL159" s="520">
        <f t="shared" si="73"/>
        <v>0</v>
      </c>
      <c r="AM159" s="520">
        <f t="shared" si="74"/>
        <v>0</v>
      </c>
      <c r="AN159" s="520">
        <f t="shared" si="75"/>
        <v>0</v>
      </c>
      <c r="AO159" s="520">
        <f t="shared" si="76"/>
        <v>0</v>
      </c>
      <c r="AP159" s="719"/>
      <c r="AQ159" s="719"/>
      <c r="AR159" s="719"/>
      <c r="AS159" s="719"/>
      <c r="AT159" s="719"/>
    </row>
    <row r="160" spans="1:46" s="555" customFormat="1" ht="22.5" customHeight="1">
      <c r="A160" s="451"/>
      <c r="B160" s="531" t="s">
        <v>1165</v>
      </c>
      <c r="C160" s="523"/>
      <c r="D160" s="1239" t="s">
        <v>197</v>
      </c>
      <c r="E160" s="525" t="s">
        <v>684</v>
      </c>
      <c r="F160" s="1315">
        <f t="shared" ref="F160:F165" si="97">K160</f>
        <v>2</v>
      </c>
      <c r="G160" s="527">
        <f t="shared" si="89"/>
        <v>415.43</v>
      </c>
      <c r="H160" s="528">
        <f t="shared" si="90"/>
        <v>830.86</v>
      </c>
      <c r="I160" s="1245"/>
      <c r="J160" s="649"/>
      <c r="K160" s="1175">
        <v>2</v>
      </c>
      <c r="L160" s="530">
        <f t="shared" si="91"/>
        <v>28.88</v>
      </c>
      <c r="M160" s="530">
        <f t="shared" si="92"/>
        <v>57.76</v>
      </c>
      <c r="N160" s="309"/>
      <c r="O160" s="778" t="s">
        <v>132</v>
      </c>
      <c r="P160" s="777"/>
      <c r="Q160" s="777"/>
      <c r="R160" s="1096"/>
      <c r="S160" s="1098">
        <f>1.08*7620000</f>
        <v>8229600.0000000009</v>
      </c>
      <c r="T160" s="1099">
        <v>22</v>
      </c>
      <c r="U160" s="803">
        <v>0</v>
      </c>
      <c r="V160" s="803">
        <v>0</v>
      </c>
      <c r="W160" s="803">
        <v>0</v>
      </c>
      <c r="X160" s="858">
        <v>1</v>
      </c>
      <c r="Y160" s="310">
        <f>ROUND((R160+S160/'Summary-E'!$M$63)*X160,2)</f>
        <v>395.65</v>
      </c>
      <c r="Z160" s="858">
        <f t="shared" si="67"/>
        <v>1.05</v>
      </c>
      <c r="AA160" s="813">
        <f t="shared" si="93"/>
        <v>415.43</v>
      </c>
      <c r="AB160" s="447">
        <f t="shared" si="94"/>
        <v>0.05</v>
      </c>
      <c r="AC160" s="310">
        <f t="shared" si="46"/>
        <v>23.1</v>
      </c>
      <c r="AD160" s="717">
        <f>ROUND(AC160*'[1]Summary E&amp;M'!$R$94,2)</f>
        <v>28.88</v>
      </c>
      <c r="AE160" s="826">
        <f t="shared" si="95"/>
        <v>791.3</v>
      </c>
      <c r="AF160" s="826">
        <f t="shared" si="96"/>
        <v>46.2</v>
      </c>
      <c r="AG160" s="731">
        <v>1910.45</v>
      </c>
      <c r="AH160" s="732">
        <v>49.88</v>
      </c>
      <c r="AI160" s="519">
        <f t="shared" si="70"/>
        <v>0</v>
      </c>
      <c r="AJ160" s="519">
        <f t="shared" si="71"/>
        <v>0</v>
      </c>
      <c r="AK160" s="519">
        <f t="shared" si="72"/>
        <v>0</v>
      </c>
      <c r="AL160" s="520">
        <f t="shared" si="73"/>
        <v>0</v>
      </c>
      <c r="AM160" s="520">
        <f t="shared" si="74"/>
        <v>0</v>
      </c>
      <c r="AN160" s="520">
        <f t="shared" si="75"/>
        <v>0</v>
      </c>
      <c r="AO160" s="520">
        <f t="shared" si="76"/>
        <v>0</v>
      </c>
      <c r="AP160" s="719"/>
      <c r="AQ160" s="719"/>
      <c r="AR160" s="719"/>
      <c r="AS160" s="719"/>
      <c r="AT160" s="719"/>
    </row>
    <row r="161" spans="1:46" s="555" customFormat="1" ht="22.5" customHeight="1">
      <c r="A161" s="451"/>
      <c r="B161" s="531" t="s">
        <v>1166</v>
      </c>
      <c r="C161" s="523"/>
      <c r="D161" s="1239" t="s">
        <v>197</v>
      </c>
      <c r="E161" s="525" t="s">
        <v>684</v>
      </c>
      <c r="F161" s="1315">
        <f t="shared" si="97"/>
        <v>2</v>
      </c>
      <c r="G161" s="527">
        <f t="shared" si="89"/>
        <v>392.21</v>
      </c>
      <c r="H161" s="528">
        <f t="shared" si="90"/>
        <v>784.42</v>
      </c>
      <c r="I161" s="1245"/>
      <c r="J161" s="649"/>
      <c r="K161" s="1175">
        <v>2</v>
      </c>
      <c r="L161" s="530">
        <f t="shared" si="91"/>
        <v>10.5</v>
      </c>
      <c r="M161" s="530">
        <f t="shared" si="92"/>
        <v>21</v>
      </c>
      <c r="N161" s="309"/>
      <c r="O161" s="778" t="s">
        <v>132</v>
      </c>
      <c r="P161" s="777"/>
      <c r="Q161" s="777"/>
      <c r="R161" s="1096"/>
      <c r="S161" s="1098">
        <f>1.08*7194000</f>
        <v>7769520.0000000009</v>
      </c>
      <c r="T161" s="1099">
        <v>8</v>
      </c>
      <c r="U161" s="803">
        <v>0</v>
      </c>
      <c r="V161" s="803">
        <v>0</v>
      </c>
      <c r="W161" s="803">
        <v>0</v>
      </c>
      <c r="X161" s="858">
        <v>1</v>
      </c>
      <c r="Y161" s="310">
        <f>ROUND((R161+S161/'Summary-E'!$M$63)*X161,2)</f>
        <v>373.53</v>
      </c>
      <c r="Z161" s="858">
        <f t="shared" si="67"/>
        <v>1.05</v>
      </c>
      <c r="AA161" s="813">
        <f t="shared" si="93"/>
        <v>392.21</v>
      </c>
      <c r="AB161" s="447">
        <f t="shared" si="94"/>
        <v>0.05</v>
      </c>
      <c r="AC161" s="310">
        <f t="shared" si="46"/>
        <v>8.4</v>
      </c>
      <c r="AD161" s="717">
        <f>ROUND(AC161*'[1]Summary E&amp;M'!$R$94,2)</f>
        <v>10.5</v>
      </c>
      <c r="AE161" s="826">
        <f t="shared" si="95"/>
        <v>747.06</v>
      </c>
      <c r="AF161" s="826">
        <f t="shared" si="96"/>
        <v>16.8</v>
      </c>
      <c r="AG161" s="731">
        <v>1910.45</v>
      </c>
      <c r="AH161" s="732">
        <v>49.88</v>
      </c>
      <c r="AI161" s="519">
        <f t="shared" si="70"/>
        <v>0</v>
      </c>
      <c r="AJ161" s="519">
        <f t="shared" si="71"/>
        <v>0</v>
      </c>
      <c r="AK161" s="519">
        <f t="shared" si="72"/>
        <v>0</v>
      </c>
      <c r="AL161" s="520">
        <f t="shared" si="73"/>
        <v>0</v>
      </c>
      <c r="AM161" s="520">
        <f t="shared" si="74"/>
        <v>0</v>
      </c>
      <c r="AN161" s="520">
        <f t="shared" si="75"/>
        <v>0</v>
      </c>
      <c r="AO161" s="520">
        <f t="shared" si="76"/>
        <v>0</v>
      </c>
      <c r="AP161" s="719"/>
      <c r="AQ161" s="719"/>
      <c r="AR161" s="719"/>
      <c r="AS161" s="719"/>
      <c r="AT161" s="719"/>
    </row>
    <row r="162" spans="1:46" s="555" customFormat="1" ht="22.5" customHeight="1">
      <c r="A162" s="451"/>
      <c r="B162" s="531" t="s">
        <v>1167</v>
      </c>
      <c r="C162" s="523"/>
      <c r="D162" s="1239" t="s">
        <v>197</v>
      </c>
      <c r="E162" s="525" t="s">
        <v>684</v>
      </c>
      <c r="F162" s="1315">
        <f t="shared" si="97"/>
        <v>1</v>
      </c>
      <c r="G162" s="527">
        <f t="shared" si="89"/>
        <v>2195.54</v>
      </c>
      <c r="H162" s="528">
        <f t="shared" si="90"/>
        <v>2195.54</v>
      </c>
      <c r="I162" s="1245"/>
      <c r="J162" s="649"/>
      <c r="K162" s="1175">
        <v>1</v>
      </c>
      <c r="L162" s="530">
        <f t="shared" si="91"/>
        <v>36.75</v>
      </c>
      <c r="M162" s="530">
        <f t="shared" si="92"/>
        <v>36.75</v>
      </c>
      <c r="N162" s="309"/>
      <c r="O162" s="778" t="s">
        <v>132</v>
      </c>
      <c r="P162" s="777"/>
      <c r="Q162" s="777"/>
      <c r="R162" s="1096"/>
      <c r="S162" s="1098">
        <f>1.08*40271000</f>
        <v>43492680</v>
      </c>
      <c r="T162" s="1099">
        <v>28</v>
      </c>
      <c r="U162" s="803">
        <v>0</v>
      </c>
      <c r="V162" s="803">
        <v>0</v>
      </c>
      <c r="W162" s="803">
        <v>0</v>
      </c>
      <c r="X162" s="858">
        <v>1</v>
      </c>
      <c r="Y162" s="310">
        <f>ROUND((R162+S162/'Summary-E'!$M$63)*X162,2)</f>
        <v>2090.9899999999998</v>
      </c>
      <c r="Z162" s="858">
        <f t="shared" si="67"/>
        <v>1.05</v>
      </c>
      <c r="AA162" s="813">
        <f t="shared" si="93"/>
        <v>2195.54</v>
      </c>
      <c r="AB162" s="447">
        <f t="shared" si="94"/>
        <v>0.05</v>
      </c>
      <c r="AC162" s="310">
        <f t="shared" si="46"/>
        <v>29.4</v>
      </c>
      <c r="AD162" s="717">
        <f>ROUND(AC162*'[1]Summary E&amp;M'!$R$94,2)</f>
        <v>36.75</v>
      </c>
      <c r="AE162" s="826">
        <f t="shared" si="95"/>
        <v>2090.9899999999998</v>
      </c>
      <c r="AF162" s="826">
        <f t="shared" si="96"/>
        <v>29.4</v>
      </c>
      <c r="AG162" s="731">
        <v>1910.45</v>
      </c>
      <c r="AH162" s="732">
        <v>49.88</v>
      </c>
      <c r="AI162" s="519">
        <f t="shared" si="70"/>
        <v>0</v>
      </c>
      <c r="AJ162" s="519">
        <f t="shared" si="71"/>
        <v>0</v>
      </c>
      <c r="AK162" s="519">
        <f t="shared" si="72"/>
        <v>0</v>
      </c>
      <c r="AL162" s="520">
        <f t="shared" si="73"/>
        <v>0</v>
      </c>
      <c r="AM162" s="520">
        <f t="shared" si="74"/>
        <v>0</v>
      </c>
      <c r="AN162" s="520">
        <f t="shared" si="75"/>
        <v>0</v>
      </c>
      <c r="AO162" s="520">
        <f t="shared" si="76"/>
        <v>0</v>
      </c>
      <c r="AP162" s="719"/>
      <c r="AQ162" s="719"/>
      <c r="AR162" s="719"/>
      <c r="AS162" s="719"/>
      <c r="AT162" s="719"/>
    </row>
    <row r="163" spans="1:46" s="555" customFormat="1" ht="22.5" customHeight="1">
      <c r="A163" s="451"/>
      <c r="B163" s="531" t="s">
        <v>1168</v>
      </c>
      <c r="C163" s="523"/>
      <c r="D163" s="1239" t="s">
        <v>197</v>
      </c>
      <c r="E163" s="525" t="s">
        <v>684</v>
      </c>
      <c r="F163" s="1315">
        <f t="shared" si="97"/>
        <v>4</v>
      </c>
      <c r="G163" s="527">
        <f t="shared" si="89"/>
        <v>32.26</v>
      </c>
      <c r="H163" s="528">
        <f t="shared" si="90"/>
        <v>129.04</v>
      </c>
      <c r="I163" s="1245"/>
      <c r="J163" s="649"/>
      <c r="K163" s="1175">
        <v>4</v>
      </c>
      <c r="L163" s="530">
        <f t="shared" si="91"/>
        <v>7.88</v>
      </c>
      <c r="M163" s="530">
        <f t="shared" si="92"/>
        <v>31.52</v>
      </c>
      <c r="N163" s="309"/>
      <c r="O163" s="778" t="s">
        <v>132</v>
      </c>
      <c r="P163" s="777"/>
      <c r="Q163" s="777"/>
      <c r="R163" s="1096"/>
      <c r="S163" s="1098">
        <v>639000</v>
      </c>
      <c r="T163" s="1099">
        <v>6</v>
      </c>
      <c r="U163" s="803">
        <v>0</v>
      </c>
      <c r="V163" s="803">
        <v>0</v>
      </c>
      <c r="W163" s="803">
        <v>0</v>
      </c>
      <c r="X163" s="858">
        <v>1</v>
      </c>
      <c r="Y163" s="310">
        <f>ROUND((R163+S163/'Summary-E'!$M$63)*X163,2)</f>
        <v>30.72</v>
      </c>
      <c r="Z163" s="858">
        <f t="shared" si="67"/>
        <v>1.05</v>
      </c>
      <c r="AA163" s="813">
        <f t="shared" si="93"/>
        <v>32.26</v>
      </c>
      <c r="AB163" s="447">
        <f t="shared" si="94"/>
        <v>0.05</v>
      </c>
      <c r="AC163" s="310">
        <f t="shared" si="46"/>
        <v>6.3</v>
      </c>
      <c r="AD163" s="717">
        <f>ROUND(AC163*'[1]Summary E&amp;M'!$R$94,2)</f>
        <v>7.88</v>
      </c>
      <c r="AE163" s="826">
        <f t="shared" si="95"/>
        <v>122.88</v>
      </c>
      <c r="AF163" s="826">
        <f t="shared" si="96"/>
        <v>25.2</v>
      </c>
      <c r="AG163" s="731">
        <v>1910.45</v>
      </c>
      <c r="AH163" s="732">
        <v>49.88</v>
      </c>
      <c r="AI163" s="519">
        <f t="shared" si="70"/>
        <v>0</v>
      </c>
      <c r="AJ163" s="519">
        <f t="shared" si="71"/>
        <v>0</v>
      </c>
      <c r="AK163" s="519">
        <f t="shared" si="72"/>
        <v>0</v>
      </c>
      <c r="AL163" s="520">
        <f t="shared" si="73"/>
        <v>0</v>
      </c>
      <c r="AM163" s="520">
        <f t="shared" si="74"/>
        <v>0</v>
      </c>
      <c r="AN163" s="520">
        <f t="shared" si="75"/>
        <v>0</v>
      </c>
      <c r="AO163" s="520">
        <f t="shared" si="76"/>
        <v>0</v>
      </c>
      <c r="AP163" s="719"/>
      <c r="AQ163" s="719"/>
      <c r="AR163" s="719"/>
      <c r="AS163" s="719"/>
      <c r="AT163" s="719"/>
    </row>
    <row r="164" spans="1:46" s="555" customFormat="1" ht="22.5" customHeight="1">
      <c r="A164" s="451"/>
      <c r="B164" s="531" t="s">
        <v>685</v>
      </c>
      <c r="C164" s="523"/>
      <c r="D164" s="524">
        <v>121</v>
      </c>
      <c r="E164" s="525" t="s">
        <v>322</v>
      </c>
      <c r="F164" s="1315">
        <f t="shared" si="97"/>
        <v>1</v>
      </c>
      <c r="G164" s="527">
        <f t="shared" si="89"/>
        <v>1155.5999999999999</v>
      </c>
      <c r="H164" s="528">
        <f t="shared" si="90"/>
        <v>1155.5999999999999</v>
      </c>
      <c r="I164" s="1245"/>
      <c r="J164" s="309"/>
      <c r="K164" s="1175">
        <v>1</v>
      </c>
      <c r="L164" s="530">
        <f t="shared" si="91"/>
        <v>297.83999999999997</v>
      </c>
      <c r="M164" s="530">
        <f t="shared" si="92"/>
        <v>297.83999999999997</v>
      </c>
      <c r="N164" s="309"/>
      <c r="O164" s="778" t="s">
        <v>139</v>
      </c>
      <c r="P164" s="777">
        <v>0.15</v>
      </c>
      <c r="Q164" s="777"/>
      <c r="R164" s="1096">
        <f>ROUND(SUM(AE159:AE163)*P164,2)</f>
        <v>1134.6099999999999</v>
      </c>
      <c r="S164" s="1098"/>
      <c r="T164" s="1099">
        <f>R164*0.2</f>
        <v>226.922</v>
      </c>
      <c r="U164" s="803">
        <v>0</v>
      </c>
      <c r="V164" s="803">
        <v>0</v>
      </c>
      <c r="W164" s="803">
        <v>0</v>
      </c>
      <c r="X164" s="858">
        <f>SUMIF('Summary-E'!O$4:O$50,D164,'Summary-E'!Q$4:Q$50)</f>
        <v>0.97</v>
      </c>
      <c r="Y164" s="310">
        <f>ROUND((R164+S164/'Summary-E'!$M$63)*X164,2)</f>
        <v>1100.57</v>
      </c>
      <c r="Z164" s="858">
        <f t="shared" si="67"/>
        <v>1.05</v>
      </c>
      <c r="AA164" s="813">
        <f t="shared" si="93"/>
        <v>1155.5999999999999</v>
      </c>
      <c r="AB164" s="447">
        <f t="shared" si="94"/>
        <v>0.05</v>
      </c>
      <c r="AC164" s="310">
        <f t="shared" si="46"/>
        <v>238.27</v>
      </c>
      <c r="AD164" s="717">
        <f>ROUND(AC164*'[1]Summary E&amp;M'!$R$94,2)</f>
        <v>297.83999999999997</v>
      </c>
      <c r="AE164" s="826">
        <f t="shared" si="95"/>
        <v>1100.57</v>
      </c>
      <c r="AF164" s="826">
        <f t="shared" si="96"/>
        <v>238.27</v>
      </c>
      <c r="AG164" s="731"/>
      <c r="AH164" s="732"/>
      <c r="AI164" s="519">
        <f t="shared" si="70"/>
        <v>0</v>
      </c>
      <c r="AJ164" s="519">
        <f t="shared" si="71"/>
        <v>0</v>
      </c>
      <c r="AK164" s="519">
        <f t="shared" si="72"/>
        <v>0</v>
      </c>
      <c r="AL164" s="520">
        <f t="shared" si="73"/>
        <v>0</v>
      </c>
      <c r="AM164" s="520">
        <f t="shared" si="74"/>
        <v>0</v>
      </c>
      <c r="AN164" s="520">
        <f t="shared" si="75"/>
        <v>0</v>
      </c>
      <c r="AO164" s="520">
        <f t="shared" si="76"/>
        <v>0</v>
      </c>
      <c r="AP164" s="719"/>
      <c r="AQ164" s="719"/>
      <c r="AR164" s="719"/>
      <c r="AS164" s="719"/>
      <c r="AT164" s="719"/>
    </row>
    <row r="165" spans="1:46" s="555" customFormat="1" ht="22.5" customHeight="1">
      <c r="A165" s="451"/>
      <c r="B165" s="531" t="s">
        <v>672</v>
      </c>
      <c r="C165" s="523"/>
      <c r="D165" s="524" t="s">
        <v>139</v>
      </c>
      <c r="E165" s="525" t="s">
        <v>322</v>
      </c>
      <c r="F165" s="1315">
        <f t="shared" si="97"/>
        <v>1</v>
      </c>
      <c r="G165" s="527">
        <f t="shared" si="89"/>
        <v>385.19</v>
      </c>
      <c r="H165" s="528">
        <f t="shared" si="90"/>
        <v>385.19</v>
      </c>
      <c r="I165" s="1245"/>
      <c r="J165" s="309"/>
      <c r="K165" s="1175">
        <v>1</v>
      </c>
      <c r="L165" s="530">
        <f t="shared" si="91"/>
        <v>148.91</v>
      </c>
      <c r="M165" s="530">
        <f t="shared" si="92"/>
        <v>148.91</v>
      </c>
      <c r="N165" s="309"/>
      <c r="O165" s="778" t="s">
        <v>130</v>
      </c>
      <c r="P165" s="777">
        <v>0.05</v>
      </c>
      <c r="Q165" s="777"/>
      <c r="R165" s="1096">
        <f>ROUND(SUM(AE159:AE163)*P165,2)</f>
        <v>378.2</v>
      </c>
      <c r="S165" s="1098"/>
      <c r="T165" s="1099">
        <f>R165*0.3</f>
        <v>113.46</v>
      </c>
      <c r="U165" s="803">
        <v>0</v>
      </c>
      <c r="V165" s="803">
        <v>0</v>
      </c>
      <c r="W165" s="803">
        <v>0</v>
      </c>
      <c r="X165" s="858">
        <f>SUMIF('Summary-E'!O$4:O$50,D165,'Summary-E'!Q$4:Q$50)</f>
        <v>0.97</v>
      </c>
      <c r="Y165" s="310">
        <f>ROUND((R165+S165/'Summary-E'!$M$63)*X165,2)</f>
        <v>366.85</v>
      </c>
      <c r="Z165" s="858">
        <f t="shared" si="67"/>
        <v>1.05</v>
      </c>
      <c r="AA165" s="813">
        <f t="shared" si="93"/>
        <v>385.19</v>
      </c>
      <c r="AB165" s="447">
        <f t="shared" si="94"/>
        <v>0.05</v>
      </c>
      <c r="AC165" s="310">
        <f t="shared" si="46"/>
        <v>119.13</v>
      </c>
      <c r="AD165" s="717">
        <f>ROUND(AC165*'[1]Summary E&amp;M'!$R$94,2)</f>
        <v>148.91</v>
      </c>
      <c r="AE165" s="826">
        <f t="shared" si="95"/>
        <v>366.85</v>
      </c>
      <c r="AF165" s="826">
        <f t="shared" si="96"/>
        <v>119.13</v>
      </c>
      <c r="AG165" s="731"/>
      <c r="AH165" s="732"/>
      <c r="AI165" s="519">
        <f t="shared" si="70"/>
        <v>0</v>
      </c>
      <c r="AJ165" s="519">
        <f t="shared" si="71"/>
        <v>0</v>
      </c>
      <c r="AK165" s="519">
        <f t="shared" si="72"/>
        <v>0</v>
      </c>
      <c r="AL165" s="520">
        <f t="shared" si="73"/>
        <v>0</v>
      </c>
      <c r="AM165" s="520">
        <f t="shared" si="74"/>
        <v>0</v>
      </c>
      <c r="AN165" s="520">
        <f t="shared" si="75"/>
        <v>0</v>
      </c>
      <c r="AO165" s="520">
        <f t="shared" si="76"/>
        <v>0</v>
      </c>
      <c r="AP165" s="719"/>
      <c r="AQ165" s="719"/>
      <c r="AR165" s="719"/>
      <c r="AS165" s="719"/>
      <c r="AT165" s="719"/>
    </row>
    <row r="166" spans="1:46" s="555" customFormat="1" ht="22.5" customHeight="1">
      <c r="A166" s="451"/>
      <c r="B166" s="531"/>
      <c r="C166" s="523"/>
      <c r="D166" s="524"/>
      <c r="E166" s="525"/>
      <c r="F166" s="1314"/>
      <c r="G166" s="527"/>
      <c r="H166" s="528"/>
      <c r="I166" s="529"/>
      <c r="J166" s="309"/>
      <c r="K166" s="1175"/>
      <c r="L166" s="530"/>
      <c r="M166" s="530"/>
      <c r="N166" s="309"/>
      <c r="O166" s="778"/>
      <c r="P166" s="777"/>
      <c r="Q166" s="777"/>
      <c r="R166" s="751"/>
      <c r="S166" s="752"/>
      <c r="T166" s="792"/>
      <c r="U166" s="803"/>
      <c r="V166" s="803"/>
      <c r="W166" s="803"/>
      <c r="X166" s="858"/>
      <c r="Y166" s="310"/>
      <c r="Z166" s="858">
        <f t="shared" si="67"/>
        <v>1.05</v>
      </c>
      <c r="AA166" s="813"/>
      <c r="AB166" s="447"/>
      <c r="AC166" s="310"/>
      <c r="AD166" s="717"/>
      <c r="AE166" s="826"/>
      <c r="AF166" s="826"/>
      <c r="AG166" s="731"/>
      <c r="AH166" s="732"/>
      <c r="AI166" s="519"/>
      <c r="AJ166" s="519"/>
      <c r="AK166" s="519"/>
      <c r="AL166" s="520"/>
      <c r="AM166" s="520"/>
      <c r="AN166" s="520"/>
      <c r="AO166" s="520"/>
      <c r="AP166" s="719"/>
      <c r="AQ166" s="719"/>
      <c r="AR166" s="719"/>
      <c r="AS166" s="719"/>
      <c r="AT166" s="719"/>
    </row>
    <row r="167" spans="1:46" s="555" customFormat="1" ht="22.5" customHeight="1">
      <c r="A167" s="451"/>
      <c r="B167" s="531" t="s">
        <v>686</v>
      </c>
      <c r="C167" s="523"/>
      <c r="D167" s="524">
        <v>151</v>
      </c>
      <c r="E167" s="525" t="s">
        <v>322</v>
      </c>
      <c r="F167" s="1315">
        <f>K167</f>
        <v>2</v>
      </c>
      <c r="G167" s="527">
        <f>ROUNDUP(AA167,2)</f>
        <v>1099.98</v>
      </c>
      <c r="H167" s="528">
        <f>ROUND(F167*G167,2)</f>
        <v>2199.96</v>
      </c>
      <c r="I167" s="529"/>
      <c r="J167" s="309"/>
      <c r="K167" s="1175">
        <v>2</v>
      </c>
      <c r="L167" s="530">
        <f>ROUND(AD167,2)</f>
        <v>656.25</v>
      </c>
      <c r="M167" s="530">
        <f>ROUND(L167*F167,2)</f>
        <v>1312.5</v>
      </c>
      <c r="N167" s="309"/>
      <c r="O167" s="778">
        <v>131</v>
      </c>
      <c r="P167" s="777"/>
      <c r="Q167" s="777"/>
      <c r="R167" s="751">
        <v>1080</v>
      </c>
      <c r="S167" s="752"/>
      <c r="T167" s="792">
        <v>500</v>
      </c>
      <c r="U167" s="803">
        <v>0</v>
      </c>
      <c r="V167" s="803">
        <v>0</v>
      </c>
      <c r="W167" s="803">
        <v>0</v>
      </c>
      <c r="X167" s="858">
        <f>SUMIF('Summary-E'!O$4:O$50,D167,'Summary-E'!Q$4:Q$50)</f>
        <v>0.97</v>
      </c>
      <c r="Y167" s="310">
        <f>ROUND((R167+S167/'Summary-E'!$M$63)*X167,2)</f>
        <v>1047.5999999999999</v>
      </c>
      <c r="Z167" s="858">
        <f t="shared" si="67"/>
        <v>1.05</v>
      </c>
      <c r="AA167" s="813">
        <f>ROUND(Y167*Z167,2)</f>
        <v>1099.98</v>
      </c>
      <c r="AB167" s="447">
        <f>$AB$3</f>
        <v>0.05</v>
      </c>
      <c r="AC167" s="310">
        <f t="shared" si="46"/>
        <v>525</v>
      </c>
      <c r="AD167" s="717">
        <f>ROUND(AC167*'[1]Summary E&amp;M'!$R$94,2)</f>
        <v>656.25</v>
      </c>
      <c r="AE167" s="826">
        <f t="shared" ref="AE167:AE172" si="98">ROUND($K167*$Y167,2)</f>
        <v>2095.1999999999998</v>
      </c>
      <c r="AF167" s="826">
        <f t="shared" ref="AF167:AF172" si="99">ROUND($K167*$AC167,2)</f>
        <v>1050</v>
      </c>
      <c r="AG167" s="731"/>
      <c r="AH167" s="732"/>
      <c r="AI167" s="519">
        <f t="shared" si="70"/>
        <v>0</v>
      </c>
      <c r="AJ167" s="519">
        <f t="shared" si="71"/>
        <v>0</v>
      </c>
      <c r="AK167" s="519">
        <f t="shared" si="72"/>
        <v>0</v>
      </c>
      <c r="AL167" s="520">
        <f t="shared" si="73"/>
        <v>0</v>
      </c>
      <c r="AM167" s="520">
        <f t="shared" si="74"/>
        <v>0</v>
      </c>
      <c r="AN167" s="520">
        <f t="shared" si="75"/>
        <v>0</v>
      </c>
      <c r="AO167" s="520">
        <f t="shared" si="76"/>
        <v>0</v>
      </c>
      <c r="AP167" s="719"/>
      <c r="AQ167" s="719"/>
      <c r="AR167" s="719"/>
      <c r="AS167" s="719"/>
      <c r="AT167" s="719"/>
    </row>
    <row r="168" spans="1:46" s="555" customFormat="1" ht="22.5" customHeight="1">
      <c r="A168" s="451"/>
      <c r="B168" s="531"/>
      <c r="C168" s="523"/>
      <c r="D168" s="524"/>
      <c r="E168" s="525"/>
      <c r="F168" s="1314"/>
      <c r="G168" s="528"/>
      <c r="H168" s="528"/>
      <c r="I168" s="529"/>
      <c r="J168" s="309"/>
      <c r="K168" s="1175"/>
      <c r="L168" s="530"/>
      <c r="M168" s="530"/>
      <c r="N168" s="309"/>
      <c r="O168" s="778"/>
      <c r="P168" s="777"/>
      <c r="Q168" s="777"/>
      <c r="R168" s="751"/>
      <c r="S168" s="752"/>
      <c r="T168" s="792"/>
      <c r="U168" s="803"/>
      <c r="V168" s="803"/>
      <c r="W168" s="803"/>
      <c r="X168" s="858">
        <f>SUMIF('Summary-E'!O$4:O$50,D168,'Summary-E'!Q$4:Q$50)</f>
        <v>0</v>
      </c>
      <c r="Y168" s="310">
        <f>ROUND((R168+S168/'Summary-E'!$M$63)*X168,2)</f>
        <v>0</v>
      </c>
      <c r="Z168" s="858">
        <f t="shared" si="67"/>
        <v>1.05</v>
      </c>
      <c r="AA168" s="813"/>
      <c r="AB168" s="447"/>
      <c r="AC168" s="310">
        <f t="shared" si="46"/>
        <v>0</v>
      </c>
      <c r="AD168" s="717">
        <f>ROUND(AC168*'[1]Summary E&amp;M'!$R$94,2)</f>
        <v>0</v>
      </c>
      <c r="AE168" s="826">
        <f t="shared" si="98"/>
        <v>0</v>
      </c>
      <c r="AF168" s="826">
        <f t="shared" si="99"/>
        <v>0</v>
      </c>
      <c r="AG168" s="731"/>
      <c r="AH168" s="732"/>
      <c r="AI168" s="519">
        <f t="shared" si="70"/>
        <v>0</v>
      </c>
      <c r="AJ168" s="519">
        <f t="shared" si="71"/>
        <v>0</v>
      </c>
      <c r="AK168" s="519">
        <f t="shared" si="72"/>
        <v>0</v>
      </c>
      <c r="AL168" s="520">
        <f t="shared" si="73"/>
        <v>0</v>
      </c>
      <c r="AM168" s="520">
        <f t="shared" si="74"/>
        <v>0</v>
      </c>
      <c r="AN168" s="520">
        <f t="shared" si="75"/>
        <v>0</v>
      </c>
      <c r="AO168" s="520">
        <f t="shared" si="76"/>
        <v>0</v>
      </c>
      <c r="AP168" s="719"/>
      <c r="AQ168" s="719"/>
      <c r="AR168" s="719"/>
      <c r="AS168" s="719"/>
      <c r="AT168" s="719"/>
    </row>
    <row r="169" spans="1:46" s="555" customFormat="1" ht="22.5" customHeight="1">
      <c r="A169" s="451"/>
      <c r="B169" s="531" t="s">
        <v>324</v>
      </c>
      <c r="C169" s="523"/>
      <c r="D169" s="524">
        <v>210</v>
      </c>
      <c r="E169" s="525" t="s">
        <v>319</v>
      </c>
      <c r="F169" s="1315">
        <f>K169</f>
        <v>1</v>
      </c>
      <c r="G169" s="528">
        <f>M174</f>
        <v>8514.8900000000012</v>
      </c>
      <c r="H169" s="528">
        <f>ROUND(F169*G169,2)</f>
        <v>8514.89</v>
      </c>
      <c r="I169" s="529"/>
      <c r="J169" s="309"/>
      <c r="K169" s="1175">
        <v>1</v>
      </c>
      <c r="L169" s="530">
        <f>ROUND(AD169,2)</f>
        <v>0</v>
      </c>
      <c r="M169" s="530">
        <f>ROUND(L169*F169,2)</f>
        <v>0</v>
      </c>
      <c r="N169" s="309"/>
      <c r="O169" s="778">
        <v>210</v>
      </c>
      <c r="P169" s="777"/>
      <c r="Q169" s="777"/>
      <c r="R169" s="751"/>
      <c r="S169" s="752"/>
      <c r="T169" s="792"/>
      <c r="U169" s="803">
        <v>0</v>
      </c>
      <c r="V169" s="803">
        <v>0</v>
      </c>
      <c r="W169" s="803">
        <v>0</v>
      </c>
      <c r="X169" s="858">
        <f>SUMIF('Summary-E'!O$4:O$50,D169,'Summary-E'!Q$4:Q$50)</f>
        <v>0.05</v>
      </c>
      <c r="Y169" s="310">
        <f>ROUND((R169+S169/'Summary-E'!$M$63)*X169,2)</f>
        <v>0</v>
      </c>
      <c r="Z169" s="858">
        <f t="shared" si="67"/>
        <v>1.05</v>
      </c>
      <c r="AA169" s="813">
        <f>ROUND(Y169*Z169,2)</f>
        <v>0</v>
      </c>
      <c r="AB169" s="447">
        <f>$AB$3</f>
        <v>0.05</v>
      </c>
      <c r="AC169" s="310">
        <f t="shared" si="46"/>
        <v>0</v>
      </c>
      <c r="AD169" s="717">
        <f>ROUND(AC169*'[1]Summary E&amp;M'!$R$94,2)</f>
        <v>0</v>
      </c>
      <c r="AE169" s="826">
        <f t="shared" si="98"/>
        <v>0</v>
      </c>
      <c r="AF169" s="826">
        <f t="shared" si="99"/>
        <v>0</v>
      </c>
      <c r="AG169" s="731"/>
      <c r="AH169" s="732"/>
      <c r="AI169" s="519">
        <f t="shared" si="70"/>
        <v>0</v>
      </c>
      <c r="AJ169" s="519">
        <f t="shared" si="71"/>
        <v>0</v>
      </c>
      <c r="AK169" s="519">
        <f t="shared" si="72"/>
        <v>0</v>
      </c>
      <c r="AL169" s="520">
        <f t="shared" si="73"/>
        <v>0</v>
      </c>
      <c r="AM169" s="520">
        <f t="shared" si="74"/>
        <v>0</v>
      </c>
      <c r="AN169" s="520">
        <f t="shared" si="75"/>
        <v>0</v>
      </c>
      <c r="AO169" s="520">
        <f t="shared" si="76"/>
        <v>0</v>
      </c>
      <c r="AP169" s="719"/>
      <c r="AQ169" s="719"/>
      <c r="AR169" s="719"/>
      <c r="AS169" s="719"/>
      <c r="AT169" s="719"/>
    </row>
    <row r="170" spans="1:46" s="555" customFormat="1" ht="22.5" customHeight="1">
      <c r="A170" s="451"/>
      <c r="B170" s="531" t="s">
        <v>327</v>
      </c>
      <c r="C170" s="523"/>
      <c r="D170" s="524" t="s">
        <v>134</v>
      </c>
      <c r="E170" s="525" t="s">
        <v>319</v>
      </c>
      <c r="F170" s="1315">
        <f>K170</f>
        <v>1</v>
      </c>
      <c r="G170" s="527">
        <f>ROUNDUP(AA170,2)</f>
        <v>155.09</v>
      </c>
      <c r="H170" s="528">
        <f>ROUND(F170*G170,2)</f>
        <v>155.09</v>
      </c>
      <c r="I170" s="529"/>
      <c r="J170" s="309"/>
      <c r="K170" s="1175">
        <v>1</v>
      </c>
      <c r="L170" s="530">
        <f>ROUND(AD170,2)</f>
        <v>0</v>
      </c>
      <c r="M170" s="530">
        <f>ROUND(L170*F170,2)</f>
        <v>0</v>
      </c>
      <c r="N170" s="309"/>
      <c r="O170" s="778" t="s">
        <v>134</v>
      </c>
      <c r="P170" s="777">
        <v>0.05</v>
      </c>
      <c r="Q170" s="777"/>
      <c r="R170" s="751">
        <f>ROUND(SUM(AF167:AF167,AH154,AF153,AF155:AF157)*P170,2)</f>
        <v>152.27000000000001</v>
      </c>
      <c r="S170" s="752"/>
      <c r="T170" s="792"/>
      <c r="U170" s="803">
        <v>0</v>
      </c>
      <c r="V170" s="803">
        <v>0</v>
      </c>
      <c r="W170" s="803">
        <v>0</v>
      </c>
      <c r="X170" s="858">
        <f>SUMIF('Summary-E'!O$4:O$50,D170,'Summary-E'!Q$4:Q$50)</f>
        <v>0.97</v>
      </c>
      <c r="Y170" s="310">
        <f>ROUND((R170+S170/'Summary-E'!$M$63)*X170,2)</f>
        <v>147.69999999999999</v>
      </c>
      <c r="Z170" s="858">
        <f t="shared" si="67"/>
        <v>1.05</v>
      </c>
      <c r="AA170" s="813">
        <f>ROUND(Y170*Z170,2)</f>
        <v>155.09</v>
      </c>
      <c r="AB170" s="447">
        <f>$AB$3</f>
        <v>0.05</v>
      </c>
      <c r="AC170" s="310">
        <f t="shared" si="46"/>
        <v>0</v>
      </c>
      <c r="AD170" s="717">
        <f>ROUND(AC170*'[1]Summary E&amp;M'!$R$94,2)</f>
        <v>0</v>
      </c>
      <c r="AE170" s="826">
        <f t="shared" si="98"/>
        <v>147.69999999999999</v>
      </c>
      <c r="AF170" s="826">
        <f t="shared" si="99"/>
        <v>0</v>
      </c>
      <c r="AG170" s="731"/>
      <c r="AH170" s="732"/>
      <c r="AI170" s="519">
        <f t="shared" si="70"/>
        <v>0</v>
      </c>
      <c r="AJ170" s="519">
        <f t="shared" si="71"/>
        <v>0</v>
      </c>
      <c r="AK170" s="519">
        <f t="shared" si="72"/>
        <v>0</v>
      </c>
      <c r="AL170" s="520">
        <f t="shared" si="73"/>
        <v>0</v>
      </c>
      <c r="AM170" s="520">
        <f t="shared" si="74"/>
        <v>0</v>
      </c>
      <c r="AN170" s="520">
        <f t="shared" si="75"/>
        <v>0</v>
      </c>
      <c r="AO170" s="520">
        <f t="shared" si="76"/>
        <v>0</v>
      </c>
      <c r="AP170" s="719"/>
      <c r="AQ170" s="719"/>
      <c r="AR170" s="719"/>
      <c r="AS170" s="719"/>
      <c r="AT170" s="719"/>
    </row>
    <row r="171" spans="1:46" s="555" customFormat="1" ht="22.5" customHeight="1">
      <c r="A171" s="451"/>
      <c r="B171" s="531" t="s">
        <v>679</v>
      </c>
      <c r="C171" s="523"/>
      <c r="D171" s="524" t="s">
        <v>133</v>
      </c>
      <c r="E171" s="525" t="s">
        <v>322</v>
      </c>
      <c r="F171" s="1315">
        <f>K171</f>
        <v>1</v>
      </c>
      <c r="G171" s="527">
        <f>ROUNDUP(AA171,2)</f>
        <v>305.55</v>
      </c>
      <c r="H171" s="528">
        <f>ROUND(F171*G171,2)</f>
        <v>305.55</v>
      </c>
      <c r="I171" s="529"/>
      <c r="J171" s="309"/>
      <c r="K171" s="1175">
        <v>1</v>
      </c>
      <c r="L171" s="530">
        <f>ROUND(AD171,2)</f>
        <v>0</v>
      </c>
      <c r="M171" s="530">
        <f>ROUND(L171*F171,2)</f>
        <v>0</v>
      </c>
      <c r="N171" s="309"/>
      <c r="O171" s="778" t="s">
        <v>133</v>
      </c>
      <c r="P171" s="777"/>
      <c r="Q171" s="777"/>
      <c r="R171" s="751">
        <v>300</v>
      </c>
      <c r="S171" s="752"/>
      <c r="T171" s="792"/>
      <c r="U171" s="803">
        <v>0</v>
      </c>
      <c r="V171" s="803">
        <v>0</v>
      </c>
      <c r="W171" s="803">
        <v>0</v>
      </c>
      <c r="X171" s="858">
        <f>SUMIF('Summary-E'!O$4:O$50,D171,'Summary-E'!Q$4:Q$50)</f>
        <v>0.97</v>
      </c>
      <c r="Y171" s="310">
        <f>ROUND((R171+S171/'Summary-E'!$M$63)*X171,2)</f>
        <v>291</v>
      </c>
      <c r="Z171" s="858">
        <f t="shared" si="67"/>
        <v>1.05</v>
      </c>
      <c r="AA171" s="813">
        <f>ROUND(Y171*Z171,2)</f>
        <v>305.55</v>
      </c>
      <c r="AB171" s="447">
        <f>$AB$3</f>
        <v>0.05</v>
      </c>
      <c r="AC171" s="310">
        <f t="shared" si="46"/>
        <v>0</v>
      </c>
      <c r="AD171" s="717">
        <f>ROUND(AC171*'[1]Summary E&amp;M'!$R$94,2)</f>
        <v>0</v>
      </c>
      <c r="AE171" s="826">
        <f t="shared" si="98"/>
        <v>291</v>
      </c>
      <c r="AF171" s="826">
        <f t="shared" si="99"/>
        <v>0</v>
      </c>
      <c r="AG171" s="731"/>
      <c r="AH171" s="732"/>
      <c r="AI171" s="519">
        <f t="shared" si="70"/>
        <v>0</v>
      </c>
      <c r="AJ171" s="519">
        <f t="shared" si="71"/>
        <v>0</v>
      </c>
      <c r="AK171" s="519">
        <f t="shared" si="72"/>
        <v>0</v>
      </c>
      <c r="AL171" s="520">
        <f t="shared" si="73"/>
        <v>0</v>
      </c>
      <c r="AM171" s="520">
        <f t="shared" si="74"/>
        <v>0</v>
      </c>
      <c r="AN171" s="520">
        <f t="shared" si="75"/>
        <v>0</v>
      </c>
      <c r="AO171" s="520">
        <f t="shared" si="76"/>
        <v>0</v>
      </c>
      <c r="AP171" s="719"/>
      <c r="AQ171" s="719"/>
      <c r="AR171" s="719"/>
      <c r="AS171" s="719"/>
      <c r="AT171" s="719"/>
    </row>
    <row r="172" spans="1:46" s="555" customFormat="1" ht="22.5" customHeight="1">
      <c r="A172" s="451"/>
      <c r="B172" s="531" t="s">
        <v>687</v>
      </c>
      <c r="C172" s="523"/>
      <c r="D172" s="524">
        <v>159</v>
      </c>
      <c r="E172" s="525" t="s">
        <v>322</v>
      </c>
      <c r="F172" s="1315">
        <f>K172</f>
        <v>1</v>
      </c>
      <c r="G172" s="527">
        <f>ROUNDUP(AA172,2)</f>
        <v>12.9</v>
      </c>
      <c r="H172" s="528">
        <f>ROUND(F172*G172,2)</f>
        <v>12.9</v>
      </c>
      <c r="I172" s="529"/>
      <c r="J172" s="309"/>
      <c r="K172" s="1175">
        <v>1</v>
      </c>
      <c r="L172" s="530">
        <f>ROUND(AD172,2)</f>
        <v>0</v>
      </c>
      <c r="M172" s="530">
        <f>ROUND(L172*F172,2)</f>
        <v>0</v>
      </c>
      <c r="N172" s="309"/>
      <c r="O172" s="778">
        <v>159</v>
      </c>
      <c r="P172" s="782">
        <v>5.0000000000000001E-3</v>
      </c>
      <c r="Q172" s="777"/>
      <c r="R172" s="751">
        <f>ROUND(SUM(AE167:AE171)*P172,2)</f>
        <v>12.67</v>
      </c>
      <c r="S172" s="752"/>
      <c r="T172" s="792"/>
      <c r="U172" s="803">
        <v>0</v>
      </c>
      <c r="V172" s="803">
        <v>0</v>
      </c>
      <c r="W172" s="803">
        <v>0</v>
      </c>
      <c r="X172" s="858">
        <f>SUMIF('Summary-E'!O$4:O$50,D172,'Summary-E'!Q$4:Q$50)</f>
        <v>0.97</v>
      </c>
      <c r="Y172" s="310">
        <f>ROUND((R172+S172/'Summary-E'!$M$63)*X172,2)</f>
        <v>12.29</v>
      </c>
      <c r="Z172" s="858">
        <f t="shared" si="67"/>
        <v>1.05</v>
      </c>
      <c r="AA172" s="813">
        <f>ROUND(Y172*Z172,2)</f>
        <v>12.9</v>
      </c>
      <c r="AB172" s="447">
        <f>$AB$3</f>
        <v>0.05</v>
      </c>
      <c r="AC172" s="310">
        <f t="shared" si="46"/>
        <v>0</v>
      </c>
      <c r="AD172" s="717">
        <f>ROUND(AC172*'[1]Summary E&amp;M'!$R$94,2)</f>
        <v>0</v>
      </c>
      <c r="AE172" s="826">
        <f t="shared" si="98"/>
        <v>12.29</v>
      </c>
      <c r="AF172" s="826">
        <f t="shared" si="99"/>
        <v>0</v>
      </c>
      <c r="AG172" s="731"/>
      <c r="AH172" s="732"/>
      <c r="AI172" s="519">
        <f t="shared" si="70"/>
        <v>0</v>
      </c>
      <c r="AJ172" s="519">
        <f t="shared" si="71"/>
        <v>0</v>
      </c>
      <c r="AK172" s="519">
        <f t="shared" si="72"/>
        <v>0</v>
      </c>
      <c r="AL172" s="520">
        <f t="shared" si="73"/>
        <v>0</v>
      </c>
      <c r="AM172" s="520">
        <f t="shared" si="74"/>
        <v>0</v>
      </c>
      <c r="AN172" s="520">
        <f t="shared" si="75"/>
        <v>0</v>
      </c>
      <c r="AO172" s="520">
        <f t="shared" si="76"/>
        <v>0</v>
      </c>
      <c r="AP172" s="719"/>
      <c r="AQ172" s="719"/>
      <c r="AR172" s="719"/>
      <c r="AS172" s="719"/>
      <c r="AT172" s="719"/>
    </row>
    <row r="173" spans="1:46" s="555" customFormat="1" ht="22.5" customHeight="1">
      <c r="A173" s="451"/>
      <c r="B173" s="531"/>
      <c r="C173" s="523"/>
      <c r="D173" s="524"/>
      <c r="E173" s="525"/>
      <c r="F173" s="1314"/>
      <c r="G173" s="527"/>
      <c r="H173" s="528"/>
      <c r="I173" s="529"/>
      <c r="J173" s="311"/>
      <c r="K173" s="1175"/>
      <c r="L173" s="530"/>
      <c r="M173" s="530"/>
      <c r="N173" s="309"/>
      <c r="O173" s="776"/>
      <c r="P173" s="777"/>
      <c r="Q173" s="777"/>
      <c r="R173" s="753"/>
      <c r="S173" s="754"/>
      <c r="T173" s="793"/>
      <c r="U173" s="804"/>
      <c r="V173" s="804"/>
      <c r="W173" s="804"/>
      <c r="X173" s="858">
        <f>SUMIF('Summary-E'!O$4:O$50,D173,'Summary-E'!Q$4:Q$50)</f>
        <v>0</v>
      </c>
      <c r="Y173" s="310">
        <f>ROUND((R173+S173/'Summary-E'!$M$63)*X173,2)</f>
        <v>0</v>
      </c>
      <c r="Z173" s="858">
        <f t="shared" si="67"/>
        <v>1.05</v>
      </c>
      <c r="AA173" s="814"/>
      <c r="AB173" s="474"/>
      <c r="AC173" s="310">
        <f t="shared" ref="AC173:AC280" si="100">ROUND((T173*(1+AB173)),2)</f>
        <v>0</v>
      </c>
      <c r="AD173" s="717">
        <f>ROUND(AC173*'[1]Summary E&amp;M'!$R$94,2)</f>
        <v>0</v>
      </c>
      <c r="AE173" s="829"/>
      <c r="AF173" s="829"/>
      <c r="AG173" s="731"/>
      <c r="AH173" s="732"/>
      <c r="AI173" s="519">
        <f t="shared" si="70"/>
        <v>0</v>
      </c>
      <c r="AJ173" s="519">
        <f t="shared" si="71"/>
        <v>0</v>
      </c>
      <c r="AK173" s="519">
        <f t="shared" si="72"/>
        <v>0</v>
      </c>
      <c r="AL173" s="520">
        <f t="shared" si="73"/>
        <v>0</v>
      </c>
      <c r="AM173" s="520">
        <f t="shared" si="74"/>
        <v>0</v>
      </c>
      <c r="AN173" s="520">
        <f t="shared" si="75"/>
        <v>0</v>
      </c>
      <c r="AO173" s="520">
        <f t="shared" si="76"/>
        <v>0</v>
      </c>
      <c r="AP173" s="719"/>
      <c r="AQ173" s="719"/>
      <c r="AR173" s="719"/>
      <c r="AS173" s="719"/>
      <c r="AT173" s="719"/>
    </row>
    <row r="174" spans="1:46" s="711" customFormat="1" ht="22.5" customHeight="1">
      <c r="A174" s="973"/>
      <c r="B174" s="974" t="s">
        <v>407</v>
      </c>
      <c r="C174" s="975"/>
      <c r="D174" s="976"/>
      <c r="E174" s="973"/>
      <c r="F174" s="1317"/>
      <c r="G174" s="971"/>
      <c r="H174" s="977">
        <f>SUBTOTAL(9,H133:H173)</f>
        <v>175484.09000000003</v>
      </c>
      <c r="I174" s="977"/>
      <c r="J174" s="551"/>
      <c r="K174" s="1177"/>
      <c r="L174" s="550"/>
      <c r="M174" s="1051">
        <f>SUBTOTAL(9,M134:M172)</f>
        <v>8514.8900000000012</v>
      </c>
      <c r="N174" s="549"/>
      <c r="O174" s="479"/>
      <c r="P174" s="770"/>
      <c r="Q174" s="770"/>
      <c r="R174" s="755"/>
      <c r="S174" s="849"/>
      <c r="T174" s="850"/>
      <c r="U174" s="851">
        <v>0</v>
      </c>
      <c r="V174" s="851">
        <v>0</v>
      </c>
      <c r="W174" s="851">
        <v>0</v>
      </c>
      <c r="X174" s="858">
        <f>SUMIF('Summary-E'!O$4:O$50,D174,'Summary-E'!Q$4:Q$50)</f>
        <v>0</v>
      </c>
      <c r="Y174" s="310">
        <f>ROUND((R174+S174/'Summary-E'!$M$63)*X174,2)</f>
        <v>0</v>
      </c>
      <c r="Z174" s="858">
        <f t="shared" si="67"/>
        <v>1.05</v>
      </c>
      <c r="AA174" s="852"/>
      <c r="AB174" s="853"/>
      <c r="AC174" s="310">
        <f t="shared" si="100"/>
        <v>0</v>
      </c>
      <c r="AD174" s="717">
        <f>ROUND(AC174*'[1]Summary E&amp;M'!$R$94,2)</f>
        <v>0</v>
      </c>
      <c r="AE174" s="828">
        <f>SUBTOTAL(9,AE133:AE173)</f>
        <v>155302.31000000003</v>
      </c>
      <c r="AF174" s="828">
        <f>SUBTOTAL(9,AF133:AF173)</f>
        <v>6811.7900000000009</v>
      </c>
      <c r="AG174" s="733"/>
      <c r="AH174" s="734"/>
      <c r="AI174" s="720"/>
      <c r="AJ174" s="720"/>
      <c r="AK174" s="720"/>
      <c r="AL174" s="720"/>
      <c r="AM174" s="712">
        <f>SUBTOTAL(9,AM133:AM172)</f>
        <v>0</v>
      </c>
      <c r="AN174" s="720"/>
      <c r="AO174" s="712">
        <f>SUBTOTAL(9,AO133:AO172)</f>
        <v>0</v>
      </c>
      <c r="AP174" s="722"/>
      <c r="AQ174" s="722"/>
      <c r="AR174" s="722"/>
      <c r="AS174" s="722"/>
      <c r="AT174" s="722"/>
    </row>
    <row r="175" spans="1:46" s="555" customFormat="1" ht="22.5" customHeight="1">
      <c r="A175" s="451"/>
      <c r="B175" s="531"/>
      <c r="C175" s="523"/>
      <c r="D175" s="524"/>
      <c r="E175" s="525"/>
      <c r="F175" s="1314"/>
      <c r="G175" s="527"/>
      <c r="H175" s="528"/>
      <c r="I175" s="529"/>
      <c r="J175" s="311"/>
      <c r="K175" s="1175"/>
      <c r="L175" s="530"/>
      <c r="M175" s="530"/>
      <c r="N175" s="309"/>
      <c r="O175" s="776"/>
      <c r="P175" s="777"/>
      <c r="Q175" s="777"/>
      <c r="R175" s="757"/>
      <c r="S175" s="758"/>
      <c r="T175" s="794"/>
      <c r="U175" s="805"/>
      <c r="V175" s="805"/>
      <c r="W175" s="805"/>
      <c r="X175" s="858">
        <f>SUMIF('Summary-E'!O$4:O$50,D175,'Summary-E'!Q$4:Q$50)</f>
        <v>0</v>
      </c>
      <c r="Y175" s="310">
        <f>ROUND((R175+S175/'Summary-E'!$M$63)*X175,2)</f>
        <v>0</v>
      </c>
      <c r="Z175" s="858">
        <f t="shared" si="67"/>
        <v>1.05</v>
      </c>
      <c r="AA175" s="815"/>
      <c r="AB175" s="492"/>
      <c r="AC175" s="310">
        <f t="shared" si="100"/>
        <v>0</v>
      </c>
      <c r="AD175" s="717">
        <f>ROUND(AC175*'[1]Summary E&amp;M'!$R$94,2)</f>
        <v>0</v>
      </c>
      <c r="AE175" s="830"/>
      <c r="AF175" s="830"/>
      <c r="AG175" s="731"/>
      <c r="AH175" s="732"/>
      <c r="AI175" s="519"/>
      <c r="AJ175" s="519"/>
      <c r="AK175" s="519"/>
      <c r="AL175" s="520"/>
      <c r="AM175" s="520"/>
      <c r="AN175" s="520"/>
      <c r="AO175" s="520"/>
      <c r="AP175" s="719"/>
      <c r="AQ175" s="719"/>
      <c r="AR175" s="719"/>
      <c r="AS175" s="719"/>
      <c r="AT175" s="719"/>
    </row>
    <row r="176" spans="1:46" s="555" customFormat="1" ht="22.5" customHeight="1">
      <c r="A176" s="620" t="s">
        <v>408</v>
      </c>
      <c r="B176" s="522" t="s">
        <v>123</v>
      </c>
      <c r="C176" s="523"/>
      <c r="D176" s="524"/>
      <c r="E176" s="525"/>
      <c r="F176" s="1314"/>
      <c r="G176" s="527"/>
      <c r="H176" s="528"/>
      <c r="I176" s="529"/>
      <c r="J176" s="311"/>
      <c r="K176" s="1175"/>
      <c r="L176" s="530">
        <f t="shared" ref="L176:L214" si="101">ROUND(AD176,2)</f>
        <v>0</v>
      </c>
      <c r="M176" s="530">
        <f t="shared" ref="M176:M214" si="102">ROUND(L176*F176,2)</f>
        <v>0</v>
      </c>
      <c r="N176" s="309"/>
      <c r="O176" s="776"/>
      <c r="P176" s="777"/>
      <c r="Q176" s="777"/>
      <c r="R176" s="751"/>
      <c r="S176" s="752"/>
      <c r="T176" s="792"/>
      <c r="U176" s="803">
        <v>0</v>
      </c>
      <c r="V176" s="803">
        <v>0</v>
      </c>
      <c r="W176" s="803">
        <v>0</v>
      </c>
      <c r="X176" s="858">
        <f>SUMIF('Summary-E'!O$4:O$50,D176,'Summary-E'!Q$4:Q$50)</f>
        <v>0</v>
      </c>
      <c r="Y176" s="310">
        <f>ROUND((R176+S176/'Summary-E'!$M$63)*X176,2)</f>
        <v>0</v>
      </c>
      <c r="Z176" s="858">
        <f t="shared" si="67"/>
        <v>1.05</v>
      </c>
      <c r="AA176" s="813">
        <f t="shared" ref="AA176:AA214" si="103">ROUND(Y176*Z176,2)</f>
        <v>0</v>
      </c>
      <c r="AB176" s="447">
        <f t="shared" ref="AB176:AB578" si="104">$AB$3</f>
        <v>0.05</v>
      </c>
      <c r="AC176" s="310">
        <f t="shared" si="100"/>
        <v>0</v>
      </c>
      <c r="AD176" s="717">
        <f>ROUND(AC176*'[1]Summary E&amp;M'!$R$94,2)</f>
        <v>0</v>
      </c>
      <c r="AE176" s="826">
        <f t="shared" ref="AE176:AE217" si="105">ROUND($K176*$Y176,2)</f>
        <v>0</v>
      </c>
      <c r="AF176" s="826">
        <f t="shared" ref="AF176:AF217" si="106">ROUND($K176*$AC176,2)</f>
        <v>0</v>
      </c>
      <c r="AG176" s="731"/>
      <c r="AH176" s="732"/>
      <c r="AI176" s="519">
        <f t="shared" ref="AI176:AI214" si="107">$U176</f>
        <v>0</v>
      </c>
      <c r="AJ176" s="519">
        <f t="shared" ref="AJ176:AJ214" si="108">$V176</f>
        <v>0</v>
      </c>
      <c r="AK176" s="519">
        <f t="shared" ref="AK176:AK214" si="109">$W176</f>
        <v>0</v>
      </c>
      <c r="AL176" s="520">
        <f t="shared" ref="AL176:AL214" si="110">ROUND(Y176*AI176+((Y176*(1+AI176))*AJ176)+((Y176*AI176+((Y176*(1+AI176))*AJ176))*AK176),2)</f>
        <v>0</v>
      </c>
      <c r="AM176" s="520">
        <f t="shared" ref="AM176:AM214" si="111">AL176*$F176</f>
        <v>0</v>
      </c>
      <c r="AN176" s="520">
        <f t="shared" ref="AN176:AN214" si="112">ROUND(AL176*Z176,2)</f>
        <v>0</v>
      </c>
      <c r="AO176" s="520">
        <f t="shared" ref="AO176:AO214" si="113">AN176*$F176</f>
        <v>0</v>
      </c>
      <c r="AP176" s="719"/>
      <c r="AQ176" s="719"/>
      <c r="AR176" s="719"/>
      <c r="AS176" s="719"/>
      <c r="AT176" s="719"/>
    </row>
    <row r="177" spans="1:46" s="555" customFormat="1" ht="22.5" customHeight="1">
      <c r="A177" s="451"/>
      <c r="B177" s="522" t="s">
        <v>751</v>
      </c>
      <c r="C177" s="523"/>
      <c r="D177" s="524"/>
      <c r="E177" s="525"/>
      <c r="F177" s="1314"/>
      <c r="G177" s="527"/>
      <c r="H177" s="528"/>
      <c r="I177" s="529"/>
      <c r="J177" s="309"/>
      <c r="K177" s="1175"/>
      <c r="L177" s="530">
        <f t="shared" si="101"/>
        <v>0</v>
      </c>
      <c r="M177" s="530">
        <f t="shared" si="102"/>
        <v>0</v>
      </c>
      <c r="N177" s="309"/>
      <c r="O177" s="778"/>
      <c r="P177" s="777"/>
      <c r="Q177" s="777"/>
      <c r="R177" s="751"/>
      <c r="S177" s="752"/>
      <c r="T177" s="792"/>
      <c r="U177" s="803">
        <v>0</v>
      </c>
      <c r="V177" s="803">
        <v>0</v>
      </c>
      <c r="W177" s="803">
        <v>0</v>
      </c>
      <c r="X177" s="858">
        <f>SUMIF('Summary-E'!O$4:O$50,D177,'Summary-E'!Q$4:Q$50)</f>
        <v>0</v>
      </c>
      <c r="Y177" s="310">
        <f>ROUND((R177+S177/'Summary-E'!$M$63)*X177,2)</f>
        <v>0</v>
      </c>
      <c r="Z177" s="858">
        <f t="shared" si="67"/>
        <v>1.05</v>
      </c>
      <c r="AA177" s="813">
        <f t="shared" si="103"/>
        <v>0</v>
      </c>
      <c r="AB177" s="447">
        <f t="shared" si="104"/>
        <v>0.05</v>
      </c>
      <c r="AC177" s="310">
        <f t="shared" si="100"/>
        <v>0</v>
      </c>
      <c r="AD177" s="717">
        <f>ROUND(AC177*'[1]Summary E&amp;M'!$R$94,2)</f>
        <v>0</v>
      </c>
      <c r="AE177" s="826">
        <f t="shared" si="105"/>
        <v>0</v>
      </c>
      <c r="AF177" s="826">
        <f t="shared" si="106"/>
        <v>0</v>
      </c>
      <c r="AG177" s="731"/>
      <c r="AH177" s="732"/>
      <c r="AI177" s="519">
        <f t="shared" si="107"/>
        <v>0</v>
      </c>
      <c r="AJ177" s="519">
        <f t="shared" si="108"/>
        <v>0</v>
      </c>
      <c r="AK177" s="519">
        <f t="shared" si="109"/>
        <v>0</v>
      </c>
      <c r="AL177" s="520">
        <f t="shared" si="110"/>
        <v>0</v>
      </c>
      <c r="AM177" s="520">
        <f t="shared" si="111"/>
        <v>0</v>
      </c>
      <c r="AN177" s="520">
        <f t="shared" si="112"/>
        <v>0</v>
      </c>
      <c r="AO177" s="520">
        <f t="shared" si="113"/>
        <v>0</v>
      </c>
      <c r="AP177" s="719"/>
      <c r="AQ177" s="719"/>
      <c r="AR177" s="719"/>
      <c r="AS177" s="719"/>
      <c r="AT177" s="719"/>
    </row>
    <row r="178" spans="1:46" s="555" customFormat="1" ht="22.5" customHeight="1">
      <c r="A178" s="451"/>
      <c r="B178" s="531" t="s">
        <v>947</v>
      </c>
      <c r="C178" s="523"/>
      <c r="D178" s="524" t="s">
        <v>132</v>
      </c>
      <c r="E178" s="525" t="s">
        <v>684</v>
      </c>
      <c r="F178" s="1315">
        <f t="shared" ref="F178:F191" si="114">K178</f>
        <v>1</v>
      </c>
      <c r="G178" s="527">
        <f t="shared" ref="G178:G214" si="115">ROUNDUP(AA178,2)</f>
        <v>478.56</v>
      </c>
      <c r="H178" s="528">
        <f t="shared" ref="H178:H214" si="116">ROUND(F178*G178,2)</f>
        <v>478.56</v>
      </c>
      <c r="I178" s="1245"/>
      <c r="J178" s="649"/>
      <c r="K178" s="1175">
        <v>1</v>
      </c>
      <c r="L178" s="530">
        <f t="shared" si="101"/>
        <v>105</v>
      </c>
      <c r="M178" s="530">
        <f t="shared" si="102"/>
        <v>105</v>
      </c>
      <c r="N178" s="309"/>
      <c r="O178" s="778" t="s">
        <v>132</v>
      </c>
      <c r="P178" s="777"/>
      <c r="Q178" s="777"/>
      <c r="R178" s="1096"/>
      <c r="S178" s="752">
        <v>9480000</v>
      </c>
      <c r="T178" s="792">
        <v>80</v>
      </c>
      <c r="U178" s="803">
        <v>0</v>
      </c>
      <c r="V178" s="803">
        <v>0</v>
      </c>
      <c r="W178" s="803">
        <v>0</v>
      </c>
      <c r="X178" s="858">
        <v>1</v>
      </c>
      <c r="Y178" s="310">
        <f>ROUND((R178+S178/'Summary-E'!$M$63)*X178,2)</f>
        <v>455.77</v>
      </c>
      <c r="Z178" s="858">
        <f t="shared" si="67"/>
        <v>1.05</v>
      </c>
      <c r="AA178" s="813">
        <f t="shared" si="103"/>
        <v>478.56</v>
      </c>
      <c r="AB178" s="447">
        <f t="shared" si="104"/>
        <v>0.05</v>
      </c>
      <c r="AC178" s="310">
        <f t="shared" si="100"/>
        <v>84</v>
      </c>
      <c r="AD178" s="717">
        <f>ROUND(AC178*'[1]Summary E&amp;M'!$R$94,2)</f>
        <v>105</v>
      </c>
      <c r="AE178" s="826">
        <f t="shared" si="105"/>
        <v>455.77</v>
      </c>
      <c r="AF178" s="826">
        <f t="shared" si="106"/>
        <v>84</v>
      </c>
      <c r="AG178" s="731">
        <v>1910.45</v>
      </c>
      <c r="AH178" s="732">
        <v>49.88</v>
      </c>
      <c r="AI178" s="519">
        <f t="shared" si="107"/>
        <v>0</v>
      </c>
      <c r="AJ178" s="519">
        <f t="shared" si="108"/>
        <v>0</v>
      </c>
      <c r="AK178" s="519">
        <f t="shared" si="109"/>
        <v>0</v>
      </c>
      <c r="AL178" s="520">
        <f t="shared" si="110"/>
        <v>0</v>
      </c>
      <c r="AM178" s="520">
        <f t="shared" si="111"/>
        <v>0</v>
      </c>
      <c r="AN178" s="520">
        <f t="shared" si="112"/>
        <v>0</v>
      </c>
      <c r="AO178" s="520">
        <f t="shared" si="113"/>
        <v>0</v>
      </c>
      <c r="AP178" s="719"/>
      <c r="AQ178" s="719"/>
      <c r="AR178" s="719"/>
      <c r="AS178" s="719"/>
      <c r="AT178" s="719"/>
    </row>
    <row r="179" spans="1:46" s="555" customFormat="1" ht="22.5" customHeight="1">
      <c r="A179" s="451"/>
      <c r="B179" s="531" t="s">
        <v>948</v>
      </c>
      <c r="C179" s="523"/>
      <c r="D179" s="524" t="s">
        <v>132</v>
      </c>
      <c r="E179" s="525" t="s">
        <v>684</v>
      </c>
      <c r="F179" s="1315">
        <f t="shared" si="114"/>
        <v>1</v>
      </c>
      <c r="G179" s="527">
        <f t="shared" si="115"/>
        <v>492.19</v>
      </c>
      <c r="H179" s="528">
        <f t="shared" si="116"/>
        <v>492.19</v>
      </c>
      <c r="I179" s="1069"/>
      <c r="J179" s="649"/>
      <c r="K179" s="1175">
        <v>1</v>
      </c>
      <c r="L179" s="530">
        <f t="shared" si="101"/>
        <v>105</v>
      </c>
      <c r="M179" s="530">
        <f t="shared" si="102"/>
        <v>105</v>
      </c>
      <c r="N179" s="309"/>
      <c r="O179" s="778" t="s">
        <v>132</v>
      </c>
      <c r="P179" s="777"/>
      <c r="Q179" s="777"/>
      <c r="R179" s="1096"/>
      <c r="S179" s="752">
        <v>9750000</v>
      </c>
      <c r="T179" s="792">
        <v>80</v>
      </c>
      <c r="U179" s="803">
        <v>0</v>
      </c>
      <c r="V179" s="803">
        <v>0</v>
      </c>
      <c r="W179" s="803">
        <v>0</v>
      </c>
      <c r="X179" s="858">
        <v>1</v>
      </c>
      <c r="Y179" s="310">
        <f>ROUND((R179+S179/'Summary-E'!$M$63)*X179,2)</f>
        <v>468.75</v>
      </c>
      <c r="Z179" s="858">
        <f t="shared" si="67"/>
        <v>1.05</v>
      </c>
      <c r="AA179" s="813">
        <f t="shared" si="103"/>
        <v>492.19</v>
      </c>
      <c r="AB179" s="447">
        <f t="shared" si="104"/>
        <v>0.05</v>
      </c>
      <c r="AC179" s="310">
        <f t="shared" si="100"/>
        <v>84</v>
      </c>
      <c r="AD179" s="717">
        <f>ROUND(AC179*'[1]Summary E&amp;M'!$R$94,2)</f>
        <v>105</v>
      </c>
      <c r="AE179" s="826">
        <f t="shared" si="105"/>
        <v>468.75</v>
      </c>
      <c r="AF179" s="826">
        <f t="shared" si="106"/>
        <v>84</v>
      </c>
      <c r="AG179" s="731">
        <v>2614.4</v>
      </c>
      <c r="AH179" s="732">
        <v>79.8</v>
      </c>
      <c r="AI179" s="519">
        <f t="shared" si="107"/>
        <v>0</v>
      </c>
      <c r="AJ179" s="519">
        <f t="shared" si="108"/>
        <v>0</v>
      </c>
      <c r="AK179" s="519">
        <f t="shared" si="109"/>
        <v>0</v>
      </c>
      <c r="AL179" s="520">
        <f t="shared" si="110"/>
        <v>0</v>
      </c>
      <c r="AM179" s="520">
        <f t="shared" si="111"/>
        <v>0</v>
      </c>
      <c r="AN179" s="520">
        <f t="shared" si="112"/>
        <v>0</v>
      </c>
      <c r="AO179" s="520">
        <f t="shared" si="113"/>
        <v>0</v>
      </c>
      <c r="AP179" s="719"/>
      <c r="AQ179" s="719"/>
      <c r="AR179" s="719"/>
      <c r="AS179" s="719"/>
      <c r="AT179" s="719"/>
    </row>
    <row r="180" spans="1:46" s="555" customFormat="1" ht="22.5" customHeight="1">
      <c r="A180" s="451"/>
      <c r="B180" s="531" t="s">
        <v>949</v>
      </c>
      <c r="C180" s="523"/>
      <c r="D180" s="524" t="s">
        <v>132</v>
      </c>
      <c r="E180" s="525" t="s">
        <v>684</v>
      </c>
      <c r="F180" s="1315">
        <f t="shared" si="114"/>
        <v>1</v>
      </c>
      <c r="G180" s="527">
        <f t="shared" si="115"/>
        <v>478.56</v>
      </c>
      <c r="H180" s="528">
        <f t="shared" si="116"/>
        <v>478.56</v>
      </c>
      <c r="I180" s="1069"/>
      <c r="J180" s="649"/>
      <c r="K180" s="1175">
        <v>1</v>
      </c>
      <c r="L180" s="530">
        <f t="shared" si="101"/>
        <v>157.5</v>
      </c>
      <c r="M180" s="530">
        <f t="shared" si="102"/>
        <v>157.5</v>
      </c>
      <c r="N180" s="309"/>
      <c r="O180" s="778" t="s">
        <v>132</v>
      </c>
      <c r="P180" s="777"/>
      <c r="Q180" s="777"/>
      <c r="R180" s="1096"/>
      <c r="S180" s="752">
        <v>9480000</v>
      </c>
      <c r="T180" s="792">
        <v>120</v>
      </c>
      <c r="U180" s="803">
        <v>0</v>
      </c>
      <c r="V180" s="803">
        <v>0</v>
      </c>
      <c r="W180" s="803">
        <v>0</v>
      </c>
      <c r="X180" s="858">
        <v>1</v>
      </c>
      <c r="Y180" s="310">
        <f>ROUND((R180+S180/'Summary-E'!$M$63)*X180,2)</f>
        <v>455.77</v>
      </c>
      <c r="Z180" s="858">
        <f t="shared" si="67"/>
        <v>1.05</v>
      </c>
      <c r="AA180" s="813">
        <f t="shared" si="103"/>
        <v>478.56</v>
      </c>
      <c r="AB180" s="447">
        <f t="shared" si="104"/>
        <v>0.05</v>
      </c>
      <c r="AC180" s="310">
        <f t="shared" si="100"/>
        <v>126</v>
      </c>
      <c r="AD180" s="717">
        <f>ROUND(AC180*'[1]Summary E&amp;M'!$R$94,2)</f>
        <v>157.5</v>
      </c>
      <c r="AE180" s="826">
        <f t="shared" si="105"/>
        <v>455.77</v>
      </c>
      <c r="AF180" s="826">
        <f t="shared" si="106"/>
        <v>126</v>
      </c>
      <c r="AG180" s="731">
        <v>2235.35</v>
      </c>
      <c r="AH180" s="732">
        <v>79.8</v>
      </c>
      <c r="AI180" s="519">
        <f t="shared" si="107"/>
        <v>0</v>
      </c>
      <c r="AJ180" s="519">
        <f t="shared" si="108"/>
        <v>0</v>
      </c>
      <c r="AK180" s="519">
        <f t="shared" si="109"/>
        <v>0</v>
      </c>
      <c r="AL180" s="520">
        <f t="shared" si="110"/>
        <v>0</v>
      </c>
      <c r="AM180" s="520">
        <f t="shared" si="111"/>
        <v>0</v>
      </c>
      <c r="AN180" s="520">
        <f t="shared" si="112"/>
        <v>0</v>
      </c>
      <c r="AO180" s="520">
        <f t="shared" si="113"/>
        <v>0</v>
      </c>
      <c r="AP180" s="719"/>
      <c r="AQ180" s="719"/>
      <c r="AR180" s="719"/>
      <c r="AS180" s="719"/>
      <c r="AT180" s="719"/>
    </row>
    <row r="181" spans="1:46" s="555" customFormat="1" ht="22.5" customHeight="1">
      <c r="A181" s="451"/>
      <c r="B181" s="531" t="s">
        <v>950</v>
      </c>
      <c r="C181" s="523"/>
      <c r="D181" s="524" t="s">
        <v>132</v>
      </c>
      <c r="E181" s="525" t="s">
        <v>684</v>
      </c>
      <c r="F181" s="1315">
        <f t="shared" si="114"/>
        <v>1</v>
      </c>
      <c r="G181" s="527">
        <f t="shared" si="115"/>
        <v>1353.89</v>
      </c>
      <c r="H181" s="528">
        <f t="shared" si="116"/>
        <v>1353.89</v>
      </c>
      <c r="I181" s="1069"/>
      <c r="J181" s="649"/>
      <c r="K181" s="1175">
        <v>1</v>
      </c>
      <c r="L181" s="530">
        <f t="shared" si="101"/>
        <v>105</v>
      </c>
      <c r="M181" s="530">
        <f t="shared" si="102"/>
        <v>105</v>
      </c>
      <c r="N181" s="309"/>
      <c r="O181" s="778" t="s">
        <v>132</v>
      </c>
      <c r="P181" s="777"/>
      <c r="Q181" s="777"/>
      <c r="R181" s="1096"/>
      <c r="S181" s="752">
        <v>26820000</v>
      </c>
      <c r="T181" s="792">
        <v>80</v>
      </c>
      <c r="U181" s="803">
        <v>0</v>
      </c>
      <c r="V181" s="803">
        <v>0</v>
      </c>
      <c r="W181" s="803">
        <v>0</v>
      </c>
      <c r="X181" s="858">
        <v>1</v>
      </c>
      <c r="Y181" s="310">
        <f>ROUND((R181+S181/'Summary-E'!$M$63)*X181,2)</f>
        <v>1289.42</v>
      </c>
      <c r="Z181" s="858">
        <f t="shared" si="67"/>
        <v>1.05</v>
      </c>
      <c r="AA181" s="813">
        <f t="shared" si="103"/>
        <v>1353.89</v>
      </c>
      <c r="AB181" s="447">
        <f t="shared" si="104"/>
        <v>0.05</v>
      </c>
      <c r="AC181" s="310">
        <f t="shared" si="100"/>
        <v>84</v>
      </c>
      <c r="AD181" s="717">
        <f>ROUND(AC181*'[1]Summary E&amp;M'!$R$94,2)</f>
        <v>105</v>
      </c>
      <c r="AE181" s="826">
        <f t="shared" si="105"/>
        <v>1289.42</v>
      </c>
      <c r="AF181" s="826">
        <f t="shared" si="106"/>
        <v>84</v>
      </c>
      <c r="AG181" s="731">
        <v>4249.3500000000004</v>
      </c>
      <c r="AH181" s="732">
        <v>149.63</v>
      </c>
      <c r="AI181" s="519">
        <f t="shared" si="107"/>
        <v>0</v>
      </c>
      <c r="AJ181" s="519">
        <f t="shared" si="108"/>
        <v>0</v>
      </c>
      <c r="AK181" s="519">
        <f t="shared" si="109"/>
        <v>0</v>
      </c>
      <c r="AL181" s="520">
        <f t="shared" si="110"/>
        <v>0</v>
      </c>
      <c r="AM181" s="520">
        <f t="shared" si="111"/>
        <v>0</v>
      </c>
      <c r="AN181" s="520">
        <f t="shared" si="112"/>
        <v>0</v>
      </c>
      <c r="AO181" s="520">
        <f t="shared" si="113"/>
        <v>0</v>
      </c>
      <c r="AP181" s="719"/>
      <c r="AQ181" s="719"/>
      <c r="AR181" s="719"/>
      <c r="AS181" s="719"/>
      <c r="AT181" s="719"/>
    </row>
    <row r="182" spans="1:46" s="555" customFormat="1" ht="22.5" customHeight="1">
      <c r="A182" s="451"/>
      <c r="B182" s="531" t="s">
        <v>951</v>
      </c>
      <c r="C182" s="523"/>
      <c r="D182" s="524" t="s">
        <v>132</v>
      </c>
      <c r="E182" s="525" t="s">
        <v>684</v>
      </c>
      <c r="F182" s="1315">
        <f t="shared" si="114"/>
        <v>1</v>
      </c>
      <c r="G182" s="527">
        <f t="shared" si="115"/>
        <v>464.43</v>
      </c>
      <c r="H182" s="528">
        <f t="shared" si="116"/>
        <v>464.43</v>
      </c>
      <c r="I182" s="1069"/>
      <c r="J182" s="649"/>
      <c r="K182" s="1175">
        <v>1</v>
      </c>
      <c r="L182" s="530">
        <f t="shared" si="101"/>
        <v>105</v>
      </c>
      <c r="M182" s="530">
        <f t="shared" si="102"/>
        <v>105</v>
      </c>
      <c r="N182" s="309"/>
      <c r="O182" s="778" t="s">
        <v>132</v>
      </c>
      <c r="P182" s="777"/>
      <c r="Q182" s="777"/>
      <c r="R182" s="1096"/>
      <c r="S182" s="752">
        <v>9200000</v>
      </c>
      <c r="T182" s="792">
        <v>80</v>
      </c>
      <c r="U182" s="803">
        <v>0</v>
      </c>
      <c r="V182" s="803">
        <v>0</v>
      </c>
      <c r="W182" s="803">
        <v>0</v>
      </c>
      <c r="X182" s="858">
        <v>1</v>
      </c>
      <c r="Y182" s="310">
        <f>ROUND((R182+S182/'Summary-E'!$M$63)*X182,2)</f>
        <v>442.31</v>
      </c>
      <c r="Z182" s="858">
        <f t="shared" si="67"/>
        <v>1.05</v>
      </c>
      <c r="AA182" s="813">
        <f t="shared" si="103"/>
        <v>464.43</v>
      </c>
      <c r="AB182" s="447">
        <f t="shared" si="104"/>
        <v>0.05</v>
      </c>
      <c r="AC182" s="310">
        <f t="shared" si="100"/>
        <v>84</v>
      </c>
      <c r="AD182" s="717">
        <f>ROUND(AC182*'[1]Summary E&amp;M'!$R$94,2)</f>
        <v>105</v>
      </c>
      <c r="AE182" s="826">
        <f t="shared" si="105"/>
        <v>442.31</v>
      </c>
      <c r="AF182" s="826">
        <f t="shared" si="106"/>
        <v>84</v>
      </c>
      <c r="AG182" s="731">
        <v>2660.95</v>
      </c>
      <c r="AH182" s="732">
        <v>79.8</v>
      </c>
      <c r="AI182" s="519">
        <f t="shared" si="107"/>
        <v>0</v>
      </c>
      <c r="AJ182" s="519">
        <f t="shared" si="108"/>
        <v>0</v>
      </c>
      <c r="AK182" s="519">
        <f t="shared" si="109"/>
        <v>0</v>
      </c>
      <c r="AL182" s="520">
        <f t="shared" si="110"/>
        <v>0</v>
      </c>
      <c r="AM182" s="520">
        <f t="shared" si="111"/>
        <v>0</v>
      </c>
      <c r="AN182" s="520">
        <f t="shared" si="112"/>
        <v>0</v>
      </c>
      <c r="AO182" s="520">
        <f t="shared" si="113"/>
        <v>0</v>
      </c>
      <c r="AP182" s="719"/>
      <c r="AQ182" s="719"/>
      <c r="AR182" s="719"/>
      <c r="AS182" s="719"/>
      <c r="AT182" s="719"/>
    </row>
    <row r="183" spans="1:46" s="555" customFormat="1" ht="22.5" customHeight="1">
      <c r="A183" s="451"/>
      <c r="B183" s="531" t="s">
        <v>1169</v>
      </c>
      <c r="C183" s="523"/>
      <c r="D183" s="524" t="s">
        <v>132</v>
      </c>
      <c r="E183" s="525" t="s">
        <v>684</v>
      </c>
      <c r="F183" s="1315">
        <f>K183</f>
        <v>1</v>
      </c>
      <c r="G183" s="527">
        <f>ROUNDUP(AA183,2)</f>
        <v>528.54</v>
      </c>
      <c r="H183" s="528">
        <f>ROUND(F183*G183,2)</f>
        <v>528.54</v>
      </c>
      <c r="I183" s="1069"/>
      <c r="J183" s="649"/>
      <c r="K183" s="1175">
        <v>1</v>
      </c>
      <c r="L183" s="530">
        <f>ROUND(AD183,2)</f>
        <v>105</v>
      </c>
      <c r="M183" s="530">
        <f>ROUND(L183*F183,2)</f>
        <v>105</v>
      </c>
      <c r="N183" s="309"/>
      <c r="O183" s="778" t="s">
        <v>132</v>
      </c>
      <c r="P183" s="777"/>
      <c r="Q183" s="777"/>
      <c r="R183" s="1096"/>
      <c r="S183" s="752">
        <v>10470000</v>
      </c>
      <c r="T183" s="792">
        <v>80</v>
      </c>
      <c r="U183" s="803">
        <v>0</v>
      </c>
      <c r="V183" s="803">
        <v>0</v>
      </c>
      <c r="W183" s="803">
        <v>0</v>
      </c>
      <c r="X183" s="858">
        <v>1</v>
      </c>
      <c r="Y183" s="310">
        <f>ROUND((R183+S183/'Summary-E'!$M$63)*X183,2)</f>
        <v>503.37</v>
      </c>
      <c r="Z183" s="858">
        <f t="shared" si="67"/>
        <v>1.05</v>
      </c>
      <c r="AA183" s="813">
        <f>ROUND(Y183*Z183,2)</f>
        <v>528.54</v>
      </c>
      <c r="AB183" s="447">
        <f t="shared" si="104"/>
        <v>0.05</v>
      </c>
      <c r="AC183" s="310">
        <f>ROUND((T183*(1+AB183)),2)</f>
        <v>84</v>
      </c>
      <c r="AD183" s="717">
        <f>ROUND(AC183*'[1]Summary E&amp;M'!$R$94,2)</f>
        <v>105</v>
      </c>
      <c r="AE183" s="826">
        <f t="shared" si="105"/>
        <v>503.37</v>
      </c>
      <c r="AF183" s="826">
        <f t="shared" si="106"/>
        <v>84</v>
      </c>
      <c r="AG183" s="731">
        <v>2660.95</v>
      </c>
      <c r="AH183" s="732">
        <v>79.8</v>
      </c>
      <c r="AI183" s="519">
        <f t="shared" si="107"/>
        <v>0</v>
      </c>
      <c r="AJ183" s="519">
        <f t="shared" si="108"/>
        <v>0</v>
      </c>
      <c r="AK183" s="519">
        <f t="shared" si="109"/>
        <v>0</v>
      </c>
      <c r="AL183" s="520">
        <f>ROUND(Y183*AI183+((Y183*(1+AI183))*AJ183)+((Y183*AI183+((Y183*(1+AI183))*AJ183))*AK183),2)</f>
        <v>0</v>
      </c>
      <c r="AM183" s="520">
        <f>AL183*$F183</f>
        <v>0</v>
      </c>
      <c r="AN183" s="520">
        <f>ROUND(AL183*Z183,2)</f>
        <v>0</v>
      </c>
      <c r="AO183" s="520">
        <f>AN183*$F183</f>
        <v>0</v>
      </c>
      <c r="AP183" s="719"/>
      <c r="AQ183" s="719"/>
      <c r="AR183" s="719"/>
      <c r="AS183" s="719"/>
      <c r="AT183" s="719"/>
    </row>
    <row r="184" spans="1:46" s="555" customFormat="1" ht="22.5" customHeight="1">
      <c r="A184" s="451"/>
      <c r="B184" s="531" t="s">
        <v>952</v>
      </c>
      <c r="C184" s="523" t="s">
        <v>752</v>
      </c>
      <c r="D184" s="524" t="s">
        <v>132</v>
      </c>
      <c r="E184" s="525" t="s">
        <v>684</v>
      </c>
      <c r="F184" s="1315">
        <f t="shared" si="114"/>
        <v>1</v>
      </c>
      <c r="G184" s="527">
        <f t="shared" si="115"/>
        <v>1555.31</v>
      </c>
      <c r="H184" s="528">
        <f t="shared" si="116"/>
        <v>1555.31</v>
      </c>
      <c r="I184" s="1069"/>
      <c r="J184" s="649"/>
      <c r="K184" s="1175">
        <v>1</v>
      </c>
      <c r="L184" s="530">
        <f t="shared" si="101"/>
        <v>157.5</v>
      </c>
      <c r="M184" s="530">
        <f t="shared" si="102"/>
        <v>157.5</v>
      </c>
      <c r="N184" s="309"/>
      <c r="O184" s="778" t="s">
        <v>132</v>
      </c>
      <c r="P184" s="777"/>
      <c r="Q184" s="777"/>
      <c r="R184" s="1096"/>
      <c r="S184" s="752">
        <v>30810000</v>
      </c>
      <c r="T184" s="792">
        <v>120</v>
      </c>
      <c r="U184" s="803">
        <v>0</v>
      </c>
      <c r="V184" s="803">
        <v>0</v>
      </c>
      <c r="W184" s="803">
        <v>0</v>
      </c>
      <c r="X184" s="858">
        <v>1</v>
      </c>
      <c r="Y184" s="310">
        <f>ROUND((R184+S184/'Summary-E'!$M$63)*X184,2)</f>
        <v>1481.25</v>
      </c>
      <c r="Z184" s="858">
        <f t="shared" si="67"/>
        <v>1.05</v>
      </c>
      <c r="AA184" s="813">
        <f t="shared" si="103"/>
        <v>1555.31</v>
      </c>
      <c r="AB184" s="447">
        <f t="shared" si="104"/>
        <v>0.05</v>
      </c>
      <c r="AC184" s="310">
        <f t="shared" si="100"/>
        <v>126</v>
      </c>
      <c r="AD184" s="717">
        <f>ROUND(AC184*'[1]Summary E&amp;M'!$R$94,2)</f>
        <v>157.5</v>
      </c>
      <c r="AE184" s="826">
        <f t="shared" si="105"/>
        <v>1481.25</v>
      </c>
      <c r="AF184" s="826">
        <f t="shared" si="106"/>
        <v>126</v>
      </c>
      <c r="AG184" s="731">
        <v>3271.8</v>
      </c>
      <c r="AH184" s="732">
        <v>99.75</v>
      </c>
      <c r="AI184" s="519">
        <f t="shared" si="107"/>
        <v>0</v>
      </c>
      <c r="AJ184" s="519">
        <f t="shared" si="108"/>
        <v>0</v>
      </c>
      <c r="AK184" s="519">
        <f t="shared" si="109"/>
        <v>0</v>
      </c>
      <c r="AL184" s="520">
        <f t="shared" si="110"/>
        <v>0</v>
      </c>
      <c r="AM184" s="520">
        <f t="shared" si="111"/>
        <v>0</v>
      </c>
      <c r="AN184" s="520">
        <f t="shared" si="112"/>
        <v>0</v>
      </c>
      <c r="AO184" s="520">
        <f t="shared" si="113"/>
        <v>0</v>
      </c>
      <c r="AP184" s="719"/>
      <c r="AQ184" s="719"/>
      <c r="AR184" s="719"/>
      <c r="AS184" s="719"/>
      <c r="AT184" s="719"/>
    </row>
    <row r="185" spans="1:46" s="555" customFormat="1" ht="22.5" customHeight="1">
      <c r="A185" s="451"/>
      <c r="B185" s="531" t="s">
        <v>953</v>
      </c>
      <c r="C185" s="523" t="s">
        <v>752</v>
      </c>
      <c r="D185" s="524" t="s">
        <v>132</v>
      </c>
      <c r="E185" s="525" t="s">
        <v>684</v>
      </c>
      <c r="F185" s="1315">
        <f t="shared" si="114"/>
        <v>1</v>
      </c>
      <c r="G185" s="527">
        <f>ROUNDUP(AA185,2)</f>
        <v>1768.34</v>
      </c>
      <c r="H185" s="528">
        <f t="shared" si="116"/>
        <v>1768.34</v>
      </c>
      <c r="I185" s="1069"/>
      <c r="J185" s="649"/>
      <c r="K185" s="1175">
        <v>1</v>
      </c>
      <c r="L185" s="530">
        <f t="shared" si="101"/>
        <v>157.5</v>
      </c>
      <c r="M185" s="530">
        <f t="shared" si="102"/>
        <v>157.5</v>
      </c>
      <c r="N185" s="309"/>
      <c r="O185" s="778" t="s">
        <v>132</v>
      </c>
      <c r="P185" s="777"/>
      <c r="Q185" s="777"/>
      <c r="R185" s="1096"/>
      <c r="S185" s="752">
        <v>35030000</v>
      </c>
      <c r="T185" s="792">
        <v>120</v>
      </c>
      <c r="U185" s="803">
        <v>0</v>
      </c>
      <c r="V185" s="803">
        <v>0</v>
      </c>
      <c r="W185" s="803">
        <v>0</v>
      </c>
      <c r="X185" s="858">
        <v>1</v>
      </c>
      <c r="Y185" s="310">
        <f>ROUND((R185+S185/'Summary-E'!$M$63)*X185,2)</f>
        <v>1684.13</v>
      </c>
      <c r="Z185" s="858">
        <f t="shared" si="67"/>
        <v>1.05</v>
      </c>
      <c r="AA185" s="813">
        <f t="shared" si="103"/>
        <v>1768.34</v>
      </c>
      <c r="AB185" s="447">
        <f t="shared" si="104"/>
        <v>0.05</v>
      </c>
      <c r="AC185" s="310">
        <f>ROUND((T185*(1+AB185)),2)</f>
        <v>126</v>
      </c>
      <c r="AD185" s="717">
        <f>ROUND(AC185*'[1]Summary E&amp;M'!$R$94,2)</f>
        <v>157.5</v>
      </c>
      <c r="AE185" s="826">
        <f t="shared" si="105"/>
        <v>1684.13</v>
      </c>
      <c r="AF185" s="826">
        <f t="shared" si="106"/>
        <v>126</v>
      </c>
      <c r="AG185" s="731">
        <v>3271.8</v>
      </c>
      <c r="AH185" s="732">
        <v>99.75</v>
      </c>
      <c r="AI185" s="519">
        <f t="shared" si="107"/>
        <v>0</v>
      </c>
      <c r="AJ185" s="519">
        <f t="shared" si="108"/>
        <v>0</v>
      </c>
      <c r="AK185" s="519">
        <f t="shared" si="109"/>
        <v>0</v>
      </c>
      <c r="AL185" s="520">
        <f>ROUND(Y185*AI185+((Y185*(1+AI185))*AJ185)+((Y185*AI185+((Y185*(1+AI185))*AJ185))*AK185),2)</f>
        <v>0</v>
      </c>
      <c r="AM185" s="520">
        <f>AL185*$F185</f>
        <v>0</v>
      </c>
      <c r="AN185" s="520">
        <f>ROUND(AL185*Z185,2)</f>
        <v>0</v>
      </c>
      <c r="AO185" s="520">
        <f>AN185*$F185</f>
        <v>0</v>
      </c>
      <c r="AP185" s="719"/>
      <c r="AQ185" s="719"/>
      <c r="AR185" s="719"/>
      <c r="AS185" s="719"/>
      <c r="AT185" s="719"/>
    </row>
    <row r="186" spans="1:46" s="555" customFormat="1" ht="22.5" customHeight="1">
      <c r="A186" s="451"/>
      <c r="B186" s="531" t="s">
        <v>954</v>
      </c>
      <c r="C186" s="523" t="s">
        <v>752</v>
      </c>
      <c r="D186" s="524" t="s">
        <v>132</v>
      </c>
      <c r="E186" s="525" t="s">
        <v>684</v>
      </c>
      <c r="F186" s="1315">
        <f t="shared" si="114"/>
        <v>1</v>
      </c>
      <c r="G186" s="527">
        <f>ROUNDUP(AA186,2)</f>
        <v>1605.8</v>
      </c>
      <c r="H186" s="528">
        <f t="shared" si="116"/>
        <v>1605.8</v>
      </c>
      <c r="I186" s="1069"/>
      <c r="J186" s="649"/>
      <c r="K186" s="1175">
        <v>1</v>
      </c>
      <c r="L186" s="530">
        <f t="shared" si="101"/>
        <v>157.5</v>
      </c>
      <c r="M186" s="530">
        <f t="shared" si="102"/>
        <v>157.5</v>
      </c>
      <c r="N186" s="309"/>
      <c r="O186" s="778" t="s">
        <v>132</v>
      </c>
      <c r="P186" s="777"/>
      <c r="Q186" s="777"/>
      <c r="R186" s="1096"/>
      <c r="S186" s="752">
        <v>31810000</v>
      </c>
      <c r="T186" s="792">
        <v>120</v>
      </c>
      <c r="U186" s="803">
        <v>0</v>
      </c>
      <c r="V186" s="803">
        <v>0</v>
      </c>
      <c r="W186" s="803">
        <v>0</v>
      </c>
      <c r="X186" s="858">
        <v>1</v>
      </c>
      <c r="Y186" s="310">
        <f>ROUND((R186+S186/'Summary-E'!$M$63)*X186,2)</f>
        <v>1529.33</v>
      </c>
      <c r="Z186" s="858">
        <f t="shared" si="67"/>
        <v>1.05</v>
      </c>
      <c r="AA186" s="813">
        <f t="shared" si="103"/>
        <v>1605.8</v>
      </c>
      <c r="AB186" s="447">
        <f t="shared" si="104"/>
        <v>0.05</v>
      </c>
      <c r="AC186" s="310">
        <f>ROUND((T186*(1+AB186)),2)</f>
        <v>126</v>
      </c>
      <c r="AD186" s="717">
        <f>ROUND(AC186*'[1]Summary E&amp;M'!$R$94,2)</f>
        <v>157.5</v>
      </c>
      <c r="AE186" s="826">
        <f t="shared" si="105"/>
        <v>1529.33</v>
      </c>
      <c r="AF186" s="826">
        <f t="shared" si="106"/>
        <v>126</v>
      </c>
      <c r="AG186" s="731">
        <v>3271.8</v>
      </c>
      <c r="AH186" s="732">
        <v>99.75</v>
      </c>
      <c r="AI186" s="519">
        <f t="shared" si="107"/>
        <v>0</v>
      </c>
      <c r="AJ186" s="519">
        <f t="shared" si="108"/>
        <v>0</v>
      </c>
      <c r="AK186" s="519">
        <f t="shared" si="109"/>
        <v>0</v>
      </c>
      <c r="AL186" s="520">
        <f>ROUND(Y186*AI186+((Y186*(1+AI186))*AJ186)+((Y186*AI186+((Y186*(1+AI186))*AJ186))*AK186),2)</f>
        <v>0</v>
      </c>
      <c r="AM186" s="520">
        <f>AL186*$F186</f>
        <v>0</v>
      </c>
      <c r="AN186" s="520">
        <f>ROUND(AL186*Z186,2)</f>
        <v>0</v>
      </c>
      <c r="AO186" s="520">
        <f>AN186*$F186</f>
        <v>0</v>
      </c>
      <c r="AP186" s="719"/>
      <c r="AQ186" s="719"/>
      <c r="AR186" s="719"/>
      <c r="AS186" s="719"/>
      <c r="AT186" s="719"/>
    </row>
    <row r="187" spans="1:46" s="555" customFormat="1" ht="22.5" customHeight="1">
      <c r="A187" s="451"/>
      <c r="B187" s="531" t="s">
        <v>955</v>
      </c>
      <c r="C187" s="523" t="s">
        <v>752</v>
      </c>
      <c r="D187" s="524" t="s">
        <v>132</v>
      </c>
      <c r="E187" s="525" t="s">
        <v>684</v>
      </c>
      <c r="F187" s="1315">
        <f t="shared" si="114"/>
        <v>1</v>
      </c>
      <c r="G187" s="527">
        <f>ROUNDUP(AA187,2)</f>
        <v>1535.63</v>
      </c>
      <c r="H187" s="528">
        <f t="shared" si="116"/>
        <v>1535.63</v>
      </c>
      <c r="I187" s="1069"/>
      <c r="J187" s="649"/>
      <c r="K187" s="1175">
        <v>1</v>
      </c>
      <c r="L187" s="530">
        <f t="shared" si="101"/>
        <v>157.5</v>
      </c>
      <c r="M187" s="530">
        <f t="shared" si="102"/>
        <v>157.5</v>
      </c>
      <c r="N187" s="309"/>
      <c r="O187" s="778" t="s">
        <v>132</v>
      </c>
      <c r="P187" s="777"/>
      <c r="Q187" s="777"/>
      <c r="R187" s="1096"/>
      <c r="S187" s="752">
        <v>30420000</v>
      </c>
      <c r="T187" s="792">
        <v>120</v>
      </c>
      <c r="U187" s="803">
        <v>0</v>
      </c>
      <c r="V187" s="803">
        <v>0</v>
      </c>
      <c r="W187" s="803">
        <v>0</v>
      </c>
      <c r="X187" s="858">
        <v>1</v>
      </c>
      <c r="Y187" s="310">
        <f>ROUND((R187+S187/'Summary-E'!$M$63)*X187,2)</f>
        <v>1462.5</v>
      </c>
      <c r="Z187" s="858">
        <f t="shared" si="67"/>
        <v>1.05</v>
      </c>
      <c r="AA187" s="813">
        <f t="shared" si="103"/>
        <v>1535.63</v>
      </c>
      <c r="AB187" s="447">
        <f t="shared" si="104"/>
        <v>0.05</v>
      </c>
      <c r="AC187" s="310">
        <f>ROUND((T187*(1+AB187)),2)</f>
        <v>126</v>
      </c>
      <c r="AD187" s="717">
        <f>ROUND(AC187*'[1]Summary E&amp;M'!$R$94,2)</f>
        <v>157.5</v>
      </c>
      <c r="AE187" s="826">
        <f t="shared" si="105"/>
        <v>1462.5</v>
      </c>
      <c r="AF187" s="826">
        <f t="shared" si="106"/>
        <v>126</v>
      </c>
      <c r="AG187" s="731">
        <v>3271.8</v>
      </c>
      <c r="AH187" s="732">
        <v>99.75</v>
      </c>
      <c r="AI187" s="519">
        <f t="shared" si="107"/>
        <v>0</v>
      </c>
      <c r="AJ187" s="519">
        <f t="shared" si="108"/>
        <v>0</v>
      </c>
      <c r="AK187" s="519">
        <f t="shared" si="109"/>
        <v>0</v>
      </c>
      <c r="AL187" s="520">
        <f>ROUND(Y187*AI187+((Y187*(1+AI187))*AJ187)+((Y187*AI187+((Y187*(1+AI187))*AJ187))*AK187),2)</f>
        <v>0</v>
      </c>
      <c r="AM187" s="520">
        <f>AL187*$F187</f>
        <v>0</v>
      </c>
      <c r="AN187" s="520">
        <f>ROUND(AL187*Z187,2)</f>
        <v>0</v>
      </c>
      <c r="AO187" s="520">
        <f>AN187*$F187</f>
        <v>0</v>
      </c>
      <c r="AP187" s="719"/>
      <c r="AQ187" s="719"/>
      <c r="AR187" s="719"/>
      <c r="AS187" s="719"/>
      <c r="AT187" s="719"/>
    </row>
    <row r="188" spans="1:46" s="555" customFormat="1" ht="22.5" customHeight="1">
      <c r="A188" s="451"/>
      <c r="B188" s="531" t="s">
        <v>956</v>
      </c>
      <c r="C188" s="523" t="s">
        <v>752</v>
      </c>
      <c r="D188" s="524" t="s">
        <v>132</v>
      </c>
      <c r="E188" s="525" t="s">
        <v>684</v>
      </c>
      <c r="F188" s="1315">
        <f t="shared" si="114"/>
        <v>1</v>
      </c>
      <c r="G188" s="527">
        <f>ROUNDUP(AA188,2)</f>
        <v>1668.89</v>
      </c>
      <c r="H188" s="528">
        <f t="shared" si="116"/>
        <v>1668.89</v>
      </c>
      <c r="I188" s="1069"/>
      <c r="J188" s="649"/>
      <c r="K188" s="1175">
        <v>1</v>
      </c>
      <c r="L188" s="530">
        <f t="shared" si="101"/>
        <v>157.5</v>
      </c>
      <c r="M188" s="530">
        <f t="shared" si="102"/>
        <v>157.5</v>
      </c>
      <c r="N188" s="309"/>
      <c r="O188" s="778" t="s">
        <v>132</v>
      </c>
      <c r="P188" s="777"/>
      <c r="Q188" s="777"/>
      <c r="R188" s="1096"/>
      <c r="S188" s="752">
        <v>33060000</v>
      </c>
      <c r="T188" s="792">
        <v>120</v>
      </c>
      <c r="U188" s="803">
        <v>0</v>
      </c>
      <c r="V188" s="803">
        <v>0</v>
      </c>
      <c r="W188" s="803">
        <v>0</v>
      </c>
      <c r="X188" s="858">
        <v>1</v>
      </c>
      <c r="Y188" s="310">
        <f>ROUND((R188+S188/'Summary-E'!$M$63)*X188,2)</f>
        <v>1589.42</v>
      </c>
      <c r="Z188" s="858">
        <f t="shared" si="67"/>
        <v>1.05</v>
      </c>
      <c r="AA188" s="813">
        <f t="shared" si="103"/>
        <v>1668.89</v>
      </c>
      <c r="AB188" s="447">
        <f t="shared" si="104"/>
        <v>0.05</v>
      </c>
      <c r="AC188" s="310">
        <f>ROUND((T188*(1+AB188)),2)</f>
        <v>126</v>
      </c>
      <c r="AD188" s="717">
        <f>ROUND(AC188*'[1]Summary E&amp;M'!$R$94,2)</f>
        <v>157.5</v>
      </c>
      <c r="AE188" s="826">
        <f t="shared" si="105"/>
        <v>1589.42</v>
      </c>
      <c r="AF188" s="826">
        <f t="shared" si="106"/>
        <v>126</v>
      </c>
      <c r="AG188" s="731">
        <v>3271.8</v>
      </c>
      <c r="AH188" s="732">
        <v>99.75</v>
      </c>
      <c r="AI188" s="519">
        <f t="shared" si="107"/>
        <v>0</v>
      </c>
      <c r="AJ188" s="519">
        <f t="shared" si="108"/>
        <v>0</v>
      </c>
      <c r="AK188" s="519">
        <f t="shared" si="109"/>
        <v>0</v>
      </c>
      <c r="AL188" s="520">
        <f>ROUND(Y188*AI188+((Y188*(1+AI188))*AJ188)+((Y188*AI188+((Y188*(1+AI188))*AJ188))*AK188),2)</f>
        <v>0</v>
      </c>
      <c r="AM188" s="520">
        <f>AL188*$F188</f>
        <v>0</v>
      </c>
      <c r="AN188" s="520">
        <f>ROUND(AL188*Z188,2)</f>
        <v>0</v>
      </c>
      <c r="AO188" s="520">
        <f>AN188*$F188</f>
        <v>0</v>
      </c>
      <c r="AP188" s="719"/>
      <c r="AQ188" s="719"/>
      <c r="AR188" s="719"/>
      <c r="AS188" s="719"/>
      <c r="AT188" s="719"/>
    </row>
    <row r="189" spans="1:46" s="555" customFormat="1" ht="22.5" customHeight="1">
      <c r="A189" s="451"/>
      <c r="B189" s="531" t="s">
        <v>958</v>
      </c>
      <c r="C189" s="523"/>
      <c r="D189" s="524" t="s">
        <v>132</v>
      </c>
      <c r="E189" s="525" t="s">
        <v>684</v>
      </c>
      <c r="F189" s="1315">
        <f t="shared" si="114"/>
        <v>1</v>
      </c>
      <c r="G189" s="527">
        <f t="shared" si="115"/>
        <v>1416.49</v>
      </c>
      <c r="H189" s="528">
        <f t="shared" si="116"/>
        <v>1416.49</v>
      </c>
      <c r="I189" s="1069"/>
      <c r="J189" s="649"/>
      <c r="K189" s="1175">
        <v>1</v>
      </c>
      <c r="L189" s="530">
        <f t="shared" si="101"/>
        <v>157.5</v>
      </c>
      <c r="M189" s="530">
        <f t="shared" si="102"/>
        <v>157.5</v>
      </c>
      <c r="N189" s="309"/>
      <c r="O189" s="778" t="s">
        <v>132</v>
      </c>
      <c r="P189" s="777"/>
      <c r="Q189" s="777"/>
      <c r="R189" s="1096"/>
      <c r="S189" s="752">
        <v>28060000</v>
      </c>
      <c r="T189" s="792">
        <v>120</v>
      </c>
      <c r="U189" s="803">
        <v>0</v>
      </c>
      <c r="V189" s="803">
        <v>0</v>
      </c>
      <c r="W189" s="803">
        <v>0</v>
      </c>
      <c r="X189" s="858">
        <v>1</v>
      </c>
      <c r="Y189" s="310">
        <f>ROUND((R189+S189/'Summary-E'!$M$63)*X189,2)</f>
        <v>1349.04</v>
      </c>
      <c r="Z189" s="858">
        <f t="shared" si="67"/>
        <v>1.05</v>
      </c>
      <c r="AA189" s="813">
        <f t="shared" si="103"/>
        <v>1416.49</v>
      </c>
      <c r="AB189" s="447">
        <f t="shared" si="104"/>
        <v>0.05</v>
      </c>
      <c r="AC189" s="310">
        <f t="shared" si="100"/>
        <v>126</v>
      </c>
      <c r="AD189" s="717">
        <f>ROUND(AC189*'[1]Summary E&amp;M'!$R$94,2)</f>
        <v>157.5</v>
      </c>
      <c r="AE189" s="826">
        <f t="shared" si="105"/>
        <v>1349.04</v>
      </c>
      <c r="AF189" s="826">
        <f t="shared" si="106"/>
        <v>126</v>
      </c>
      <c r="AG189" s="731">
        <v>3271.8</v>
      </c>
      <c r="AH189" s="732">
        <v>99.75</v>
      </c>
      <c r="AI189" s="519">
        <f t="shared" si="107"/>
        <v>0</v>
      </c>
      <c r="AJ189" s="519">
        <f t="shared" si="108"/>
        <v>0</v>
      </c>
      <c r="AK189" s="519">
        <f t="shared" si="109"/>
        <v>0</v>
      </c>
      <c r="AL189" s="520">
        <f t="shared" si="110"/>
        <v>0</v>
      </c>
      <c r="AM189" s="520">
        <f t="shared" si="111"/>
        <v>0</v>
      </c>
      <c r="AN189" s="520">
        <f t="shared" si="112"/>
        <v>0</v>
      </c>
      <c r="AO189" s="520">
        <f t="shared" si="113"/>
        <v>0</v>
      </c>
      <c r="AP189" s="719"/>
      <c r="AQ189" s="719"/>
      <c r="AR189" s="719"/>
      <c r="AS189" s="719"/>
      <c r="AT189" s="719"/>
    </row>
    <row r="190" spans="1:46" s="555" customFormat="1" ht="22.5" customHeight="1">
      <c r="A190" s="451"/>
      <c r="B190" s="531" t="s">
        <v>969</v>
      </c>
      <c r="C190" s="523"/>
      <c r="D190" s="524" t="s">
        <v>132</v>
      </c>
      <c r="E190" s="525" t="s">
        <v>684</v>
      </c>
      <c r="F190" s="1315">
        <f>K190</f>
        <v>1</v>
      </c>
      <c r="G190" s="527">
        <f t="shared" si="115"/>
        <v>1039.5</v>
      </c>
      <c r="H190" s="528">
        <f>ROUND(F190*G190,2)</f>
        <v>1039.5</v>
      </c>
      <c r="I190" s="529"/>
      <c r="J190" s="309"/>
      <c r="K190" s="1175">
        <v>1</v>
      </c>
      <c r="L190" s="530">
        <f t="shared" si="101"/>
        <v>105</v>
      </c>
      <c r="M190" s="530">
        <f t="shared" si="102"/>
        <v>105</v>
      </c>
      <c r="N190" s="309"/>
      <c r="O190" s="778" t="s">
        <v>132</v>
      </c>
      <c r="P190" s="777"/>
      <c r="Q190" s="777"/>
      <c r="R190" s="1096">
        <f>0.9*1100</f>
        <v>990</v>
      </c>
      <c r="S190" s="752"/>
      <c r="T190" s="792">
        <v>80</v>
      </c>
      <c r="U190" s="803">
        <v>0</v>
      </c>
      <c r="V190" s="803">
        <v>0</v>
      </c>
      <c r="W190" s="803">
        <v>0</v>
      </c>
      <c r="X190" s="858">
        <v>1</v>
      </c>
      <c r="Y190" s="310">
        <f>ROUND((R190+S190/'Summary-E'!$M$63)*X190,2)</f>
        <v>990</v>
      </c>
      <c r="Z190" s="858">
        <f t="shared" si="67"/>
        <v>1.05</v>
      </c>
      <c r="AA190" s="813">
        <f t="shared" si="103"/>
        <v>1039.5</v>
      </c>
      <c r="AB190" s="447">
        <f t="shared" si="104"/>
        <v>0.05</v>
      </c>
      <c r="AC190" s="310">
        <f t="shared" si="100"/>
        <v>84</v>
      </c>
      <c r="AD190" s="717">
        <f>ROUND(AC190*'[1]Summary E&amp;M'!$R$94,2)</f>
        <v>105</v>
      </c>
      <c r="AE190" s="826">
        <f t="shared" si="105"/>
        <v>990</v>
      </c>
      <c r="AF190" s="826">
        <f t="shared" si="106"/>
        <v>84</v>
      </c>
      <c r="AG190" s="731">
        <v>3271.8</v>
      </c>
      <c r="AH190" s="732">
        <v>99.75</v>
      </c>
      <c r="AI190" s="519">
        <f t="shared" si="107"/>
        <v>0</v>
      </c>
      <c r="AJ190" s="519">
        <f t="shared" si="108"/>
        <v>0</v>
      </c>
      <c r="AK190" s="519">
        <f t="shared" si="109"/>
        <v>0</v>
      </c>
      <c r="AL190" s="520">
        <f t="shared" si="110"/>
        <v>0</v>
      </c>
      <c r="AM190" s="520">
        <f t="shared" si="111"/>
        <v>0</v>
      </c>
      <c r="AN190" s="520">
        <f t="shared" si="112"/>
        <v>0</v>
      </c>
      <c r="AO190" s="520">
        <f t="shared" si="113"/>
        <v>0</v>
      </c>
      <c r="AP190" s="719"/>
      <c r="AQ190" s="719"/>
      <c r="AR190" s="719"/>
      <c r="AS190" s="719"/>
      <c r="AT190" s="719"/>
    </row>
    <row r="191" spans="1:46" s="555" customFormat="1" ht="22.5" customHeight="1">
      <c r="A191" s="451"/>
      <c r="B191" s="531" t="s">
        <v>672</v>
      </c>
      <c r="C191" s="523"/>
      <c r="D191" s="524" t="s">
        <v>139</v>
      </c>
      <c r="E191" s="525" t="s">
        <v>322</v>
      </c>
      <c r="F191" s="1315">
        <f t="shared" si="114"/>
        <v>1</v>
      </c>
      <c r="G191" s="527">
        <f t="shared" si="115"/>
        <v>1098.83</v>
      </c>
      <c r="H191" s="528">
        <f t="shared" si="116"/>
        <v>1098.83</v>
      </c>
      <c r="I191" s="529"/>
      <c r="J191" s="309"/>
      <c r="K191" s="1175">
        <v>1</v>
      </c>
      <c r="L191" s="530">
        <f t="shared" si="101"/>
        <v>283.2</v>
      </c>
      <c r="M191" s="530">
        <f t="shared" si="102"/>
        <v>283.2</v>
      </c>
      <c r="N191" s="309"/>
      <c r="O191" s="778" t="s">
        <v>130</v>
      </c>
      <c r="P191" s="777">
        <v>0.03</v>
      </c>
      <c r="Q191" s="777"/>
      <c r="R191" s="751">
        <f>ROUND(SUM(AG178:AG189)*P191,2)</f>
        <v>1078.8699999999999</v>
      </c>
      <c r="S191" s="752"/>
      <c r="T191" s="792">
        <f>R191*0.2</f>
        <v>215.774</v>
      </c>
      <c r="U191" s="803">
        <v>0</v>
      </c>
      <c r="V191" s="803">
        <v>0</v>
      </c>
      <c r="W191" s="803">
        <v>0</v>
      </c>
      <c r="X191" s="858">
        <f>SUMIF('Summary-E'!O$4:O$50,D191,'Summary-E'!Q$4:Q$50)</f>
        <v>0.97</v>
      </c>
      <c r="Y191" s="310">
        <f>ROUND((R191+S191/'Summary-E'!$M$63)*X191,2)</f>
        <v>1046.5</v>
      </c>
      <c r="Z191" s="858">
        <f t="shared" si="67"/>
        <v>1.05</v>
      </c>
      <c r="AA191" s="813">
        <f t="shared" si="103"/>
        <v>1098.83</v>
      </c>
      <c r="AB191" s="447">
        <f t="shared" si="104"/>
        <v>0.05</v>
      </c>
      <c r="AC191" s="310">
        <f t="shared" si="100"/>
        <v>226.56</v>
      </c>
      <c r="AD191" s="717">
        <f>ROUND(AC191*'[1]Summary E&amp;M'!$R$94,2)</f>
        <v>283.2</v>
      </c>
      <c r="AE191" s="826">
        <f t="shared" si="105"/>
        <v>1046.5</v>
      </c>
      <c r="AF191" s="826">
        <f t="shared" si="106"/>
        <v>226.56</v>
      </c>
      <c r="AG191" s="731"/>
      <c r="AH191" s="732"/>
      <c r="AI191" s="519">
        <f t="shared" si="107"/>
        <v>0</v>
      </c>
      <c r="AJ191" s="519">
        <f t="shared" si="108"/>
        <v>0</v>
      </c>
      <c r="AK191" s="519">
        <f t="shared" si="109"/>
        <v>0</v>
      </c>
      <c r="AL191" s="520">
        <f t="shared" si="110"/>
        <v>0</v>
      </c>
      <c r="AM191" s="520">
        <f t="shared" si="111"/>
        <v>0</v>
      </c>
      <c r="AN191" s="520">
        <f t="shared" si="112"/>
        <v>0</v>
      </c>
      <c r="AO191" s="520">
        <f t="shared" si="113"/>
        <v>0</v>
      </c>
      <c r="AP191" s="719"/>
      <c r="AQ191" s="719"/>
      <c r="AR191" s="719"/>
      <c r="AS191" s="719"/>
      <c r="AT191" s="719"/>
    </row>
    <row r="192" spans="1:46" s="555" customFormat="1" ht="22.5" customHeight="1">
      <c r="A192" s="451"/>
      <c r="B192" s="531" t="s">
        <v>1058</v>
      </c>
      <c r="C192" s="1118" t="s">
        <v>1182</v>
      </c>
      <c r="D192" s="1239" t="s">
        <v>1125</v>
      </c>
      <c r="E192" s="525" t="s">
        <v>321</v>
      </c>
      <c r="F192" s="1314">
        <f>ROUND(K192*'Summary-E'!$K$60,0)</f>
        <v>38</v>
      </c>
      <c r="G192" s="527">
        <f t="shared" si="115"/>
        <v>1.92</v>
      </c>
      <c r="H192" s="528">
        <f t="shared" si="116"/>
        <v>72.959999999999994</v>
      </c>
      <c r="I192" s="529"/>
      <c r="J192" s="309"/>
      <c r="K192" s="1175">
        <v>36</v>
      </c>
      <c r="L192" s="530">
        <f t="shared" si="101"/>
        <v>3.94</v>
      </c>
      <c r="M192" s="530">
        <f t="shared" si="102"/>
        <v>149.72</v>
      </c>
      <c r="N192" s="309"/>
      <c r="O192" s="778">
        <v>131</v>
      </c>
      <c r="P192" s="777"/>
      <c r="Q192" s="777"/>
      <c r="R192" s="751"/>
      <c r="S192" s="1098">
        <f>33840+4230</f>
        <v>38070</v>
      </c>
      <c r="T192" s="1123">
        <v>3</v>
      </c>
      <c r="U192" s="803">
        <v>0</v>
      </c>
      <c r="V192" s="803">
        <v>0</v>
      </c>
      <c r="W192" s="803">
        <v>0</v>
      </c>
      <c r="X192" s="858">
        <v>1</v>
      </c>
      <c r="Y192" s="310">
        <f>ROUND((R192+S192/'Summary-E'!$M$63)*X192,2)</f>
        <v>1.83</v>
      </c>
      <c r="Z192" s="858">
        <f t="shared" si="67"/>
        <v>1.05</v>
      </c>
      <c r="AA192" s="813">
        <f t="shared" si="103"/>
        <v>1.92</v>
      </c>
      <c r="AB192" s="447">
        <f t="shared" si="104"/>
        <v>0.05</v>
      </c>
      <c r="AC192" s="310">
        <f t="shared" si="100"/>
        <v>3.15</v>
      </c>
      <c r="AD192" s="717">
        <f>ROUND(AC192*'[1]Summary E&amp;M'!$R$94,2)</f>
        <v>3.94</v>
      </c>
      <c r="AE192" s="826">
        <f t="shared" si="105"/>
        <v>65.88</v>
      </c>
      <c r="AF192" s="826">
        <f t="shared" si="106"/>
        <v>113.4</v>
      </c>
      <c r="AG192" s="731"/>
      <c r="AH192" s="732"/>
      <c r="AI192" s="519">
        <f t="shared" si="107"/>
        <v>0</v>
      </c>
      <c r="AJ192" s="519">
        <f t="shared" si="108"/>
        <v>0</v>
      </c>
      <c r="AK192" s="519">
        <f t="shared" si="109"/>
        <v>0</v>
      </c>
      <c r="AL192" s="520">
        <f t="shared" si="110"/>
        <v>0</v>
      </c>
      <c r="AM192" s="520">
        <f t="shared" si="111"/>
        <v>0</v>
      </c>
      <c r="AN192" s="520">
        <f t="shared" si="112"/>
        <v>0</v>
      </c>
      <c r="AO192" s="520">
        <f t="shared" si="113"/>
        <v>0</v>
      </c>
      <c r="AP192" s="719"/>
      <c r="AQ192" s="719"/>
      <c r="AR192" s="719"/>
      <c r="AS192" s="719"/>
      <c r="AT192" s="719"/>
    </row>
    <row r="193" spans="1:46" s="555" customFormat="1" ht="22.5" customHeight="1">
      <c r="A193" s="451"/>
      <c r="B193" s="531" t="s">
        <v>1059</v>
      </c>
      <c r="C193" s="1118" t="s">
        <v>1182</v>
      </c>
      <c r="D193" s="1239" t="s">
        <v>1125</v>
      </c>
      <c r="E193" s="525" t="s">
        <v>321</v>
      </c>
      <c r="F193" s="1314">
        <f>ROUND(K193*'Summary-E'!$K$60,0)</f>
        <v>69</v>
      </c>
      <c r="G193" s="527">
        <f t="shared" si="115"/>
        <v>1.92</v>
      </c>
      <c r="H193" s="528">
        <f t="shared" si="116"/>
        <v>132.47999999999999</v>
      </c>
      <c r="I193" s="529"/>
      <c r="J193" s="309"/>
      <c r="K193" s="1175">
        <v>66</v>
      </c>
      <c r="L193" s="530">
        <f t="shared" si="101"/>
        <v>3.94</v>
      </c>
      <c r="M193" s="530">
        <f t="shared" si="102"/>
        <v>271.86</v>
      </c>
      <c r="N193" s="309"/>
      <c r="O193" s="778">
        <v>131</v>
      </c>
      <c r="P193" s="777"/>
      <c r="Q193" s="777"/>
      <c r="R193" s="751"/>
      <c r="S193" s="1098">
        <f>33840+4230</f>
        <v>38070</v>
      </c>
      <c r="T193" s="1123">
        <v>3</v>
      </c>
      <c r="U193" s="803">
        <v>0</v>
      </c>
      <c r="V193" s="803">
        <v>0</v>
      </c>
      <c r="W193" s="803">
        <v>0</v>
      </c>
      <c r="X193" s="858">
        <v>1</v>
      </c>
      <c r="Y193" s="310">
        <f>ROUND((R193+S193/'Summary-E'!$M$63)*X193,2)</f>
        <v>1.83</v>
      </c>
      <c r="Z193" s="858">
        <f t="shared" ref="Z193:Z256" si="117">$Z$4</f>
        <v>1.05</v>
      </c>
      <c r="AA193" s="813">
        <f t="shared" si="103"/>
        <v>1.92</v>
      </c>
      <c r="AB193" s="447">
        <f t="shared" si="104"/>
        <v>0.05</v>
      </c>
      <c r="AC193" s="310">
        <f t="shared" si="100"/>
        <v>3.15</v>
      </c>
      <c r="AD193" s="717">
        <f>ROUND(AC193*'[1]Summary E&amp;M'!$R$94,2)</f>
        <v>3.94</v>
      </c>
      <c r="AE193" s="826">
        <f t="shared" si="105"/>
        <v>120.78</v>
      </c>
      <c r="AF193" s="826">
        <f t="shared" si="106"/>
        <v>207.9</v>
      </c>
      <c r="AG193" s="731"/>
      <c r="AH193" s="732"/>
      <c r="AI193" s="519">
        <f t="shared" si="107"/>
        <v>0</v>
      </c>
      <c r="AJ193" s="519">
        <f t="shared" si="108"/>
        <v>0</v>
      </c>
      <c r="AK193" s="519">
        <f t="shared" si="109"/>
        <v>0</v>
      </c>
      <c r="AL193" s="520">
        <f t="shared" si="110"/>
        <v>0</v>
      </c>
      <c r="AM193" s="520">
        <f t="shared" si="111"/>
        <v>0</v>
      </c>
      <c r="AN193" s="520">
        <f t="shared" si="112"/>
        <v>0</v>
      </c>
      <c r="AO193" s="520">
        <f t="shared" si="113"/>
        <v>0</v>
      </c>
      <c r="AP193" s="719"/>
      <c r="AQ193" s="719"/>
      <c r="AR193" s="719"/>
      <c r="AS193" s="719"/>
      <c r="AT193" s="719"/>
    </row>
    <row r="194" spans="1:46" s="555" customFormat="1" ht="22.5" customHeight="1">
      <c r="A194" s="451"/>
      <c r="B194" s="531" t="s">
        <v>1060</v>
      </c>
      <c r="C194" s="523" t="s">
        <v>1177</v>
      </c>
      <c r="D194" s="1239" t="s">
        <v>1125</v>
      </c>
      <c r="E194" s="525" t="s">
        <v>321</v>
      </c>
      <c r="F194" s="1314">
        <f>ROUND(K194*'Summary-E'!$K$60,0)</f>
        <v>135</v>
      </c>
      <c r="G194" s="527">
        <f t="shared" si="115"/>
        <v>3.22</v>
      </c>
      <c r="H194" s="528">
        <f t="shared" si="116"/>
        <v>434.7</v>
      </c>
      <c r="I194" s="529"/>
      <c r="J194" s="309"/>
      <c r="K194" s="1175">
        <v>129</v>
      </c>
      <c r="L194" s="530">
        <f t="shared" si="101"/>
        <v>3.94</v>
      </c>
      <c r="M194" s="530">
        <f t="shared" si="102"/>
        <v>531.9</v>
      </c>
      <c r="N194" s="309"/>
      <c r="O194" s="778">
        <v>131</v>
      </c>
      <c r="P194" s="777"/>
      <c r="Q194" s="777"/>
      <c r="R194" s="751"/>
      <c r="S194" s="1122">
        <f>57170+6660</f>
        <v>63830</v>
      </c>
      <c r="T194" s="1123">
        <v>3</v>
      </c>
      <c r="U194" s="803">
        <v>0</v>
      </c>
      <c r="V194" s="803">
        <v>0</v>
      </c>
      <c r="W194" s="803">
        <v>0</v>
      </c>
      <c r="X194" s="858">
        <v>1</v>
      </c>
      <c r="Y194" s="310">
        <f>ROUND((R194+S194/'Summary-E'!$M$63)*X194,2)</f>
        <v>3.07</v>
      </c>
      <c r="Z194" s="858">
        <f t="shared" si="117"/>
        <v>1.05</v>
      </c>
      <c r="AA194" s="813">
        <f t="shared" si="103"/>
        <v>3.22</v>
      </c>
      <c r="AB194" s="447">
        <f t="shared" si="104"/>
        <v>0.05</v>
      </c>
      <c r="AC194" s="310">
        <f t="shared" si="100"/>
        <v>3.15</v>
      </c>
      <c r="AD194" s="717">
        <f>ROUND(AC194*'[1]Summary E&amp;M'!$R$94,2)</f>
        <v>3.94</v>
      </c>
      <c r="AE194" s="826">
        <f t="shared" si="105"/>
        <v>396.03</v>
      </c>
      <c r="AF194" s="826">
        <f t="shared" si="106"/>
        <v>406.35</v>
      </c>
      <c r="AG194" s="731"/>
      <c r="AH194" s="732"/>
      <c r="AI194" s="519">
        <f t="shared" si="107"/>
        <v>0</v>
      </c>
      <c r="AJ194" s="519">
        <f t="shared" si="108"/>
        <v>0</v>
      </c>
      <c r="AK194" s="519">
        <f t="shared" si="109"/>
        <v>0</v>
      </c>
      <c r="AL194" s="520">
        <f t="shared" si="110"/>
        <v>0</v>
      </c>
      <c r="AM194" s="520">
        <f t="shared" si="111"/>
        <v>0</v>
      </c>
      <c r="AN194" s="520">
        <f t="shared" si="112"/>
        <v>0</v>
      </c>
      <c r="AO194" s="520">
        <f t="shared" si="113"/>
        <v>0</v>
      </c>
      <c r="AP194" s="719"/>
      <c r="AQ194" s="719"/>
      <c r="AR194" s="719"/>
      <c r="AS194" s="719"/>
      <c r="AT194" s="719"/>
    </row>
    <row r="195" spans="1:46" s="555" customFormat="1" ht="22.5" customHeight="1">
      <c r="A195" s="451"/>
      <c r="B195" s="531" t="s">
        <v>1061</v>
      </c>
      <c r="C195" s="1118" t="s">
        <v>1183</v>
      </c>
      <c r="D195" s="1239" t="s">
        <v>197</v>
      </c>
      <c r="E195" s="525" t="s">
        <v>321</v>
      </c>
      <c r="F195" s="1314">
        <f>ROUND(K195*'Summary-E'!$K$60,0)</f>
        <v>100</v>
      </c>
      <c r="G195" s="527">
        <f t="shared" si="115"/>
        <v>2.42</v>
      </c>
      <c r="H195" s="528">
        <f t="shared" si="116"/>
        <v>242</v>
      </c>
      <c r="I195" s="529"/>
      <c r="J195" s="309"/>
      <c r="K195" s="1175">
        <v>95</v>
      </c>
      <c r="L195" s="530">
        <f t="shared" si="101"/>
        <v>3.94</v>
      </c>
      <c r="M195" s="530">
        <f t="shared" si="102"/>
        <v>394</v>
      </c>
      <c r="N195" s="309"/>
      <c r="O195" s="778">
        <v>131</v>
      </c>
      <c r="P195" s="777"/>
      <c r="Q195" s="777"/>
      <c r="R195" s="751"/>
      <c r="S195" s="1122">
        <f>43630+4230</f>
        <v>47860</v>
      </c>
      <c r="T195" s="1123">
        <v>3</v>
      </c>
      <c r="U195" s="803">
        <v>0</v>
      </c>
      <c r="V195" s="803">
        <v>0</v>
      </c>
      <c r="W195" s="803">
        <v>0</v>
      </c>
      <c r="X195" s="858">
        <v>1</v>
      </c>
      <c r="Y195" s="310">
        <f>ROUND((R195+S195/'Summary-E'!$M$63)*X195,2)</f>
        <v>2.2999999999999998</v>
      </c>
      <c r="Z195" s="858">
        <f t="shared" si="117"/>
        <v>1.05</v>
      </c>
      <c r="AA195" s="813">
        <f t="shared" si="103"/>
        <v>2.42</v>
      </c>
      <c r="AB195" s="447">
        <f t="shared" si="104"/>
        <v>0.05</v>
      </c>
      <c r="AC195" s="310">
        <f t="shared" si="100"/>
        <v>3.15</v>
      </c>
      <c r="AD195" s="717">
        <f>ROUND(AC195*'[1]Summary E&amp;M'!$R$94,2)</f>
        <v>3.94</v>
      </c>
      <c r="AE195" s="826">
        <f t="shared" si="105"/>
        <v>218.5</v>
      </c>
      <c r="AF195" s="826">
        <f t="shared" si="106"/>
        <v>299.25</v>
      </c>
      <c r="AG195" s="731"/>
      <c r="AH195" s="732"/>
      <c r="AI195" s="519">
        <f t="shared" si="107"/>
        <v>0</v>
      </c>
      <c r="AJ195" s="519">
        <f t="shared" si="108"/>
        <v>0</v>
      </c>
      <c r="AK195" s="519">
        <f t="shared" si="109"/>
        <v>0</v>
      </c>
      <c r="AL195" s="520">
        <f t="shared" si="110"/>
        <v>0</v>
      </c>
      <c r="AM195" s="520">
        <f t="shared" si="111"/>
        <v>0</v>
      </c>
      <c r="AN195" s="520">
        <f t="shared" si="112"/>
        <v>0</v>
      </c>
      <c r="AO195" s="520">
        <f t="shared" si="113"/>
        <v>0</v>
      </c>
      <c r="AP195" s="719"/>
      <c r="AQ195" s="719"/>
      <c r="AR195" s="719"/>
      <c r="AS195" s="719"/>
      <c r="AT195" s="719"/>
    </row>
    <row r="196" spans="1:46" s="555" customFormat="1" ht="22.5" customHeight="1">
      <c r="A196" s="451"/>
      <c r="B196" s="531" t="s">
        <v>1062</v>
      </c>
      <c r="C196" s="1118" t="s">
        <v>1182</v>
      </c>
      <c r="D196" s="1239" t="s">
        <v>197</v>
      </c>
      <c r="E196" s="525" t="s">
        <v>321</v>
      </c>
      <c r="F196" s="1314">
        <f>ROUND(K196*'Summary-E'!$K$60,0)</f>
        <v>100</v>
      </c>
      <c r="G196" s="527">
        <f t="shared" si="115"/>
        <v>1.92</v>
      </c>
      <c r="H196" s="528">
        <f t="shared" si="116"/>
        <v>192</v>
      </c>
      <c r="I196" s="529"/>
      <c r="J196" s="309"/>
      <c r="K196" s="1175">
        <v>95</v>
      </c>
      <c r="L196" s="530">
        <f t="shared" si="101"/>
        <v>3.94</v>
      </c>
      <c r="M196" s="530">
        <f t="shared" si="102"/>
        <v>394</v>
      </c>
      <c r="N196" s="309"/>
      <c r="O196" s="778">
        <v>131</v>
      </c>
      <c r="P196" s="777"/>
      <c r="Q196" s="777"/>
      <c r="R196" s="751"/>
      <c r="S196" s="1098">
        <f>33840+4230</f>
        <v>38070</v>
      </c>
      <c r="T196" s="1123">
        <v>3</v>
      </c>
      <c r="U196" s="803">
        <v>0</v>
      </c>
      <c r="V196" s="803">
        <v>0</v>
      </c>
      <c r="W196" s="803">
        <v>0</v>
      </c>
      <c r="X196" s="858">
        <v>1</v>
      </c>
      <c r="Y196" s="310">
        <f>ROUND((R196+S196/'Summary-E'!$M$63)*X196,2)</f>
        <v>1.83</v>
      </c>
      <c r="Z196" s="858">
        <f t="shared" si="117"/>
        <v>1.05</v>
      </c>
      <c r="AA196" s="813">
        <f t="shared" si="103"/>
        <v>1.92</v>
      </c>
      <c r="AB196" s="447">
        <f t="shared" si="104"/>
        <v>0.05</v>
      </c>
      <c r="AC196" s="310">
        <f t="shared" si="100"/>
        <v>3.15</v>
      </c>
      <c r="AD196" s="717">
        <f>ROUND(AC196*'[1]Summary E&amp;M'!$R$94,2)</f>
        <v>3.94</v>
      </c>
      <c r="AE196" s="826">
        <f t="shared" si="105"/>
        <v>173.85</v>
      </c>
      <c r="AF196" s="826">
        <f t="shared" si="106"/>
        <v>299.25</v>
      </c>
      <c r="AG196" s="731"/>
      <c r="AH196" s="732"/>
      <c r="AI196" s="519">
        <f t="shared" si="107"/>
        <v>0</v>
      </c>
      <c r="AJ196" s="519">
        <f t="shared" si="108"/>
        <v>0</v>
      </c>
      <c r="AK196" s="519">
        <f t="shared" si="109"/>
        <v>0</v>
      </c>
      <c r="AL196" s="520">
        <f t="shared" si="110"/>
        <v>0</v>
      </c>
      <c r="AM196" s="520">
        <f t="shared" si="111"/>
        <v>0</v>
      </c>
      <c r="AN196" s="520">
        <f t="shared" si="112"/>
        <v>0</v>
      </c>
      <c r="AO196" s="520">
        <f t="shared" si="113"/>
        <v>0</v>
      </c>
      <c r="AP196" s="719"/>
      <c r="AQ196" s="719"/>
      <c r="AR196" s="719"/>
      <c r="AS196" s="719"/>
      <c r="AT196" s="719"/>
    </row>
    <row r="197" spans="1:46" s="555" customFormat="1" ht="22.5" customHeight="1">
      <c r="A197" s="451"/>
      <c r="B197" s="531" t="s">
        <v>1170</v>
      </c>
      <c r="C197" s="1118" t="s">
        <v>1182</v>
      </c>
      <c r="D197" s="1239" t="s">
        <v>197</v>
      </c>
      <c r="E197" s="525" t="s">
        <v>321</v>
      </c>
      <c r="F197" s="1314">
        <f>ROUND(K197*'Summary-E'!$K$60,0)</f>
        <v>21</v>
      </c>
      <c r="G197" s="527">
        <f>ROUNDUP(AA197,2)</f>
        <v>1.92</v>
      </c>
      <c r="H197" s="528">
        <f>ROUND(F197*G197,2)</f>
        <v>40.32</v>
      </c>
      <c r="I197" s="529"/>
      <c r="J197" s="309"/>
      <c r="K197" s="1175">
        <v>20</v>
      </c>
      <c r="L197" s="530">
        <f>ROUND(AD197,2)</f>
        <v>3.94</v>
      </c>
      <c r="M197" s="530">
        <f>ROUND(L197*F197,2)</f>
        <v>82.74</v>
      </c>
      <c r="N197" s="309"/>
      <c r="O197" s="778">
        <v>131</v>
      </c>
      <c r="P197" s="777"/>
      <c r="Q197" s="777"/>
      <c r="R197" s="751"/>
      <c r="S197" s="1098">
        <f>33840+4230</f>
        <v>38070</v>
      </c>
      <c r="T197" s="1123">
        <v>3</v>
      </c>
      <c r="U197" s="803">
        <v>0</v>
      </c>
      <c r="V197" s="803">
        <v>0</v>
      </c>
      <c r="W197" s="803">
        <v>0</v>
      </c>
      <c r="X197" s="858">
        <v>1</v>
      </c>
      <c r="Y197" s="310">
        <f>ROUND((R197+S197/'Summary-E'!$M$63)*X197,2)</f>
        <v>1.83</v>
      </c>
      <c r="Z197" s="858">
        <f t="shared" si="117"/>
        <v>1.05</v>
      </c>
      <c r="AA197" s="813">
        <f>ROUND(Y197*Z197,2)</f>
        <v>1.92</v>
      </c>
      <c r="AB197" s="447">
        <f t="shared" si="104"/>
        <v>0.05</v>
      </c>
      <c r="AC197" s="310">
        <f>ROUND((T197*(1+AB197)),2)</f>
        <v>3.15</v>
      </c>
      <c r="AD197" s="717">
        <f>ROUND(AC197*'[1]Summary E&amp;M'!$R$94,2)</f>
        <v>3.94</v>
      </c>
      <c r="AE197" s="826">
        <f t="shared" si="105"/>
        <v>36.6</v>
      </c>
      <c r="AF197" s="826">
        <f t="shared" si="106"/>
        <v>63</v>
      </c>
      <c r="AG197" s="731"/>
      <c r="AH197" s="732"/>
      <c r="AI197" s="519">
        <f t="shared" si="107"/>
        <v>0</v>
      </c>
      <c r="AJ197" s="519">
        <f t="shared" si="108"/>
        <v>0</v>
      </c>
      <c r="AK197" s="519">
        <f t="shared" si="109"/>
        <v>0</v>
      </c>
      <c r="AL197" s="520">
        <f>ROUND(Y197*AI197+((Y197*(1+AI197))*AJ197)+((Y197*AI197+((Y197*(1+AI197))*AJ197))*AK197),2)</f>
        <v>0</v>
      </c>
      <c r="AM197" s="520">
        <f>AL197*$F197</f>
        <v>0</v>
      </c>
      <c r="AN197" s="520">
        <f>ROUND(AL197*Z197,2)</f>
        <v>0</v>
      </c>
      <c r="AO197" s="520">
        <f>AN197*$F197</f>
        <v>0</v>
      </c>
      <c r="AP197" s="719"/>
      <c r="AQ197" s="719"/>
      <c r="AR197" s="719"/>
      <c r="AS197" s="719"/>
      <c r="AT197" s="719"/>
    </row>
    <row r="198" spans="1:46" s="555" customFormat="1" ht="38.25">
      <c r="A198" s="451"/>
      <c r="B198" s="531" t="s">
        <v>1063</v>
      </c>
      <c r="C198" s="1194" t="s">
        <v>1184</v>
      </c>
      <c r="D198" s="1239" t="s">
        <v>1125</v>
      </c>
      <c r="E198" s="525" t="s">
        <v>321</v>
      </c>
      <c r="F198" s="1314">
        <f>ROUND(K198*'Summary-E'!$K$60,0)</f>
        <v>173</v>
      </c>
      <c r="G198" s="527">
        <f t="shared" si="115"/>
        <v>12.78</v>
      </c>
      <c r="H198" s="528">
        <f t="shared" si="116"/>
        <v>2210.94</v>
      </c>
      <c r="I198" s="529"/>
      <c r="J198" s="309"/>
      <c r="K198" s="1175">
        <v>165</v>
      </c>
      <c r="L198" s="530">
        <f t="shared" si="101"/>
        <v>13.65</v>
      </c>
      <c r="M198" s="530">
        <f t="shared" si="102"/>
        <v>2361.4499999999998</v>
      </c>
      <c r="N198" s="309"/>
      <c r="O198" s="778">
        <v>131</v>
      </c>
      <c r="P198" s="777"/>
      <c r="Q198" s="777"/>
      <c r="R198" s="751"/>
      <c r="S198" s="1242">
        <f>3*59780+46700+27170</f>
        <v>253210</v>
      </c>
      <c r="T198" s="1164">
        <f>1.3*8</f>
        <v>10.4</v>
      </c>
      <c r="U198" s="803">
        <v>0</v>
      </c>
      <c r="V198" s="803">
        <v>0</v>
      </c>
      <c r="W198" s="803">
        <v>0</v>
      </c>
      <c r="X198" s="858">
        <v>1</v>
      </c>
      <c r="Y198" s="310">
        <f>ROUND((R198+S198/'Summary-E'!$M$63)*X198,2)</f>
        <v>12.17</v>
      </c>
      <c r="Z198" s="858">
        <f t="shared" si="117"/>
        <v>1.05</v>
      </c>
      <c r="AA198" s="813">
        <f t="shared" si="103"/>
        <v>12.78</v>
      </c>
      <c r="AB198" s="447">
        <f t="shared" si="104"/>
        <v>0.05</v>
      </c>
      <c r="AC198" s="310">
        <f t="shared" si="100"/>
        <v>10.92</v>
      </c>
      <c r="AD198" s="717">
        <f>ROUND(AC198*'[1]Summary E&amp;M'!$R$94,2)</f>
        <v>13.65</v>
      </c>
      <c r="AE198" s="826">
        <f t="shared" si="105"/>
        <v>2008.05</v>
      </c>
      <c r="AF198" s="826">
        <f t="shared" si="106"/>
        <v>1801.8</v>
      </c>
      <c r="AG198" s="731"/>
      <c r="AH198" s="732"/>
      <c r="AI198" s="519">
        <f t="shared" si="107"/>
        <v>0</v>
      </c>
      <c r="AJ198" s="519">
        <f t="shared" si="108"/>
        <v>0</v>
      </c>
      <c r="AK198" s="519">
        <f t="shared" si="109"/>
        <v>0</v>
      </c>
      <c r="AL198" s="520">
        <f t="shared" si="110"/>
        <v>0</v>
      </c>
      <c r="AM198" s="520">
        <f t="shared" si="111"/>
        <v>0</v>
      </c>
      <c r="AN198" s="520">
        <f t="shared" si="112"/>
        <v>0</v>
      </c>
      <c r="AO198" s="520">
        <f t="shared" si="113"/>
        <v>0</v>
      </c>
      <c r="AP198" s="719"/>
      <c r="AQ198" s="719"/>
      <c r="AR198" s="719"/>
      <c r="AS198" s="719"/>
      <c r="AT198" s="719"/>
    </row>
    <row r="199" spans="1:46" s="555" customFormat="1" ht="39.75" customHeight="1">
      <c r="A199" s="451"/>
      <c r="B199" s="531" t="s">
        <v>1064</v>
      </c>
      <c r="C199" s="1194" t="s">
        <v>1185</v>
      </c>
      <c r="D199" s="1239" t="s">
        <v>1125</v>
      </c>
      <c r="E199" s="525" t="s">
        <v>321</v>
      </c>
      <c r="F199" s="1314">
        <f>ROUND(K199*'Summary-E'!$K$60,0)</f>
        <v>149</v>
      </c>
      <c r="G199" s="527">
        <f t="shared" si="115"/>
        <v>16.14</v>
      </c>
      <c r="H199" s="528">
        <f t="shared" si="116"/>
        <v>2404.86</v>
      </c>
      <c r="I199" s="529"/>
      <c r="J199" s="309"/>
      <c r="K199" s="1175">
        <v>142</v>
      </c>
      <c r="L199" s="530">
        <f t="shared" si="101"/>
        <v>13.65</v>
      </c>
      <c r="M199" s="530">
        <f t="shared" si="102"/>
        <v>2033.85</v>
      </c>
      <c r="N199" s="309"/>
      <c r="O199" s="778">
        <v>131</v>
      </c>
      <c r="P199" s="777"/>
      <c r="Q199" s="777"/>
      <c r="R199" s="751"/>
      <c r="S199" s="1122">
        <f>3*75500+59780+33440</f>
        <v>319720</v>
      </c>
      <c r="T199" s="1123">
        <f>1.3*8</f>
        <v>10.4</v>
      </c>
      <c r="U199" s="803">
        <v>0</v>
      </c>
      <c r="V199" s="803">
        <v>0</v>
      </c>
      <c r="W199" s="803">
        <v>0</v>
      </c>
      <c r="X199" s="858">
        <v>1</v>
      </c>
      <c r="Y199" s="310">
        <f>ROUND((R199+S199/'Summary-E'!$M$63)*X199,2)</f>
        <v>15.37</v>
      </c>
      <c r="Z199" s="858">
        <f t="shared" si="117"/>
        <v>1.05</v>
      </c>
      <c r="AA199" s="813">
        <f t="shared" si="103"/>
        <v>16.14</v>
      </c>
      <c r="AB199" s="447">
        <f t="shared" si="104"/>
        <v>0.05</v>
      </c>
      <c r="AC199" s="310">
        <f t="shared" si="100"/>
        <v>10.92</v>
      </c>
      <c r="AD199" s="717">
        <f>ROUND(AC199*'[1]Summary E&amp;M'!$R$94,2)</f>
        <v>13.65</v>
      </c>
      <c r="AE199" s="826">
        <f t="shared" si="105"/>
        <v>2182.54</v>
      </c>
      <c r="AF199" s="826">
        <f t="shared" si="106"/>
        <v>1550.64</v>
      </c>
      <c r="AG199" s="731"/>
      <c r="AH199" s="732"/>
      <c r="AI199" s="519">
        <f t="shared" si="107"/>
        <v>0</v>
      </c>
      <c r="AJ199" s="519">
        <f t="shared" si="108"/>
        <v>0</v>
      </c>
      <c r="AK199" s="519">
        <f t="shared" si="109"/>
        <v>0</v>
      </c>
      <c r="AL199" s="520">
        <f t="shared" si="110"/>
        <v>0</v>
      </c>
      <c r="AM199" s="520">
        <f t="shared" si="111"/>
        <v>0</v>
      </c>
      <c r="AN199" s="520">
        <f t="shared" si="112"/>
        <v>0</v>
      </c>
      <c r="AO199" s="520">
        <f t="shared" si="113"/>
        <v>0</v>
      </c>
      <c r="AP199" s="719"/>
      <c r="AQ199" s="719"/>
      <c r="AR199" s="719"/>
      <c r="AS199" s="719"/>
      <c r="AT199" s="719"/>
    </row>
    <row r="200" spans="1:46" s="555" customFormat="1" ht="38.25">
      <c r="A200" s="451"/>
      <c r="B200" s="531" t="s">
        <v>1065</v>
      </c>
      <c r="C200" s="1194" t="s">
        <v>1186</v>
      </c>
      <c r="D200" s="1239" t="s">
        <v>1125</v>
      </c>
      <c r="E200" s="525" t="s">
        <v>321</v>
      </c>
      <c r="F200" s="1314">
        <f>ROUND(K200*'Summary-E'!$K$60,0)</f>
        <v>113</v>
      </c>
      <c r="G200" s="527">
        <f t="shared" si="115"/>
        <v>5.38</v>
      </c>
      <c r="H200" s="528">
        <f t="shared" si="116"/>
        <v>607.94000000000005</v>
      </c>
      <c r="I200" s="529"/>
      <c r="J200" s="309"/>
      <c r="K200" s="1175">
        <v>108</v>
      </c>
      <c r="L200" s="530">
        <f t="shared" si="101"/>
        <v>12.6</v>
      </c>
      <c r="M200" s="530">
        <f t="shared" si="102"/>
        <v>1423.8</v>
      </c>
      <c r="N200" s="309"/>
      <c r="O200" s="778">
        <v>131</v>
      </c>
      <c r="P200" s="777"/>
      <c r="Q200" s="777"/>
      <c r="R200" s="751"/>
      <c r="S200" s="1122">
        <f>3*25230+19040+11830</f>
        <v>106560</v>
      </c>
      <c r="T200" s="1123">
        <f>1.2*8</f>
        <v>9.6</v>
      </c>
      <c r="U200" s="803">
        <v>0</v>
      </c>
      <c r="V200" s="803">
        <v>0</v>
      </c>
      <c r="W200" s="803">
        <v>0</v>
      </c>
      <c r="X200" s="858">
        <v>1</v>
      </c>
      <c r="Y200" s="310">
        <f>ROUND((R200+S200/'Summary-E'!$M$63)*X200,2)</f>
        <v>5.12</v>
      </c>
      <c r="Z200" s="858">
        <f t="shared" si="117"/>
        <v>1.05</v>
      </c>
      <c r="AA200" s="813">
        <f t="shared" si="103"/>
        <v>5.38</v>
      </c>
      <c r="AB200" s="447">
        <f t="shared" si="104"/>
        <v>0.05</v>
      </c>
      <c r="AC200" s="310">
        <f t="shared" si="100"/>
        <v>10.08</v>
      </c>
      <c r="AD200" s="717">
        <f>ROUND(AC200*'[1]Summary E&amp;M'!$R$94,2)</f>
        <v>12.6</v>
      </c>
      <c r="AE200" s="826">
        <f t="shared" si="105"/>
        <v>552.96</v>
      </c>
      <c r="AF200" s="826">
        <f t="shared" si="106"/>
        <v>1088.6400000000001</v>
      </c>
      <c r="AG200" s="731"/>
      <c r="AH200" s="732"/>
      <c r="AI200" s="519">
        <f t="shared" si="107"/>
        <v>0</v>
      </c>
      <c r="AJ200" s="519">
        <f t="shared" si="108"/>
        <v>0</v>
      </c>
      <c r="AK200" s="519">
        <f t="shared" si="109"/>
        <v>0</v>
      </c>
      <c r="AL200" s="520">
        <f t="shared" si="110"/>
        <v>0</v>
      </c>
      <c r="AM200" s="520">
        <f t="shared" si="111"/>
        <v>0</v>
      </c>
      <c r="AN200" s="520">
        <f t="shared" si="112"/>
        <v>0</v>
      </c>
      <c r="AO200" s="520">
        <f t="shared" si="113"/>
        <v>0</v>
      </c>
      <c r="AP200" s="719"/>
      <c r="AQ200" s="719"/>
      <c r="AR200" s="719"/>
      <c r="AS200" s="719"/>
      <c r="AT200" s="719"/>
    </row>
    <row r="201" spans="1:46" s="555" customFormat="1" ht="38.25">
      <c r="A201" s="451"/>
      <c r="B201" s="531" t="s">
        <v>1066</v>
      </c>
      <c r="C201" s="1194" t="s">
        <v>1187</v>
      </c>
      <c r="D201" s="1239" t="s">
        <v>1125</v>
      </c>
      <c r="E201" s="525" t="s">
        <v>321</v>
      </c>
      <c r="F201" s="1314">
        <f>ROUND(K201*'Summary-E'!$K$60,0)</f>
        <v>59</v>
      </c>
      <c r="G201" s="527">
        <f t="shared" si="115"/>
        <v>6.76</v>
      </c>
      <c r="H201" s="528">
        <f t="shared" si="116"/>
        <v>398.84</v>
      </c>
      <c r="I201" s="529"/>
      <c r="J201" s="309"/>
      <c r="K201" s="1175">
        <v>56</v>
      </c>
      <c r="L201" s="530">
        <f t="shared" si="101"/>
        <v>9.19</v>
      </c>
      <c r="M201" s="530">
        <f t="shared" si="102"/>
        <v>542.21</v>
      </c>
      <c r="N201" s="309"/>
      <c r="O201" s="778">
        <v>131</v>
      </c>
      <c r="P201" s="777"/>
      <c r="Q201" s="777"/>
      <c r="R201" s="751"/>
      <c r="S201" s="1122">
        <f>3*30950+25230+15890</f>
        <v>133970</v>
      </c>
      <c r="T201" s="1123">
        <f>1.4*5</f>
        <v>7</v>
      </c>
      <c r="U201" s="803">
        <v>0</v>
      </c>
      <c r="V201" s="803">
        <v>0</v>
      </c>
      <c r="W201" s="803">
        <v>0</v>
      </c>
      <c r="X201" s="858">
        <v>1</v>
      </c>
      <c r="Y201" s="310">
        <f>ROUND((R201+S201/'Summary-E'!$M$63)*X201,2)</f>
        <v>6.44</v>
      </c>
      <c r="Z201" s="858">
        <f t="shared" si="117"/>
        <v>1.05</v>
      </c>
      <c r="AA201" s="813">
        <f t="shared" si="103"/>
        <v>6.76</v>
      </c>
      <c r="AB201" s="447">
        <f t="shared" si="104"/>
        <v>0.05</v>
      </c>
      <c r="AC201" s="310">
        <f t="shared" si="100"/>
        <v>7.35</v>
      </c>
      <c r="AD201" s="717">
        <f>ROUND(AC201*'[1]Summary E&amp;M'!$R$94,2)</f>
        <v>9.19</v>
      </c>
      <c r="AE201" s="826">
        <f t="shared" si="105"/>
        <v>360.64</v>
      </c>
      <c r="AF201" s="826">
        <f t="shared" si="106"/>
        <v>411.6</v>
      </c>
      <c r="AG201" s="731"/>
      <c r="AH201" s="732"/>
      <c r="AI201" s="519">
        <f t="shared" si="107"/>
        <v>0</v>
      </c>
      <c r="AJ201" s="519">
        <f t="shared" si="108"/>
        <v>0</v>
      </c>
      <c r="AK201" s="519">
        <f t="shared" si="109"/>
        <v>0</v>
      </c>
      <c r="AL201" s="520">
        <f t="shared" si="110"/>
        <v>0</v>
      </c>
      <c r="AM201" s="520">
        <f t="shared" si="111"/>
        <v>0</v>
      </c>
      <c r="AN201" s="520">
        <f t="shared" si="112"/>
        <v>0</v>
      </c>
      <c r="AO201" s="520">
        <f t="shared" si="113"/>
        <v>0</v>
      </c>
      <c r="AP201" s="719"/>
      <c r="AQ201" s="719"/>
      <c r="AR201" s="719"/>
      <c r="AS201" s="719"/>
      <c r="AT201" s="719"/>
    </row>
    <row r="202" spans="1:46" s="555" customFormat="1" ht="38.25">
      <c r="A202" s="451"/>
      <c r="B202" s="531" t="s">
        <v>1067</v>
      </c>
      <c r="C202" s="1194" t="s">
        <v>1187</v>
      </c>
      <c r="D202" s="1239" t="s">
        <v>1125</v>
      </c>
      <c r="E202" s="525" t="s">
        <v>321</v>
      </c>
      <c r="F202" s="1314">
        <f>ROUND(K202*'Summary-E'!$K$60,0)</f>
        <v>69</v>
      </c>
      <c r="G202" s="527">
        <f t="shared" si="115"/>
        <v>6.76</v>
      </c>
      <c r="H202" s="528">
        <f t="shared" si="116"/>
        <v>466.44</v>
      </c>
      <c r="I202" s="529"/>
      <c r="J202" s="309"/>
      <c r="K202" s="1175">
        <v>66</v>
      </c>
      <c r="L202" s="530">
        <f t="shared" si="101"/>
        <v>12.6</v>
      </c>
      <c r="M202" s="530">
        <f t="shared" si="102"/>
        <v>869.4</v>
      </c>
      <c r="N202" s="309"/>
      <c r="O202" s="778">
        <v>131</v>
      </c>
      <c r="P202" s="777"/>
      <c r="Q202" s="777"/>
      <c r="R202" s="751"/>
      <c r="S202" s="1122">
        <f>3*30950+25230+15890</f>
        <v>133970</v>
      </c>
      <c r="T202" s="1123">
        <f>1.2*8</f>
        <v>9.6</v>
      </c>
      <c r="U202" s="803">
        <v>0</v>
      </c>
      <c r="V202" s="803">
        <v>0</v>
      </c>
      <c r="W202" s="803">
        <v>0</v>
      </c>
      <c r="X202" s="858">
        <v>1</v>
      </c>
      <c r="Y202" s="310">
        <f>ROUND((R202+S202/'Summary-E'!$M$63)*X202,2)</f>
        <v>6.44</v>
      </c>
      <c r="Z202" s="858">
        <f t="shared" si="117"/>
        <v>1.05</v>
      </c>
      <c r="AA202" s="813">
        <f t="shared" si="103"/>
        <v>6.76</v>
      </c>
      <c r="AB202" s="447">
        <f t="shared" si="104"/>
        <v>0.05</v>
      </c>
      <c r="AC202" s="310">
        <f t="shared" si="100"/>
        <v>10.08</v>
      </c>
      <c r="AD202" s="717">
        <f>ROUND(AC202*'[1]Summary E&amp;M'!$R$94,2)</f>
        <v>12.6</v>
      </c>
      <c r="AE202" s="826">
        <f t="shared" si="105"/>
        <v>425.04</v>
      </c>
      <c r="AF202" s="826">
        <f t="shared" si="106"/>
        <v>665.28</v>
      </c>
      <c r="AG202" s="731"/>
      <c r="AH202" s="732"/>
      <c r="AI202" s="519">
        <f t="shared" si="107"/>
        <v>0</v>
      </c>
      <c r="AJ202" s="519">
        <f t="shared" si="108"/>
        <v>0</v>
      </c>
      <c r="AK202" s="519">
        <f t="shared" si="109"/>
        <v>0</v>
      </c>
      <c r="AL202" s="520">
        <f t="shared" si="110"/>
        <v>0</v>
      </c>
      <c r="AM202" s="520">
        <f t="shared" si="111"/>
        <v>0</v>
      </c>
      <c r="AN202" s="520">
        <f t="shared" si="112"/>
        <v>0</v>
      </c>
      <c r="AO202" s="520">
        <f t="shared" si="113"/>
        <v>0</v>
      </c>
      <c r="AP202" s="719"/>
      <c r="AQ202" s="719"/>
      <c r="AR202" s="719"/>
      <c r="AS202" s="719"/>
      <c r="AT202" s="719"/>
    </row>
    <row r="203" spans="1:46" s="555" customFormat="1" ht="38.25">
      <c r="A203" s="451"/>
      <c r="B203" s="531" t="s">
        <v>1069</v>
      </c>
      <c r="C203" s="1194" t="s">
        <v>1188</v>
      </c>
      <c r="D203" s="1239" t="s">
        <v>1125</v>
      </c>
      <c r="E203" s="525" t="s">
        <v>321</v>
      </c>
      <c r="F203" s="1314">
        <f>ROUND(K203*'Summary-E'!$K$60,0)</f>
        <v>54</v>
      </c>
      <c r="G203" s="527">
        <f t="shared" si="115"/>
        <v>8.56</v>
      </c>
      <c r="H203" s="528">
        <f t="shared" si="116"/>
        <v>462.24</v>
      </c>
      <c r="I203" s="529"/>
      <c r="J203" s="309"/>
      <c r="K203" s="1175">
        <v>51</v>
      </c>
      <c r="L203" s="530">
        <f t="shared" si="101"/>
        <v>9.19</v>
      </c>
      <c r="M203" s="530">
        <f t="shared" si="102"/>
        <v>496.26</v>
      </c>
      <c r="N203" s="309"/>
      <c r="O203" s="778">
        <v>131</v>
      </c>
      <c r="P203" s="777"/>
      <c r="Q203" s="777"/>
      <c r="R203" s="751"/>
      <c r="S203" s="1122">
        <f>3*37750+30950+25230</f>
        <v>169430</v>
      </c>
      <c r="T203" s="1123">
        <f>1.4*5</f>
        <v>7</v>
      </c>
      <c r="U203" s="803">
        <v>0</v>
      </c>
      <c r="V203" s="803">
        <v>0</v>
      </c>
      <c r="W203" s="803">
        <v>0</v>
      </c>
      <c r="X203" s="858">
        <v>1</v>
      </c>
      <c r="Y203" s="310">
        <f>ROUND((R203+S203/'Summary-E'!$M$63)*X203,2)</f>
        <v>8.15</v>
      </c>
      <c r="Z203" s="858">
        <f t="shared" si="117"/>
        <v>1.05</v>
      </c>
      <c r="AA203" s="813">
        <f t="shared" si="103"/>
        <v>8.56</v>
      </c>
      <c r="AB203" s="447">
        <f t="shared" si="104"/>
        <v>0.05</v>
      </c>
      <c r="AC203" s="310">
        <f t="shared" si="100"/>
        <v>7.35</v>
      </c>
      <c r="AD203" s="717">
        <f>ROUND(AC203*'[1]Summary E&amp;M'!$R$94,2)</f>
        <v>9.19</v>
      </c>
      <c r="AE203" s="826">
        <f t="shared" si="105"/>
        <v>415.65</v>
      </c>
      <c r="AF203" s="826">
        <f t="shared" si="106"/>
        <v>374.85</v>
      </c>
      <c r="AG203" s="731"/>
      <c r="AH203" s="732"/>
      <c r="AI203" s="519">
        <f t="shared" si="107"/>
        <v>0</v>
      </c>
      <c r="AJ203" s="519">
        <f t="shared" si="108"/>
        <v>0</v>
      </c>
      <c r="AK203" s="519">
        <f t="shared" si="109"/>
        <v>0</v>
      </c>
      <c r="AL203" s="520">
        <f t="shared" si="110"/>
        <v>0</v>
      </c>
      <c r="AM203" s="520">
        <f t="shared" si="111"/>
        <v>0</v>
      </c>
      <c r="AN203" s="520">
        <f t="shared" si="112"/>
        <v>0</v>
      </c>
      <c r="AO203" s="520">
        <f t="shared" si="113"/>
        <v>0</v>
      </c>
      <c r="AP203" s="719"/>
      <c r="AQ203" s="719"/>
      <c r="AR203" s="719"/>
      <c r="AS203" s="719"/>
      <c r="AT203" s="719"/>
    </row>
    <row r="204" spans="1:46" s="555" customFormat="1" ht="38.25">
      <c r="A204" s="451"/>
      <c r="B204" s="531" t="s">
        <v>1070</v>
      </c>
      <c r="C204" s="1194" t="s">
        <v>1186</v>
      </c>
      <c r="D204" s="1239" t="s">
        <v>1125</v>
      </c>
      <c r="E204" s="525" t="s">
        <v>321</v>
      </c>
      <c r="F204" s="1314">
        <f>ROUND(K204*'Summary-E'!$K$60,0)</f>
        <v>54</v>
      </c>
      <c r="G204" s="527">
        <f t="shared" si="115"/>
        <v>5.38</v>
      </c>
      <c r="H204" s="528">
        <f t="shared" si="116"/>
        <v>290.52</v>
      </c>
      <c r="I204" s="529"/>
      <c r="J204" s="309"/>
      <c r="K204" s="1175">
        <v>51</v>
      </c>
      <c r="L204" s="530">
        <f t="shared" si="101"/>
        <v>3.94</v>
      </c>
      <c r="M204" s="530">
        <f t="shared" si="102"/>
        <v>212.76</v>
      </c>
      <c r="N204" s="309"/>
      <c r="O204" s="778">
        <v>131</v>
      </c>
      <c r="P204" s="777"/>
      <c r="Q204" s="777"/>
      <c r="R204" s="751"/>
      <c r="S204" s="1122">
        <f>3*25230+19040+11830</f>
        <v>106560</v>
      </c>
      <c r="T204" s="1123">
        <v>3</v>
      </c>
      <c r="U204" s="803">
        <v>0</v>
      </c>
      <c r="V204" s="803">
        <v>0</v>
      </c>
      <c r="W204" s="803">
        <v>0</v>
      </c>
      <c r="X204" s="858">
        <v>1</v>
      </c>
      <c r="Y204" s="310">
        <f>ROUND((R204+S204/'Summary-E'!$M$63)*X204,2)</f>
        <v>5.12</v>
      </c>
      <c r="Z204" s="858">
        <f t="shared" si="117"/>
        <v>1.05</v>
      </c>
      <c r="AA204" s="813">
        <f t="shared" si="103"/>
        <v>5.38</v>
      </c>
      <c r="AB204" s="447">
        <f t="shared" si="104"/>
        <v>0.05</v>
      </c>
      <c r="AC204" s="310">
        <f t="shared" si="100"/>
        <v>3.15</v>
      </c>
      <c r="AD204" s="717">
        <f>ROUND(AC204*'[1]Summary E&amp;M'!$R$94,2)</f>
        <v>3.94</v>
      </c>
      <c r="AE204" s="826">
        <f t="shared" si="105"/>
        <v>261.12</v>
      </c>
      <c r="AF204" s="826">
        <f t="shared" si="106"/>
        <v>160.65</v>
      </c>
      <c r="AG204" s="731"/>
      <c r="AH204" s="732"/>
      <c r="AI204" s="519">
        <f t="shared" si="107"/>
        <v>0</v>
      </c>
      <c r="AJ204" s="519">
        <f t="shared" si="108"/>
        <v>0</v>
      </c>
      <c r="AK204" s="519">
        <f t="shared" si="109"/>
        <v>0</v>
      </c>
      <c r="AL204" s="520">
        <f t="shared" si="110"/>
        <v>0</v>
      </c>
      <c r="AM204" s="520">
        <f t="shared" si="111"/>
        <v>0</v>
      </c>
      <c r="AN204" s="520">
        <f t="shared" si="112"/>
        <v>0</v>
      </c>
      <c r="AO204" s="520">
        <f t="shared" si="113"/>
        <v>0</v>
      </c>
      <c r="AP204" s="719"/>
      <c r="AQ204" s="719"/>
      <c r="AR204" s="719"/>
      <c r="AS204" s="719"/>
      <c r="AT204" s="719"/>
    </row>
    <row r="205" spans="1:46" s="555" customFormat="1" ht="24.75" customHeight="1">
      <c r="A205" s="451"/>
      <c r="B205" s="531" t="s">
        <v>1171</v>
      </c>
      <c r="C205" s="1118" t="s">
        <v>1182</v>
      </c>
      <c r="D205" s="1239" t="s">
        <v>1125</v>
      </c>
      <c r="E205" s="525" t="s">
        <v>321</v>
      </c>
      <c r="F205" s="1314">
        <f>ROUND(K205*'Summary-E'!$K$60,0)</f>
        <v>47</v>
      </c>
      <c r="G205" s="527">
        <f t="shared" ref="G205" si="118">ROUNDUP(AA205,2)</f>
        <v>1.92</v>
      </c>
      <c r="H205" s="528">
        <f t="shared" ref="H205" si="119">ROUND(F205*G205,2)</f>
        <v>90.24</v>
      </c>
      <c r="I205" s="529"/>
      <c r="J205" s="309"/>
      <c r="K205" s="1175">
        <v>45</v>
      </c>
      <c r="L205" s="530">
        <f t="shared" ref="L205" si="120">ROUND(AD205,2)</f>
        <v>3.94</v>
      </c>
      <c r="M205" s="530">
        <f t="shared" ref="M205" si="121">ROUND(L205*F205,2)</f>
        <v>185.18</v>
      </c>
      <c r="N205" s="309"/>
      <c r="O205" s="778">
        <v>131</v>
      </c>
      <c r="P205" s="777"/>
      <c r="Q205" s="777"/>
      <c r="R205" s="751"/>
      <c r="S205" s="1098">
        <f>33840+4230</f>
        <v>38070</v>
      </c>
      <c r="T205" s="1123">
        <v>3</v>
      </c>
      <c r="U205" s="803">
        <v>0</v>
      </c>
      <c r="V205" s="803">
        <v>0</v>
      </c>
      <c r="W205" s="803">
        <v>0</v>
      </c>
      <c r="X205" s="858">
        <v>1</v>
      </c>
      <c r="Y205" s="310">
        <f>ROUND((R205+S205/'Summary-E'!$M$63)*X205,2)</f>
        <v>1.83</v>
      </c>
      <c r="Z205" s="858">
        <f t="shared" si="117"/>
        <v>1.05</v>
      </c>
      <c r="AA205" s="813">
        <f t="shared" ref="AA205" si="122">ROUND(Y205*Z205,2)</f>
        <v>1.92</v>
      </c>
      <c r="AB205" s="447">
        <f t="shared" si="104"/>
        <v>0.05</v>
      </c>
      <c r="AC205" s="310">
        <f t="shared" ref="AC205" si="123">ROUND((T205*(1+AB205)),2)</f>
        <v>3.15</v>
      </c>
      <c r="AD205" s="717">
        <f>ROUND(AC205*'[1]Summary E&amp;M'!$R$94,2)</f>
        <v>3.94</v>
      </c>
      <c r="AE205" s="826">
        <f t="shared" si="105"/>
        <v>82.35</v>
      </c>
      <c r="AF205" s="826">
        <f t="shared" si="106"/>
        <v>141.75</v>
      </c>
      <c r="AG205" s="731"/>
      <c r="AH205" s="732"/>
      <c r="AI205" s="519">
        <f t="shared" si="107"/>
        <v>0</v>
      </c>
      <c r="AJ205" s="519">
        <f t="shared" si="108"/>
        <v>0</v>
      </c>
      <c r="AK205" s="519">
        <f t="shared" si="109"/>
        <v>0</v>
      </c>
      <c r="AL205" s="520">
        <f t="shared" ref="AL205" si="124">ROUND(Y205*AI205+((Y205*(1+AI205))*AJ205)+((Y205*AI205+((Y205*(1+AI205))*AJ205))*AK205),2)</f>
        <v>0</v>
      </c>
      <c r="AM205" s="520">
        <f t="shared" ref="AM205" si="125">AL205*$F205</f>
        <v>0</v>
      </c>
      <c r="AN205" s="520">
        <f t="shared" ref="AN205" si="126">ROUND(AL205*Z205,2)</f>
        <v>0</v>
      </c>
      <c r="AO205" s="520">
        <f t="shared" ref="AO205" si="127">AN205*$F205</f>
        <v>0</v>
      </c>
      <c r="AP205" s="719"/>
      <c r="AQ205" s="719"/>
      <c r="AR205" s="719"/>
      <c r="AS205" s="719"/>
      <c r="AT205" s="719"/>
    </row>
    <row r="206" spans="1:46" s="555" customFormat="1" ht="22.5" customHeight="1">
      <c r="A206" s="451"/>
      <c r="B206" s="531" t="s">
        <v>122</v>
      </c>
      <c r="C206" s="523"/>
      <c r="D206" s="524" t="s">
        <v>690</v>
      </c>
      <c r="E206" s="525" t="s">
        <v>322</v>
      </c>
      <c r="F206" s="1315">
        <f>K206</f>
        <v>1</v>
      </c>
      <c r="G206" s="527">
        <f t="shared" si="115"/>
        <v>892.21</v>
      </c>
      <c r="H206" s="528">
        <f t="shared" si="116"/>
        <v>892.21</v>
      </c>
      <c r="I206" s="529"/>
      <c r="J206" s="309"/>
      <c r="K206" s="1175">
        <v>1</v>
      </c>
      <c r="L206" s="530">
        <f t="shared" si="101"/>
        <v>229.95</v>
      </c>
      <c r="M206" s="530">
        <f t="shared" si="102"/>
        <v>229.95</v>
      </c>
      <c r="N206" s="309"/>
      <c r="O206" s="778" t="s">
        <v>690</v>
      </c>
      <c r="P206" s="777">
        <v>0.12</v>
      </c>
      <c r="Q206" s="777"/>
      <c r="R206" s="751">
        <f>ROUND(SUM(AE192:AE205)*P206,2)</f>
        <v>876</v>
      </c>
      <c r="S206" s="752"/>
      <c r="T206" s="792">
        <f>R206*0.2</f>
        <v>175.20000000000002</v>
      </c>
      <c r="U206" s="803">
        <v>0</v>
      </c>
      <c r="V206" s="803">
        <v>0</v>
      </c>
      <c r="W206" s="803">
        <v>0</v>
      </c>
      <c r="X206" s="858">
        <f>SUMIF('Summary-E'!O$4:O$50,D206,'Summary-E'!Q$4:Q$50)</f>
        <v>0.97</v>
      </c>
      <c r="Y206" s="310">
        <f>ROUND((R206+S206/'Summary-E'!$M$63)*X206,2)</f>
        <v>849.72</v>
      </c>
      <c r="Z206" s="858">
        <f t="shared" si="117"/>
        <v>1.05</v>
      </c>
      <c r="AA206" s="813">
        <f t="shared" si="103"/>
        <v>892.21</v>
      </c>
      <c r="AB206" s="447">
        <f t="shared" si="104"/>
        <v>0.05</v>
      </c>
      <c r="AC206" s="310">
        <f t="shared" si="100"/>
        <v>183.96</v>
      </c>
      <c r="AD206" s="717">
        <f>ROUND(AC206*'[1]Summary E&amp;M'!$R$94,2)</f>
        <v>229.95</v>
      </c>
      <c r="AE206" s="826">
        <f t="shared" si="105"/>
        <v>849.72</v>
      </c>
      <c r="AF206" s="826">
        <f t="shared" si="106"/>
        <v>183.96</v>
      </c>
      <c r="AG206" s="731"/>
      <c r="AH206" s="732"/>
      <c r="AI206" s="519">
        <f t="shared" si="107"/>
        <v>0</v>
      </c>
      <c r="AJ206" s="519">
        <f t="shared" si="108"/>
        <v>0</v>
      </c>
      <c r="AK206" s="519">
        <f t="shared" si="109"/>
        <v>0</v>
      </c>
      <c r="AL206" s="520">
        <f t="shared" si="110"/>
        <v>0</v>
      </c>
      <c r="AM206" s="520">
        <f t="shared" si="111"/>
        <v>0</v>
      </c>
      <c r="AN206" s="520">
        <f t="shared" si="112"/>
        <v>0</v>
      </c>
      <c r="AO206" s="520">
        <f t="shared" si="113"/>
        <v>0</v>
      </c>
      <c r="AP206" s="719"/>
      <c r="AQ206" s="719"/>
      <c r="AR206" s="719"/>
      <c r="AS206" s="719"/>
      <c r="AT206" s="719"/>
    </row>
    <row r="207" spans="1:46" s="555" customFormat="1" ht="22.5" customHeight="1">
      <c r="A207" s="451"/>
      <c r="B207" s="531" t="s">
        <v>692</v>
      </c>
      <c r="C207" s="523" t="s">
        <v>693</v>
      </c>
      <c r="D207" s="524">
        <v>121</v>
      </c>
      <c r="E207" s="525" t="s">
        <v>321</v>
      </c>
      <c r="F207" s="1314">
        <f>ROUND(K207*'Summary-E'!$K$61,0)</f>
        <v>497</v>
      </c>
      <c r="G207" s="527">
        <f t="shared" si="115"/>
        <v>15.8</v>
      </c>
      <c r="H207" s="528">
        <f t="shared" si="116"/>
        <v>7852.6</v>
      </c>
      <c r="I207" s="529"/>
      <c r="J207" s="309"/>
      <c r="K207" s="1175">
        <v>473</v>
      </c>
      <c r="L207" s="530">
        <f t="shared" si="101"/>
        <v>4.5999999999999996</v>
      </c>
      <c r="M207" s="530">
        <f t="shared" si="102"/>
        <v>2286.1999999999998</v>
      </c>
      <c r="N207" s="309"/>
      <c r="O207" s="778">
        <v>121</v>
      </c>
      <c r="P207" s="777"/>
      <c r="Q207" s="777"/>
      <c r="R207" s="751"/>
      <c r="S207" s="752">
        <v>313000</v>
      </c>
      <c r="T207" s="792">
        <v>3.5</v>
      </c>
      <c r="U207" s="803">
        <v>0</v>
      </c>
      <c r="V207" s="803">
        <v>0</v>
      </c>
      <c r="W207" s="803">
        <v>0</v>
      </c>
      <c r="X207" s="858">
        <v>1</v>
      </c>
      <c r="Y207" s="310">
        <f>ROUND((R207+S207/'Summary-E'!$M$63)*X207,2)</f>
        <v>15.05</v>
      </c>
      <c r="Z207" s="858">
        <f t="shared" si="117"/>
        <v>1.05</v>
      </c>
      <c r="AA207" s="813">
        <f t="shared" si="103"/>
        <v>15.8</v>
      </c>
      <c r="AB207" s="447">
        <f t="shared" si="104"/>
        <v>0.05</v>
      </c>
      <c r="AC207" s="310">
        <f t="shared" si="100"/>
        <v>3.68</v>
      </c>
      <c r="AD207" s="717">
        <f>ROUND(AC207*'[1]Summary E&amp;M'!$R$94,2)</f>
        <v>4.5999999999999996</v>
      </c>
      <c r="AE207" s="826">
        <f t="shared" si="105"/>
        <v>7118.65</v>
      </c>
      <c r="AF207" s="826">
        <f t="shared" si="106"/>
        <v>1740.64</v>
      </c>
      <c r="AG207" s="731"/>
      <c r="AH207" s="732"/>
      <c r="AI207" s="519">
        <f t="shared" si="107"/>
        <v>0</v>
      </c>
      <c r="AJ207" s="519">
        <f t="shared" si="108"/>
        <v>0</v>
      </c>
      <c r="AK207" s="519">
        <f t="shared" si="109"/>
        <v>0</v>
      </c>
      <c r="AL207" s="520">
        <f t="shared" si="110"/>
        <v>0</v>
      </c>
      <c r="AM207" s="520">
        <f t="shared" si="111"/>
        <v>0</v>
      </c>
      <c r="AN207" s="520">
        <f t="shared" si="112"/>
        <v>0</v>
      </c>
      <c r="AO207" s="520">
        <f t="shared" si="113"/>
        <v>0</v>
      </c>
      <c r="AP207" s="719"/>
      <c r="AQ207" s="719"/>
      <c r="AR207" s="719"/>
      <c r="AS207" s="719"/>
      <c r="AT207" s="719"/>
    </row>
    <row r="208" spans="1:46" s="555" customFormat="1" ht="20.25" customHeight="1">
      <c r="A208" s="451"/>
      <c r="B208" s="531" t="s">
        <v>692</v>
      </c>
      <c r="C208" s="523" t="s">
        <v>1030</v>
      </c>
      <c r="D208" s="524">
        <v>121</v>
      </c>
      <c r="E208" s="525" t="s">
        <v>321</v>
      </c>
      <c r="F208" s="1314">
        <f>ROUND(K208*'Summary-E'!$K$61,0)</f>
        <v>126</v>
      </c>
      <c r="G208" s="527">
        <f t="shared" si="115"/>
        <v>12.12</v>
      </c>
      <c r="H208" s="528">
        <f t="shared" si="116"/>
        <v>1527.12</v>
      </c>
      <c r="I208" s="529"/>
      <c r="J208" s="309"/>
      <c r="K208" s="526">
        <v>120</v>
      </c>
      <c r="L208" s="530">
        <f t="shared" si="101"/>
        <v>4.2</v>
      </c>
      <c r="M208" s="530">
        <f t="shared" si="102"/>
        <v>529.20000000000005</v>
      </c>
      <c r="N208" s="309"/>
      <c r="O208" s="778">
        <v>121</v>
      </c>
      <c r="P208" s="777"/>
      <c r="Q208" s="777"/>
      <c r="R208" s="751"/>
      <c r="S208" s="752">
        <v>240000</v>
      </c>
      <c r="T208" s="792">
        <v>3.2</v>
      </c>
      <c r="U208" s="803">
        <v>0</v>
      </c>
      <c r="V208" s="803">
        <v>0</v>
      </c>
      <c r="W208" s="803">
        <v>0</v>
      </c>
      <c r="X208" s="858">
        <v>1</v>
      </c>
      <c r="Y208" s="310">
        <f>ROUND((R208+S208/'[3]Summary E&amp;M'!$M$104)*X208,2)</f>
        <v>11.54</v>
      </c>
      <c r="Z208" s="858">
        <f t="shared" si="117"/>
        <v>1.05</v>
      </c>
      <c r="AA208" s="813">
        <f t="shared" si="103"/>
        <v>12.12</v>
      </c>
      <c r="AB208" s="447">
        <f t="shared" si="104"/>
        <v>0.05</v>
      </c>
      <c r="AC208" s="310">
        <f t="shared" si="100"/>
        <v>3.36</v>
      </c>
      <c r="AD208" s="717">
        <f>ROUND(AC208*'[1]Summary E&amp;M'!$R$94,2)</f>
        <v>4.2</v>
      </c>
      <c r="AE208" s="826">
        <f t="shared" si="105"/>
        <v>1384.8</v>
      </c>
      <c r="AF208" s="826">
        <f t="shared" si="106"/>
        <v>403.2</v>
      </c>
      <c r="AG208" s="731"/>
      <c r="AH208" s="732"/>
      <c r="AI208" s="519">
        <f t="shared" si="107"/>
        <v>0</v>
      </c>
      <c r="AJ208" s="519">
        <f t="shared" si="108"/>
        <v>0</v>
      </c>
      <c r="AK208" s="519">
        <f t="shared" si="109"/>
        <v>0</v>
      </c>
      <c r="AL208" s="520">
        <f t="shared" si="110"/>
        <v>0</v>
      </c>
      <c r="AM208" s="520">
        <f t="shared" si="111"/>
        <v>0</v>
      </c>
      <c r="AN208" s="520">
        <f t="shared" si="112"/>
        <v>0</v>
      </c>
      <c r="AO208" s="520">
        <f t="shared" si="113"/>
        <v>0</v>
      </c>
      <c r="AP208" s="719"/>
      <c r="AQ208" s="719"/>
      <c r="AR208" s="719"/>
      <c r="AS208" s="719"/>
      <c r="AT208" s="719"/>
    </row>
    <row r="209" spans="1:46" s="555" customFormat="1" ht="22.5" customHeight="1">
      <c r="A209" s="451"/>
      <c r="B209" s="531" t="s">
        <v>692</v>
      </c>
      <c r="C209" s="523" t="s">
        <v>694</v>
      </c>
      <c r="D209" s="524">
        <v>121</v>
      </c>
      <c r="E209" s="525" t="s">
        <v>321</v>
      </c>
      <c r="F209" s="1314">
        <f>ROUND(K209*'Summary-E'!$K$61,0)</f>
        <v>28</v>
      </c>
      <c r="G209" s="527">
        <f t="shared" si="115"/>
        <v>7.98</v>
      </c>
      <c r="H209" s="528">
        <f>ROUND(F209*G209,2)</f>
        <v>223.44</v>
      </c>
      <c r="I209" s="529"/>
      <c r="J209" s="309"/>
      <c r="K209" s="1175">
        <v>27</v>
      </c>
      <c r="L209" s="530">
        <f>ROUND(AD209,2)</f>
        <v>3.29</v>
      </c>
      <c r="M209" s="530">
        <f t="shared" si="102"/>
        <v>92.12</v>
      </c>
      <c r="N209" s="309"/>
      <c r="O209" s="778">
        <v>121</v>
      </c>
      <c r="P209" s="777"/>
      <c r="Q209" s="777"/>
      <c r="R209" s="751"/>
      <c r="S209" s="752">
        <v>158000</v>
      </c>
      <c r="T209" s="792">
        <v>2.5</v>
      </c>
      <c r="U209" s="803">
        <v>0</v>
      </c>
      <c r="V209" s="803">
        <v>0</v>
      </c>
      <c r="W209" s="803">
        <v>0</v>
      </c>
      <c r="X209" s="858">
        <v>1</v>
      </c>
      <c r="Y209" s="310">
        <f>ROUND((R209+S209/'Summary-E'!$M$63)*X209,2)</f>
        <v>7.6</v>
      </c>
      <c r="Z209" s="858">
        <f t="shared" si="117"/>
        <v>1.05</v>
      </c>
      <c r="AA209" s="813">
        <f>ROUND(Y209*Z209,2)</f>
        <v>7.98</v>
      </c>
      <c r="AB209" s="447">
        <f t="shared" si="104"/>
        <v>0.05</v>
      </c>
      <c r="AC209" s="310">
        <f t="shared" si="100"/>
        <v>2.63</v>
      </c>
      <c r="AD209" s="717">
        <f>ROUND(AC209*'[1]Summary E&amp;M'!$R$94,2)</f>
        <v>3.29</v>
      </c>
      <c r="AE209" s="826">
        <f t="shared" si="105"/>
        <v>205.2</v>
      </c>
      <c r="AF209" s="826">
        <f t="shared" si="106"/>
        <v>71.010000000000005</v>
      </c>
      <c r="AG209" s="731"/>
      <c r="AH209" s="732"/>
      <c r="AI209" s="519">
        <f t="shared" si="107"/>
        <v>0</v>
      </c>
      <c r="AJ209" s="519">
        <f t="shared" si="108"/>
        <v>0</v>
      </c>
      <c r="AK209" s="519">
        <f t="shared" si="109"/>
        <v>0</v>
      </c>
      <c r="AL209" s="520">
        <f t="shared" si="110"/>
        <v>0</v>
      </c>
      <c r="AM209" s="520">
        <f t="shared" si="111"/>
        <v>0</v>
      </c>
      <c r="AN209" s="520">
        <f t="shared" si="112"/>
        <v>0</v>
      </c>
      <c r="AO209" s="520">
        <f t="shared" si="113"/>
        <v>0</v>
      </c>
      <c r="AP209" s="719"/>
      <c r="AQ209" s="719"/>
      <c r="AR209" s="719"/>
      <c r="AS209" s="719"/>
      <c r="AT209" s="719"/>
    </row>
    <row r="210" spans="1:46" s="555" customFormat="1" ht="22.5" customHeight="1">
      <c r="A210" s="451"/>
      <c r="B210" s="531" t="s">
        <v>692</v>
      </c>
      <c r="C210" s="523" t="s">
        <v>1052</v>
      </c>
      <c r="D210" s="524">
        <v>121</v>
      </c>
      <c r="E210" s="525" t="s">
        <v>321</v>
      </c>
      <c r="F210" s="1314">
        <f>ROUND(K210*'Summary-E'!$K$61,0)</f>
        <v>42</v>
      </c>
      <c r="G210" s="527">
        <f>ROUNDUP(AA210,2)</f>
        <v>8.7899999999999991</v>
      </c>
      <c r="H210" s="528">
        <f>ROUND(F210*G210,2)</f>
        <v>369.18</v>
      </c>
      <c r="I210" s="529"/>
      <c r="J210" s="309"/>
      <c r="K210" s="1175">
        <v>40</v>
      </c>
      <c r="L210" s="530">
        <f>ROUND(AD210,2)</f>
        <v>6.56</v>
      </c>
      <c r="M210" s="530">
        <f t="shared" si="102"/>
        <v>275.52</v>
      </c>
      <c r="N210" s="309"/>
      <c r="O210" s="778">
        <v>121</v>
      </c>
      <c r="P210" s="777"/>
      <c r="Q210" s="777"/>
      <c r="R210" s="751"/>
      <c r="S210" s="752">
        <v>174000</v>
      </c>
      <c r="T210" s="792">
        <v>5</v>
      </c>
      <c r="U210" s="803">
        <v>0</v>
      </c>
      <c r="V210" s="803">
        <v>0</v>
      </c>
      <c r="W210" s="803">
        <v>0</v>
      </c>
      <c r="X210" s="858">
        <v>1</v>
      </c>
      <c r="Y210" s="310">
        <f>ROUND((R210+S210/'Summary-E'!$M$63)*X210,2)</f>
        <v>8.3699999999999992</v>
      </c>
      <c r="Z210" s="858">
        <f t="shared" si="117"/>
        <v>1.05</v>
      </c>
      <c r="AA210" s="813">
        <f>ROUND(Y210*Z210,2)</f>
        <v>8.7899999999999991</v>
      </c>
      <c r="AB210" s="447">
        <f t="shared" si="104"/>
        <v>0.05</v>
      </c>
      <c r="AC210" s="310">
        <f>ROUND((T210*(1+AB210)),2)</f>
        <v>5.25</v>
      </c>
      <c r="AD210" s="717">
        <f>ROUND(AC210*'[1]Summary E&amp;M'!$R$94,2)</f>
        <v>6.56</v>
      </c>
      <c r="AE210" s="826">
        <f>ROUND($K210*$Y210,2)</f>
        <v>334.8</v>
      </c>
      <c r="AF210" s="826">
        <f>ROUND($K210*$AC210,2)</f>
        <v>210</v>
      </c>
      <c r="AG210" s="731"/>
      <c r="AH210" s="732"/>
      <c r="AI210" s="519">
        <f>$U210</f>
        <v>0</v>
      </c>
      <c r="AJ210" s="519">
        <f>$V210</f>
        <v>0</v>
      </c>
      <c r="AK210" s="519">
        <f>$W210</f>
        <v>0</v>
      </c>
      <c r="AL210" s="520">
        <f>ROUND(Y210*AI210+((Y210*(1+AI210))*AJ210)+((Y210*AI210+((Y210*(1+AI210))*AJ210))*AK210),2)</f>
        <v>0</v>
      </c>
      <c r="AM210" s="520">
        <f>AL210*$F210</f>
        <v>0</v>
      </c>
      <c r="AN210" s="520">
        <f>ROUND(AL210*Z210,2)</f>
        <v>0</v>
      </c>
      <c r="AO210" s="520">
        <f>AN210*$F210</f>
        <v>0</v>
      </c>
      <c r="AP210" s="719"/>
      <c r="AQ210" s="719"/>
      <c r="AR210" s="719"/>
      <c r="AS210" s="719"/>
      <c r="AT210" s="719"/>
    </row>
    <row r="211" spans="1:46" s="555" customFormat="1" ht="22.5" customHeight="1">
      <c r="A211" s="451"/>
      <c r="B211" s="531" t="s">
        <v>792</v>
      </c>
      <c r="C211" s="523" t="s">
        <v>694</v>
      </c>
      <c r="D211" s="524">
        <v>121</v>
      </c>
      <c r="E211" s="525" t="s">
        <v>321</v>
      </c>
      <c r="F211" s="1314">
        <f>ROUND(K211*'Summary-E'!$K$61,0)</f>
        <v>77</v>
      </c>
      <c r="G211" s="527">
        <f t="shared" si="115"/>
        <v>24.83</v>
      </c>
      <c r="H211" s="528">
        <f>ROUND(F211*G211,2)</f>
        <v>1911.91</v>
      </c>
      <c r="I211" s="529"/>
      <c r="J211" s="309"/>
      <c r="K211" s="1175">
        <v>73</v>
      </c>
      <c r="L211" s="530">
        <f>ROUND(AD211,2)</f>
        <v>4.5999999999999996</v>
      </c>
      <c r="M211" s="530">
        <f t="shared" si="102"/>
        <v>354.2</v>
      </c>
      <c r="N211" s="309"/>
      <c r="O211" s="778">
        <v>121</v>
      </c>
      <c r="P211" s="777"/>
      <c r="Q211" s="777"/>
      <c r="R211" s="751"/>
      <c r="S211" s="752">
        <v>492000</v>
      </c>
      <c r="T211" s="792">
        <v>3.5</v>
      </c>
      <c r="U211" s="803">
        <v>0</v>
      </c>
      <c r="V211" s="803">
        <v>0</v>
      </c>
      <c r="W211" s="803">
        <v>0</v>
      </c>
      <c r="X211" s="858">
        <v>1</v>
      </c>
      <c r="Y211" s="310">
        <f>ROUND((R211+S211/'Summary-E'!$M$63)*X211,2)</f>
        <v>23.65</v>
      </c>
      <c r="Z211" s="858">
        <f t="shared" si="117"/>
        <v>1.05</v>
      </c>
      <c r="AA211" s="813">
        <f>ROUND(Y211*Z211,2)</f>
        <v>24.83</v>
      </c>
      <c r="AB211" s="447">
        <f t="shared" si="104"/>
        <v>0.05</v>
      </c>
      <c r="AC211" s="310">
        <f t="shared" si="100"/>
        <v>3.68</v>
      </c>
      <c r="AD211" s="717">
        <f>ROUND(AC211*'[1]Summary E&amp;M'!$R$94,2)</f>
        <v>4.5999999999999996</v>
      </c>
      <c r="AE211" s="826">
        <f>ROUND($K211*$Y211,2)</f>
        <v>1726.45</v>
      </c>
      <c r="AF211" s="826">
        <f>ROUND($K211*$AC211,2)</f>
        <v>268.64</v>
      </c>
      <c r="AG211" s="731"/>
      <c r="AH211" s="732"/>
      <c r="AI211" s="519">
        <f>$U211</f>
        <v>0</v>
      </c>
      <c r="AJ211" s="519">
        <f>$V211</f>
        <v>0</v>
      </c>
      <c r="AK211" s="519">
        <f>$W211</f>
        <v>0</v>
      </c>
      <c r="AL211" s="520">
        <f t="shared" si="110"/>
        <v>0</v>
      </c>
      <c r="AM211" s="520">
        <f t="shared" si="111"/>
        <v>0</v>
      </c>
      <c r="AN211" s="520">
        <f t="shared" si="112"/>
        <v>0</v>
      </c>
      <c r="AO211" s="520">
        <f t="shared" si="113"/>
        <v>0</v>
      </c>
      <c r="AP211" s="719"/>
      <c r="AQ211" s="719"/>
      <c r="AR211" s="719"/>
      <c r="AS211" s="719"/>
      <c r="AT211" s="719"/>
    </row>
    <row r="212" spans="1:46" s="555" customFormat="1" ht="22.5" customHeight="1">
      <c r="A212" s="451"/>
      <c r="B212" s="531" t="s">
        <v>792</v>
      </c>
      <c r="C212" s="523" t="s">
        <v>786</v>
      </c>
      <c r="D212" s="524">
        <v>121</v>
      </c>
      <c r="E212" s="525" t="s">
        <v>321</v>
      </c>
      <c r="F212" s="1314">
        <f>ROUND(K212*'Summary-E'!$K$61,0)</f>
        <v>158</v>
      </c>
      <c r="G212" s="527">
        <f t="shared" si="115"/>
        <v>20.190000000000001</v>
      </c>
      <c r="H212" s="528">
        <f>ROUND(F212*G212,2)</f>
        <v>3190.02</v>
      </c>
      <c r="I212" s="529"/>
      <c r="J212" s="309"/>
      <c r="K212" s="1175">
        <v>150</v>
      </c>
      <c r="L212" s="530">
        <f>ROUND(AD212,2)</f>
        <v>3.94</v>
      </c>
      <c r="M212" s="530">
        <f t="shared" si="102"/>
        <v>622.52</v>
      </c>
      <c r="N212" s="309"/>
      <c r="O212" s="778">
        <v>121</v>
      </c>
      <c r="P212" s="777"/>
      <c r="Q212" s="777"/>
      <c r="R212" s="751"/>
      <c r="S212" s="752">
        <v>400000</v>
      </c>
      <c r="T212" s="792">
        <v>3</v>
      </c>
      <c r="U212" s="803">
        <v>0</v>
      </c>
      <c r="V212" s="803">
        <v>0</v>
      </c>
      <c r="W212" s="803">
        <v>0</v>
      </c>
      <c r="X212" s="858">
        <v>1</v>
      </c>
      <c r="Y212" s="310">
        <f>ROUND((R212+S212/'Summary-E'!$M$63)*X212,2)</f>
        <v>19.23</v>
      </c>
      <c r="Z212" s="858">
        <f t="shared" si="117"/>
        <v>1.05</v>
      </c>
      <c r="AA212" s="813">
        <f>ROUND(Y212*Z212,2)</f>
        <v>20.190000000000001</v>
      </c>
      <c r="AB212" s="447">
        <f t="shared" si="104"/>
        <v>0.05</v>
      </c>
      <c r="AC212" s="310">
        <f t="shared" si="100"/>
        <v>3.15</v>
      </c>
      <c r="AD212" s="717">
        <f>ROUND(AC212*'[1]Summary E&amp;M'!$R$94,2)</f>
        <v>3.94</v>
      </c>
      <c r="AE212" s="826">
        <f>ROUND($K212*$Y212,2)</f>
        <v>2884.5</v>
      </c>
      <c r="AF212" s="826">
        <f>ROUND($K212*$AC212,2)</f>
        <v>472.5</v>
      </c>
      <c r="AG212" s="731"/>
      <c r="AH212" s="732"/>
      <c r="AI212" s="519">
        <f>$U212</f>
        <v>0</v>
      </c>
      <c r="AJ212" s="519">
        <f>$V212</f>
        <v>0</v>
      </c>
      <c r="AK212" s="519">
        <f>$W212</f>
        <v>0</v>
      </c>
      <c r="AL212" s="520">
        <f t="shared" si="110"/>
        <v>0</v>
      </c>
      <c r="AM212" s="520">
        <f t="shared" si="111"/>
        <v>0</v>
      </c>
      <c r="AN212" s="520">
        <f t="shared" si="112"/>
        <v>0</v>
      </c>
      <c r="AO212" s="520">
        <f t="shared" si="113"/>
        <v>0</v>
      </c>
      <c r="AP212" s="719"/>
      <c r="AQ212" s="719"/>
      <c r="AR212" s="719"/>
      <c r="AS212" s="719"/>
      <c r="AT212" s="719"/>
    </row>
    <row r="213" spans="1:46" s="555" customFormat="1" ht="22.5" customHeight="1">
      <c r="A213" s="451"/>
      <c r="B213" s="531" t="s">
        <v>400</v>
      </c>
      <c r="C213" s="523"/>
      <c r="D213" s="524">
        <v>121</v>
      </c>
      <c r="E213" s="525" t="s">
        <v>322</v>
      </c>
      <c r="F213" s="1315">
        <f>K213</f>
        <v>1</v>
      </c>
      <c r="G213" s="527">
        <f t="shared" si="115"/>
        <v>4172.1000000000004</v>
      </c>
      <c r="H213" s="528">
        <f t="shared" si="116"/>
        <v>4172.1000000000004</v>
      </c>
      <c r="I213" s="529"/>
      <c r="J213" s="309"/>
      <c r="K213" s="1175">
        <v>1</v>
      </c>
      <c r="L213" s="530">
        <f t="shared" si="101"/>
        <v>1075.29</v>
      </c>
      <c r="M213" s="530">
        <f t="shared" si="102"/>
        <v>1075.29</v>
      </c>
      <c r="N213" s="309"/>
      <c r="O213" s="778" t="s">
        <v>139</v>
      </c>
      <c r="P213" s="777">
        <v>0.3</v>
      </c>
      <c r="Q213" s="777"/>
      <c r="R213" s="751">
        <f>ROUND(SUM(AE207:AE212)*P213,2)</f>
        <v>4096.32</v>
      </c>
      <c r="S213" s="752"/>
      <c r="T213" s="792">
        <f>R213*0.2</f>
        <v>819.26400000000001</v>
      </c>
      <c r="U213" s="803">
        <v>0</v>
      </c>
      <c r="V213" s="803">
        <v>0</v>
      </c>
      <c r="W213" s="803">
        <v>0</v>
      </c>
      <c r="X213" s="858">
        <f>SUMIF('Summary-E'!O$4:O$50,D213,'Summary-E'!Q$4:Q$50)</f>
        <v>0.97</v>
      </c>
      <c r="Y213" s="310">
        <f>ROUND((R213+S213/'Summary-E'!$M$63)*X213,2)</f>
        <v>3973.43</v>
      </c>
      <c r="Z213" s="858">
        <f t="shared" si="117"/>
        <v>1.05</v>
      </c>
      <c r="AA213" s="813">
        <f t="shared" si="103"/>
        <v>4172.1000000000004</v>
      </c>
      <c r="AB213" s="447">
        <f t="shared" si="104"/>
        <v>0.05</v>
      </c>
      <c r="AC213" s="310">
        <f t="shared" si="100"/>
        <v>860.23</v>
      </c>
      <c r="AD213" s="717">
        <f>ROUND(AC213*'[1]Summary E&amp;M'!$R$94,2)</f>
        <v>1075.29</v>
      </c>
      <c r="AE213" s="826">
        <f t="shared" si="105"/>
        <v>3973.43</v>
      </c>
      <c r="AF213" s="826">
        <f t="shared" si="106"/>
        <v>860.23</v>
      </c>
      <c r="AG213" s="731"/>
      <c r="AH213" s="732"/>
      <c r="AI213" s="519">
        <f t="shared" si="107"/>
        <v>0</v>
      </c>
      <c r="AJ213" s="519">
        <f t="shared" si="108"/>
        <v>0</v>
      </c>
      <c r="AK213" s="519">
        <f t="shared" si="109"/>
        <v>0</v>
      </c>
      <c r="AL213" s="520">
        <f t="shared" si="110"/>
        <v>0</v>
      </c>
      <c r="AM213" s="520">
        <f t="shared" si="111"/>
        <v>0</v>
      </c>
      <c r="AN213" s="520">
        <f t="shared" si="112"/>
        <v>0</v>
      </c>
      <c r="AO213" s="520">
        <f t="shared" si="113"/>
        <v>0</v>
      </c>
      <c r="AP213" s="719"/>
      <c r="AQ213" s="719"/>
      <c r="AR213" s="719"/>
      <c r="AS213" s="719"/>
      <c r="AT213" s="719"/>
    </row>
    <row r="214" spans="1:46" s="555" customFormat="1" ht="22.5" customHeight="1">
      <c r="A214" s="451"/>
      <c r="B214" s="531" t="s">
        <v>677</v>
      </c>
      <c r="C214" s="523"/>
      <c r="D214" s="524" t="s">
        <v>139</v>
      </c>
      <c r="E214" s="525" t="s">
        <v>322</v>
      </c>
      <c r="F214" s="1315">
        <f>K214</f>
        <v>1</v>
      </c>
      <c r="G214" s="527">
        <f t="shared" si="115"/>
        <v>2781.4</v>
      </c>
      <c r="H214" s="528">
        <f t="shared" si="116"/>
        <v>2781.4</v>
      </c>
      <c r="I214" s="529"/>
      <c r="J214" s="309"/>
      <c r="K214" s="1175">
        <v>1</v>
      </c>
      <c r="L214" s="530">
        <f t="shared" si="101"/>
        <v>1075.29</v>
      </c>
      <c r="M214" s="530">
        <f t="shared" si="102"/>
        <v>1075.29</v>
      </c>
      <c r="N214" s="309"/>
      <c r="O214" s="778" t="s">
        <v>130</v>
      </c>
      <c r="P214" s="777">
        <v>0.2</v>
      </c>
      <c r="Q214" s="777"/>
      <c r="R214" s="751">
        <f>ROUND(SUM(AE207:AE212)*P214,2)</f>
        <v>2730.88</v>
      </c>
      <c r="S214" s="752"/>
      <c r="T214" s="792">
        <f>R214*0.3</f>
        <v>819.26400000000001</v>
      </c>
      <c r="U214" s="803">
        <v>0</v>
      </c>
      <c r="V214" s="803">
        <v>0</v>
      </c>
      <c r="W214" s="803">
        <v>0</v>
      </c>
      <c r="X214" s="858">
        <f>SUMIF('Summary-E'!O$4:O$50,D214,'Summary-E'!Q$4:Q$50)</f>
        <v>0.97</v>
      </c>
      <c r="Y214" s="310">
        <f>ROUND((R214+S214/'Summary-E'!$M$63)*X214,2)</f>
        <v>2648.95</v>
      </c>
      <c r="Z214" s="858">
        <f t="shared" si="117"/>
        <v>1.05</v>
      </c>
      <c r="AA214" s="813">
        <f t="shared" si="103"/>
        <v>2781.4</v>
      </c>
      <c r="AB214" s="447">
        <f t="shared" si="104"/>
        <v>0.05</v>
      </c>
      <c r="AC214" s="310">
        <f t="shared" si="100"/>
        <v>860.23</v>
      </c>
      <c r="AD214" s="717">
        <f>ROUND(AC214*'[1]Summary E&amp;M'!$R$94,2)</f>
        <v>1075.29</v>
      </c>
      <c r="AE214" s="826">
        <f t="shared" si="105"/>
        <v>2648.95</v>
      </c>
      <c r="AF214" s="826">
        <f t="shared" si="106"/>
        <v>860.23</v>
      </c>
      <c r="AG214" s="731"/>
      <c r="AH214" s="732"/>
      <c r="AI214" s="519">
        <f t="shared" si="107"/>
        <v>0</v>
      </c>
      <c r="AJ214" s="519">
        <f t="shared" si="108"/>
        <v>0</v>
      </c>
      <c r="AK214" s="519">
        <f t="shared" si="109"/>
        <v>0</v>
      </c>
      <c r="AL214" s="520">
        <f t="shared" si="110"/>
        <v>0</v>
      </c>
      <c r="AM214" s="520">
        <f t="shared" si="111"/>
        <v>0</v>
      </c>
      <c r="AN214" s="520">
        <f t="shared" si="112"/>
        <v>0</v>
      </c>
      <c r="AO214" s="520">
        <f t="shared" si="113"/>
        <v>0</v>
      </c>
      <c r="AP214" s="719"/>
      <c r="AQ214" s="719"/>
      <c r="AR214" s="719"/>
      <c r="AS214" s="719"/>
      <c r="AT214" s="719"/>
    </row>
    <row r="215" spans="1:46" s="555" customFormat="1" ht="22.5" customHeight="1">
      <c r="A215" s="451"/>
      <c r="B215" s="531" t="s">
        <v>401</v>
      </c>
      <c r="C215" s="523"/>
      <c r="D215" s="524">
        <v>159</v>
      </c>
      <c r="E215" s="525" t="s">
        <v>322</v>
      </c>
      <c r="F215" s="1315">
        <f>K215</f>
        <v>1</v>
      </c>
      <c r="G215" s="527">
        <f>ROUNDUP(AA215,2)</f>
        <v>648.01</v>
      </c>
      <c r="H215" s="528">
        <f>ROUND(F215*G215,2)</f>
        <v>648.01</v>
      </c>
      <c r="I215" s="529"/>
      <c r="J215" s="309"/>
      <c r="K215" s="1175">
        <v>1</v>
      </c>
      <c r="L215" s="530">
        <f>ROUND(AD215,2)</f>
        <v>0</v>
      </c>
      <c r="M215" s="530">
        <f>ROUND(L215*F215,2)</f>
        <v>0</v>
      </c>
      <c r="N215" s="309"/>
      <c r="O215" s="778">
        <v>159</v>
      </c>
      <c r="P215" s="777">
        <v>0.02</v>
      </c>
      <c r="Q215" s="777"/>
      <c r="R215" s="751">
        <f>ROUND(SUM(AE189:AE214)*P215,2)</f>
        <v>636.24</v>
      </c>
      <c r="S215" s="752"/>
      <c r="T215" s="792"/>
      <c r="U215" s="803">
        <v>0</v>
      </c>
      <c r="V215" s="803">
        <v>0</v>
      </c>
      <c r="W215" s="803">
        <v>0</v>
      </c>
      <c r="X215" s="858">
        <f>SUMIF('Summary-E'!O$4:O$50,D215,'Summary-E'!Q$4:Q$50)</f>
        <v>0.97</v>
      </c>
      <c r="Y215" s="310">
        <f>ROUND((R215+S215/'Summary-E'!$M$63)*X215,2)</f>
        <v>617.15</v>
      </c>
      <c r="Z215" s="858">
        <f t="shared" si="117"/>
        <v>1.05</v>
      </c>
      <c r="AA215" s="813">
        <f>ROUND(Y215*Z215,2)</f>
        <v>648.01</v>
      </c>
      <c r="AB215" s="447">
        <f>$AB$3</f>
        <v>0.05</v>
      </c>
      <c r="AC215" s="310">
        <f t="shared" si="100"/>
        <v>0</v>
      </c>
      <c r="AD215" s="717">
        <f>ROUND(AC215*'[1]Summary E&amp;M'!$R$94,2)</f>
        <v>0</v>
      </c>
      <c r="AE215" s="826">
        <f t="shared" si="105"/>
        <v>617.15</v>
      </c>
      <c r="AF215" s="826">
        <f t="shared" si="106"/>
        <v>0</v>
      </c>
      <c r="AG215" s="731"/>
      <c r="AH215" s="732"/>
      <c r="AI215" s="519">
        <f>$U215</f>
        <v>0</v>
      </c>
      <c r="AJ215" s="519">
        <f>$V215</f>
        <v>0</v>
      </c>
      <c r="AK215" s="519">
        <f>$W215</f>
        <v>0</v>
      </c>
      <c r="AL215" s="520">
        <f>ROUND(Y215*AI215+((Y215*(1+AI215))*AJ215)+((Y215*AI215+((Y215*(1+AI215))*AJ215))*AK215),2)</f>
        <v>0</v>
      </c>
      <c r="AM215" s="520">
        <f>AL215*$F215</f>
        <v>0</v>
      </c>
      <c r="AN215" s="520">
        <f>ROUND(AL215*Z215,2)</f>
        <v>0</v>
      </c>
      <c r="AO215" s="520">
        <f>AN215*$F215</f>
        <v>0</v>
      </c>
      <c r="AP215" s="719"/>
      <c r="AQ215" s="719"/>
      <c r="AR215" s="719"/>
      <c r="AS215" s="719"/>
      <c r="AT215" s="719"/>
    </row>
    <row r="216" spans="1:46" s="555" customFormat="1" ht="22.5" customHeight="1">
      <c r="A216" s="451"/>
      <c r="B216" s="531"/>
      <c r="C216" s="523"/>
      <c r="D216" s="524"/>
      <c r="E216" s="525"/>
      <c r="F216" s="1314"/>
      <c r="G216" s="528"/>
      <c r="H216" s="528"/>
      <c r="I216" s="529"/>
      <c r="J216" s="309"/>
      <c r="K216" s="1175"/>
      <c r="L216" s="530"/>
      <c r="M216" s="530"/>
      <c r="N216" s="309"/>
      <c r="O216" s="778"/>
      <c r="P216" s="777"/>
      <c r="Q216" s="777"/>
      <c r="R216" s="751"/>
      <c r="S216" s="752"/>
      <c r="T216" s="792"/>
      <c r="U216" s="803"/>
      <c r="V216" s="803"/>
      <c r="W216" s="803"/>
      <c r="X216" s="858">
        <f>SUMIF('Summary-E'!O$4:O$50,D216,'Summary-E'!Q$4:Q$50)</f>
        <v>0</v>
      </c>
      <c r="Y216" s="310">
        <f>ROUND((R216+S216/'Summary-E'!$M$63)*X216,2)</f>
        <v>0</v>
      </c>
      <c r="Z216" s="858">
        <f t="shared" si="117"/>
        <v>1.05</v>
      </c>
      <c r="AA216" s="813"/>
      <c r="AB216" s="447"/>
      <c r="AC216" s="310">
        <f t="shared" si="100"/>
        <v>0</v>
      </c>
      <c r="AD216" s="717">
        <f>ROUND(AC216*'[1]Summary E&amp;M'!$R$94,2)</f>
        <v>0</v>
      </c>
      <c r="AE216" s="826">
        <f t="shared" si="105"/>
        <v>0</v>
      </c>
      <c r="AF216" s="826">
        <f t="shared" si="106"/>
        <v>0</v>
      </c>
      <c r="AG216" s="731"/>
      <c r="AH216" s="732"/>
      <c r="AI216" s="519"/>
      <c r="AJ216" s="519"/>
      <c r="AK216" s="519"/>
      <c r="AL216" s="520"/>
      <c r="AM216" s="520"/>
      <c r="AN216" s="520"/>
      <c r="AO216" s="520"/>
      <c r="AP216" s="719"/>
      <c r="AQ216" s="719"/>
      <c r="AR216" s="719"/>
      <c r="AS216" s="719"/>
      <c r="AT216" s="719"/>
    </row>
    <row r="217" spans="1:46" s="555" customFormat="1" ht="22.5" customHeight="1">
      <c r="A217" s="451"/>
      <c r="B217" s="531" t="s">
        <v>324</v>
      </c>
      <c r="C217" s="523"/>
      <c r="D217" s="524">
        <v>210</v>
      </c>
      <c r="E217" s="525" t="s">
        <v>319</v>
      </c>
      <c r="F217" s="1315">
        <f>K217</f>
        <v>1</v>
      </c>
      <c r="G217" s="528">
        <f>M219</f>
        <v>18505.120000000003</v>
      </c>
      <c r="H217" s="528">
        <f>ROUND(F217*G217,2)</f>
        <v>18505.12</v>
      </c>
      <c r="I217" s="529"/>
      <c r="J217" s="309"/>
      <c r="K217" s="1175">
        <v>1</v>
      </c>
      <c r="L217" s="530">
        <f>ROUND(AD217,2)</f>
        <v>0</v>
      </c>
      <c r="M217" s="530">
        <f>ROUND(L217*F217,2)</f>
        <v>0</v>
      </c>
      <c r="N217" s="309"/>
      <c r="O217" s="778">
        <v>210</v>
      </c>
      <c r="P217" s="777"/>
      <c r="Q217" s="777"/>
      <c r="R217" s="751"/>
      <c r="S217" s="752"/>
      <c r="T217" s="792"/>
      <c r="U217" s="803">
        <v>0</v>
      </c>
      <c r="V217" s="803">
        <v>0</v>
      </c>
      <c r="W217" s="803">
        <v>0</v>
      </c>
      <c r="X217" s="858">
        <f>SUMIF('Summary-E'!O$4:O$50,D217,'Summary-E'!Q$4:Q$50)</f>
        <v>0.05</v>
      </c>
      <c r="Y217" s="310">
        <f>ROUND((R217+S217/'Summary-E'!$M$63)*X217,2)</f>
        <v>0</v>
      </c>
      <c r="Z217" s="858">
        <f t="shared" si="117"/>
        <v>1.05</v>
      </c>
      <c r="AA217" s="813">
        <f>ROUND(Y217*Z217,2)</f>
        <v>0</v>
      </c>
      <c r="AB217" s="447">
        <f>$AB$3</f>
        <v>0.05</v>
      </c>
      <c r="AC217" s="310">
        <f t="shared" si="100"/>
        <v>0</v>
      </c>
      <c r="AD217" s="717">
        <f>ROUND(AC217*'[1]Summary E&amp;M'!$R$94,2)</f>
        <v>0</v>
      </c>
      <c r="AE217" s="826">
        <f t="shared" si="105"/>
        <v>0</v>
      </c>
      <c r="AF217" s="826">
        <f t="shared" si="106"/>
        <v>0</v>
      </c>
      <c r="AG217" s="731"/>
      <c r="AH217" s="732"/>
      <c r="AI217" s="519">
        <f>$U217</f>
        <v>0</v>
      </c>
      <c r="AJ217" s="519">
        <f>$V217</f>
        <v>0</v>
      </c>
      <c r="AK217" s="519">
        <f>$W217</f>
        <v>0</v>
      </c>
      <c r="AL217" s="520">
        <f>ROUND(Y217*AI217+((Y217*(1+AI217))*AJ217)+((Y217*AI217+((Y217*(1+AI217))*AJ217))*AK217),2)</f>
        <v>0</v>
      </c>
      <c r="AM217" s="520">
        <f>AL217*$F217</f>
        <v>0</v>
      </c>
      <c r="AN217" s="520">
        <f>ROUND(AL217*Z217,2)</f>
        <v>0</v>
      </c>
      <c r="AO217" s="520">
        <f>AN217*$F217</f>
        <v>0</v>
      </c>
      <c r="AP217" s="719"/>
      <c r="AQ217" s="719"/>
      <c r="AR217" s="719"/>
      <c r="AS217" s="719"/>
      <c r="AT217" s="719"/>
    </row>
    <row r="218" spans="1:46" s="555" customFormat="1" ht="22.5" customHeight="1">
      <c r="A218" s="620"/>
      <c r="B218" s="522"/>
      <c r="C218" s="523"/>
      <c r="D218" s="524"/>
      <c r="E218" s="525"/>
      <c r="F218" s="1314"/>
      <c r="G218" s="527"/>
      <c r="H218" s="528"/>
      <c r="I218" s="529"/>
      <c r="J218" s="311"/>
      <c r="K218" s="1175"/>
      <c r="L218" s="530"/>
      <c r="M218" s="530"/>
      <c r="N218" s="309"/>
      <c r="O218" s="776"/>
      <c r="P218" s="777"/>
      <c r="Q218" s="777"/>
      <c r="R218" s="751"/>
      <c r="S218" s="752"/>
      <c r="T218" s="792"/>
      <c r="U218" s="803"/>
      <c r="V218" s="803"/>
      <c r="W218" s="803"/>
      <c r="X218" s="858">
        <f>SUMIF('Summary-E'!O$4:O$50,D218,'Summary-E'!Q$4:Q$50)</f>
        <v>0</v>
      </c>
      <c r="Y218" s="310">
        <f>ROUND((R218+S218/'Summary-E'!$M$63)*X218,2)</f>
        <v>0</v>
      </c>
      <c r="Z218" s="858">
        <f t="shared" si="117"/>
        <v>1.05</v>
      </c>
      <c r="AA218" s="813"/>
      <c r="AB218" s="447"/>
      <c r="AC218" s="310">
        <f t="shared" si="100"/>
        <v>0</v>
      </c>
      <c r="AD218" s="717">
        <f>ROUND(AC218*'[1]Summary E&amp;M'!$R$94,2)</f>
        <v>0</v>
      </c>
      <c r="AE218" s="826"/>
      <c r="AF218" s="826"/>
      <c r="AG218" s="731"/>
      <c r="AH218" s="732"/>
      <c r="AI218" s="519"/>
      <c r="AJ218" s="519"/>
      <c r="AK218" s="519"/>
      <c r="AL218" s="520"/>
      <c r="AM218" s="520"/>
      <c r="AN218" s="520"/>
      <c r="AO218" s="520"/>
      <c r="AP218" s="719"/>
      <c r="AQ218" s="719"/>
      <c r="AR218" s="719"/>
      <c r="AS218" s="719"/>
      <c r="AT218" s="719"/>
    </row>
    <row r="219" spans="1:46" s="711" customFormat="1" ht="22.5" customHeight="1">
      <c r="A219" s="973"/>
      <c r="B219" s="974" t="s">
        <v>409</v>
      </c>
      <c r="C219" s="975"/>
      <c r="D219" s="976"/>
      <c r="E219" s="973"/>
      <c r="F219" s="1317"/>
      <c r="G219" s="971"/>
      <c r="H219" s="977">
        <f>SUBTOTAL(9,H176:H218)</f>
        <v>65604.55</v>
      </c>
      <c r="I219" s="978"/>
      <c r="J219" s="551"/>
      <c r="K219" s="1177"/>
      <c r="L219" s="550"/>
      <c r="M219" s="1051">
        <f>SUBTOTAL(9,M175:M217)</f>
        <v>18505.120000000003</v>
      </c>
      <c r="N219" s="549"/>
      <c r="O219" s="779"/>
      <c r="P219" s="780"/>
      <c r="Q219" s="780"/>
      <c r="R219" s="759"/>
      <c r="S219" s="760"/>
      <c r="T219" s="795"/>
      <c r="U219" s="803">
        <v>0</v>
      </c>
      <c r="V219" s="803">
        <v>0</v>
      </c>
      <c r="W219" s="803">
        <v>0</v>
      </c>
      <c r="X219" s="858">
        <f>SUMIF('Summary-E'!O$4:O$50,D219,'Summary-E'!Q$4:Q$50)</f>
        <v>0</v>
      </c>
      <c r="Y219" s="310">
        <f>ROUND((R219+S219/'Summary-E'!$M$63)*X219,2)</f>
        <v>0</v>
      </c>
      <c r="Z219" s="858">
        <f t="shared" si="117"/>
        <v>1.05</v>
      </c>
      <c r="AA219" s="816"/>
      <c r="AB219" s="552"/>
      <c r="AC219" s="310">
        <f t="shared" si="100"/>
        <v>0</v>
      </c>
      <c r="AD219" s="717">
        <f>ROUND(AC219*'[1]Summary E&amp;M'!$R$94,2)</f>
        <v>0</v>
      </c>
      <c r="AE219" s="828">
        <f>SUBTOTAL(9,AE176:AE218)</f>
        <v>43791.199999999997</v>
      </c>
      <c r="AF219" s="828">
        <f>SUBTOTAL(9,AF176:AF218)</f>
        <v>14267.33</v>
      </c>
      <c r="AG219" s="733"/>
      <c r="AH219" s="734"/>
      <c r="AI219" s="713"/>
      <c r="AJ219" s="713"/>
      <c r="AK219" s="713"/>
      <c r="AL219" s="713"/>
      <c r="AM219" s="712">
        <f>SUBTOTAL(9,AM176:AM217)</f>
        <v>0</v>
      </c>
      <c r="AN219" s="713"/>
      <c r="AO219" s="712">
        <f>SUBTOTAL(9,AO176:AO217)</f>
        <v>0</v>
      </c>
      <c r="AP219" s="722"/>
      <c r="AQ219" s="722"/>
      <c r="AR219" s="722"/>
      <c r="AS219" s="722"/>
      <c r="AT219" s="722"/>
    </row>
    <row r="220" spans="1:46" s="555" customFormat="1" ht="22.5" customHeight="1">
      <c r="A220" s="620"/>
      <c r="B220" s="522"/>
      <c r="C220" s="523"/>
      <c r="D220" s="524"/>
      <c r="E220" s="525"/>
      <c r="F220" s="1314"/>
      <c r="G220" s="527"/>
      <c r="H220" s="528"/>
      <c r="I220" s="529"/>
      <c r="J220" s="311"/>
      <c r="K220" s="1175"/>
      <c r="L220" s="530"/>
      <c r="M220" s="530"/>
      <c r="N220" s="309"/>
      <c r="O220" s="776"/>
      <c r="P220" s="777"/>
      <c r="Q220" s="777"/>
      <c r="R220" s="751"/>
      <c r="S220" s="752"/>
      <c r="T220" s="792"/>
      <c r="U220" s="803"/>
      <c r="V220" s="803"/>
      <c r="W220" s="803"/>
      <c r="X220" s="858">
        <f>SUMIF('Summary-E'!O$4:O$50,D220,'Summary-E'!Q$4:Q$50)</f>
        <v>0</v>
      </c>
      <c r="Y220" s="310">
        <f>ROUND((R220+S220/'Summary-E'!$M$63)*X220,2)</f>
        <v>0</v>
      </c>
      <c r="Z220" s="858">
        <f t="shared" si="117"/>
        <v>1.05</v>
      </c>
      <c r="AA220" s="813"/>
      <c r="AB220" s="447"/>
      <c r="AC220" s="310">
        <f t="shared" si="100"/>
        <v>0</v>
      </c>
      <c r="AD220" s="717">
        <f>ROUND(AC220*'[1]Summary E&amp;M'!$R$94,2)</f>
        <v>0</v>
      </c>
      <c r="AE220" s="826"/>
      <c r="AF220" s="826"/>
      <c r="AG220" s="731"/>
      <c r="AH220" s="732"/>
      <c r="AI220" s="519"/>
      <c r="AJ220" s="519"/>
      <c r="AK220" s="519"/>
      <c r="AL220" s="520"/>
      <c r="AM220" s="520"/>
      <c r="AN220" s="520"/>
      <c r="AO220" s="520"/>
      <c r="AP220" s="719"/>
      <c r="AQ220" s="719"/>
      <c r="AR220" s="719"/>
      <c r="AS220" s="719"/>
      <c r="AT220" s="719"/>
    </row>
    <row r="221" spans="1:46" s="555" customFormat="1" ht="22.5" customHeight="1">
      <c r="A221" s="620" t="s">
        <v>410</v>
      </c>
      <c r="B221" s="522" t="s">
        <v>141</v>
      </c>
      <c r="C221" s="523"/>
      <c r="D221" s="524"/>
      <c r="E221" s="525"/>
      <c r="F221" s="1314"/>
      <c r="G221" s="527"/>
      <c r="H221" s="528"/>
      <c r="I221" s="529"/>
      <c r="J221" s="311"/>
      <c r="K221" s="1175"/>
      <c r="L221" s="530"/>
      <c r="M221" s="530"/>
      <c r="N221" s="309"/>
      <c r="O221" s="776"/>
      <c r="P221" s="777"/>
      <c r="Q221" s="777"/>
      <c r="R221" s="751"/>
      <c r="S221" s="752"/>
      <c r="T221" s="792"/>
      <c r="U221" s="803"/>
      <c r="V221" s="803"/>
      <c r="W221" s="803"/>
      <c r="X221" s="858">
        <f>SUMIF('Summary-E'!O$4:O$50,D221,'Summary-E'!Q$4:Q$50)</f>
        <v>0</v>
      </c>
      <c r="Y221" s="310">
        <f>ROUND((R221+S221/'Summary-E'!$M$63)*X221,2)</f>
        <v>0</v>
      </c>
      <c r="Z221" s="858">
        <f t="shared" si="117"/>
        <v>1.05</v>
      </c>
      <c r="AA221" s="813"/>
      <c r="AB221" s="447"/>
      <c r="AC221" s="310">
        <f t="shared" si="100"/>
        <v>0</v>
      </c>
      <c r="AD221" s="717">
        <f>ROUND(AC221*'[1]Summary E&amp;M'!$R$94,2)</f>
        <v>0</v>
      </c>
      <c r="AE221" s="826">
        <f t="shared" ref="AE221:AE274" si="128">ROUND($K221*$Y221,2)</f>
        <v>0</v>
      </c>
      <c r="AF221" s="826">
        <f t="shared" ref="AF221:AF274" si="129">ROUND($K221*$AC221,2)</f>
        <v>0</v>
      </c>
      <c r="AG221" s="731"/>
      <c r="AH221" s="732"/>
      <c r="AI221" s="519"/>
      <c r="AJ221" s="519"/>
      <c r="AK221" s="519"/>
      <c r="AL221" s="520"/>
      <c r="AM221" s="520"/>
      <c r="AN221" s="520"/>
      <c r="AO221" s="520"/>
      <c r="AP221" s="719"/>
      <c r="AQ221" s="719"/>
      <c r="AR221" s="719"/>
      <c r="AS221" s="719"/>
      <c r="AT221" s="719"/>
    </row>
    <row r="222" spans="1:46" s="555" customFormat="1" ht="22.5" customHeight="1">
      <c r="A222" s="641" t="s">
        <v>716</v>
      </c>
      <c r="B222" s="522" t="s">
        <v>695</v>
      </c>
      <c r="C222" s="523"/>
      <c r="D222" s="524"/>
      <c r="E222" s="525"/>
      <c r="F222" s="1314"/>
      <c r="G222" s="527"/>
      <c r="H222" s="528"/>
      <c r="I222" s="529"/>
      <c r="J222" s="309"/>
      <c r="K222" s="1175"/>
      <c r="L222" s="530"/>
      <c r="M222" s="530"/>
      <c r="N222" s="309"/>
      <c r="O222" s="778"/>
      <c r="P222" s="777"/>
      <c r="Q222" s="777"/>
      <c r="R222" s="751"/>
      <c r="S222" s="752"/>
      <c r="T222" s="792"/>
      <c r="U222" s="803"/>
      <c r="V222" s="803"/>
      <c r="W222" s="803"/>
      <c r="X222" s="858">
        <f>SUMIF('Summary-E'!O$4:O$50,D222,'Summary-E'!Q$4:Q$50)</f>
        <v>0</v>
      </c>
      <c r="Y222" s="310">
        <f>ROUND((R222+S222/'Summary-E'!$M$63)*X222,2)</f>
        <v>0</v>
      </c>
      <c r="Z222" s="858">
        <f t="shared" si="117"/>
        <v>1.05</v>
      </c>
      <c r="AA222" s="813"/>
      <c r="AB222" s="447"/>
      <c r="AC222" s="310">
        <f t="shared" si="100"/>
        <v>0</v>
      </c>
      <c r="AD222" s="717">
        <f>ROUND(AC222*'[1]Summary E&amp;M'!$R$94,2)</f>
        <v>0</v>
      </c>
      <c r="AE222" s="826">
        <f t="shared" si="128"/>
        <v>0</v>
      </c>
      <c r="AF222" s="826">
        <f t="shared" si="129"/>
        <v>0</v>
      </c>
      <c r="AG222" s="731"/>
      <c r="AH222" s="732"/>
      <c r="AI222" s="519"/>
      <c r="AJ222" s="519"/>
      <c r="AK222" s="519"/>
      <c r="AL222" s="520"/>
      <c r="AM222" s="520"/>
      <c r="AN222" s="520"/>
      <c r="AO222" s="520"/>
      <c r="AP222" s="719"/>
      <c r="AQ222" s="719"/>
      <c r="AR222" s="719"/>
      <c r="AS222" s="719"/>
      <c r="AT222" s="719"/>
    </row>
    <row r="223" spans="1:46" s="555" customFormat="1" ht="22.5" customHeight="1">
      <c r="A223" s="451"/>
      <c r="B223" s="531" t="s">
        <v>1073</v>
      </c>
      <c r="C223" s="523"/>
      <c r="D223" s="524" t="s">
        <v>132</v>
      </c>
      <c r="E223" s="525" t="s">
        <v>684</v>
      </c>
      <c r="F223" s="1315">
        <f t="shared" ref="F223:F248" si="130">K223</f>
        <v>1</v>
      </c>
      <c r="G223" s="527">
        <f t="shared" ref="G223:G280" si="131">ROUNDUP(AA223,2)</f>
        <v>1194.3800000000001</v>
      </c>
      <c r="H223" s="528">
        <f t="shared" ref="H223:H274" si="132">ROUND(F223*G223,2)</f>
        <v>1194.3800000000001</v>
      </c>
      <c r="I223" s="1245"/>
      <c r="J223" s="309"/>
      <c r="K223" s="1175">
        <v>1</v>
      </c>
      <c r="L223" s="530">
        <f t="shared" ref="L223:L274" si="133">ROUND(AD223,2)</f>
        <v>196.88</v>
      </c>
      <c r="M223" s="530">
        <f t="shared" ref="M223:M274" si="134">ROUND(L223*F223,2)</f>
        <v>196.88</v>
      </c>
      <c r="N223" s="309"/>
      <c r="O223" s="778" t="s">
        <v>132</v>
      </c>
      <c r="P223" s="777"/>
      <c r="Q223" s="777"/>
      <c r="R223" s="751"/>
      <c r="S223" s="1098">
        <v>23660000</v>
      </c>
      <c r="T223" s="792">
        <v>150</v>
      </c>
      <c r="U223" s="803">
        <v>0</v>
      </c>
      <c r="V223" s="803">
        <v>0</v>
      </c>
      <c r="W223" s="803">
        <v>0</v>
      </c>
      <c r="X223" s="858">
        <v>1</v>
      </c>
      <c r="Y223" s="310">
        <f>ROUND((R223+S223/'[2]Summary E&amp;M (Origin)'!$O$103)*X223,2)</f>
        <v>1137.5</v>
      </c>
      <c r="Z223" s="858">
        <f t="shared" si="117"/>
        <v>1.05</v>
      </c>
      <c r="AA223" s="813">
        <f t="shared" ref="AA223:AA274" si="135">ROUND(Y223*Z223,2)</f>
        <v>1194.3800000000001</v>
      </c>
      <c r="AB223" s="447">
        <f t="shared" ref="AB223:AB274" si="136">$AB$3</f>
        <v>0.05</v>
      </c>
      <c r="AC223" s="310">
        <f t="shared" si="100"/>
        <v>157.5</v>
      </c>
      <c r="AD223" s="717">
        <f>ROUND(AC223*'[1]Summary E&amp;M'!$R$94,2)</f>
        <v>196.88</v>
      </c>
      <c r="AE223" s="826">
        <f t="shared" si="128"/>
        <v>1137.5</v>
      </c>
      <c r="AF223" s="826">
        <f t="shared" si="129"/>
        <v>157.5</v>
      </c>
      <c r="AG223" s="731">
        <v>3228.1</v>
      </c>
      <c r="AH223" s="732">
        <v>99.75</v>
      </c>
      <c r="AI223" s="519">
        <f t="shared" ref="AI223:AI274" si="137">$U223</f>
        <v>0</v>
      </c>
      <c r="AJ223" s="519">
        <f t="shared" ref="AJ223:AJ274" si="138">$V223</f>
        <v>0</v>
      </c>
      <c r="AK223" s="519">
        <f t="shared" ref="AK223:AK274" si="139">$W223</f>
        <v>0</v>
      </c>
      <c r="AL223" s="520">
        <f t="shared" ref="AL223:AL274" si="140">ROUND(Y223*AI223+((Y223*(1+AI223))*AJ223)+((Y223*AI223+((Y223*(1+AI223))*AJ223))*AK223),2)</f>
        <v>0</v>
      </c>
      <c r="AM223" s="520">
        <f t="shared" ref="AM223:AM274" si="141">AL223*$F223</f>
        <v>0</v>
      </c>
      <c r="AN223" s="520">
        <f t="shared" ref="AN223:AN274" si="142">ROUND(AL223*Z223,2)</f>
        <v>0</v>
      </c>
      <c r="AO223" s="520">
        <f t="shared" ref="AO223:AO274" si="143">AN223*$F223</f>
        <v>0</v>
      </c>
      <c r="AP223" s="719"/>
      <c r="AQ223" s="719"/>
      <c r="AR223" s="719"/>
      <c r="AS223" s="719"/>
      <c r="AT223" s="719"/>
    </row>
    <row r="224" spans="1:46" s="555" customFormat="1" ht="22.5" customHeight="1">
      <c r="A224" s="451"/>
      <c r="B224" s="531" t="s">
        <v>1074</v>
      </c>
      <c r="C224" s="523"/>
      <c r="D224" s="524" t="s">
        <v>132</v>
      </c>
      <c r="E224" s="525" t="s">
        <v>684</v>
      </c>
      <c r="F224" s="1315">
        <f t="shared" si="130"/>
        <v>1</v>
      </c>
      <c r="G224" s="527">
        <f t="shared" si="131"/>
        <v>1439.71</v>
      </c>
      <c r="H224" s="528">
        <f t="shared" si="132"/>
        <v>1439.71</v>
      </c>
      <c r="I224" s="529"/>
      <c r="J224" s="309"/>
      <c r="K224" s="1175">
        <v>1</v>
      </c>
      <c r="L224" s="530">
        <f t="shared" si="133"/>
        <v>196.88</v>
      </c>
      <c r="M224" s="530">
        <f t="shared" si="134"/>
        <v>196.88</v>
      </c>
      <c r="N224" s="309"/>
      <c r="O224" s="778" t="s">
        <v>132</v>
      </c>
      <c r="P224" s="777"/>
      <c r="Q224" s="777"/>
      <c r="R224" s="751"/>
      <c r="S224" s="1098">
        <v>28520000</v>
      </c>
      <c r="T224" s="792">
        <v>150</v>
      </c>
      <c r="U224" s="803">
        <v>0</v>
      </c>
      <c r="V224" s="803">
        <v>0</v>
      </c>
      <c r="W224" s="803">
        <v>0</v>
      </c>
      <c r="X224" s="858">
        <v>1</v>
      </c>
      <c r="Y224" s="310">
        <f>ROUND((R224+S224/'[2]Summary E&amp;M (Origin)'!$O$103)*X224,2)</f>
        <v>1371.15</v>
      </c>
      <c r="Z224" s="858">
        <f t="shared" si="117"/>
        <v>1.05</v>
      </c>
      <c r="AA224" s="813">
        <f>ROUND(Y224*Z224,2)</f>
        <v>1439.71</v>
      </c>
      <c r="AB224" s="447">
        <f t="shared" si="136"/>
        <v>0.05</v>
      </c>
      <c r="AC224" s="310">
        <f t="shared" si="100"/>
        <v>157.5</v>
      </c>
      <c r="AD224" s="717">
        <f>ROUND(AC224*'[1]Summary E&amp;M'!$R$94,2)</f>
        <v>196.88</v>
      </c>
      <c r="AE224" s="826">
        <f t="shared" si="128"/>
        <v>1371.15</v>
      </c>
      <c r="AF224" s="826">
        <f t="shared" si="129"/>
        <v>157.5</v>
      </c>
      <c r="AG224" s="731">
        <v>3228.1</v>
      </c>
      <c r="AH224" s="732">
        <v>99.75</v>
      </c>
      <c r="AI224" s="519">
        <f t="shared" si="137"/>
        <v>0</v>
      </c>
      <c r="AJ224" s="519">
        <f t="shared" si="138"/>
        <v>0</v>
      </c>
      <c r="AK224" s="519">
        <f t="shared" si="139"/>
        <v>0</v>
      </c>
      <c r="AL224" s="520">
        <f t="shared" si="140"/>
        <v>0</v>
      </c>
      <c r="AM224" s="520">
        <f t="shared" si="141"/>
        <v>0</v>
      </c>
      <c r="AN224" s="520">
        <f t="shared" si="142"/>
        <v>0</v>
      </c>
      <c r="AO224" s="520">
        <f t="shared" si="143"/>
        <v>0</v>
      </c>
      <c r="AP224" s="719"/>
      <c r="AQ224" s="719"/>
      <c r="AR224" s="719"/>
      <c r="AS224" s="719"/>
      <c r="AT224" s="719"/>
    </row>
    <row r="225" spans="1:46" s="555" customFormat="1" ht="22.5" customHeight="1">
      <c r="A225" s="451"/>
      <c r="B225" s="531" t="s">
        <v>1075</v>
      </c>
      <c r="C225" s="523"/>
      <c r="D225" s="524" t="s">
        <v>132</v>
      </c>
      <c r="E225" s="525" t="s">
        <v>684</v>
      </c>
      <c r="F225" s="1315">
        <f t="shared" si="130"/>
        <v>1</v>
      </c>
      <c r="G225" s="527">
        <f t="shared" si="131"/>
        <v>2823.89</v>
      </c>
      <c r="H225" s="528">
        <f t="shared" si="132"/>
        <v>2823.89</v>
      </c>
      <c r="I225" s="529"/>
      <c r="J225" s="309"/>
      <c r="K225" s="1175">
        <v>1</v>
      </c>
      <c r="L225" s="530">
        <f t="shared" si="133"/>
        <v>196.88</v>
      </c>
      <c r="M225" s="530">
        <f t="shared" si="134"/>
        <v>196.88</v>
      </c>
      <c r="N225" s="309"/>
      <c r="O225" s="778" t="s">
        <v>132</v>
      </c>
      <c r="P225" s="777"/>
      <c r="Q225" s="777"/>
      <c r="R225" s="751"/>
      <c r="S225" s="1098">
        <v>55940000</v>
      </c>
      <c r="T225" s="792">
        <v>150</v>
      </c>
      <c r="U225" s="803">
        <v>0</v>
      </c>
      <c r="V225" s="803">
        <v>0</v>
      </c>
      <c r="W225" s="803">
        <v>0</v>
      </c>
      <c r="X225" s="858">
        <v>1</v>
      </c>
      <c r="Y225" s="310">
        <f>ROUND((R225+S225/'[2]Summary E&amp;M (Origin)'!$O$103)*X225,2)</f>
        <v>2689.42</v>
      </c>
      <c r="Z225" s="858">
        <f t="shared" si="117"/>
        <v>1.05</v>
      </c>
      <c r="AA225" s="813">
        <f t="shared" si="135"/>
        <v>2823.89</v>
      </c>
      <c r="AB225" s="447">
        <f t="shared" si="136"/>
        <v>0.05</v>
      </c>
      <c r="AC225" s="310">
        <f>ROUND((T225*(1+AB225)),2)</f>
        <v>157.5</v>
      </c>
      <c r="AD225" s="717">
        <f>ROUND(AC225*'[1]Summary E&amp;M'!$R$94,2)</f>
        <v>196.88</v>
      </c>
      <c r="AE225" s="826">
        <f t="shared" si="128"/>
        <v>2689.42</v>
      </c>
      <c r="AF225" s="826">
        <f t="shared" si="129"/>
        <v>157.5</v>
      </c>
      <c r="AG225" s="731">
        <v>3228.1</v>
      </c>
      <c r="AH225" s="732">
        <v>99.75</v>
      </c>
      <c r="AI225" s="519">
        <f t="shared" si="137"/>
        <v>0</v>
      </c>
      <c r="AJ225" s="519">
        <f t="shared" si="138"/>
        <v>0</v>
      </c>
      <c r="AK225" s="519">
        <f t="shared" si="139"/>
        <v>0</v>
      </c>
      <c r="AL225" s="520">
        <f t="shared" si="140"/>
        <v>0</v>
      </c>
      <c r="AM225" s="520">
        <f t="shared" si="141"/>
        <v>0</v>
      </c>
      <c r="AN225" s="520">
        <f t="shared" si="142"/>
        <v>0</v>
      </c>
      <c r="AO225" s="520">
        <f t="shared" si="143"/>
        <v>0</v>
      </c>
      <c r="AP225" s="719"/>
      <c r="AQ225" s="719"/>
      <c r="AR225" s="719"/>
      <c r="AS225" s="719"/>
      <c r="AT225" s="719"/>
    </row>
    <row r="226" spans="1:46" s="555" customFormat="1" ht="22.5" customHeight="1">
      <c r="A226" s="451"/>
      <c r="B226" s="531" t="s">
        <v>1189</v>
      </c>
      <c r="C226" s="523"/>
      <c r="D226" s="524" t="s">
        <v>132</v>
      </c>
      <c r="E226" s="525" t="s">
        <v>684</v>
      </c>
      <c r="F226" s="1315">
        <f t="shared" si="130"/>
        <v>1</v>
      </c>
      <c r="G226" s="527">
        <f t="shared" si="131"/>
        <v>2691.13</v>
      </c>
      <c r="H226" s="528">
        <f t="shared" si="132"/>
        <v>2691.13</v>
      </c>
      <c r="I226" s="529"/>
      <c r="J226" s="309"/>
      <c r="K226" s="1175">
        <v>1</v>
      </c>
      <c r="L226" s="530">
        <f t="shared" si="133"/>
        <v>196.88</v>
      </c>
      <c r="M226" s="530">
        <f t="shared" si="134"/>
        <v>196.88</v>
      </c>
      <c r="N226" s="309"/>
      <c r="O226" s="778" t="s">
        <v>132</v>
      </c>
      <c r="P226" s="777"/>
      <c r="Q226" s="777"/>
      <c r="R226" s="751"/>
      <c r="S226" s="1098">
        <v>53310000</v>
      </c>
      <c r="T226" s="792">
        <v>150</v>
      </c>
      <c r="U226" s="803">
        <v>0</v>
      </c>
      <c r="V226" s="803">
        <v>0</v>
      </c>
      <c r="W226" s="803">
        <v>0</v>
      </c>
      <c r="X226" s="858">
        <v>1</v>
      </c>
      <c r="Y226" s="310">
        <f>ROUND((R226+S226/'[2]Summary E&amp;M (Origin)'!$O$103)*X226,2)</f>
        <v>2562.98</v>
      </c>
      <c r="Z226" s="858">
        <f t="shared" si="117"/>
        <v>1.05</v>
      </c>
      <c r="AA226" s="813">
        <f t="shared" si="135"/>
        <v>2691.13</v>
      </c>
      <c r="AB226" s="447">
        <f t="shared" si="136"/>
        <v>0.05</v>
      </c>
      <c r="AC226" s="310">
        <f t="shared" si="100"/>
        <v>157.5</v>
      </c>
      <c r="AD226" s="717">
        <f>ROUND(AC226*'[1]Summary E&amp;M'!$R$94,2)</f>
        <v>196.88</v>
      </c>
      <c r="AE226" s="826">
        <f t="shared" si="128"/>
        <v>2562.98</v>
      </c>
      <c r="AF226" s="826">
        <f t="shared" si="129"/>
        <v>157.5</v>
      </c>
      <c r="AG226" s="731">
        <v>3092.25</v>
      </c>
      <c r="AH226" s="732">
        <v>99.75</v>
      </c>
      <c r="AI226" s="519">
        <f t="shared" si="137"/>
        <v>0</v>
      </c>
      <c r="AJ226" s="519">
        <f t="shared" si="138"/>
        <v>0</v>
      </c>
      <c r="AK226" s="519">
        <f t="shared" si="139"/>
        <v>0</v>
      </c>
      <c r="AL226" s="520">
        <f t="shared" si="140"/>
        <v>0</v>
      </c>
      <c r="AM226" s="520">
        <f t="shared" si="141"/>
        <v>0</v>
      </c>
      <c r="AN226" s="520">
        <f t="shared" si="142"/>
        <v>0</v>
      </c>
      <c r="AO226" s="520">
        <f t="shared" si="143"/>
        <v>0</v>
      </c>
      <c r="AP226" s="719"/>
      <c r="AQ226" s="719"/>
      <c r="AR226" s="719"/>
      <c r="AS226" s="719"/>
      <c r="AT226" s="719"/>
    </row>
    <row r="227" spans="1:46" s="555" customFormat="1" ht="22.5" customHeight="1">
      <c r="A227" s="451"/>
      <c r="B227" s="531" t="s">
        <v>1190</v>
      </c>
      <c r="C227" s="523"/>
      <c r="D227" s="524" t="s">
        <v>132</v>
      </c>
      <c r="E227" s="525" t="s">
        <v>684</v>
      </c>
      <c r="F227" s="1315">
        <f t="shared" ref="F227" si="144">K227</f>
        <v>1</v>
      </c>
      <c r="G227" s="527">
        <f t="shared" ref="G227" si="145">ROUNDUP(AA227,2)</f>
        <v>2823.39</v>
      </c>
      <c r="H227" s="528">
        <f t="shared" ref="H227" si="146">ROUND(F227*G227,2)</f>
        <v>2823.39</v>
      </c>
      <c r="I227" s="529"/>
      <c r="J227" s="309"/>
      <c r="K227" s="1175">
        <v>1</v>
      </c>
      <c r="L227" s="530">
        <f t="shared" ref="L227" si="147">ROUND(AD227,2)</f>
        <v>196.88</v>
      </c>
      <c r="M227" s="530">
        <f t="shared" ref="M227" si="148">ROUND(L227*F227,2)</f>
        <v>196.88</v>
      </c>
      <c r="N227" s="309"/>
      <c r="O227" s="778" t="s">
        <v>132</v>
      </c>
      <c r="P227" s="777"/>
      <c r="Q227" s="777"/>
      <c r="R227" s="751"/>
      <c r="S227" s="1098">
        <v>55930000</v>
      </c>
      <c r="T227" s="792">
        <v>150</v>
      </c>
      <c r="U227" s="803">
        <v>0</v>
      </c>
      <c r="V227" s="803">
        <v>0</v>
      </c>
      <c r="W227" s="803">
        <v>0</v>
      </c>
      <c r="X227" s="858">
        <v>1</v>
      </c>
      <c r="Y227" s="310">
        <f>ROUND((R227+S227/'[2]Summary E&amp;M (Origin)'!$O$103)*X227,2)</f>
        <v>2688.94</v>
      </c>
      <c r="Z227" s="858">
        <f t="shared" si="117"/>
        <v>1.05</v>
      </c>
      <c r="AA227" s="813">
        <f t="shared" ref="AA227" si="149">ROUND(Y227*Z227,2)</f>
        <v>2823.39</v>
      </c>
      <c r="AB227" s="447">
        <f t="shared" si="136"/>
        <v>0.05</v>
      </c>
      <c r="AC227" s="310">
        <f t="shared" ref="AC227" si="150">ROUND((T227*(1+AB227)),2)</f>
        <v>157.5</v>
      </c>
      <c r="AD227" s="717">
        <f>ROUND(AC227*'[1]Summary E&amp;M'!$R$94,2)</f>
        <v>196.88</v>
      </c>
      <c r="AE227" s="826">
        <f t="shared" si="128"/>
        <v>2688.94</v>
      </c>
      <c r="AF227" s="826">
        <f t="shared" si="129"/>
        <v>157.5</v>
      </c>
      <c r="AG227" s="731">
        <v>3092.25</v>
      </c>
      <c r="AH227" s="732">
        <v>99.75</v>
      </c>
      <c r="AI227" s="519">
        <f t="shared" si="137"/>
        <v>0</v>
      </c>
      <c r="AJ227" s="519">
        <f t="shared" si="138"/>
        <v>0</v>
      </c>
      <c r="AK227" s="519">
        <f t="shared" si="139"/>
        <v>0</v>
      </c>
      <c r="AL227" s="520">
        <f t="shared" ref="AL227" si="151">ROUND(Y227*AI227+((Y227*(1+AI227))*AJ227)+((Y227*AI227+((Y227*(1+AI227))*AJ227))*AK227),2)</f>
        <v>0</v>
      </c>
      <c r="AM227" s="520">
        <f t="shared" ref="AM227" si="152">AL227*$F227</f>
        <v>0</v>
      </c>
      <c r="AN227" s="520">
        <f t="shared" ref="AN227" si="153">ROUND(AL227*Z227,2)</f>
        <v>0</v>
      </c>
      <c r="AO227" s="520">
        <f t="shared" ref="AO227" si="154">AN227*$F227</f>
        <v>0</v>
      </c>
      <c r="AP227" s="719"/>
      <c r="AQ227" s="719"/>
      <c r="AR227" s="719"/>
      <c r="AS227" s="719"/>
      <c r="AT227" s="719"/>
    </row>
    <row r="228" spans="1:46" s="555" customFormat="1" ht="22.5" customHeight="1">
      <c r="A228" s="451"/>
      <c r="B228" s="531" t="s">
        <v>1191</v>
      </c>
      <c r="C228" s="523"/>
      <c r="D228" s="524" t="s">
        <v>132</v>
      </c>
      <c r="E228" s="525" t="s">
        <v>684</v>
      </c>
      <c r="F228" s="1315">
        <f t="shared" ref="F228" si="155">K228</f>
        <v>1</v>
      </c>
      <c r="G228" s="527">
        <f t="shared" ref="G228" si="156">ROUNDUP(AA228,2)</f>
        <v>2973.82</v>
      </c>
      <c r="H228" s="528">
        <f t="shared" ref="H228" si="157">ROUND(F228*G228,2)</f>
        <v>2973.82</v>
      </c>
      <c r="I228" s="529"/>
      <c r="J228" s="309"/>
      <c r="K228" s="1175">
        <v>1</v>
      </c>
      <c r="L228" s="530">
        <f t="shared" ref="L228" si="158">ROUND(AD228,2)</f>
        <v>196.88</v>
      </c>
      <c r="M228" s="530">
        <f t="shared" ref="M228" si="159">ROUND(L228*F228,2)</f>
        <v>196.88</v>
      </c>
      <c r="N228" s="309"/>
      <c r="O228" s="778" t="s">
        <v>132</v>
      </c>
      <c r="P228" s="777"/>
      <c r="Q228" s="777"/>
      <c r="R228" s="751"/>
      <c r="S228" s="1098">
        <v>58910000</v>
      </c>
      <c r="T228" s="792">
        <v>150</v>
      </c>
      <c r="U228" s="803">
        <v>0</v>
      </c>
      <c r="V228" s="803">
        <v>0</v>
      </c>
      <c r="W228" s="803">
        <v>0</v>
      </c>
      <c r="X228" s="858">
        <v>1</v>
      </c>
      <c r="Y228" s="310">
        <f>ROUND((R228+S228/'[2]Summary E&amp;M (Origin)'!$O$103)*X228,2)</f>
        <v>2832.21</v>
      </c>
      <c r="Z228" s="858">
        <f t="shared" si="117"/>
        <v>1.05</v>
      </c>
      <c r="AA228" s="813">
        <f t="shared" ref="AA228" si="160">ROUND(Y228*Z228,2)</f>
        <v>2973.82</v>
      </c>
      <c r="AB228" s="447">
        <f t="shared" si="136"/>
        <v>0.05</v>
      </c>
      <c r="AC228" s="310">
        <f t="shared" ref="AC228" si="161">ROUND((T228*(1+AB228)),2)</f>
        <v>157.5</v>
      </c>
      <c r="AD228" s="717">
        <f>ROUND(AC228*'[1]Summary E&amp;M'!$R$94,2)</f>
        <v>196.88</v>
      </c>
      <c r="AE228" s="826">
        <f t="shared" si="128"/>
        <v>2832.21</v>
      </c>
      <c r="AF228" s="826">
        <f t="shared" si="129"/>
        <v>157.5</v>
      </c>
      <c r="AG228" s="731">
        <v>3092.25</v>
      </c>
      <c r="AH228" s="732">
        <v>99.75</v>
      </c>
      <c r="AI228" s="519">
        <f t="shared" si="137"/>
        <v>0</v>
      </c>
      <c r="AJ228" s="519">
        <f t="shared" si="138"/>
        <v>0</v>
      </c>
      <c r="AK228" s="519">
        <f t="shared" si="139"/>
        <v>0</v>
      </c>
      <c r="AL228" s="520">
        <f t="shared" ref="AL228" si="162">ROUND(Y228*AI228+((Y228*(1+AI228))*AJ228)+((Y228*AI228+((Y228*(1+AI228))*AJ228))*AK228),2)</f>
        <v>0</v>
      </c>
      <c r="AM228" s="520">
        <f t="shared" ref="AM228" si="163">AL228*$F228</f>
        <v>0</v>
      </c>
      <c r="AN228" s="520">
        <f t="shared" ref="AN228" si="164">ROUND(AL228*Z228,2)</f>
        <v>0</v>
      </c>
      <c r="AO228" s="520">
        <f t="shared" ref="AO228" si="165">AN228*$F228</f>
        <v>0</v>
      </c>
      <c r="AP228" s="719"/>
      <c r="AQ228" s="719"/>
      <c r="AR228" s="719"/>
      <c r="AS228" s="719"/>
      <c r="AT228" s="719"/>
    </row>
    <row r="229" spans="1:46" s="555" customFormat="1" ht="22.5" customHeight="1">
      <c r="A229" s="451"/>
      <c r="B229" s="531" t="s">
        <v>1071</v>
      </c>
      <c r="C229" s="523"/>
      <c r="D229" s="524" t="s">
        <v>132</v>
      </c>
      <c r="E229" s="525" t="s">
        <v>684</v>
      </c>
      <c r="F229" s="1315">
        <f t="shared" si="130"/>
        <v>1</v>
      </c>
      <c r="G229" s="527">
        <f t="shared" si="131"/>
        <v>1524.52</v>
      </c>
      <c r="H229" s="528">
        <f t="shared" si="132"/>
        <v>1524.52</v>
      </c>
      <c r="I229" s="529"/>
      <c r="J229" s="309"/>
      <c r="K229" s="1175">
        <v>1</v>
      </c>
      <c r="L229" s="530">
        <f t="shared" si="133"/>
        <v>196.88</v>
      </c>
      <c r="M229" s="530">
        <f t="shared" si="134"/>
        <v>196.88</v>
      </c>
      <c r="N229" s="309"/>
      <c r="O229" s="778" t="s">
        <v>132</v>
      </c>
      <c r="P229" s="777"/>
      <c r="Q229" s="777"/>
      <c r="R229" s="751"/>
      <c r="S229" s="1098">
        <v>30200000</v>
      </c>
      <c r="T229" s="792">
        <v>150</v>
      </c>
      <c r="U229" s="803">
        <v>0</v>
      </c>
      <c r="V229" s="803">
        <v>0</v>
      </c>
      <c r="W229" s="803">
        <v>0</v>
      </c>
      <c r="X229" s="858">
        <v>1</v>
      </c>
      <c r="Y229" s="310">
        <f>ROUND((R229+S229/'[2]Summary E&amp;M (Origin)'!$O$103)*X229,2)</f>
        <v>1451.92</v>
      </c>
      <c r="Z229" s="858">
        <f t="shared" si="117"/>
        <v>1.05</v>
      </c>
      <c r="AA229" s="813">
        <f t="shared" si="135"/>
        <v>1524.52</v>
      </c>
      <c r="AB229" s="447">
        <f t="shared" si="136"/>
        <v>0.05</v>
      </c>
      <c r="AC229" s="310">
        <f t="shared" si="100"/>
        <v>157.5</v>
      </c>
      <c r="AD229" s="717">
        <f>ROUND(AC229*'[1]Summary E&amp;M'!$R$94,2)</f>
        <v>196.88</v>
      </c>
      <c r="AE229" s="826">
        <f t="shared" si="128"/>
        <v>1451.92</v>
      </c>
      <c r="AF229" s="826">
        <f t="shared" si="129"/>
        <v>157.5</v>
      </c>
      <c r="AG229" s="731">
        <v>2588.75</v>
      </c>
      <c r="AH229" s="732">
        <v>99.75</v>
      </c>
      <c r="AI229" s="519">
        <f t="shared" si="137"/>
        <v>0</v>
      </c>
      <c r="AJ229" s="519">
        <f t="shared" si="138"/>
        <v>0</v>
      </c>
      <c r="AK229" s="519">
        <f t="shared" si="139"/>
        <v>0</v>
      </c>
      <c r="AL229" s="520">
        <f t="shared" si="140"/>
        <v>0</v>
      </c>
      <c r="AM229" s="520">
        <f t="shared" si="141"/>
        <v>0</v>
      </c>
      <c r="AN229" s="520">
        <f t="shared" si="142"/>
        <v>0</v>
      </c>
      <c r="AO229" s="520">
        <f t="shared" si="143"/>
        <v>0</v>
      </c>
      <c r="AP229" s="719"/>
      <c r="AQ229" s="719"/>
      <c r="AR229" s="719"/>
      <c r="AS229" s="719"/>
      <c r="AT229" s="719"/>
    </row>
    <row r="230" spans="1:46" s="555" customFormat="1" ht="22.5" customHeight="1">
      <c r="A230" s="451"/>
      <c r="B230" s="531" t="s">
        <v>1072</v>
      </c>
      <c r="C230" s="523"/>
      <c r="D230" s="524" t="s">
        <v>132</v>
      </c>
      <c r="E230" s="525" t="s">
        <v>684</v>
      </c>
      <c r="F230" s="1315">
        <f t="shared" si="130"/>
        <v>1</v>
      </c>
      <c r="G230" s="527">
        <f t="shared" si="131"/>
        <v>1448.8</v>
      </c>
      <c r="H230" s="528">
        <f t="shared" si="132"/>
        <v>1448.8</v>
      </c>
      <c r="I230" s="529"/>
      <c r="J230" s="309"/>
      <c r="K230" s="1175">
        <v>1</v>
      </c>
      <c r="L230" s="530">
        <f t="shared" si="133"/>
        <v>196.88</v>
      </c>
      <c r="M230" s="530">
        <f t="shared" si="134"/>
        <v>196.88</v>
      </c>
      <c r="N230" s="309"/>
      <c r="O230" s="778" t="s">
        <v>132</v>
      </c>
      <c r="P230" s="777"/>
      <c r="Q230" s="777"/>
      <c r="R230" s="751"/>
      <c r="S230" s="1098">
        <v>28700000</v>
      </c>
      <c r="T230" s="792">
        <v>150</v>
      </c>
      <c r="U230" s="803">
        <v>0</v>
      </c>
      <c r="V230" s="803">
        <v>0</v>
      </c>
      <c r="W230" s="803">
        <v>0</v>
      </c>
      <c r="X230" s="858">
        <v>1</v>
      </c>
      <c r="Y230" s="310">
        <f>ROUND((R230+S230/'[2]Summary E&amp;M (Origin)'!$O$103)*X230,2)</f>
        <v>1379.81</v>
      </c>
      <c r="Z230" s="858">
        <f t="shared" si="117"/>
        <v>1.05</v>
      </c>
      <c r="AA230" s="813">
        <f>ROUND(Y230*Z230,2)</f>
        <v>1448.8</v>
      </c>
      <c r="AB230" s="447">
        <f t="shared" si="136"/>
        <v>0.05</v>
      </c>
      <c r="AC230" s="310">
        <f t="shared" si="100"/>
        <v>157.5</v>
      </c>
      <c r="AD230" s="717">
        <f>ROUND(AC230*'[1]Summary E&amp;M'!$R$94,2)</f>
        <v>196.88</v>
      </c>
      <c r="AE230" s="826">
        <f t="shared" si="128"/>
        <v>1379.81</v>
      </c>
      <c r="AF230" s="826">
        <f t="shared" si="129"/>
        <v>157.5</v>
      </c>
      <c r="AG230" s="731">
        <v>2588.75</v>
      </c>
      <c r="AH230" s="732">
        <v>99.75</v>
      </c>
      <c r="AI230" s="519">
        <f t="shared" si="137"/>
        <v>0</v>
      </c>
      <c r="AJ230" s="519">
        <f t="shared" si="138"/>
        <v>0</v>
      </c>
      <c r="AK230" s="519">
        <f t="shared" si="139"/>
        <v>0</v>
      </c>
      <c r="AL230" s="520">
        <f t="shared" si="140"/>
        <v>0</v>
      </c>
      <c r="AM230" s="520">
        <f t="shared" si="141"/>
        <v>0</v>
      </c>
      <c r="AN230" s="520">
        <f t="shared" si="142"/>
        <v>0</v>
      </c>
      <c r="AO230" s="520">
        <f t="shared" si="143"/>
        <v>0</v>
      </c>
      <c r="AP230" s="719"/>
      <c r="AQ230" s="719"/>
      <c r="AR230" s="719"/>
      <c r="AS230" s="719"/>
      <c r="AT230" s="719"/>
    </row>
    <row r="231" spans="1:46" s="555" customFormat="1" ht="22.5" customHeight="1">
      <c r="A231" s="451"/>
      <c r="B231" s="531" t="s">
        <v>959</v>
      </c>
      <c r="C231" s="523"/>
      <c r="D231" s="524" t="s">
        <v>132</v>
      </c>
      <c r="E231" s="525" t="s">
        <v>684</v>
      </c>
      <c r="F231" s="1315">
        <f t="shared" si="130"/>
        <v>1</v>
      </c>
      <c r="G231" s="527">
        <f t="shared" si="131"/>
        <v>1028.3</v>
      </c>
      <c r="H231" s="528">
        <f t="shared" si="132"/>
        <v>1028.3</v>
      </c>
      <c r="I231" s="529"/>
      <c r="J231" s="309"/>
      <c r="K231" s="1175">
        <v>1</v>
      </c>
      <c r="L231" s="530">
        <f t="shared" si="133"/>
        <v>196.88</v>
      </c>
      <c r="M231" s="530">
        <f t="shared" si="134"/>
        <v>196.88</v>
      </c>
      <c r="N231" s="309"/>
      <c r="O231" s="778" t="s">
        <v>132</v>
      </c>
      <c r="P231" s="777"/>
      <c r="Q231" s="777"/>
      <c r="R231" s="751"/>
      <c r="S231" s="1098">
        <v>20370000</v>
      </c>
      <c r="T231" s="792">
        <v>150</v>
      </c>
      <c r="U231" s="803">
        <v>0</v>
      </c>
      <c r="V231" s="803">
        <v>0</v>
      </c>
      <c r="W231" s="803">
        <v>0</v>
      </c>
      <c r="X231" s="858">
        <v>1</v>
      </c>
      <c r="Y231" s="310">
        <f>ROUND((R231+S231/'[2]Summary E&amp;M (Origin)'!$O$103)*X231,2)</f>
        <v>979.33</v>
      </c>
      <c r="Z231" s="858">
        <f t="shared" si="117"/>
        <v>1.05</v>
      </c>
      <c r="AA231" s="813">
        <f t="shared" si="135"/>
        <v>1028.3</v>
      </c>
      <c r="AB231" s="447">
        <f t="shared" si="136"/>
        <v>0.05</v>
      </c>
      <c r="AC231" s="310">
        <f t="shared" si="100"/>
        <v>157.5</v>
      </c>
      <c r="AD231" s="717">
        <f>ROUND(AC231*'[1]Summary E&amp;M'!$R$94,2)</f>
        <v>196.88</v>
      </c>
      <c r="AE231" s="826">
        <f t="shared" si="128"/>
        <v>979.33</v>
      </c>
      <c r="AF231" s="826">
        <f t="shared" si="129"/>
        <v>157.5</v>
      </c>
      <c r="AG231" s="731">
        <v>2588.75</v>
      </c>
      <c r="AH231" s="732">
        <v>99.75</v>
      </c>
      <c r="AI231" s="519">
        <f t="shared" si="137"/>
        <v>0</v>
      </c>
      <c r="AJ231" s="519">
        <f t="shared" si="138"/>
        <v>0</v>
      </c>
      <c r="AK231" s="519">
        <f t="shared" si="139"/>
        <v>0</v>
      </c>
      <c r="AL231" s="520">
        <f t="shared" si="140"/>
        <v>0</v>
      </c>
      <c r="AM231" s="520">
        <f t="shared" si="141"/>
        <v>0</v>
      </c>
      <c r="AN231" s="520">
        <f t="shared" si="142"/>
        <v>0</v>
      </c>
      <c r="AO231" s="520">
        <f t="shared" si="143"/>
        <v>0</v>
      </c>
      <c r="AP231" s="719"/>
      <c r="AQ231" s="719"/>
      <c r="AR231" s="719"/>
      <c r="AS231" s="719"/>
      <c r="AT231" s="719"/>
    </row>
    <row r="232" spans="1:46" s="555" customFormat="1" ht="22.5" customHeight="1">
      <c r="A232" s="451"/>
      <c r="B232" s="531" t="s">
        <v>960</v>
      </c>
      <c r="C232" s="523"/>
      <c r="D232" s="524" t="s">
        <v>132</v>
      </c>
      <c r="E232" s="525" t="s">
        <v>684</v>
      </c>
      <c r="F232" s="1315">
        <f t="shared" si="130"/>
        <v>1</v>
      </c>
      <c r="G232" s="527">
        <f t="shared" si="131"/>
        <v>3140.92</v>
      </c>
      <c r="H232" s="528">
        <f t="shared" si="132"/>
        <v>3140.92</v>
      </c>
      <c r="I232" s="529"/>
      <c r="J232" s="309"/>
      <c r="K232" s="1175">
        <v>1</v>
      </c>
      <c r="L232" s="530">
        <f t="shared" si="133"/>
        <v>196.88</v>
      </c>
      <c r="M232" s="530">
        <f t="shared" si="134"/>
        <v>196.88</v>
      </c>
      <c r="N232" s="309"/>
      <c r="O232" s="778" t="s">
        <v>132</v>
      </c>
      <c r="P232" s="777"/>
      <c r="Q232" s="777"/>
      <c r="R232" s="751"/>
      <c r="S232" s="1098">
        <v>62220000</v>
      </c>
      <c r="T232" s="792">
        <v>150</v>
      </c>
      <c r="U232" s="803">
        <v>0</v>
      </c>
      <c r="V232" s="803">
        <v>0</v>
      </c>
      <c r="W232" s="803">
        <v>0</v>
      </c>
      <c r="X232" s="858">
        <v>1</v>
      </c>
      <c r="Y232" s="310">
        <f>ROUND((R232+S232/'[2]Summary E&amp;M (Origin)'!$O$103)*X232,2)</f>
        <v>2991.35</v>
      </c>
      <c r="Z232" s="858">
        <f t="shared" si="117"/>
        <v>1.05</v>
      </c>
      <c r="AA232" s="813">
        <f t="shared" si="135"/>
        <v>3140.92</v>
      </c>
      <c r="AB232" s="447">
        <f t="shared" si="136"/>
        <v>0.05</v>
      </c>
      <c r="AC232" s="310">
        <f t="shared" si="100"/>
        <v>157.5</v>
      </c>
      <c r="AD232" s="717">
        <f>ROUND(AC232*'[1]Summary E&amp;M'!$R$94,2)</f>
        <v>196.88</v>
      </c>
      <c r="AE232" s="826">
        <f t="shared" si="128"/>
        <v>2991.35</v>
      </c>
      <c r="AF232" s="826">
        <f t="shared" si="129"/>
        <v>157.5</v>
      </c>
      <c r="AG232" s="731">
        <v>2685.65</v>
      </c>
      <c r="AH232" s="732">
        <v>99.75</v>
      </c>
      <c r="AI232" s="519">
        <f t="shared" si="137"/>
        <v>0</v>
      </c>
      <c r="AJ232" s="519">
        <f t="shared" si="138"/>
        <v>0</v>
      </c>
      <c r="AK232" s="519">
        <f t="shared" si="139"/>
        <v>0</v>
      </c>
      <c r="AL232" s="520">
        <f t="shared" si="140"/>
        <v>0</v>
      </c>
      <c r="AM232" s="520">
        <f t="shared" si="141"/>
        <v>0</v>
      </c>
      <c r="AN232" s="520">
        <f t="shared" si="142"/>
        <v>0</v>
      </c>
      <c r="AO232" s="520">
        <f t="shared" si="143"/>
        <v>0</v>
      </c>
      <c r="AP232" s="719"/>
      <c r="AQ232" s="719"/>
      <c r="AR232" s="719"/>
      <c r="AS232" s="719"/>
      <c r="AT232" s="719"/>
    </row>
    <row r="233" spans="1:46" s="555" customFormat="1" ht="22.5" customHeight="1">
      <c r="A233" s="451"/>
      <c r="B233" s="531" t="s">
        <v>961</v>
      </c>
      <c r="C233" s="523"/>
      <c r="D233" s="524" t="s">
        <v>132</v>
      </c>
      <c r="E233" s="525" t="s">
        <v>684</v>
      </c>
      <c r="F233" s="1315">
        <f t="shared" si="130"/>
        <v>1</v>
      </c>
      <c r="G233" s="527">
        <f t="shared" si="131"/>
        <v>1061.6099999999999</v>
      </c>
      <c r="H233" s="528">
        <f t="shared" si="132"/>
        <v>1061.6099999999999</v>
      </c>
      <c r="I233" s="529"/>
      <c r="J233" s="309"/>
      <c r="K233" s="1175">
        <v>1</v>
      </c>
      <c r="L233" s="530">
        <f t="shared" si="133"/>
        <v>196.88</v>
      </c>
      <c r="M233" s="530">
        <f t="shared" si="134"/>
        <v>196.88</v>
      </c>
      <c r="N233" s="309"/>
      <c r="O233" s="778" t="s">
        <v>132</v>
      </c>
      <c r="P233" s="777"/>
      <c r="Q233" s="777"/>
      <c r="R233" s="751"/>
      <c r="S233" s="1098">
        <v>21030000</v>
      </c>
      <c r="T233" s="792">
        <v>150</v>
      </c>
      <c r="U233" s="803">
        <v>0</v>
      </c>
      <c r="V233" s="803">
        <v>0</v>
      </c>
      <c r="W233" s="803">
        <v>0</v>
      </c>
      <c r="X233" s="858">
        <v>1</v>
      </c>
      <c r="Y233" s="310">
        <f>ROUND((R233+S233/'[2]Summary E&amp;M (Origin)'!$O$103)*X233,2)</f>
        <v>1011.06</v>
      </c>
      <c r="Z233" s="858">
        <f t="shared" si="117"/>
        <v>1.05</v>
      </c>
      <c r="AA233" s="813">
        <f t="shared" si="135"/>
        <v>1061.6099999999999</v>
      </c>
      <c r="AB233" s="447">
        <f t="shared" si="136"/>
        <v>0.05</v>
      </c>
      <c r="AC233" s="310">
        <f t="shared" si="100"/>
        <v>157.5</v>
      </c>
      <c r="AD233" s="717">
        <f>ROUND(AC233*'[1]Summary E&amp;M'!$R$94,2)</f>
        <v>196.88</v>
      </c>
      <c r="AE233" s="826">
        <f t="shared" si="128"/>
        <v>1011.06</v>
      </c>
      <c r="AF233" s="826">
        <f t="shared" si="129"/>
        <v>157.5</v>
      </c>
      <c r="AG233" s="731">
        <v>2685.65</v>
      </c>
      <c r="AH233" s="732">
        <v>99.75</v>
      </c>
      <c r="AI233" s="519">
        <f t="shared" si="137"/>
        <v>0</v>
      </c>
      <c r="AJ233" s="519">
        <f t="shared" si="138"/>
        <v>0</v>
      </c>
      <c r="AK233" s="519">
        <f t="shared" si="139"/>
        <v>0</v>
      </c>
      <c r="AL233" s="520">
        <f t="shared" si="140"/>
        <v>0</v>
      </c>
      <c r="AM233" s="520">
        <f t="shared" si="141"/>
        <v>0</v>
      </c>
      <c r="AN233" s="520">
        <f t="shared" si="142"/>
        <v>0</v>
      </c>
      <c r="AO233" s="520">
        <f t="shared" si="143"/>
        <v>0</v>
      </c>
      <c r="AP233" s="719"/>
      <c r="AQ233" s="719"/>
      <c r="AR233" s="719"/>
      <c r="AS233" s="719"/>
      <c r="AT233" s="719"/>
    </row>
    <row r="234" spans="1:46" s="555" customFormat="1" ht="22.5" customHeight="1">
      <c r="A234" s="451"/>
      <c r="B234" s="531" t="s">
        <v>962</v>
      </c>
      <c r="C234" s="523"/>
      <c r="D234" s="524" t="s">
        <v>132</v>
      </c>
      <c r="E234" s="525" t="s">
        <v>684</v>
      </c>
      <c r="F234" s="1315">
        <f t="shared" si="130"/>
        <v>1</v>
      </c>
      <c r="G234" s="527">
        <f t="shared" si="131"/>
        <v>1093.42</v>
      </c>
      <c r="H234" s="528">
        <f t="shared" si="132"/>
        <v>1093.42</v>
      </c>
      <c r="I234" s="529"/>
      <c r="J234" s="309"/>
      <c r="K234" s="1175">
        <v>1</v>
      </c>
      <c r="L234" s="530">
        <f t="shared" si="133"/>
        <v>196.88</v>
      </c>
      <c r="M234" s="530">
        <f t="shared" si="134"/>
        <v>196.88</v>
      </c>
      <c r="N234" s="309"/>
      <c r="O234" s="778" t="s">
        <v>132</v>
      </c>
      <c r="P234" s="777"/>
      <c r="Q234" s="777"/>
      <c r="R234" s="751"/>
      <c r="S234" s="1098">
        <v>21660000</v>
      </c>
      <c r="T234" s="792">
        <v>150</v>
      </c>
      <c r="U234" s="803">
        <v>0</v>
      </c>
      <c r="V234" s="803">
        <v>0</v>
      </c>
      <c r="W234" s="803">
        <v>0</v>
      </c>
      <c r="X234" s="858">
        <v>1</v>
      </c>
      <c r="Y234" s="310">
        <f>ROUND((R234+S234/'[2]Summary E&amp;M (Origin)'!$O$103)*X234,2)</f>
        <v>1041.3499999999999</v>
      </c>
      <c r="Z234" s="858">
        <f t="shared" si="117"/>
        <v>1.05</v>
      </c>
      <c r="AA234" s="813">
        <f t="shared" si="135"/>
        <v>1093.42</v>
      </c>
      <c r="AB234" s="447">
        <f t="shared" si="136"/>
        <v>0.05</v>
      </c>
      <c r="AC234" s="310">
        <f t="shared" si="100"/>
        <v>157.5</v>
      </c>
      <c r="AD234" s="717">
        <f>ROUND(AC234*'[1]Summary E&amp;M'!$R$94,2)</f>
        <v>196.88</v>
      </c>
      <c r="AE234" s="826">
        <f t="shared" si="128"/>
        <v>1041.3499999999999</v>
      </c>
      <c r="AF234" s="826">
        <f t="shared" si="129"/>
        <v>157.5</v>
      </c>
      <c r="AG234" s="731">
        <v>4944.75</v>
      </c>
      <c r="AH234" s="732">
        <v>149.63</v>
      </c>
      <c r="AI234" s="519">
        <f t="shared" si="137"/>
        <v>0</v>
      </c>
      <c r="AJ234" s="519">
        <f t="shared" si="138"/>
        <v>0</v>
      </c>
      <c r="AK234" s="519">
        <f t="shared" si="139"/>
        <v>0</v>
      </c>
      <c r="AL234" s="520">
        <f t="shared" si="140"/>
        <v>0</v>
      </c>
      <c r="AM234" s="520">
        <f t="shared" si="141"/>
        <v>0</v>
      </c>
      <c r="AN234" s="520">
        <f t="shared" si="142"/>
        <v>0</v>
      </c>
      <c r="AO234" s="520">
        <f t="shared" si="143"/>
        <v>0</v>
      </c>
      <c r="AP234" s="719"/>
      <c r="AQ234" s="719"/>
      <c r="AR234" s="719"/>
      <c r="AS234" s="719"/>
      <c r="AT234" s="719"/>
    </row>
    <row r="235" spans="1:46" s="555" customFormat="1" ht="22.5" customHeight="1">
      <c r="A235" s="451"/>
      <c r="B235" s="531" t="s">
        <v>963</v>
      </c>
      <c r="C235" s="523"/>
      <c r="D235" s="524" t="s">
        <v>132</v>
      </c>
      <c r="E235" s="525" t="s">
        <v>684</v>
      </c>
      <c r="F235" s="1315">
        <f t="shared" si="130"/>
        <v>1</v>
      </c>
      <c r="G235" s="527">
        <f t="shared" si="131"/>
        <v>1610.84</v>
      </c>
      <c r="H235" s="528">
        <f t="shared" si="132"/>
        <v>1610.84</v>
      </c>
      <c r="I235" s="529"/>
      <c r="J235" s="309"/>
      <c r="K235" s="1175">
        <v>1</v>
      </c>
      <c r="L235" s="530">
        <f t="shared" si="133"/>
        <v>196.88</v>
      </c>
      <c r="M235" s="530">
        <f t="shared" si="134"/>
        <v>196.88</v>
      </c>
      <c r="N235" s="309"/>
      <c r="O235" s="778" t="s">
        <v>132</v>
      </c>
      <c r="P235" s="777"/>
      <c r="Q235" s="777"/>
      <c r="R235" s="751"/>
      <c r="S235" s="1098">
        <v>31910000</v>
      </c>
      <c r="T235" s="792">
        <v>150</v>
      </c>
      <c r="U235" s="803">
        <v>0</v>
      </c>
      <c r="V235" s="803">
        <v>0</v>
      </c>
      <c r="W235" s="803">
        <v>0</v>
      </c>
      <c r="X235" s="858">
        <v>1</v>
      </c>
      <c r="Y235" s="310">
        <f>ROUND((R235+S235/'[2]Summary E&amp;M (Origin)'!$O$103)*X235,2)</f>
        <v>1534.13</v>
      </c>
      <c r="Z235" s="858">
        <f t="shared" si="117"/>
        <v>1.05</v>
      </c>
      <c r="AA235" s="813">
        <f t="shared" si="135"/>
        <v>1610.84</v>
      </c>
      <c r="AB235" s="447">
        <f t="shared" si="136"/>
        <v>0.05</v>
      </c>
      <c r="AC235" s="310">
        <f t="shared" si="100"/>
        <v>157.5</v>
      </c>
      <c r="AD235" s="717">
        <f>ROUND(AC235*'[1]Summary E&amp;M'!$R$94,2)</f>
        <v>196.88</v>
      </c>
      <c r="AE235" s="826">
        <f t="shared" si="128"/>
        <v>1534.13</v>
      </c>
      <c r="AF235" s="826">
        <f t="shared" si="129"/>
        <v>157.5</v>
      </c>
      <c r="AG235" s="731">
        <v>4944.75</v>
      </c>
      <c r="AH235" s="732">
        <v>149.63</v>
      </c>
      <c r="AI235" s="519">
        <f t="shared" si="137"/>
        <v>0</v>
      </c>
      <c r="AJ235" s="519">
        <f t="shared" si="138"/>
        <v>0</v>
      </c>
      <c r="AK235" s="519">
        <f t="shared" si="139"/>
        <v>0</v>
      </c>
      <c r="AL235" s="520">
        <f t="shared" si="140"/>
        <v>0</v>
      </c>
      <c r="AM235" s="520">
        <f t="shared" si="141"/>
        <v>0</v>
      </c>
      <c r="AN235" s="520">
        <f t="shared" si="142"/>
        <v>0</v>
      </c>
      <c r="AO235" s="520">
        <f t="shared" si="143"/>
        <v>0</v>
      </c>
      <c r="AP235" s="719"/>
      <c r="AQ235" s="719"/>
      <c r="AR235" s="719"/>
      <c r="AS235" s="719"/>
      <c r="AT235" s="719"/>
    </row>
    <row r="236" spans="1:46" s="555" customFormat="1" ht="22.5" customHeight="1">
      <c r="A236" s="451"/>
      <c r="B236" s="531" t="s">
        <v>1076</v>
      </c>
      <c r="C236" s="523"/>
      <c r="D236" s="524" t="s">
        <v>132</v>
      </c>
      <c r="E236" s="525" t="s">
        <v>684</v>
      </c>
      <c r="F236" s="1315">
        <f t="shared" si="130"/>
        <v>1</v>
      </c>
      <c r="G236" s="527">
        <f t="shared" si="131"/>
        <v>2345.33</v>
      </c>
      <c r="H236" s="528">
        <f t="shared" si="132"/>
        <v>2345.33</v>
      </c>
      <c r="I236" s="529"/>
      <c r="J236" s="309"/>
      <c r="K236" s="1175">
        <v>1</v>
      </c>
      <c r="L236" s="530">
        <f t="shared" si="133"/>
        <v>196.88</v>
      </c>
      <c r="M236" s="530">
        <f t="shared" si="134"/>
        <v>196.88</v>
      </c>
      <c r="N236" s="309"/>
      <c r="O236" s="778" t="s">
        <v>132</v>
      </c>
      <c r="P236" s="777"/>
      <c r="Q236" s="777"/>
      <c r="R236" s="751"/>
      <c r="S236" s="1098">
        <v>46460000</v>
      </c>
      <c r="T236" s="792">
        <v>150</v>
      </c>
      <c r="U236" s="803">
        <v>0</v>
      </c>
      <c r="V236" s="803">
        <v>0</v>
      </c>
      <c r="W236" s="803">
        <v>0</v>
      </c>
      <c r="X236" s="858">
        <v>1</v>
      </c>
      <c r="Y236" s="310">
        <f>ROUND((R236+S236/'[2]Summary E&amp;M (Origin)'!$O$103)*X236,2)</f>
        <v>2233.65</v>
      </c>
      <c r="Z236" s="858">
        <f t="shared" si="117"/>
        <v>1.05</v>
      </c>
      <c r="AA236" s="813">
        <f t="shared" si="135"/>
        <v>2345.33</v>
      </c>
      <c r="AB236" s="447">
        <f t="shared" si="136"/>
        <v>0.05</v>
      </c>
      <c r="AC236" s="310">
        <f t="shared" si="100"/>
        <v>157.5</v>
      </c>
      <c r="AD236" s="717">
        <f>ROUND(AC236*'[1]Summary E&amp;M'!$R$94,2)</f>
        <v>196.88</v>
      </c>
      <c r="AE236" s="826">
        <f t="shared" si="128"/>
        <v>2233.65</v>
      </c>
      <c r="AF236" s="826">
        <f t="shared" si="129"/>
        <v>157.5</v>
      </c>
      <c r="AG236" s="731">
        <v>3278.45</v>
      </c>
      <c r="AH236" s="732">
        <v>99.75</v>
      </c>
      <c r="AI236" s="519">
        <f t="shared" si="137"/>
        <v>0</v>
      </c>
      <c r="AJ236" s="519">
        <f t="shared" si="138"/>
        <v>0</v>
      </c>
      <c r="AK236" s="519">
        <f t="shared" si="139"/>
        <v>0</v>
      </c>
      <c r="AL236" s="520">
        <f t="shared" si="140"/>
        <v>0</v>
      </c>
      <c r="AM236" s="520">
        <f t="shared" si="141"/>
        <v>0</v>
      </c>
      <c r="AN236" s="520">
        <f t="shared" si="142"/>
        <v>0</v>
      </c>
      <c r="AO236" s="520">
        <f t="shared" si="143"/>
        <v>0</v>
      </c>
      <c r="AP236" s="719"/>
      <c r="AQ236" s="719"/>
      <c r="AR236" s="719"/>
      <c r="AS236" s="719"/>
      <c r="AT236" s="719"/>
    </row>
    <row r="237" spans="1:46" s="555" customFormat="1" ht="22.5" customHeight="1">
      <c r="A237" s="451"/>
      <c r="B237" s="531" t="s">
        <v>1077</v>
      </c>
      <c r="C237" s="523"/>
      <c r="D237" s="524" t="s">
        <v>132</v>
      </c>
      <c r="E237" s="525" t="s">
        <v>684</v>
      </c>
      <c r="F237" s="1315">
        <f t="shared" si="130"/>
        <v>1</v>
      </c>
      <c r="G237" s="527">
        <f t="shared" si="131"/>
        <v>2445.8000000000002</v>
      </c>
      <c r="H237" s="528">
        <f t="shared" si="132"/>
        <v>2445.8000000000002</v>
      </c>
      <c r="I237" s="529"/>
      <c r="J237" s="309"/>
      <c r="K237" s="1175">
        <v>1</v>
      </c>
      <c r="L237" s="530">
        <f t="shared" si="133"/>
        <v>196.88</v>
      </c>
      <c r="M237" s="530">
        <f t="shared" si="134"/>
        <v>196.88</v>
      </c>
      <c r="N237" s="309"/>
      <c r="O237" s="778" t="s">
        <v>132</v>
      </c>
      <c r="P237" s="777"/>
      <c r="Q237" s="777"/>
      <c r="R237" s="751"/>
      <c r="S237" s="1098">
        <v>48450000</v>
      </c>
      <c r="T237" s="792">
        <v>150</v>
      </c>
      <c r="U237" s="803">
        <v>0</v>
      </c>
      <c r="V237" s="803">
        <v>0</v>
      </c>
      <c r="W237" s="803">
        <v>0</v>
      </c>
      <c r="X237" s="858">
        <v>1</v>
      </c>
      <c r="Y237" s="310">
        <f>ROUND((R237+S237/'[2]Summary E&amp;M (Origin)'!$O$103)*X237,2)</f>
        <v>2329.33</v>
      </c>
      <c r="Z237" s="858">
        <f t="shared" si="117"/>
        <v>1.05</v>
      </c>
      <c r="AA237" s="813">
        <f t="shared" si="135"/>
        <v>2445.8000000000002</v>
      </c>
      <c r="AB237" s="447">
        <f t="shared" si="136"/>
        <v>0.05</v>
      </c>
      <c r="AC237" s="310">
        <f t="shared" si="100"/>
        <v>157.5</v>
      </c>
      <c r="AD237" s="717">
        <f>ROUND(AC237*'[1]Summary E&amp;M'!$R$94,2)</f>
        <v>196.88</v>
      </c>
      <c r="AE237" s="826">
        <f t="shared" si="128"/>
        <v>2329.33</v>
      </c>
      <c r="AF237" s="826">
        <f t="shared" si="129"/>
        <v>157.5</v>
      </c>
      <c r="AG237" s="731">
        <v>3278.45</v>
      </c>
      <c r="AH237" s="732">
        <v>99.75</v>
      </c>
      <c r="AI237" s="519">
        <f t="shared" si="137"/>
        <v>0</v>
      </c>
      <c r="AJ237" s="519">
        <f t="shared" si="138"/>
        <v>0</v>
      </c>
      <c r="AK237" s="519">
        <f t="shared" si="139"/>
        <v>0</v>
      </c>
      <c r="AL237" s="520">
        <f t="shared" si="140"/>
        <v>0</v>
      </c>
      <c r="AM237" s="520">
        <f t="shared" si="141"/>
        <v>0</v>
      </c>
      <c r="AN237" s="520">
        <f t="shared" si="142"/>
        <v>0</v>
      </c>
      <c r="AO237" s="520">
        <f t="shared" si="143"/>
        <v>0</v>
      </c>
      <c r="AP237" s="719"/>
      <c r="AQ237" s="719"/>
      <c r="AR237" s="719"/>
      <c r="AS237" s="719"/>
      <c r="AT237" s="719"/>
    </row>
    <row r="238" spans="1:46" s="555" customFormat="1" ht="22.5" customHeight="1">
      <c r="A238" s="451"/>
      <c r="B238" s="531" t="s">
        <v>964</v>
      </c>
      <c r="C238" s="523"/>
      <c r="D238" s="524" t="s">
        <v>132</v>
      </c>
      <c r="E238" s="525" t="s">
        <v>684</v>
      </c>
      <c r="F238" s="1315">
        <f t="shared" si="130"/>
        <v>1</v>
      </c>
      <c r="G238" s="527">
        <f t="shared" si="131"/>
        <v>1543.2</v>
      </c>
      <c r="H238" s="528">
        <f t="shared" si="132"/>
        <v>1543.2</v>
      </c>
      <c r="I238" s="529"/>
      <c r="J238" s="309"/>
      <c r="K238" s="1175">
        <v>1</v>
      </c>
      <c r="L238" s="530">
        <f t="shared" si="133"/>
        <v>196.88</v>
      </c>
      <c r="M238" s="530">
        <f t="shared" si="134"/>
        <v>196.88</v>
      </c>
      <c r="N238" s="309"/>
      <c r="O238" s="778" t="s">
        <v>132</v>
      </c>
      <c r="P238" s="777"/>
      <c r="Q238" s="777"/>
      <c r="R238" s="751"/>
      <c r="S238" s="1098">
        <v>30570000</v>
      </c>
      <c r="T238" s="792">
        <v>150</v>
      </c>
      <c r="U238" s="803">
        <v>0</v>
      </c>
      <c r="V238" s="803">
        <v>0</v>
      </c>
      <c r="W238" s="803">
        <v>0</v>
      </c>
      <c r="X238" s="858">
        <v>1</v>
      </c>
      <c r="Y238" s="310">
        <f>ROUND((R238+S238/'[2]Summary E&amp;M (Origin)'!$O$103)*X238,2)</f>
        <v>1469.71</v>
      </c>
      <c r="Z238" s="858">
        <f t="shared" si="117"/>
        <v>1.05</v>
      </c>
      <c r="AA238" s="813">
        <f t="shared" si="135"/>
        <v>1543.2</v>
      </c>
      <c r="AB238" s="447">
        <f t="shared" si="136"/>
        <v>0.05</v>
      </c>
      <c r="AC238" s="310">
        <f t="shared" si="100"/>
        <v>157.5</v>
      </c>
      <c r="AD238" s="717">
        <f>ROUND(AC238*'[1]Summary E&amp;M'!$R$94,2)</f>
        <v>196.88</v>
      </c>
      <c r="AE238" s="826">
        <f t="shared" si="128"/>
        <v>1469.71</v>
      </c>
      <c r="AF238" s="826">
        <f t="shared" si="129"/>
        <v>157.5</v>
      </c>
      <c r="AG238" s="731">
        <v>3645.15</v>
      </c>
      <c r="AH238" s="732">
        <v>99.75</v>
      </c>
      <c r="AI238" s="519">
        <f t="shared" si="137"/>
        <v>0</v>
      </c>
      <c r="AJ238" s="519">
        <f t="shared" si="138"/>
        <v>0</v>
      </c>
      <c r="AK238" s="519">
        <f t="shared" si="139"/>
        <v>0</v>
      </c>
      <c r="AL238" s="520">
        <f t="shared" si="140"/>
        <v>0</v>
      </c>
      <c r="AM238" s="520">
        <f t="shared" si="141"/>
        <v>0</v>
      </c>
      <c r="AN238" s="520">
        <f t="shared" si="142"/>
        <v>0</v>
      </c>
      <c r="AO238" s="520">
        <f t="shared" si="143"/>
        <v>0</v>
      </c>
      <c r="AP238" s="719"/>
      <c r="AQ238" s="719"/>
      <c r="AR238" s="719"/>
      <c r="AS238" s="719"/>
      <c r="AT238" s="719"/>
    </row>
    <row r="239" spans="1:46" s="555" customFormat="1" ht="22.5" customHeight="1">
      <c r="A239" s="451"/>
      <c r="B239" s="531" t="s">
        <v>965</v>
      </c>
      <c r="C239" s="523"/>
      <c r="D239" s="524" t="s">
        <v>132</v>
      </c>
      <c r="E239" s="525" t="s">
        <v>684</v>
      </c>
      <c r="F239" s="1315">
        <f t="shared" si="130"/>
        <v>1</v>
      </c>
      <c r="G239" s="527">
        <f t="shared" si="131"/>
        <v>1051.51</v>
      </c>
      <c r="H239" s="528">
        <f t="shared" si="132"/>
        <v>1051.51</v>
      </c>
      <c r="I239" s="529"/>
      <c r="J239" s="309"/>
      <c r="K239" s="1175">
        <v>1</v>
      </c>
      <c r="L239" s="530">
        <f t="shared" si="133"/>
        <v>196.88</v>
      </c>
      <c r="M239" s="530">
        <f t="shared" si="134"/>
        <v>196.88</v>
      </c>
      <c r="N239" s="309"/>
      <c r="O239" s="778" t="s">
        <v>132</v>
      </c>
      <c r="P239" s="777"/>
      <c r="Q239" s="777"/>
      <c r="R239" s="751"/>
      <c r="S239" s="1098">
        <v>20830000</v>
      </c>
      <c r="T239" s="792">
        <v>150</v>
      </c>
      <c r="U239" s="803">
        <v>0</v>
      </c>
      <c r="V239" s="803">
        <v>0</v>
      </c>
      <c r="W239" s="803">
        <v>0</v>
      </c>
      <c r="X239" s="858">
        <v>1</v>
      </c>
      <c r="Y239" s="310">
        <f>ROUND((R239+S239/'[2]Summary E&amp;M (Origin)'!$O$103)*X239,2)</f>
        <v>1001.44</v>
      </c>
      <c r="Z239" s="858">
        <f t="shared" si="117"/>
        <v>1.05</v>
      </c>
      <c r="AA239" s="813">
        <f t="shared" si="135"/>
        <v>1051.51</v>
      </c>
      <c r="AB239" s="447">
        <f t="shared" si="136"/>
        <v>0.05</v>
      </c>
      <c r="AC239" s="310">
        <f t="shared" si="100"/>
        <v>157.5</v>
      </c>
      <c r="AD239" s="717">
        <f>ROUND(AC239*'[1]Summary E&amp;M'!$R$94,2)</f>
        <v>196.88</v>
      </c>
      <c r="AE239" s="826">
        <f t="shared" si="128"/>
        <v>1001.44</v>
      </c>
      <c r="AF239" s="826">
        <f t="shared" si="129"/>
        <v>157.5</v>
      </c>
      <c r="AG239" s="731">
        <v>4944.75</v>
      </c>
      <c r="AH239" s="732">
        <v>149.63</v>
      </c>
      <c r="AI239" s="519">
        <f t="shared" si="137"/>
        <v>0</v>
      </c>
      <c r="AJ239" s="519">
        <f t="shared" si="138"/>
        <v>0</v>
      </c>
      <c r="AK239" s="519">
        <f t="shared" si="139"/>
        <v>0</v>
      </c>
      <c r="AL239" s="520">
        <f t="shared" si="140"/>
        <v>0</v>
      </c>
      <c r="AM239" s="520">
        <f t="shared" si="141"/>
        <v>0</v>
      </c>
      <c r="AN239" s="520">
        <f t="shared" si="142"/>
        <v>0</v>
      </c>
      <c r="AO239" s="520">
        <f t="shared" si="143"/>
        <v>0</v>
      </c>
      <c r="AP239" s="719"/>
      <c r="AQ239" s="719"/>
      <c r="AR239" s="719"/>
      <c r="AS239" s="719"/>
      <c r="AT239" s="719"/>
    </row>
    <row r="240" spans="1:46" s="555" customFormat="1" ht="22.5" customHeight="1">
      <c r="A240" s="451"/>
      <c r="B240" s="531" t="s">
        <v>1192</v>
      </c>
      <c r="C240" s="523"/>
      <c r="D240" s="524" t="s">
        <v>132</v>
      </c>
      <c r="E240" s="525" t="s">
        <v>684</v>
      </c>
      <c r="F240" s="1315">
        <f t="shared" si="130"/>
        <v>1</v>
      </c>
      <c r="G240" s="527">
        <f t="shared" si="131"/>
        <v>1454.86</v>
      </c>
      <c r="H240" s="528">
        <f t="shared" si="132"/>
        <v>1454.86</v>
      </c>
      <c r="I240" s="529"/>
      <c r="J240" s="309"/>
      <c r="K240" s="1175">
        <v>1</v>
      </c>
      <c r="L240" s="530">
        <f t="shared" si="133"/>
        <v>196.88</v>
      </c>
      <c r="M240" s="530">
        <f t="shared" si="134"/>
        <v>196.88</v>
      </c>
      <c r="N240" s="309"/>
      <c r="O240" s="778" t="s">
        <v>132</v>
      </c>
      <c r="P240" s="777"/>
      <c r="Q240" s="777"/>
      <c r="R240" s="751"/>
      <c r="S240" s="1098">
        <v>28820000</v>
      </c>
      <c r="T240" s="792">
        <v>150</v>
      </c>
      <c r="U240" s="803">
        <v>0</v>
      </c>
      <c r="V240" s="803">
        <v>0</v>
      </c>
      <c r="W240" s="803">
        <v>0</v>
      </c>
      <c r="X240" s="858">
        <v>1</v>
      </c>
      <c r="Y240" s="310">
        <f>ROUND((R240+S240/'[2]Summary E&amp;M (Origin)'!$O$103)*X240,2)</f>
        <v>1385.58</v>
      </c>
      <c r="Z240" s="858">
        <f t="shared" si="117"/>
        <v>1.05</v>
      </c>
      <c r="AA240" s="813">
        <f t="shared" si="135"/>
        <v>1454.86</v>
      </c>
      <c r="AB240" s="447">
        <f t="shared" si="136"/>
        <v>0.05</v>
      </c>
      <c r="AC240" s="310">
        <f t="shared" si="100"/>
        <v>157.5</v>
      </c>
      <c r="AD240" s="717">
        <f>ROUND(AC240*'[1]Summary E&amp;M'!$R$94,2)</f>
        <v>196.88</v>
      </c>
      <c r="AE240" s="826">
        <f t="shared" si="128"/>
        <v>1385.58</v>
      </c>
      <c r="AF240" s="826">
        <f t="shared" si="129"/>
        <v>157.5</v>
      </c>
      <c r="AG240" s="731">
        <v>3278.45</v>
      </c>
      <c r="AH240" s="732">
        <v>99.75</v>
      </c>
      <c r="AI240" s="519">
        <f t="shared" si="137"/>
        <v>0</v>
      </c>
      <c r="AJ240" s="519">
        <f t="shared" si="138"/>
        <v>0</v>
      </c>
      <c r="AK240" s="519">
        <f t="shared" si="139"/>
        <v>0</v>
      </c>
      <c r="AL240" s="520">
        <f t="shared" si="140"/>
        <v>0</v>
      </c>
      <c r="AM240" s="520">
        <f t="shared" si="141"/>
        <v>0</v>
      </c>
      <c r="AN240" s="520">
        <f t="shared" si="142"/>
        <v>0</v>
      </c>
      <c r="AO240" s="520">
        <f t="shared" si="143"/>
        <v>0</v>
      </c>
      <c r="AP240" s="719"/>
      <c r="AQ240" s="719"/>
      <c r="AR240" s="719"/>
      <c r="AS240" s="719"/>
      <c r="AT240" s="719"/>
    </row>
    <row r="241" spans="1:46" s="555" customFormat="1" ht="22.5" customHeight="1">
      <c r="A241" s="451"/>
      <c r="B241" s="531" t="s">
        <v>1193</v>
      </c>
      <c r="C241" s="523"/>
      <c r="D241" s="524" t="s">
        <v>132</v>
      </c>
      <c r="E241" s="525" t="s">
        <v>684</v>
      </c>
      <c r="F241" s="1315">
        <f t="shared" ref="F241" si="166">K241</f>
        <v>1</v>
      </c>
      <c r="G241" s="527">
        <f t="shared" ref="G241" si="167">ROUNDUP(AA241,2)</f>
        <v>1602.26</v>
      </c>
      <c r="H241" s="528">
        <f t="shared" ref="H241" si="168">ROUND(F241*G241,2)</f>
        <v>1602.26</v>
      </c>
      <c r="I241" s="529"/>
      <c r="J241" s="309"/>
      <c r="K241" s="1175">
        <v>1</v>
      </c>
      <c r="L241" s="530">
        <f t="shared" ref="L241" si="169">ROUND(AD241,2)</f>
        <v>196.88</v>
      </c>
      <c r="M241" s="530">
        <f t="shared" ref="M241" si="170">ROUND(L241*F241,2)</f>
        <v>196.88</v>
      </c>
      <c r="N241" s="309"/>
      <c r="O241" s="778" t="s">
        <v>132</v>
      </c>
      <c r="P241" s="777"/>
      <c r="Q241" s="777"/>
      <c r="R241" s="751"/>
      <c r="S241" s="1098">
        <v>31740000</v>
      </c>
      <c r="T241" s="792">
        <v>150</v>
      </c>
      <c r="U241" s="803">
        <v>0</v>
      </c>
      <c r="V241" s="803">
        <v>0</v>
      </c>
      <c r="W241" s="803">
        <v>0</v>
      </c>
      <c r="X241" s="858">
        <v>1</v>
      </c>
      <c r="Y241" s="310">
        <f>ROUND((R241+S241/'[2]Summary E&amp;M (Origin)'!$O$103)*X241,2)</f>
        <v>1525.96</v>
      </c>
      <c r="Z241" s="858">
        <f t="shared" si="117"/>
        <v>1.05</v>
      </c>
      <c r="AA241" s="813">
        <f t="shared" ref="AA241" si="171">ROUND(Y241*Z241,2)</f>
        <v>1602.26</v>
      </c>
      <c r="AB241" s="447">
        <f t="shared" si="136"/>
        <v>0.05</v>
      </c>
      <c r="AC241" s="310">
        <f t="shared" ref="AC241" si="172">ROUND((T241*(1+AB241)),2)</f>
        <v>157.5</v>
      </c>
      <c r="AD241" s="717">
        <f>ROUND(AC241*'[1]Summary E&amp;M'!$R$94,2)</f>
        <v>196.88</v>
      </c>
      <c r="AE241" s="826">
        <f t="shared" si="128"/>
        <v>1525.96</v>
      </c>
      <c r="AF241" s="826">
        <f t="shared" si="129"/>
        <v>157.5</v>
      </c>
      <c r="AG241" s="731">
        <v>3278.45</v>
      </c>
      <c r="AH241" s="732">
        <v>99.75</v>
      </c>
      <c r="AI241" s="519">
        <f t="shared" si="137"/>
        <v>0</v>
      </c>
      <c r="AJ241" s="519">
        <f t="shared" si="138"/>
        <v>0</v>
      </c>
      <c r="AK241" s="519">
        <f t="shared" si="139"/>
        <v>0</v>
      </c>
      <c r="AL241" s="520">
        <f t="shared" ref="AL241" si="173">ROUND(Y241*AI241+((Y241*(1+AI241))*AJ241)+((Y241*AI241+((Y241*(1+AI241))*AJ241))*AK241),2)</f>
        <v>0</v>
      </c>
      <c r="AM241" s="520">
        <f t="shared" ref="AM241" si="174">AL241*$F241</f>
        <v>0</v>
      </c>
      <c r="AN241" s="520">
        <f t="shared" ref="AN241" si="175">ROUND(AL241*Z241,2)</f>
        <v>0</v>
      </c>
      <c r="AO241" s="520">
        <f t="shared" ref="AO241" si="176">AN241*$F241</f>
        <v>0</v>
      </c>
      <c r="AP241" s="719"/>
      <c r="AQ241" s="719"/>
      <c r="AR241" s="719"/>
      <c r="AS241" s="719"/>
      <c r="AT241" s="719"/>
    </row>
    <row r="242" spans="1:46" s="555" customFormat="1" ht="22.5" customHeight="1">
      <c r="A242" s="451"/>
      <c r="B242" s="531" t="s">
        <v>1194</v>
      </c>
      <c r="C242" s="523"/>
      <c r="D242" s="524" t="s">
        <v>132</v>
      </c>
      <c r="E242" s="525" t="s">
        <v>684</v>
      </c>
      <c r="F242" s="1315">
        <f t="shared" si="130"/>
        <v>1</v>
      </c>
      <c r="G242" s="527">
        <f t="shared" si="131"/>
        <v>1066.6600000000001</v>
      </c>
      <c r="H242" s="528">
        <f t="shared" si="132"/>
        <v>1066.6600000000001</v>
      </c>
      <c r="I242" s="529"/>
      <c r="J242" s="309"/>
      <c r="K242" s="1175">
        <v>1</v>
      </c>
      <c r="L242" s="530">
        <f t="shared" si="133"/>
        <v>65.63</v>
      </c>
      <c r="M242" s="530">
        <f t="shared" si="134"/>
        <v>65.63</v>
      </c>
      <c r="N242" s="309"/>
      <c r="O242" s="778" t="s">
        <v>132</v>
      </c>
      <c r="P242" s="777"/>
      <c r="Q242" s="777"/>
      <c r="R242" s="751"/>
      <c r="S242" s="1098">
        <v>21130000</v>
      </c>
      <c r="T242" s="792">
        <v>50</v>
      </c>
      <c r="U242" s="803">
        <v>0</v>
      </c>
      <c r="V242" s="803">
        <v>0</v>
      </c>
      <c r="W242" s="803">
        <v>0</v>
      </c>
      <c r="X242" s="858">
        <v>1</v>
      </c>
      <c r="Y242" s="310">
        <f>ROUND((R242+S242/'[2]Summary E&amp;M (Origin)'!$O$103)*X242,2)</f>
        <v>1015.87</v>
      </c>
      <c r="Z242" s="858">
        <f t="shared" si="117"/>
        <v>1.05</v>
      </c>
      <c r="AA242" s="813">
        <f t="shared" si="135"/>
        <v>1066.6600000000001</v>
      </c>
      <c r="AB242" s="447">
        <f t="shared" si="136"/>
        <v>0.05</v>
      </c>
      <c r="AC242" s="310">
        <f t="shared" si="100"/>
        <v>52.5</v>
      </c>
      <c r="AD242" s="717">
        <f>ROUND(AC242*'[1]Summary E&amp;M'!$R$94,2)</f>
        <v>65.63</v>
      </c>
      <c r="AE242" s="826">
        <f t="shared" si="128"/>
        <v>1015.87</v>
      </c>
      <c r="AF242" s="826">
        <f t="shared" si="129"/>
        <v>52.5</v>
      </c>
      <c r="AG242" s="731">
        <v>3645.15</v>
      </c>
      <c r="AH242" s="732">
        <v>99.75</v>
      </c>
      <c r="AI242" s="519">
        <f t="shared" si="137"/>
        <v>0</v>
      </c>
      <c r="AJ242" s="519">
        <f t="shared" si="138"/>
        <v>0</v>
      </c>
      <c r="AK242" s="519">
        <f t="shared" si="139"/>
        <v>0</v>
      </c>
      <c r="AL242" s="520">
        <f t="shared" si="140"/>
        <v>0</v>
      </c>
      <c r="AM242" s="520">
        <f t="shared" si="141"/>
        <v>0</v>
      </c>
      <c r="AN242" s="520">
        <f t="shared" si="142"/>
        <v>0</v>
      </c>
      <c r="AO242" s="520">
        <f t="shared" si="143"/>
        <v>0</v>
      </c>
      <c r="AP242" s="719"/>
      <c r="AQ242" s="719"/>
      <c r="AR242" s="719"/>
      <c r="AS242" s="719"/>
      <c r="AT242" s="719"/>
    </row>
    <row r="243" spans="1:46" s="555" customFormat="1" ht="22.5" customHeight="1">
      <c r="A243" s="451"/>
      <c r="B243" s="531" t="s">
        <v>1195</v>
      </c>
      <c r="C243" s="523"/>
      <c r="D243" s="524" t="s">
        <v>132</v>
      </c>
      <c r="E243" s="525" t="s">
        <v>684</v>
      </c>
      <c r="F243" s="1315">
        <f t="shared" si="130"/>
        <v>1</v>
      </c>
      <c r="G243" s="527">
        <f t="shared" si="131"/>
        <v>2262.5500000000002</v>
      </c>
      <c r="H243" s="528">
        <f t="shared" si="132"/>
        <v>2262.5500000000002</v>
      </c>
      <c r="I243" s="529"/>
      <c r="J243" s="309"/>
      <c r="K243" s="1175">
        <v>1</v>
      </c>
      <c r="L243" s="530">
        <f t="shared" si="133"/>
        <v>65.63</v>
      </c>
      <c r="M243" s="530">
        <f t="shared" si="134"/>
        <v>65.63</v>
      </c>
      <c r="N243" s="309"/>
      <c r="O243" s="778" t="s">
        <v>132</v>
      </c>
      <c r="P243" s="777"/>
      <c r="Q243" s="777"/>
      <c r="R243" s="751"/>
      <c r="S243" s="1098">
        <v>44820000</v>
      </c>
      <c r="T243" s="792">
        <v>50</v>
      </c>
      <c r="U243" s="803">
        <v>0</v>
      </c>
      <c r="V243" s="803">
        <v>0</v>
      </c>
      <c r="W243" s="803">
        <v>0</v>
      </c>
      <c r="X243" s="858">
        <v>1</v>
      </c>
      <c r="Y243" s="310">
        <f>ROUND((R243+S243/'[2]Summary E&amp;M (Origin)'!$O$103)*X243,2)</f>
        <v>2154.81</v>
      </c>
      <c r="Z243" s="858">
        <f t="shared" si="117"/>
        <v>1.05</v>
      </c>
      <c r="AA243" s="813">
        <f t="shared" si="135"/>
        <v>2262.5500000000002</v>
      </c>
      <c r="AB243" s="447">
        <f t="shared" si="136"/>
        <v>0.05</v>
      </c>
      <c r="AC243" s="310">
        <f t="shared" si="100"/>
        <v>52.5</v>
      </c>
      <c r="AD243" s="717">
        <f>ROUND(AC243*'[1]Summary E&amp;M'!$R$94,2)</f>
        <v>65.63</v>
      </c>
      <c r="AE243" s="826">
        <f t="shared" si="128"/>
        <v>2154.81</v>
      </c>
      <c r="AF243" s="826">
        <f t="shared" si="129"/>
        <v>52.5</v>
      </c>
      <c r="AG243" s="731">
        <v>3645.15</v>
      </c>
      <c r="AH243" s="732">
        <v>99.75</v>
      </c>
      <c r="AI243" s="519">
        <f t="shared" si="137"/>
        <v>0</v>
      </c>
      <c r="AJ243" s="519">
        <f t="shared" si="138"/>
        <v>0</v>
      </c>
      <c r="AK243" s="519">
        <f t="shared" si="139"/>
        <v>0</v>
      </c>
      <c r="AL243" s="520">
        <f t="shared" si="140"/>
        <v>0</v>
      </c>
      <c r="AM243" s="520">
        <f t="shared" si="141"/>
        <v>0</v>
      </c>
      <c r="AN243" s="520">
        <f t="shared" si="142"/>
        <v>0</v>
      </c>
      <c r="AO243" s="520">
        <f t="shared" si="143"/>
        <v>0</v>
      </c>
      <c r="AP243" s="719"/>
      <c r="AQ243" s="719"/>
      <c r="AR243" s="719"/>
      <c r="AS243" s="719"/>
      <c r="AT243" s="719"/>
    </row>
    <row r="244" spans="1:46" s="555" customFormat="1" ht="22.5" customHeight="1">
      <c r="A244" s="451"/>
      <c r="B244" s="531" t="s">
        <v>1196</v>
      </c>
      <c r="C244" s="523"/>
      <c r="D244" s="524" t="s">
        <v>132</v>
      </c>
      <c r="E244" s="525" t="s">
        <v>684</v>
      </c>
      <c r="F244" s="1315">
        <f t="shared" si="130"/>
        <v>1</v>
      </c>
      <c r="G244" s="527">
        <f t="shared" si="131"/>
        <v>1961.68</v>
      </c>
      <c r="H244" s="528">
        <f t="shared" si="132"/>
        <v>1961.68</v>
      </c>
      <c r="I244" s="529"/>
      <c r="J244" s="309"/>
      <c r="K244" s="1175">
        <v>1</v>
      </c>
      <c r="L244" s="530">
        <f t="shared" si="133"/>
        <v>65.63</v>
      </c>
      <c r="M244" s="530">
        <f t="shared" si="134"/>
        <v>65.63</v>
      </c>
      <c r="N244" s="309"/>
      <c r="O244" s="778" t="s">
        <v>132</v>
      </c>
      <c r="P244" s="777"/>
      <c r="Q244" s="777"/>
      <c r="R244" s="751"/>
      <c r="S244" s="1098">
        <v>38860000</v>
      </c>
      <c r="T244" s="792">
        <v>50</v>
      </c>
      <c r="U244" s="803">
        <v>0</v>
      </c>
      <c r="V244" s="803">
        <v>0</v>
      </c>
      <c r="W244" s="803">
        <v>0</v>
      </c>
      <c r="X244" s="858">
        <v>1</v>
      </c>
      <c r="Y244" s="310">
        <f>ROUND((R244+S244/'[2]Summary E&amp;M (Origin)'!$O$103)*X244,2)</f>
        <v>1868.27</v>
      </c>
      <c r="Z244" s="858">
        <f t="shared" si="117"/>
        <v>1.05</v>
      </c>
      <c r="AA244" s="813">
        <f t="shared" si="135"/>
        <v>1961.68</v>
      </c>
      <c r="AB244" s="447">
        <f t="shared" si="136"/>
        <v>0.05</v>
      </c>
      <c r="AC244" s="310">
        <f t="shared" si="100"/>
        <v>52.5</v>
      </c>
      <c r="AD244" s="717">
        <f>ROUND(AC244*'[1]Summary E&amp;M'!$R$94,2)</f>
        <v>65.63</v>
      </c>
      <c r="AE244" s="826">
        <f t="shared" si="128"/>
        <v>1868.27</v>
      </c>
      <c r="AF244" s="826">
        <f t="shared" si="129"/>
        <v>52.5</v>
      </c>
      <c r="AG244" s="731">
        <v>3645.15</v>
      </c>
      <c r="AH244" s="732">
        <v>99.75</v>
      </c>
      <c r="AI244" s="519">
        <f t="shared" si="137"/>
        <v>0</v>
      </c>
      <c r="AJ244" s="519">
        <f t="shared" si="138"/>
        <v>0</v>
      </c>
      <c r="AK244" s="519">
        <f t="shared" si="139"/>
        <v>0</v>
      </c>
      <c r="AL244" s="520">
        <f t="shared" si="140"/>
        <v>0</v>
      </c>
      <c r="AM244" s="520">
        <f t="shared" si="141"/>
        <v>0</v>
      </c>
      <c r="AN244" s="520">
        <f t="shared" si="142"/>
        <v>0</v>
      </c>
      <c r="AO244" s="520">
        <f t="shared" si="143"/>
        <v>0</v>
      </c>
      <c r="AP244" s="719"/>
      <c r="AQ244" s="719"/>
      <c r="AR244" s="719"/>
      <c r="AS244" s="719"/>
      <c r="AT244" s="719"/>
    </row>
    <row r="245" spans="1:46" s="555" customFormat="1" ht="22.5" customHeight="1">
      <c r="A245" s="451"/>
      <c r="B245" s="531" t="s">
        <v>1197</v>
      </c>
      <c r="C245" s="523"/>
      <c r="D245" s="524" t="s">
        <v>132</v>
      </c>
      <c r="E245" s="525" t="s">
        <v>684</v>
      </c>
      <c r="F245" s="1315">
        <f t="shared" si="130"/>
        <v>1</v>
      </c>
      <c r="G245" s="527">
        <f t="shared" si="131"/>
        <v>1961.68</v>
      </c>
      <c r="H245" s="528">
        <f t="shared" si="132"/>
        <v>1961.68</v>
      </c>
      <c r="I245" s="529"/>
      <c r="J245" s="309"/>
      <c r="K245" s="1175">
        <v>1</v>
      </c>
      <c r="L245" s="530">
        <f t="shared" si="133"/>
        <v>65.63</v>
      </c>
      <c r="M245" s="530">
        <f t="shared" si="134"/>
        <v>65.63</v>
      </c>
      <c r="N245" s="309"/>
      <c r="O245" s="778" t="s">
        <v>132</v>
      </c>
      <c r="P245" s="777"/>
      <c r="Q245" s="777"/>
      <c r="R245" s="751"/>
      <c r="S245" s="1098">
        <v>38860000</v>
      </c>
      <c r="T245" s="792">
        <v>50</v>
      </c>
      <c r="U245" s="803">
        <v>0</v>
      </c>
      <c r="V245" s="803">
        <v>0</v>
      </c>
      <c r="W245" s="803">
        <v>0</v>
      </c>
      <c r="X245" s="858">
        <v>1</v>
      </c>
      <c r="Y245" s="310">
        <f>ROUND((R245+S245/'[2]Summary E&amp;M (Origin)'!$O$103)*X245,2)</f>
        <v>1868.27</v>
      </c>
      <c r="Z245" s="858">
        <f t="shared" si="117"/>
        <v>1.05</v>
      </c>
      <c r="AA245" s="813">
        <f t="shared" si="135"/>
        <v>1961.68</v>
      </c>
      <c r="AB245" s="447">
        <f t="shared" si="136"/>
        <v>0.05</v>
      </c>
      <c r="AC245" s="310">
        <f t="shared" si="100"/>
        <v>52.5</v>
      </c>
      <c r="AD245" s="717">
        <f>ROUND(AC245*'[1]Summary E&amp;M'!$R$94,2)</f>
        <v>65.63</v>
      </c>
      <c r="AE245" s="826">
        <f t="shared" si="128"/>
        <v>1868.27</v>
      </c>
      <c r="AF245" s="826">
        <f t="shared" si="129"/>
        <v>52.5</v>
      </c>
      <c r="AG245" s="731">
        <v>3645.15</v>
      </c>
      <c r="AH245" s="732">
        <v>99.75</v>
      </c>
      <c r="AI245" s="519">
        <f t="shared" si="137"/>
        <v>0</v>
      </c>
      <c r="AJ245" s="519">
        <f t="shared" si="138"/>
        <v>0</v>
      </c>
      <c r="AK245" s="519">
        <f t="shared" si="139"/>
        <v>0</v>
      </c>
      <c r="AL245" s="520">
        <f t="shared" si="140"/>
        <v>0</v>
      </c>
      <c r="AM245" s="520">
        <f t="shared" si="141"/>
        <v>0</v>
      </c>
      <c r="AN245" s="520">
        <f t="shared" si="142"/>
        <v>0</v>
      </c>
      <c r="AO245" s="520">
        <f t="shared" si="143"/>
        <v>0</v>
      </c>
      <c r="AP245" s="719"/>
      <c r="AQ245" s="719"/>
      <c r="AR245" s="719"/>
      <c r="AS245" s="719"/>
      <c r="AT245" s="719"/>
    </row>
    <row r="246" spans="1:46" s="555" customFormat="1" ht="22.5" customHeight="1">
      <c r="A246" s="451"/>
      <c r="B246" s="531" t="s">
        <v>1198</v>
      </c>
      <c r="C246" s="523"/>
      <c r="D246" s="524" t="s">
        <v>132</v>
      </c>
      <c r="E246" s="525" t="s">
        <v>684</v>
      </c>
      <c r="F246" s="1315">
        <f t="shared" ref="F246" si="177">K246</f>
        <v>1</v>
      </c>
      <c r="G246" s="527">
        <f t="shared" ref="G246" si="178">ROUNDUP(AA246,2)</f>
        <v>1038.3900000000001</v>
      </c>
      <c r="H246" s="528">
        <f t="shared" ref="H246" si="179">ROUND(F246*G246,2)</f>
        <v>1038.3900000000001</v>
      </c>
      <c r="I246" s="529"/>
      <c r="J246" s="309"/>
      <c r="K246" s="1175">
        <v>1</v>
      </c>
      <c r="L246" s="530">
        <f t="shared" ref="L246" si="180">ROUND(AD246,2)</f>
        <v>65.63</v>
      </c>
      <c r="M246" s="530">
        <f t="shared" ref="M246" si="181">ROUND(L246*F246,2)</f>
        <v>65.63</v>
      </c>
      <c r="N246" s="309"/>
      <c r="O246" s="778" t="s">
        <v>132</v>
      </c>
      <c r="P246" s="777"/>
      <c r="Q246" s="777"/>
      <c r="R246" s="751"/>
      <c r="S246" s="1098">
        <v>20570000</v>
      </c>
      <c r="T246" s="792">
        <v>50</v>
      </c>
      <c r="U246" s="803">
        <v>0</v>
      </c>
      <c r="V246" s="803">
        <v>0</v>
      </c>
      <c r="W246" s="803">
        <v>0</v>
      </c>
      <c r="X246" s="858">
        <v>1</v>
      </c>
      <c r="Y246" s="310">
        <f>ROUND((R246+S246/'[2]Summary E&amp;M (Origin)'!$O$103)*X246,2)</f>
        <v>988.94</v>
      </c>
      <c r="Z246" s="858">
        <f t="shared" si="117"/>
        <v>1.05</v>
      </c>
      <c r="AA246" s="813">
        <f t="shared" ref="AA246" si="182">ROUND(Y246*Z246,2)</f>
        <v>1038.3900000000001</v>
      </c>
      <c r="AB246" s="447">
        <f t="shared" si="136"/>
        <v>0.05</v>
      </c>
      <c r="AC246" s="310">
        <f t="shared" ref="AC246" si="183">ROUND((T246*(1+AB246)),2)</f>
        <v>52.5</v>
      </c>
      <c r="AD246" s="717">
        <f>ROUND(AC246*'[1]Summary E&amp;M'!$R$94,2)</f>
        <v>65.63</v>
      </c>
      <c r="AE246" s="826">
        <f t="shared" si="128"/>
        <v>988.94</v>
      </c>
      <c r="AF246" s="826">
        <f t="shared" si="129"/>
        <v>52.5</v>
      </c>
      <c r="AG246" s="731">
        <v>3645.15</v>
      </c>
      <c r="AH246" s="732">
        <v>99.75</v>
      </c>
      <c r="AI246" s="519">
        <f t="shared" si="137"/>
        <v>0</v>
      </c>
      <c r="AJ246" s="519">
        <f t="shared" si="138"/>
        <v>0</v>
      </c>
      <c r="AK246" s="519">
        <f t="shared" si="139"/>
        <v>0</v>
      </c>
      <c r="AL246" s="520">
        <f t="shared" ref="AL246" si="184">ROUND(Y246*AI246+((Y246*(1+AI246))*AJ246)+((Y246*AI246+((Y246*(1+AI246))*AJ246))*AK246),2)</f>
        <v>0</v>
      </c>
      <c r="AM246" s="520">
        <f t="shared" ref="AM246" si="185">AL246*$F246</f>
        <v>0</v>
      </c>
      <c r="AN246" s="520">
        <f t="shared" ref="AN246" si="186">ROUND(AL246*Z246,2)</f>
        <v>0</v>
      </c>
      <c r="AO246" s="520">
        <f t="shared" ref="AO246" si="187">AN246*$F246</f>
        <v>0</v>
      </c>
      <c r="AP246" s="719"/>
      <c r="AQ246" s="719"/>
      <c r="AR246" s="719"/>
      <c r="AS246" s="719"/>
      <c r="AT246" s="719"/>
    </row>
    <row r="247" spans="1:46" s="555" customFormat="1" ht="22.5" customHeight="1">
      <c r="A247" s="451"/>
      <c r="B247" s="531" t="s">
        <v>1199</v>
      </c>
      <c r="C247" s="523"/>
      <c r="D247" s="524" t="s">
        <v>132</v>
      </c>
      <c r="E247" s="525" t="s">
        <v>684</v>
      </c>
      <c r="F247" s="1315">
        <f t="shared" ref="F247" si="188">K247</f>
        <v>1</v>
      </c>
      <c r="G247" s="527">
        <f t="shared" ref="G247" si="189">ROUNDUP(AA247,2)</f>
        <v>1038.3900000000001</v>
      </c>
      <c r="H247" s="528">
        <f t="shared" ref="H247" si="190">ROUND(F247*G247,2)</f>
        <v>1038.3900000000001</v>
      </c>
      <c r="I247" s="529"/>
      <c r="J247" s="309"/>
      <c r="K247" s="1175">
        <v>1</v>
      </c>
      <c r="L247" s="530">
        <f t="shared" ref="L247" si="191">ROUND(AD247,2)</f>
        <v>65.63</v>
      </c>
      <c r="M247" s="530">
        <f t="shared" ref="M247" si="192">ROUND(L247*F247,2)</f>
        <v>65.63</v>
      </c>
      <c r="N247" s="309"/>
      <c r="O247" s="778" t="s">
        <v>132</v>
      </c>
      <c r="P247" s="777"/>
      <c r="Q247" s="777"/>
      <c r="R247" s="751"/>
      <c r="S247" s="1098">
        <v>20570000</v>
      </c>
      <c r="T247" s="792">
        <v>50</v>
      </c>
      <c r="U247" s="803">
        <v>0</v>
      </c>
      <c r="V247" s="803">
        <v>0</v>
      </c>
      <c r="W247" s="803">
        <v>0</v>
      </c>
      <c r="X247" s="858">
        <v>1</v>
      </c>
      <c r="Y247" s="310">
        <f>ROUND((R247+S247/'[2]Summary E&amp;M (Origin)'!$O$103)*X247,2)</f>
        <v>988.94</v>
      </c>
      <c r="Z247" s="858">
        <f t="shared" si="117"/>
        <v>1.05</v>
      </c>
      <c r="AA247" s="813">
        <f t="shared" ref="AA247" si="193">ROUND(Y247*Z247,2)</f>
        <v>1038.3900000000001</v>
      </c>
      <c r="AB247" s="447">
        <f t="shared" si="136"/>
        <v>0.05</v>
      </c>
      <c r="AC247" s="310">
        <f t="shared" ref="AC247" si="194">ROUND((T247*(1+AB247)),2)</f>
        <v>52.5</v>
      </c>
      <c r="AD247" s="717">
        <f>ROUND(AC247*'[1]Summary E&amp;M'!$R$94,2)</f>
        <v>65.63</v>
      </c>
      <c r="AE247" s="826">
        <f t="shared" si="128"/>
        <v>988.94</v>
      </c>
      <c r="AF247" s="826">
        <f t="shared" si="129"/>
        <v>52.5</v>
      </c>
      <c r="AG247" s="731">
        <v>3645.15</v>
      </c>
      <c r="AH247" s="732">
        <v>99.75</v>
      </c>
      <c r="AI247" s="519">
        <f t="shared" si="137"/>
        <v>0</v>
      </c>
      <c r="AJ247" s="519">
        <f t="shared" si="138"/>
        <v>0</v>
      </c>
      <c r="AK247" s="519">
        <f t="shared" si="139"/>
        <v>0</v>
      </c>
      <c r="AL247" s="520">
        <f t="shared" ref="AL247" si="195">ROUND(Y247*AI247+((Y247*(1+AI247))*AJ247)+((Y247*AI247+((Y247*(1+AI247))*AJ247))*AK247),2)</f>
        <v>0</v>
      </c>
      <c r="AM247" s="520">
        <f t="shared" ref="AM247" si="196">AL247*$F247</f>
        <v>0</v>
      </c>
      <c r="AN247" s="520">
        <f t="shared" ref="AN247" si="197">ROUND(AL247*Z247,2)</f>
        <v>0</v>
      </c>
      <c r="AO247" s="520">
        <f t="shared" ref="AO247" si="198">AN247*$F247</f>
        <v>0</v>
      </c>
      <c r="AP247" s="719"/>
      <c r="AQ247" s="719"/>
      <c r="AR247" s="719"/>
      <c r="AS247" s="719"/>
      <c r="AT247" s="719"/>
    </row>
    <row r="248" spans="1:46" s="555" customFormat="1" ht="22.5" customHeight="1">
      <c r="A248" s="451"/>
      <c r="B248" s="531" t="s">
        <v>672</v>
      </c>
      <c r="C248" s="523"/>
      <c r="D248" s="524" t="s">
        <v>139</v>
      </c>
      <c r="E248" s="525" t="s">
        <v>322</v>
      </c>
      <c r="F248" s="1315">
        <f t="shared" si="130"/>
        <v>1</v>
      </c>
      <c r="G248" s="527">
        <f t="shared" si="131"/>
        <v>2063.6799999999998</v>
      </c>
      <c r="H248" s="528">
        <f t="shared" si="132"/>
        <v>2063.6799999999998</v>
      </c>
      <c r="I248" s="529"/>
      <c r="J248" s="309"/>
      <c r="K248" s="1175">
        <v>1</v>
      </c>
      <c r="L248" s="530">
        <f t="shared" si="133"/>
        <v>531.88</v>
      </c>
      <c r="M248" s="530">
        <f t="shared" si="134"/>
        <v>531.88</v>
      </c>
      <c r="N248" s="309"/>
      <c r="O248" s="778" t="s">
        <v>130</v>
      </c>
      <c r="P248" s="777">
        <v>0.05</v>
      </c>
      <c r="Q248" s="777"/>
      <c r="R248" s="751">
        <f>ROUND(SUM(AE223:AE245)*P248,2)</f>
        <v>2026.2</v>
      </c>
      <c r="S248" s="752"/>
      <c r="T248" s="792">
        <f>R248*0.2</f>
        <v>405.24</v>
      </c>
      <c r="U248" s="803">
        <v>0</v>
      </c>
      <c r="V248" s="803">
        <v>0</v>
      </c>
      <c r="W248" s="803">
        <v>0</v>
      </c>
      <c r="X248" s="858">
        <f>SUMIF('Summary-E'!O$4:O$50,D248,'Summary-E'!Q$4:Q$50)</f>
        <v>0.97</v>
      </c>
      <c r="Y248" s="310">
        <f>ROUND((R248+S248/'[2]Summary E&amp;M (Origin)'!$O$103)*X248,2)</f>
        <v>1965.41</v>
      </c>
      <c r="Z248" s="858">
        <f t="shared" si="117"/>
        <v>1.05</v>
      </c>
      <c r="AA248" s="813">
        <f t="shared" si="135"/>
        <v>2063.6799999999998</v>
      </c>
      <c r="AB248" s="447">
        <f t="shared" si="136"/>
        <v>0.05</v>
      </c>
      <c r="AC248" s="310">
        <f t="shared" si="100"/>
        <v>425.5</v>
      </c>
      <c r="AD248" s="717">
        <f>ROUND(AC248*'[1]Summary E&amp;M'!$R$94,2)</f>
        <v>531.88</v>
      </c>
      <c r="AE248" s="826">
        <f t="shared" si="128"/>
        <v>1965.41</v>
      </c>
      <c r="AF248" s="826">
        <f t="shared" si="129"/>
        <v>425.5</v>
      </c>
      <c r="AG248" s="731"/>
      <c r="AH248" s="732"/>
      <c r="AI248" s="519">
        <f t="shared" si="137"/>
        <v>0</v>
      </c>
      <c r="AJ248" s="519">
        <f t="shared" si="138"/>
        <v>0</v>
      </c>
      <c r="AK248" s="519">
        <f t="shared" si="139"/>
        <v>0</v>
      </c>
      <c r="AL248" s="520">
        <f t="shared" si="140"/>
        <v>0</v>
      </c>
      <c r="AM248" s="520">
        <f t="shared" si="141"/>
        <v>0</v>
      </c>
      <c r="AN248" s="520">
        <f t="shared" si="142"/>
        <v>0</v>
      </c>
      <c r="AO248" s="520">
        <f t="shared" si="143"/>
        <v>0</v>
      </c>
      <c r="AP248" s="719"/>
      <c r="AQ248" s="719"/>
      <c r="AR248" s="719"/>
      <c r="AS248" s="719"/>
      <c r="AT248" s="719"/>
    </row>
    <row r="249" spans="1:46" s="555" customFormat="1" ht="38.25">
      <c r="A249" s="451"/>
      <c r="B249" s="531" t="s">
        <v>1078</v>
      </c>
      <c r="C249" s="1194" t="s">
        <v>1200</v>
      </c>
      <c r="D249" s="1239" t="s">
        <v>1125</v>
      </c>
      <c r="E249" s="525" t="s">
        <v>321</v>
      </c>
      <c r="F249" s="1314">
        <f>ROUND(K249*'[2]Summary E&amp;M (Origin)'!$K$100,0)</f>
        <v>130</v>
      </c>
      <c r="G249" s="527">
        <f t="shared" si="131"/>
        <v>9.7200000000000006</v>
      </c>
      <c r="H249" s="528">
        <f t="shared" si="132"/>
        <v>1263.5999999999999</v>
      </c>
      <c r="I249" s="529"/>
      <c r="J249" s="309"/>
      <c r="K249" s="1175">
        <v>124</v>
      </c>
      <c r="L249" s="530">
        <f t="shared" si="133"/>
        <v>5.51</v>
      </c>
      <c r="M249" s="530">
        <f t="shared" si="134"/>
        <v>716.3</v>
      </c>
      <c r="N249" s="309"/>
      <c r="O249" s="778">
        <v>131</v>
      </c>
      <c r="P249" s="777"/>
      <c r="Q249" s="777"/>
      <c r="R249" s="751"/>
      <c r="S249" s="1242">
        <f>46700*3+30950+21650</f>
        <v>192700</v>
      </c>
      <c r="T249" s="1164">
        <v>4.2</v>
      </c>
      <c r="U249" s="803">
        <v>0</v>
      </c>
      <c r="V249" s="803">
        <v>0</v>
      </c>
      <c r="W249" s="803">
        <v>0</v>
      </c>
      <c r="X249" s="858">
        <v>1</v>
      </c>
      <c r="Y249" s="310">
        <f>ROUND((R249+S249/'[2]Summary E&amp;M (Origin)'!$O$103)*X249,2)</f>
        <v>9.26</v>
      </c>
      <c r="Z249" s="858">
        <f t="shared" si="117"/>
        <v>1.05</v>
      </c>
      <c r="AA249" s="813">
        <f t="shared" si="135"/>
        <v>9.7200000000000006</v>
      </c>
      <c r="AB249" s="447">
        <f t="shared" si="136"/>
        <v>0.05</v>
      </c>
      <c r="AC249" s="310">
        <f t="shared" si="100"/>
        <v>4.41</v>
      </c>
      <c r="AD249" s="717">
        <f>ROUND(AC249*'[1]Summary E&amp;M'!$R$94,2)</f>
        <v>5.51</v>
      </c>
      <c r="AE249" s="826">
        <f t="shared" si="128"/>
        <v>1148.24</v>
      </c>
      <c r="AF249" s="826">
        <f t="shared" si="129"/>
        <v>546.84</v>
      </c>
      <c r="AG249" s="731"/>
      <c r="AH249" s="732"/>
      <c r="AI249" s="519">
        <f t="shared" si="137"/>
        <v>0</v>
      </c>
      <c r="AJ249" s="519">
        <f t="shared" si="138"/>
        <v>0</v>
      </c>
      <c r="AK249" s="519">
        <f t="shared" si="139"/>
        <v>0</v>
      </c>
      <c r="AL249" s="520">
        <f t="shared" si="140"/>
        <v>0</v>
      </c>
      <c r="AM249" s="520">
        <f t="shared" si="141"/>
        <v>0</v>
      </c>
      <c r="AN249" s="520">
        <f t="shared" si="142"/>
        <v>0</v>
      </c>
      <c r="AO249" s="520">
        <f t="shared" si="143"/>
        <v>0</v>
      </c>
      <c r="AP249" s="719"/>
      <c r="AQ249" s="719"/>
      <c r="AR249" s="719"/>
      <c r="AS249" s="719"/>
      <c r="AT249" s="719"/>
    </row>
    <row r="250" spans="1:46" s="555" customFormat="1" ht="38.25">
      <c r="A250" s="451"/>
      <c r="B250" s="531" t="s">
        <v>1079</v>
      </c>
      <c r="C250" s="1194" t="s">
        <v>1201</v>
      </c>
      <c r="D250" s="1239" t="s">
        <v>1125</v>
      </c>
      <c r="E250" s="525" t="s">
        <v>321</v>
      </c>
      <c r="F250" s="1314">
        <f>ROUND(K250*'[2]Summary E&amp;M (Origin)'!$K$100,0)</f>
        <v>116</v>
      </c>
      <c r="G250" s="527">
        <f t="shared" si="131"/>
        <v>8.56</v>
      </c>
      <c r="H250" s="528">
        <f t="shared" si="132"/>
        <v>992.96</v>
      </c>
      <c r="I250" s="529"/>
      <c r="J250" s="309"/>
      <c r="K250" s="1175">
        <v>110</v>
      </c>
      <c r="L250" s="530">
        <f t="shared" si="133"/>
        <v>7.88</v>
      </c>
      <c r="M250" s="530">
        <f t="shared" si="134"/>
        <v>914.08</v>
      </c>
      <c r="N250" s="309"/>
      <c r="O250" s="778">
        <v>131</v>
      </c>
      <c r="P250" s="777"/>
      <c r="Q250" s="777"/>
      <c r="R250" s="751"/>
      <c r="S250" s="1122">
        <f>3*37750+30950+25230</f>
        <v>169430</v>
      </c>
      <c r="T250" s="1164">
        <v>6</v>
      </c>
      <c r="U250" s="803">
        <v>0</v>
      </c>
      <c r="V250" s="803">
        <v>0</v>
      </c>
      <c r="W250" s="803">
        <v>0</v>
      </c>
      <c r="X250" s="858">
        <v>1</v>
      </c>
      <c r="Y250" s="310">
        <f>ROUND((R250+S250/'[2]Summary E&amp;M (Origin)'!$O$103)*X250,2)</f>
        <v>8.15</v>
      </c>
      <c r="Z250" s="858">
        <f t="shared" si="117"/>
        <v>1.05</v>
      </c>
      <c r="AA250" s="813">
        <f t="shared" si="135"/>
        <v>8.56</v>
      </c>
      <c r="AB250" s="447">
        <f t="shared" si="136"/>
        <v>0.05</v>
      </c>
      <c r="AC250" s="310">
        <f t="shared" si="100"/>
        <v>6.3</v>
      </c>
      <c r="AD250" s="717">
        <f>ROUND(AC250*'[1]Summary E&amp;M'!$R$94,2)</f>
        <v>7.88</v>
      </c>
      <c r="AE250" s="826">
        <f t="shared" si="128"/>
        <v>896.5</v>
      </c>
      <c r="AF250" s="826">
        <f t="shared" si="129"/>
        <v>693</v>
      </c>
      <c r="AG250" s="731"/>
      <c r="AH250" s="732"/>
      <c r="AI250" s="519">
        <f t="shared" si="137"/>
        <v>0</v>
      </c>
      <c r="AJ250" s="519">
        <f t="shared" si="138"/>
        <v>0</v>
      </c>
      <c r="AK250" s="519">
        <f t="shared" si="139"/>
        <v>0</v>
      </c>
      <c r="AL250" s="520">
        <f t="shared" si="140"/>
        <v>0</v>
      </c>
      <c r="AM250" s="520">
        <f t="shared" si="141"/>
        <v>0</v>
      </c>
      <c r="AN250" s="520">
        <f t="shared" si="142"/>
        <v>0</v>
      </c>
      <c r="AO250" s="520">
        <f t="shared" si="143"/>
        <v>0</v>
      </c>
      <c r="AP250" s="719"/>
      <c r="AQ250" s="719"/>
      <c r="AR250" s="719"/>
      <c r="AS250" s="719"/>
      <c r="AT250" s="719"/>
    </row>
    <row r="251" spans="1:46" s="555" customFormat="1" ht="38.25">
      <c r="A251" s="451"/>
      <c r="B251" s="531" t="s">
        <v>1080</v>
      </c>
      <c r="C251" s="1194" t="s">
        <v>1184</v>
      </c>
      <c r="D251" s="1239" t="s">
        <v>1125</v>
      </c>
      <c r="E251" s="525" t="s">
        <v>321</v>
      </c>
      <c r="F251" s="1314">
        <f>ROUND(K251*'[2]Summary E&amp;M (Origin)'!$K$100,0)</f>
        <v>147</v>
      </c>
      <c r="G251" s="527">
        <f t="shared" si="131"/>
        <v>12.78</v>
      </c>
      <c r="H251" s="528">
        <f t="shared" si="132"/>
        <v>1878.66</v>
      </c>
      <c r="I251" s="529"/>
      <c r="J251" s="309"/>
      <c r="K251" s="1175">
        <v>140</v>
      </c>
      <c r="L251" s="530">
        <f t="shared" si="133"/>
        <v>5.51</v>
      </c>
      <c r="M251" s="530">
        <f t="shared" si="134"/>
        <v>809.97</v>
      </c>
      <c r="N251" s="309"/>
      <c r="O251" s="778">
        <v>131</v>
      </c>
      <c r="P251" s="777"/>
      <c r="Q251" s="777"/>
      <c r="R251" s="751"/>
      <c r="S251" s="1242">
        <f>3*59780+46700+27170</f>
        <v>253210</v>
      </c>
      <c r="T251" s="1164">
        <v>4.2</v>
      </c>
      <c r="U251" s="803">
        <v>0</v>
      </c>
      <c r="V251" s="803">
        <v>0</v>
      </c>
      <c r="W251" s="803">
        <v>0</v>
      </c>
      <c r="X251" s="858">
        <v>1</v>
      </c>
      <c r="Y251" s="310">
        <f>ROUND((R251+S251/'[2]Summary E&amp;M (Origin)'!$O$103)*X251,2)</f>
        <v>12.17</v>
      </c>
      <c r="Z251" s="858">
        <f t="shared" si="117"/>
        <v>1.05</v>
      </c>
      <c r="AA251" s="813">
        <f t="shared" si="135"/>
        <v>12.78</v>
      </c>
      <c r="AB251" s="447">
        <f t="shared" si="136"/>
        <v>0.05</v>
      </c>
      <c r="AC251" s="310">
        <f t="shared" si="100"/>
        <v>4.41</v>
      </c>
      <c r="AD251" s="717">
        <f>ROUND(AC251*'[1]Summary E&amp;M'!$R$94,2)</f>
        <v>5.51</v>
      </c>
      <c r="AE251" s="826">
        <f t="shared" si="128"/>
        <v>1703.8</v>
      </c>
      <c r="AF251" s="826">
        <f t="shared" si="129"/>
        <v>617.4</v>
      </c>
      <c r="AG251" s="731"/>
      <c r="AH251" s="732"/>
      <c r="AI251" s="519">
        <f t="shared" si="137"/>
        <v>0</v>
      </c>
      <c r="AJ251" s="519">
        <f t="shared" si="138"/>
        <v>0</v>
      </c>
      <c r="AK251" s="519">
        <f t="shared" si="139"/>
        <v>0</v>
      </c>
      <c r="AL251" s="520">
        <f t="shared" si="140"/>
        <v>0</v>
      </c>
      <c r="AM251" s="520">
        <f t="shared" si="141"/>
        <v>0</v>
      </c>
      <c r="AN251" s="520">
        <f t="shared" si="142"/>
        <v>0</v>
      </c>
      <c r="AO251" s="520">
        <f t="shared" si="143"/>
        <v>0</v>
      </c>
      <c r="AP251" s="719"/>
      <c r="AQ251" s="719"/>
      <c r="AR251" s="719"/>
      <c r="AS251" s="719"/>
      <c r="AT251" s="719"/>
    </row>
    <row r="252" spans="1:46" s="555" customFormat="1" ht="38.25">
      <c r="A252" s="451"/>
      <c r="B252" s="531" t="s">
        <v>1202</v>
      </c>
      <c r="C252" s="1194" t="s">
        <v>1200</v>
      </c>
      <c r="D252" s="1239" t="s">
        <v>1125</v>
      </c>
      <c r="E252" s="525" t="s">
        <v>321</v>
      </c>
      <c r="F252" s="1314">
        <f>ROUND(K252*'[2]Summary E&amp;M (Origin)'!$K$100,0)</f>
        <v>57</v>
      </c>
      <c r="G252" s="527">
        <f t="shared" si="131"/>
        <v>9.7200000000000006</v>
      </c>
      <c r="H252" s="528">
        <f t="shared" si="132"/>
        <v>554.04</v>
      </c>
      <c r="I252" s="529"/>
      <c r="J252" s="309"/>
      <c r="K252" s="1175">
        <v>54</v>
      </c>
      <c r="L252" s="530">
        <f t="shared" si="133"/>
        <v>4.99</v>
      </c>
      <c r="M252" s="530">
        <f t="shared" si="134"/>
        <v>284.43</v>
      </c>
      <c r="N252" s="309"/>
      <c r="O252" s="778">
        <v>131</v>
      </c>
      <c r="P252" s="777"/>
      <c r="Q252" s="777"/>
      <c r="R252" s="751"/>
      <c r="S252" s="1242">
        <f>46700*3+30950+21650</f>
        <v>192700</v>
      </c>
      <c r="T252" s="1164">
        <v>3.8</v>
      </c>
      <c r="U252" s="803">
        <v>0</v>
      </c>
      <c r="V252" s="803">
        <v>0</v>
      </c>
      <c r="W252" s="803">
        <v>0</v>
      </c>
      <c r="X252" s="858">
        <v>1</v>
      </c>
      <c r="Y252" s="310">
        <f>ROUND((R252+S252/'[2]Summary E&amp;M (Origin)'!$O$103)*X252,2)</f>
        <v>9.26</v>
      </c>
      <c r="Z252" s="858">
        <f t="shared" si="117"/>
        <v>1.05</v>
      </c>
      <c r="AA252" s="813">
        <f t="shared" si="135"/>
        <v>9.7200000000000006</v>
      </c>
      <c r="AB252" s="447">
        <f t="shared" si="136"/>
        <v>0.05</v>
      </c>
      <c r="AC252" s="310">
        <f t="shared" si="100"/>
        <v>3.99</v>
      </c>
      <c r="AD252" s="717">
        <f>ROUND(AC252*'[1]Summary E&amp;M'!$R$94,2)</f>
        <v>4.99</v>
      </c>
      <c r="AE252" s="826">
        <f t="shared" si="128"/>
        <v>500.04</v>
      </c>
      <c r="AF252" s="826">
        <f t="shared" si="129"/>
        <v>215.46</v>
      </c>
      <c r="AG252" s="731"/>
      <c r="AH252" s="732"/>
      <c r="AI252" s="519">
        <f t="shared" si="137"/>
        <v>0</v>
      </c>
      <c r="AJ252" s="519">
        <f t="shared" si="138"/>
        <v>0</v>
      </c>
      <c r="AK252" s="519">
        <f t="shared" si="139"/>
        <v>0</v>
      </c>
      <c r="AL252" s="520">
        <f t="shared" si="140"/>
        <v>0</v>
      </c>
      <c r="AM252" s="520">
        <f t="shared" si="141"/>
        <v>0</v>
      </c>
      <c r="AN252" s="520">
        <f t="shared" si="142"/>
        <v>0</v>
      </c>
      <c r="AO252" s="520">
        <f t="shared" si="143"/>
        <v>0</v>
      </c>
      <c r="AP252" s="719"/>
      <c r="AQ252" s="719"/>
      <c r="AR252" s="719"/>
      <c r="AS252" s="719"/>
      <c r="AT252" s="719"/>
    </row>
    <row r="253" spans="1:46" s="555" customFormat="1" ht="38.25">
      <c r="A253" s="451"/>
      <c r="B253" s="531" t="s">
        <v>1203</v>
      </c>
      <c r="C253" s="1194" t="s">
        <v>1200</v>
      </c>
      <c r="D253" s="1239" t="s">
        <v>1125</v>
      </c>
      <c r="E253" s="525" t="s">
        <v>321</v>
      </c>
      <c r="F253" s="1314">
        <f>ROUND(K253*'[2]Summary E&amp;M (Origin)'!$K$100,0)</f>
        <v>48</v>
      </c>
      <c r="G253" s="527">
        <f t="shared" ref="G253" si="199">ROUNDUP(AA253,2)</f>
        <v>9.7200000000000006</v>
      </c>
      <c r="H253" s="528">
        <f t="shared" ref="H253" si="200">ROUND(F253*G253,2)</f>
        <v>466.56</v>
      </c>
      <c r="I253" s="529"/>
      <c r="J253" s="309"/>
      <c r="K253" s="1175">
        <v>46</v>
      </c>
      <c r="L253" s="530">
        <f t="shared" ref="L253" si="201">ROUND(AD253,2)</f>
        <v>4.99</v>
      </c>
      <c r="M253" s="530">
        <f t="shared" ref="M253" si="202">ROUND(L253*F253,2)</f>
        <v>239.52</v>
      </c>
      <c r="N253" s="309"/>
      <c r="O253" s="778">
        <v>131</v>
      </c>
      <c r="P253" s="777"/>
      <c r="Q253" s="777"/>
      <c r="R253" s="751"/>
      <c r="S253" s="1242">
        <f>46700*3+30950+21650</f>
        <v>192700</v>
      </c>
      <c r="T253" s="1164">
        <v>3.8</v>
      </c>
      <c r="U253" s="803">
        <v>0</v>
      </c>
      <c r="V253" s="803">
        <v>0</v>
      </c>
      <c r="W253" s="803">
        <v>0</v>
      </c>
      <c r="X253" s="858">
        <v>1</v>
      </c>
      <c r="Y253" s="310">
        <f>ROUND((R253+S253/'[2]Summary E&amp;M (Origin)'!$O$103)*X253,2)</f>
        <v>9.26</v>
      </c>
      <c r="Z253" s="858">
        <f t="shared" si="117"/>
        <v>1.05</v>
      </c>
      <c r="AA253" s="813">
        <f t="shared" ref="AA253" si="203">ROUND(Y253*Z253,2)</f>
        <v>9.7200000000000006</v>
      </c>
      <c r="AB253" s="447">
        <f t="shared" si="136"/>
        <v>0.05</v>
      </c>
      <c r="AC253" s="310">
        <f t="shared" ref="AC253" si="204">ROUND((T253*(1+AB253)),2)</f>
        <v>3.99</v>
      </c>
      <c r="AD253" s="717">
        <f>ROUND(AC253*'[1]Summary E&amp;M'!$R$94,2)</f>
        <v>4.99</v>
      </c>
      <c r="AE253" s="826">
        <f t="shared" si="128"/>
        <v>425.96</v>
      </c>
      <c r="AF253" s="826">
        <f t="shared" si="129"/>
        <v>183.54</v>
      </c>
      <c r="AG253" s="731"/>
      <c r="AH253" s="732"/>
      <c r="AI253" s="519">
        <f t="shared" si="137"/>
        <v>0</v>
      </c>
      <c r="AJ253" s="519">
        <f t="shared" si="138"/>
        <v>0</v>
      </c>
      <c r="AK253" s="519">
        <f t="shared" si="139"/>
        <v>0</v>
      </c>
      <c r="AL253" s="520">
        <f t="shared" ref="AL253" si="205">ROUND(Y253*AI253+((Y253*(1+AI253))*AJ253)+((Y253*AI253+((Y253*(1+AI253))*AJ253))*AK253),2)</f>
        <v>0</v>
      </c>
      <c r="AM253" s="520">
        <f t="shared" ref="AM253" si="206">AL253*$F253</f>
        <v>0</v>
      </c>
      <c r="AN253" s="520">
        <f t="shared" ref="AN253" si="207">ROUND(AL253*Z253,2)</f>
        <v>0</v>
      </c>
      <c r="AO253" s="520">
        <f t="shared" ref="AO253" si="208">AN253*$F253</f>
        <v>0</v>
      </c>
      <c r="AP253" s="719"/>
      <c r="AQ253" s="719"/>
      <c r="AR253" s="719"/>
      <c r="AS253" s="719"/>
      <c r="AT253" s="719"/>
    </row>
    <row r="254" spans="1:46" s="555" customFormat="1" ht="38.25">
      <c r="A254" s="451"/>
      <c r="B254" s="531" t="s">
        <v>1204</v>
      </c>
      <c r="C254" s="1194" t="s">
        <v>1200</v>
      </c>
      <c r="D254" s="1239" t="s">
        <v>1125</v>
      </c>
      <c r="E254" s="525" t="s">
        <v>321</v>
      </c>
      <c r="F254" s="1314">
        <f>ROUND(K254*'[2]Summary E&amp;M (Origin)'!$K$100,0)</f>
        <v>40</v>
      </c>
      <c r="G254" s="527">
        <f t="shared" ref="G254" si="209">ROUNDUP(AA254,2)</f>
        <v>9.7200000000000006</v>
      </c>
      <c r="H254" s="528">
        <f t="shared" ref="H254" si="210">ROUND(F254*G254,2)</f>
        <v>388.8</v>
      </c>
      <c r="I254" s="529"/>
      <c r="J254" s="309"/>
      <c r="K254" s="1175">
        <v>38</v>
      </c>
      <c r="L254" s="530">
        <f t="shared" ref="L254" si="211">ROUND(AD254,2)</f>
        <v>4.99</v>
      </c>
      <c r="M254" s="530">
        <f t="shared" ref="M254" si="212">ROUND(L254*F254,2)</f>
        <v>199.6</v>
      </c>
      <c r="N254" s="309"/>
      <c r="O254" s="778">
        <v>131</v>
      </c>
      <c r="P254" s="777"/>
      <c r="Q254" s="777"/>
      <c r="R254" s="751"/>
      <c r="S254" s="1242">
        <f>46700*3+30950+21650</f>
        <v>192700</v>
      </c>
      <c r="T254" s="1164">
        <v>3.8</v>
      </c>
      <c r="U254" s="803">
        <v>0</v>
      </c>
      <c r="V254" s="803">
        <v>0</v>
      </c>
      <c r="W254" s="803">
        <v>0</v>
      </c>
      <c r="X254" s="858">
        <v>1</v>
      </c>
      <c r="Y254" s="310">
        <f>ROUND((R254+S254/'[2]Summary E&amp;M (Origin)'!$O$103)*X254,2)</f>
        <v>9.26</v>
      </c>
      <c r="Z254" s="858">
        <f t="shared" si="117"/>
        <v>1.05</v>
      </c>
      <c r="AA254" s="813">
        <f t="shared" ref="AA254" si="213">ROUND(Y254*Z254,2)</f>
        <v>9.7200000000000006</v>
      </c>
      <c r="AB254" s="447">
        <f t="shared" si="136"/>
        <v>0.05</v>
      </c>
      <c r="AC254" s="310">
        <f t="shared" ref="AC254" si="214">ROUND((T254*(1+AB254)),2)</f>
        <v>3.99</v>
      </c>
      <c r="AD254" s="717">
        <f>ROUND(AC254*'[1]Summary E&amp;M'!$R$94,2)</f>
        <v>4.99</v>
      </c>
      <c r="AE254" s="826">
        <f t="shared" si="128"/>
        <v>351.88</v>
      </c>
      <c r="AF254" s="826">
        <f t="shared" si="129"/>
        <v>151.62</v>
      </c>
      <c r="AG254" s="731"/>
      <c r="AH254" s="732"/>
      <c r="AI254" s="519">
        <f t="shared" si="137"/>
        <v>0</v>
      </c>
      <c r="AJ254" s="519">
        <f t="shared" si="138"/>
        <v>0</v>
      </c>
      <c r="AK254" s="519">
        <f t="shared" si="139"/>
        <v>0</v>
      </c>
      <c r="AL254" s="520">
        <f t="shared" ref="AL254" si="215">ROUND(Y254*AI254+((Y254*(1+AI254))*AJ254)+((Y254*AI254+((Y254*(1+AI254))*AJ254))*AK254),2)</f>
        <v>0</v>
      </c>
      <c r="AM254" s="520">
        <f t="shared" ref="AM254" si="216">AL254*$F254</f>
        <v>0</v>
      </c>
      <c r="AN254" s="520">
        <f t="shared" ref="AN254" si="217">ROUND(AL254*Z254,2)</f>
        <v>0</v>
      </c>
      <c r="AO254" s="520">
        <f t="shared" ref="AO254" si="218">AN254*$F254</f>
        <v>0</v>
      </c>
      <c r="AP254" s="719"/>
      <c r="AQ254" s="719"/>
      <c r="AR254" s="719"/>
      <c r="AS254" s="719"/>
      <c r="AT254" s="719"/>
    </row>
    <row r="255" spans="1:46" s="555" customFormat="1" ht="38.25">
      <c r="A255" s="451"/>
      <c r="B255" s="531" t="s">
        <v>1081</v>
      </c>
      <c r="C255" s="1194" t="s">
        <v>1200</v>
      </c>
      <c r="D255" s="1239" t="s">
        <v>1125</v>
      </c>
      <c r="E255" s="525" t="s">
        <v>321</v>
      </c>
      <c r="F255" s="1314">
        <f>ROUND(K255*'[2]Summary E&amp;M (Origin)'!$K$100,0)</f>
        <v>107</v>
      </c>
      <c r="G255" s="527">
        <f t="shared" si="131"/>
        <v>9.7200000000000006</v>
      </c>
      <c r="H255" s="528">
        <f t="shared" si="132"/>
        <v>1040.04</v>
      </c>
      <c r="I255" s="529"/>
      <c r="J255" s="309"/>
      <c r="K255" s="1175">
        <v>102</v>
      </c>
      <c r="L255" s="530">
        <f t="shared" si="133"/>
        <v>7.88</v>
      </c>
      <c r="M255" s="530">
        <f t="shared" si="134"/>
        <v>843.16</v>
      </c>
      <c r="N255" s="309"/>
      <c r="O255" s="778">
        <v>131</v>
      </c>
      <c r="P255" s="777"/>
      <c r="Q255" s="777"/>
      <c r="R255" s="751"/>
      <c r="S255" s="1242">
        <f>46700*3+30950+21650</f>
        <v>192700</v>
      </c>
      <c r="T255" s="1164">
        <v>6</v>
      </c>
      <c r="U255" s="803">
        <v>0</v>
      </c>
      <c r="V255" s="803">
        <v>0</v>
      </c>
      <c r="W255" s="803">
        <v>0</v>
      </c>
      <c r="X255" s="858">
        <v>1</v>
      </c>
      <c r="Y255" s="310">
        <f>ROUND((R255+S255/'[2]Summary E&amp;M (Origin)'!$O$103)*X255,2)</f>
        <v>9.26</v>
      </c>
      <c r="Z255" s="858">
        <f t="shared" si="117"/>
        <v>1.05</v>
      </c>
      <c r="AA255" s="813">
        <f t="shared" si="135"/>
        <v>9.7200000000000006</v>
      </c>
      <c r="AB255" s="447">
        <f t="shared" si="136"/>
        <v>0.05</v>
      </c>
      <c r="AC255" s="310">
        <f t="shared" si="100"/>
        <v>6.3</v>
      </c>
      <c r="AD255" s="717">
        <f>ROUND(AC255*'[1]Summary E&amp;M'!$R$94,2)</f>
        <v>7.88</v>
      </c>
      <c r="AE255" s="826">
        <f t="shared" si="128"/>
        <v>944.52</v>
      </c>
      <c r="AF255" s="826">
        <f t="shared" si="129"/>
        <v>642.6</v>
      </c>
      <c r="AG255" s="731"/>
      <c r="AH255" s="732"/>
      <c r="AI255" s="519">
        <f t="shared" si="137"/>
        <v>0</v>
      </c>
      <c r="AJ255" s="519">
        <f t="shared" si="138"/>
        <v>0</v>
      </c>
      <c r="AK255" s="519">
        <f t="shared" si="139"/>
        <v>0</v>
      </c>
      <c r="AL255" s="520">
        <f t="shared" si="140"/>
        <v>0</v>
      </c>
      <c r="AM255" s="520">
        <f t="shared" si="141"/>
        <v>0</v>
      </c>
      <c r="AN255" s="520">
        <f t="shared" si="142"/>
        <v>0</v>
      </c>
      <c r="AO255" s="520">
        <f t="shared" si="143"/>
        <v>0</v>
      </c>
      <c r="AP255" s="719"/>
      <c r="AQ255" s="719"/>
      <c r="AR255" s="719"/>
      <c r="AS255" s="719"/>
      <c r="AT255" s="719"/>
    </row>
    <row r="256" spans="1:46" s="555" customFormat="1" ht="38.25">
      <c r="A256" s="451"/>
      <c r="B256" s="531" t="s">
        <v>1082</v>
      </c>
      <c r="C256" s="1194" t="s">
        <v>1184</v>
      </c>
      <c r="D256" s="1239" t="s">
        <v>1125</v>
      </c>
      <c r="E256" s="525" t="s">
        <v>321</v>
      </c>
      <c r="F256" s="1314">
        <f>ROUND(K256*'[2]Summary E&amp;M (Origin)'!$K$100,0)</f>
        <v>175</v>
      </c>
      <c r="G256" s="527">
        <f t="shared" si="131"/>
        <v>12.78</v>
      </c>
      <c r="H256" s="528">
        <f t="shared" si="132"/>
        <v>2236.5</v>
      </c>
      <c r="I256" s="529"/>
      <c r="J256" s="309"/>
      <c r="K256" s="1175">
        <v>167</v>
      </c>
      <c r="L256" s="530">
        <f t="shared" si="133"/>
        <v>7.88</v>
      </c>
      <c r="M256" s="530">
        <f t="shared" si="134"/>
        <v>1379</v>
      </c>
      <c r="N256" s="309"/>
      <c r="O256" s="778">
        <v>131</v>
      </c>
      <c r="P256" s="777"/>
      <c r="Q256" s="777"/>
      <c r="R256" s="751"/>
      <c r="S256" s="1242">
        <f>3*59780+46700+27170</f>
        <v>253210</v>
      </c>
      <c r="T256" s="1164">
        <v>6</v>
      </c>
      <c r="U256" s="803">
        <v>0</v>
      </c>
      <c r="V256" s="803">
        <v>0</v>
      </c>
      <c r="W256" s="803">
        <v>0</v>
      </c>
      <c r="X256" s="858">
        <v>1</v>
      </c>
      <c r="Y256" s="310">
        <f>ROUND((R256+S256/'[2]Summary E&amp;M (Origin)'!$O$103)*X256,2)</f>
        <v>12.17</v>
      </c>
      <c r="Z256" s="858">
        <f t="shared" si="117"/>
        <v>1.05</v>
      </c>
      <c r="AA256" s="813">
        <f t="shared" si="135"/>
        <v>12.78</v>
      </c>
      <c r="AB256" s="447">
        <f t="shared" si="136"/>
        <v>0.05</v>
      </c>
      <c r="AC256" s="310">
        <f t="shared" si="100"/>
        <v>6.3</v>
      </c>
      <c r="AD256" s="717">
        <f>ROUND(AC256*'[1]Summary E&amp;M'!$R$94,2)</f>
        <v>7.88</v>
      </c>
      <c r="AE256" s="826">
        <f t="shared" si="128"/>
        <v>2032.39</v>
      </c>
      <c r="AF256" s="826">
        <f t="shared" si="129"/>
        <v>1052.0999999999999</v>
      </c>
      <c r="AG256" s="731"/>
      <c r="AH256" s="732"/>
      <c r="AI256" s="519">
        <f t="shared" si="137"/>
        <v>0</v>
      </c>
      <c r="AJ256" s="519">
        <f t="shared" si="138"/>
        <v>0</v>
      </c>
      <c r="AK256" s="519">
        <f t="shared" si="139"/>
        <v>0</v>
      </c>
      <c r="AL256" s="520">
        <f t="shared" si="140"/>
        <v>0</v>
      </c>
      <c r="AM256" s="520">
        <f t="shared" si="141"/>
        <v>0</v>
      </c>
      <c r="AN256" s="520">
        <f t="shared" si="142"/>
        <v>0</v>
      </c>
      <c r="AO256" s="520">
        <f t="shared" si="143"/>
        <v>0</v>
      </c>
      <c r="AP256" s="719"/>
      <c r="AQ256" s="719"/>
      <c r="AR256" s="719"/>
      <c r="AS256" s="719"/>
      <c r="AT256" s="719"/>
    </row>
    <row r="257" spans="1:46" s="555" customFormat="1" ht="22.5" customHeight="1">
      <c r="A257" s="451"/>
      <c r="B257" s="531" t="s">
        <v>1156</v>
      </c>
      <c r="C257" s="523" t="s">
        <v>1102</v>
      </c>
      <c r="D257" s="1239" t="s">
        <v>1125</v>
      </c>
      <c r="E257" s="525" t="s">
        <v>321</v>
      </c>
      <c r="F257" s="1314">
        <f>ROUND(K257*'[2]Summary E&amp;M (Origin)'!$K$100,0)</f>
        <v>134</v>
      </c>
      <c r="G257" s="527">
        <f t="shared" si="131"/>
        <v>3.9</v>
      </c>
      <c r="H257" s="528">
        <f t="shared" si="132"/>
        <v>522.6</v>
      </c>
      <c r="I257" s="529"/>
      <c r="J257" s="309"/>
      <c r="K257" s="1175">
        <v>128</v>
      </c>
      <c r="L257" s="530">
        <f t="shared" si="133"/>
        <v>2.89</v>
      </c>
      <c r="M257" s="530">
        <f t="shared" si="134"/>
        <v>387.26</v>
      </c>
      <c r="N257" s="309"/>
      <c r="O257" s="778">
        <v>131</v>
      </c>
      <c r="P257" s="777"/>
      <c r="Q257" s="777"/>
      <c r="R257" s="751"/>
      <c r="S257" s="1242">
        <v>77220</v>
      </c>
      <c r="T257" s="1164">
        <v>2.2000000000000002</v>
      </c>
      <c r="U257" s="803">
        <v>0</v>
      </c>
      <c r="V257" s="803">
        <v>0</v>
      </c>
      <c r="W257" s="803">
        <v>0</v>
      </c>
      <c r="X257" s="858">
        <v>1</v>
      </c>
      <c r="Y257" s="310">
        <f>ROUND((R257+S257/'[2]Summary E&amp;M (Origin)'!$O$103)*X257,2)</f>
        <v>3.71</v>
      </c>
      <c r="Z257" s="858">
        <f t="shared" ref="Z257:Z324" si="219">$Z$4</f>
        <v>1.05</v>
      </c>
      <c r="AA257" s="813">
        <f t="shared" si="135"/>
        <v>3.9</v>
      </c>
      <c r="AB257" s="447">
        <f t="shared" si="136"/>
        <v>0.05</v>
      </c>
      <c r="AC257" s="310">
        <f t="shared" si="100"/>
        <v>2.31</v>
      </c>
      <c r="AD257" s="717">
        <f>ROUND(AC257*'[1]Summary E&amp;M'!$R$94,2)</f>
        <v>2.89</v>
      </c>
      <c r="AE257" s="826">
        <f t="shared" si="128"/>
        <v>474.88</v>
      </c>
      <c r="AF257" s="826">
        <f t="shared" si="129"/>
        <v>295.68</v>
      </c>
      <c r="AG257" s="731"/>
      <c r="AH257" s="732"/>
      <c r="AI257" s="519">
        <f t="shared" si="137"/>
        <v>0</v>
      </c>
      <c r="AJ257" s="519">
        <f t="shared" si="138"/>
        <v>0</v>
      </c>
      <c r="AK257" s="519">
        <f t="shared" si="139"/>
        <v>0</v>
      </c>
      <c r="AL257" s="520">
        <f t="shared" si="140"/>
        <v>0</v>
      </c>
      <c r="AM257" s="520">
        <f t="shared" si="141"/>
        <v>0</v>
      </c>
      <c r="AN257" s="520">
        <f t="shared" si="142"/>
        <v>0</v>
      </c>
      <c r="AO257" s="520">
        <f t="shared" si="143"/>
        <v>0</v>
      </c>
      <c r="AP257" s="719"/>
      <c r="AQ257" s="719"/>
      <c r="AR257" s="719"/>
      <c r="AS257" s="719"/>
      <c r="AT257" s="719"/>
    </row>
    <row r="258" spans="1:46" s="555" customFormat="1" ht="38.25">
      <c r="A258" s="451"/>
      <c r="B258" s="531" t="s">
        <v>1157</v>
      </c>
      <c r="C258" s="1194" t="s">
        <v>1205</v>
      </c>
      <c r="D258" s="1239" t="s">
        <v>1125</v>
      </c>
      <c r="E258" s="525" t="s">
        <v>321</v>
      </c>
      <c r="F258" s="1314">
        <f>ROUND(K258*'[2]Summary E&amp;M (Origin)'!$K$100,0)</f>
        <v>123</v>
      </c>
      <c r="G258" s="527">
        <f t="shared" si="131"/>
        <v>19.52</v>
      </c>
      <c r="H258" s="528">
        <f t="shared" si="132"/>
        <v>2400.96</v>
      </c>
      <c r="I258" s="529"/>
      <c r="J258" s="309"/>
      <c r="K258" s="1175">
        <v>117</v>
      </c>
      <c r="L258" s="530">
        <f t="shared" si="133"/>
        <v>15.36</v>
      </c>
      <c r="M258" s="530">
        <f t="shared" si="134"/>
        <v>1889.28</v>
      </c>
      <c r="N258" s="309"/>
      <c r="O258" s="778">
        <v>131</v>
      </c>
      <c r="P258" s="777"/>
      <c r="Q258" s="777"/>
      <c r="R258" s="751"/>
      <c r="S258" s="1242">
        <f>6*46700+59780+46700</f>
        <v>386680</v>
      </c>
      <c r="T258" s="1164">
        <f>1.3*9</f>
        <v>11.700000000000001</v>
      </c>
      <c r="U258" s="803">
        <v>0</v>
      </c>
      <c r="V258" s="803">
        <v>0</v>
      </c>
      <c r="W258" s="803">
        <v>0</v>
      </c>
      <c r="X258" s="858">
        <v>1</v>
      </c>
      <c r="Y258" s="310">
        <f>ROUND((R258+S258/'[2]Summary E&amp;M (Origin)'!$O$103)*X258,2)</f>
        <v>18.59</v>
      </c>
      <c r="Z258" s="858">
        <f t="shared" si="219"/>
        <v>1.05</v>
      </c>
      <c r="AA258" s="813">
        <f t="shared" si="135"/>
        <v>19.52</v>
      </c>
      <c r="AB258" s="447">
        <f t="shared" si="136"/>
        <v>0.05</v>
      </c>
      <c r="AC258" s="310">
        <f t="shared" si="100"/>
        <v>12.29</v>
      </c>
      <c r="AD258" s="717">
        <f>ROUND(AC258*'[1]Summary E&amp;M'!$R$94,2)</f>
        <v>15.36</v>
      </c>
      <c r="AE258" s="826">
        <f t="shared" si="128"/>
        <v>2175.0300000000002</v>
      </c>
      <c r="AF258" s="826">
        <f t="shared" si="129"/>
        <v>1437.93</v>
      </c>
      <c r="AG258" s="731"/>
      <c r="AH258" s="732"/>
      <c r="AI258" s="519">
        <f t="shared" si="137"/>
        <v>0</v>
      </c>
      <c r="AJ258" s="519">
        <f t="shared" si="138"/>
        <v>0</v>
      </c>
      <c r="AK258" s="519">
        <f t="shared" si="139"/>
        <v>0</v>
      </c>
      <c r="AL258" s="520">
        <f t="shared" si="140"/>
        <v>0</v>
      </c>
      <c r="AM258" s="520">
        <f t="shared" si="141"/>
        <v>0</v>
      </c>
      <c r="AN258" s="520">
        <f t="shared" si="142"/>
        <v>0</v>
      </c>
      <c r="AO258" s="520">
        <f t="shared" si="143"/>
        <v>0</v>
      </c>
      <c r="AP258" s="719"/>
      <c r="AQ258" s="719"/>
      <c r="AR258" s="719"/>
      <c r="AS258" s="719"/>
      <c r="AT258" s="719"/>
    </row>
    <row r="259" spans="1:46" s="555" customFormat="1" ht="38.25">
      <c r="A259" s="451"/>
      <c r="B259" s="531" t="s">
        <v>1154</v>
      </c>
      <c r="C259" s="1194" t="s">
        <v>1186</v>
      </c>
      <c r="D259" s="1239" t="s">
        <v>1125</v>
      </c>
      <c r="E259" s="525" t="s">
        <v>321</v>
      </c>
      <c r="F259" s="1314">
        <f>ROUND(K259*'[2]Summary E&amp;M (Origin)'!$K$100,0)</f>
        <v>109</v>
      </c>
      <c r="G259" s="527">
        <f t="shared" si="131"/>
        <v>5.38</v>
      </c>
      <c r="H259" s="528">
        <f t="shared" si="132"/>
        <v>586.41999999999996</v>
      </c>
      <c r="I259" s="529"/>
      <c r="J259" s="309"/>
      <c r="K259" s="1175">
        <v>104</v>
      </c>
      <c r="L259" s="530">
        <f t="shared" si="133"/>
        <v>4.99</v>
      </c>
      <c r="M259" s="530">
        <f t="shared" si="134"/>
        <v>543.91</v>
      </c>
      <c r="N259" s="309"/>
      <c r="O259" s="778">
        <v>131</v>
      </c>
      <c r="P259" s="777"/>
      <c r="Q259" s="777"/>
      <c r="R259" s="751"/>
      <c r="S259" s="1122">
        <f>3*25230+19040+11830</f>
        <v>106560</v>
      </c>
      <c r="T259" s="1164">
        <v>3.8</v>
      </c>
      <c r="U259" s="803">
        <v>0</v>
      </c>
      <c r="V259" s="803">
        <v>0</v>
      </c>
      <c r="W259" s="803">
        <v>0</v>
      </c>
      <c r="X259" s="858">
        <v>1</v>
      </c>
      <c r="Y259" s="310">
        <f>ROUND((R259+S259/'[2]Summary E&amp;M (Origin)'!$O$103)*X259,2)</f>
        <v>5.12</v>
      </c>
      <c r="Z259" s="858">
        <f t="shared" si="219"/>
        <v>1.05</v>
      </c>
      <c r="AA259" s="813">
        <f t="shared" si="135"/>
        <v>5.38</v>
      </c>
      <c r="AB259" s="447">
        <f t="shared" si="136"/>
        <v>0.05</v>
      </c>
      <c r="AC259" s="310">
        <f t="shared" si="100"/>
        <v>3.99</v>
      </c>
      <c r="AD259" s="717">
        <f>ROUND(AC259*'[1]Summary E&amp;M'!$R$94,2)</f>
        <v>4.99</v>
      </c>
      <c r="AE259" s="826">
        <f t="shared" si="128"/>
        <v>532.48</v>
      </c>
      <c r="AF259" s="826">
        <f t="shared" si="129"/>
        <v>414.96</v>
      </c>
      <c r="AG259" s="731"/>
      <c r="AH259" s="732"/>
      <c r="AI259" s="519">
        <f t="shared" si="137"/>
        <v>0</v>
      </c>
      <c r="AJ259" s="519">
        <f t="shared" si="138"/>
        <v>0</v>
      </c>
      <c r="AK259" s="519">
        <f t="shared" si="139"/>
        <v>0</v>
      </c>
      <c r="AL259" s="520">
        <f t="shared" si="140"/>
        <v>0</v>
      </c>
      <c r="AM259" s="520">
        <f t="shared" si="141"/>
        <v>0</v>
      </c>
      <c r="AN259" s="520">
        <f t="shared" si="142"/>
        <v>0</v>
      </c>
      <c r="AO259" s="520">
        <f t="shared" si="143"/>
        <v>0</v>
      </c>
      <c r="AP259" s="719"/>
      <c r="AQ259" s="719"/>
      <c r="AR259" s="719"/>
      <c r="AS259" s="719"/>
      <c r="AT259" s="719"/>
    </row>
    <row r="260" spans="1:46" s="555" customFormat="1" ht="38.25">
      <c r="A260" s="451"/>
      <c r="B260" s="531" t="s">
        <v>1155</v>
      </c>
      <c r="C260" s="1194" t="s">
        <v>1187</v>
      </c>
      <c r="D260" s="1239" t="s">
        <v>1125</v>
      </c>
      <c r="E260" s="525" t="s">
        <v>321</v>
      </c>
      <c r="F260" s="1314">
        <f>ROUND(K260*'[2]Summary E&amp;M (Origin)'!$K$100,0)</f>
        <v>147</v>
      </c>
      <c r="G260" s="527">
        <f t="shared" si="131"/>
        <v>6.76</v>
      </c>
      <c r="H260" s="528">
        <f t="shared" si="132"/>
        <v>993.72</v>
      </c>
      <c r="I260" s="529"/>
      <c r="J260" s="309"/>
      <c r="K260" s="1175">
        <v>140</v>
      </c>
      <c r="L260" s="530">
        <f t="shared" si="133"/>
        <v>4.99</v>
      </c>
      <c r="M260" s="530">
        <f t="shared" si="134"/>
        <v>733.53</v>
      </c>
      <c r="N260" s="309"/>
      <c r="O260" s="778">
        <v>131</v>
      </c>
      <c r="P260" s="777"/>
      <c r="Q260" s="777"/>
      <c r="R260" s="751"/>
      <c r="S260" s="1122">
        <f>3*30950+25230+15890</f>
        <v>133970</v>
      </c>
      <c r="T260" s="1164">
        <v>3.8</v>
      </c>
      <c r="U260" s="803">
        <v>0</v>
      </c>
      <c r="V260" s="803">
        <v>0</v>
      </c>
      <c r="W260" s="803">
        <v>0</v>
      </c>
      <c r="X260" s="858">
        <v>1</v>
      </c>
      <c r="Y260" s="310">
        <f>ROUND((R260+S260/'[2]Summary E&amp;M (Origin)'!$O$103)*X260,2)</f>
        <v>6.44</v>
      </c>
      <c r="Z260" s="858">
        <f t="shared" si="219"/>
        <v>1.05</v>
      </c>
      <c r="AA260" s="813">
        <f t="shared" si="135"/>
        <v>6.76</v>
      </c>
      <c r="AB260" s="447">
        <f t="shared" si="136"/>
        <v>0.05</v>
      </c>
      <c r="AC260" s="310">
        <f t="shared" si="100"/>
        <v>3.99</v>
      </c>
      <c r="AD260" s="717">
        <f>ROUND(AC260*'[1]Summary E&amp;M'!$R$94,2)</f>
        <v>4.99</v>
      </c>
      <c r="AE260" s="826">
        <f t="shared" si="128"/>
        <v>901.6</v>
      </c>
      <c r="AF260" s="826">
        <f t="shared" si="129"/>
        <v>558.6</v>
      </c>
      <c r="AG260" s="731"/>
      <c r="AH260" s="732"/>
      <c r="AI260" s="519">
        <f t="shared" si="137"/>
        <v>0</v>
      </c>
      <c r="AJ260" s="519">
        <f t="shared" si="138"/>
        <v>0</v>
      </c>
      <c r="AK260" s="519">
        <f t="shared" si="139"/>
        <v>0</v>
      </c>
      <c r="AL260" s="520">
        <f t="shared" si="140"/>
        <v>0</v>
      </c>
      <c r="AM260" s="520">
        <f t="shared" si="141"/>
        <v>0</v>
      </c>
      <c r="AN260" s="520">
        <f t="shared" si="142"/>
        <v>0</v>
      </c>
      <c r="AO260" s="520">
        <f t="shared" si="143"/>
        <v>0</v>
      </c>
      <c r="AP260" s="719"/>
      <c r="AQ260" s="719"/>
      <c r="AR260" s="719"/>
      <c r="AS260" s="719"/>
      <c r="AT260" s="719"/>
    </row>
    <row r="261" spans="1:46" s="555" customFormat="1" ht="38.25">
      <c r="A261" s="451"/>
      <c r="B261" s="531" t="s">
        <v>1158</v>
      </c>
      <c r="C261" s="1194" t="s">
        <v>1185</v>
      </c>
      <c r="D261" s="1239" t="s">
        <v>1125</v>
      </c>
      <c r="E261" s="525" t="s">
        <v>321</v>
      </c>
      <c r="F261" s="1314">
        <f>ROUND(K261*'[2]Summary E&amp;M (Origin)'!$K$100,0)</f>
        <v>166</v>
      </c>
      <c r="G261" s="527">
        <f>ROUNDUP(AA261,2)</f>
        <v>16.14</v>
      </c>
      <c r="H261" s="528">
        <f t="shared" si="132"/>
        <v>2679.24</v>
      </c>
      <c r="I261" s="529"/>
      <c r="J261" s="309"/>
      <c r="K261" s="1175">
        <v>158</v>
      </c>
      <c r="L261" s="530">
        <f t="shared" si="133"/>
        <v>14.18</v>
      </c>
      <c r="M261" s="530">
        <f t="shared" si="134"/>
        <v>2353.88</v>
      </c>
      <c r="N261" s="309"/>
      <c r="O261" s="778">
        <v>131</v>
      </c>
      <c r="P261" s="777"/>
      <c r="Q261" s="777"/>
      <c r="R261" s="751"/>
      <c r="S261" s="1122">
        <f>3*75500+59780+33440</f>
        <v>319720</v>
      </c>
      <c r="T261" s="1164">
        <f>1.2*9</f>
        <v>10.799999999999999</v>
      </c>
      <c r="U261" s="803">
        <v>0</v>
      </c>
      <c r="V261" s="803">
        <v>0</v>
      </c>
      <c r="W261" s="803">
        <v>0</v>
      </c>
      <c r="X261" s="858">
        <v>1</v>
      </c>
      <c r="Y261" s="310">
        <f>ROUND((R261+S261/'[2]Summary E&amp;M (Origin)'!$O$103)*X261,2)</f>
        <v>15.37</v>
      </c>
      <c r="Z261" s="858">
        <f t="shared" si="219"/>
        <v>1.05</v>
      </c>
      <c r="AA261" s="813">
        <f>ROUND(Y261*Z261,2)</f>
        <v>16.14</v>
      </c>
      <c r="AB261" s="447">
        <f t="shared" si="136"/>
        <v>0.05</v>
      </c>
      <c r="AC261" s="310">
        <f t="shared" si="100"/>
        <v>11.34</v>
      </c>
      <c r="AD261" s="717">
        <f>ROUND(AC261*'[1]Summary E&amp;M'!$R$94,2)</f>
        <v>14.18</v>
      </c>
      <c r="AE261" s="826">
        <f t="shared" si="128"/>
        <v>2428.46</v>
      </c>
      <c r="AF261" s="826">
        <f t="shared" si="129"/>
        <v>1791.72</v>
      </c>
      <c r="AG261" s="731"/>
      <c r="AH261" s="732"/>
      <c r="AI261" s="519">
        <f t="shared" si="137"/>
        <v>0</v>
      </c>
      <c r="AJ261" s="519">
        <f t="shared" si="138"/>
        <v>0</v>
      </c>
      <c r="AK261" s="519">
        <f t="shared" si="139"/>
        <v>0</v>
      </c>
      <c r="AL261" s="520">
        <f t="shared" si="140"/>
        <v>0</v>
      </c>
      <c r="AM261" s="520">
        <f t="shared" si="141"/>
        <v>0</v>
      </c>
      <c r="AN261" s="520">
        <f t="shared" si="142"/>
        <v>0</v>
      </c>
      <c r="AO261" s="520">
        <f t="shared" si="143"/>
        <v>0</v>
      </c>
      <c r="AP261" s="719"/>
      <c r="AQ261" s="719"/>
      <c r="AR261" s="719"/>
      <c r="AS261" s="719"/>
      <c r="AT261" s="719"/>
    </row>
    <row r="262" spans="1:46" s="555" customFormat="1" ht="38.25">
      <c r="A262" s="451"/>
      <c r="B262" s="531" t="s">
        <v>1159</v>
      </c>
      <c r="C262" s="1194" t="s">
        <v>1200</v>
      </c>
      <c r="D262" s="1239" t="s">
        <v>1125</v>
      </c>
      <c r="E262" s="525" t="s">
        <v>321</v>
      </c>
      <c r="F262" s="1314">
        <f>ROUND(K262*'[2]Summary E&amp;M (Origin)'!$K$100,0)</f>
        <v>100</v>
      </c>
      <c r="G262" s="527">
        <f t="shared" si="131"/>
        <v>9.7200000000000006</v>
      </c>
      <c r="H262" s="528">
        <f t="shared" si="132"/>
        <v>972</v>
      </c>
      <c r="I262" s="529"/>
      <c r="J262" s="309"/>
      <c r="K262" s="1175">
        <v>95</v>
      </c>
      <c r="L262" s="530">
        <f t="shared" si="133"/>
        <v>7.88</v>
      </c>
      <c r="M262" s="530">
        <f t="shared" si="134"/>
        <v>788</v>
      </c>
      <c r="N262" s="309"/>
      <c r="O262" s="778">
        <v>131</v>
      </c>
      <c r="P262" s="777"/>
      <c r="Q262" s="777"/>
      <c r="R262" s="751"/>
      <c r="S262" s="1242">
        <f>46700*3+30950+21650</f>
        <v>192700</v>
      </c>
      <c r="T262" s="1164">
        <v>6</v>
      </c>
      <c r="U262" s="803">
        <v>0</v>
      </c>
      <c r="V262" s="803">
        <v>0</v>
      </c>
      <c r="W262" s="803">
        <v>0</v>
      </c>
      <c r="X262" s="858">
        <v>1</v>
      </c>
      <c r="Y262" s="310">
        <f>ROUND((R262+S262/'[2]Summary E&amp;M (Origin)'!$O$103)*X262,2)</f>
        <v>9.26</v>
      </c>
      <c r="Z262" s="858">
        <f t="shared" si="219"/>
        <v>1.05</v>
      </c>
      <c r="AA262" s="813">
        <f t="shared" si="135"/>
        <v>9.7200000000000006</v>
      </c>
      <c r="AB262" s="447">
        <f t="shared" si="136"/>
        <v>0.05</v>
      </c>
      <c r="AC262" s="310">
        <f t="shared" si="100"/>
        <v>6.3</v>
      </c>
      <c r="AD262" s="717">
        <f>ROUND(AC262*'[1]Summary E&amp;M'!$R$94,2)</f>
        <v>7.88</v>
      </c>
      <c r="AE262" s="826">
        <f t="shared" si="128"/>
        <v>879.7</v>
      </c>
      <c r="AF262" s="826">
        <f t="shared" si="129"/>
        <v>598.5</v>
      </c>
      <c r="AG262" s="731"/>
      <c r="AH262" s="732"/>
      <c r="AI262" s="519">
        <f t="shared" si="137"/>
        <v>0</v>
      </c>
      <c r="AJ262" s="519">
        <f t="shared" si="138"/>
        <v>0</v>
      </c>
      <c r="AK262" s="519">
        <f t="shared" si="139"/>
        <v>0</v>
      </c>
      <c r="AL262" s="520">
        <f t="shared" si="140"/>
        <v>0</v>
      </c>
      <c r="AM262" s="520">
        <f t="shared" si="141"/>
        <v>0</v>
      </c>
      <c r="AN262" s="520">
        <f t="shared" si="142"/>
        <v>0</v>
      </c>
      <c r="AO262" s="520">
        <f t="shared" si="143"/>
        <v>0</v>
      </c>
      <c r="AP262" s="719"/>
      <c r="AQ262" s="719"/>
      <c r="AR262" s="719"/>
      <c r="AS262" s="719"/>
      <c r="AT262" s="719"/>
    </row>
    <row r="263" spans="1:46" s="555" customFormat="1" ht="38.25">
      <c r="A263" s="451"/>
      <c r="B263" s="531" t="s">
        <v>1160</v>
      </c>
      <c r="C263" s="1194" t="s">
        <v>1184</v>
      </c>
      <c r="D263" s="1239" t="s">
        <v>1125</v>
      </c>
      <c r="E263" s="525" t="s">
        <v>321</v>
      </c>
      <c r="F263" s="1314">
        <f>ROUND(K263*'[2]Summary E&amp;M (Origin)'!$K$100,0)</f>
        <v>124</v>
      </c>
      <c r="G263" s="527">
        <f t="shared" si="131"/>
        <v>12.78</v>
      </c>
      <c r="H263" s="528">
        <f t="shared" si="132"/>
        <v>1584.72</v>
      </c>
      <c r="I263" s="529"/>
      <c r="J263" s="309"/>
      <c r="K263" s="1175">
        <v>118</v>
      </c>
      <c r="L263" s="530">
        <f t="shared" si="133"/>
        <v>7.88</v>
      </c>
      <c r="M263" s="530">
        <f t="shared" si="134"/>
        <v>977.12</v>
      </c>
      <c r="N263" s="309"/>
      <c r="O263" s="778">
        <v>131</v>
      </c>
      <c r="P263" s="777"/>
      <c r="Q263" s="777"/>
      <c r="R263" s="751"/>
      <c r="S263" s="1242">
        <f>3*59780+46700+27170</f>
        <v>253210</v>
      </c>
      <c r="T263" s="1164">
        <v>6</v>
      </c>
      <c r="U263" s="803">
        <v>0</v>
      </c>
      <c r="V263" s="803">
        <v>0</v>
      </c>
      <c r="W263" s="803">
        <v>0</v>
      </c>
      <c r="X263" s="858">
        <v>1</v>
      </c>
      <c r="Y263" s="310">
        <f>ROUND((R263+S263/'[2]Summary E&amp;M (Origin)'!$O$103)*X263,2)</f>
        <v>12.17</v>
      </c>
      <c r="Z263" s="858">
        <f t="shared" si="219"/>
        <v>1.05</v>
      </c>
      <c r="AA263" s="813">
        <f t="shared" si="135"/>
        <v>12.78</v>
      </c>
      <c r="AB263" s="447">
        <f t="shared" si="136"/>
        <v>0.05</v>
      </c>
      <c r="AC263" s="310">
        <f t="shared" si="100"/>
        <v>6.3</v>
      </c>
      <c r="AD263" s="717">
        <f>ROUND(AC263*'[1]Summary E&amp;M'!$R$94,2)</f>
        <v>7.88</v>
      </c>
      <c r="AE263" s="826">
        <f t="shared" si="128"/>
        <v>1436.06</v>
      </c>
      <c r="AF263" s="826">
        <f t="shared" si="129"/>
        <v>743.4</v>
      </c>
      <c r="AG263" s="731"/>
      <c r="AH263" s="732"/>
      <c r="AI263" s="519">
        <f t="shared" si="137"/>
        <v>0</v>
      </c>
      <c r="AJ263" s="519">
        <f t="shared" si="138"/>
        <v>0</v>
      </c>
      <c r="AK263" s="519">
        <f t="shared" si="139"/>
        <v>0</v>
      </c>
      <c r="AL263" s="520">
        <f t="shared" si="140"/>
        <v>0</v>
      </c>
      <c r="AM263" s="520">
        <f t="shared" si="141"/>
        <v>0</v>
      </c>
      <c r="AN263" s="520">
        <f t="shared" si="142"/>
        <v>0</v>
      </c>
      <c r="AO263" s="520">
        <f t="shared" si="143"/>
        <v>0</v>
      </c>
      <c r="AP263" s="719"/>
      <c r="AQ263" s="719"/>
      <c r="AR263" s="719"/>
      <c r="AS263" s="719"/>
      <c r="AT263" s="719"/>
    </row>
    <row r="264" spans="1:46" s="555" customFormat="1" ht="38.25">
      <c r="A264" s="451"/>
      <c r="B264" s="531" t="s">
        <v>1162</v>
      </c>
      <c r="C264" s="1194" t="s">
        <v>1200</v>
      </c>
      <c r="D264" s="1239" t="s">
        <v>1125</v>
      </c>
      <c r="E264" s="525" t="s">
        <v>321</v>
      </c>
      <c r="F264" s="1314">
        <f>ROUND(K264*'[2]Summary E&amp;M (Origin)'!$K$100,0)</f>
        <v>84</v>
      </c>
      <c r="G264" s="527">
        <f t="shared" si="131"/>
        <v>9.7200000000000006</v>
      </c>
      <c r="H264" s="528">
        <f t="shared" si="132"/>
        <v>816.48</v>
      </c>
      <c r="I264" s="529"/>
      <c r="J264" s="309"/>
      <c r="K264" s="1175">
        <v>80</v>
      </c>
      <c r="L264" s="530">
        <f t="shared" si="133"/>
        <v>7.88</v>
      </c>
      <c r="M264" s="530">
        <f t="shared" si="134"/>
        <v>661.92</v>
      </c>
      <c r="N264" s="309"/>
      <c r="O264" s="778">
        <v>131</v>
      </c>
      <c r="P264" s="777"/>
      <c r="Q264" s="777"/>
      <c r="R264" s="751"/>
      <c r="S264" s="1242">
        <f>46700*3+30950+21650</f>
        <v>192700</v>
      </c>
      <c r="T264" s="1164">
        <v>6</v>
      </c>
      <c r="U264" s="803">
        <v>0</v>
      </c>
      <c r="V264" s="803">
        <v>0</v>
      </c>
      <c r="W264" s="803">
        <v>0</v>
      </c>
      <c r="X264" s="858">
        <v>1</v>
      </c>
      <c r="Y264" s="310">
        <f>ROUND((R264+S264/'[2]Summary E&amp;M (Origin)'!$O$103)*X264,2)</f>
        <v>9.26</v>
      </c>
      <c r="Z264" s="858">
        <f t="shared" si="219"/>
        <v>1.05</v>
      </c>
      <c r="AA264" s="813">
        <f t="shared" si="135"/>
        <v>9.7200000000000006</v>
      </c>
      <c r="AB264" s="447">
        <f t="shared" si="136"/>
        <v>0.05</v>
      </c>
      <c r="AC264" s="310">
        <f t="shared" si="100"/>
        <v>6.3</v>
      </c>
      <c r="AD264" s="717">
        <f>ROUND(AC264*'[1]Summary E&amp;M'!$R$94,2)</f>
        <v>7.88</v>
      </c>
      <c r="AE264" s="826">
        <f t="shared" si="128"/>
        <v>740.8</v>
      </c>
      <c r="AF264" s="826">
        <f t="shared" si="129"/>
        <v>504</v>
      </c>
      <c r="AG264" s="731"/>
      <c r="AH264" s="732"/>
      <c r="AI264" s="519">
        <f t="shared" si="137"/>
        <v>0</v>
      </c>
      <c r="AJ264" s="519">
        <f t="shared" si="138"/>
        <v>0</v>
      </c>
      <c r="AK264" s="519">
        <f t="shared" si="139"/>
        <v>0</v>
      </c>
      <c r="AL264" s="520">
        <f t="shared" si="140"/>
        <v>0</v>
      </c>
      <c r="AM264" s="520">
        <f t="shared" si="141"/>
        <v>0</v>
      </c>
      <c r="AN264" s="520">
        <f t="shared" si="142"/>
        <v>0</v>
      </c>
      <c r="AO264" s="520">
        <f t="shared" si="143"/>
        <v>0</v>
      </c>
      <c r="AP264" s="719"/>
      <c r="AQ264" s="719"/>
      <c r="AR264" s="719"/>
      <c r="AS264" s="719"/>
      <c r="AT264" s="719"/>
    </row>
    <row r="265" spans="1:46" s="555" customFormat="1" ht="27" customHeight="1">
      <c r="A265" s="451"/>
      <c r="B265" s="531" t="s">
        <v>1208</v>
      </c>
      <c r="C265" s="523" t="s">
        <v>1102</v>
      </c>
      <c r="D265" s="1239" t="s">
        <v>1125</v>
      </c>
      <c r="E265" s="525" t="s">
        <v>321</v>
      </c>
      <c r="F265" s="1314">
        <f>ROUND(K265*'[2]Summary E&amp;M (Origin)'!$K$100,0)</f>
        <v>47</v>
      </c>
      <c r="G265" s="527">
        <f t="shared" si="131"/>
        <v>3.9</v>
      </c>
      <c r="H265" s="528">
        <f t="shared" si="132"/>
        <v>183.3</v>
      </c>
      <c r="I265" s="529"/>
      <c r="J265" s="309"/>
      <c r="K265" s="1175">
        <v>45</v>
      </c>
      <c r="L265" s="530">
        <f t="shared" si="133"/>
        <v>4.99</v>
      </c>
      <c r="M265" s="530">
        <f t="shared" si="134"/>
        <v>234.53</v>
      </c>
      <c r="N265" s="309"/>
      <c r="O265" s="778">
        <v>131</v>
      </c>
      <c r="P265" s="777"/>
      <c r="Q265" s="777"/>
      <c r="R265" s="751"/>
      <c r="S265" s="1242">
        <v>77220</v>
      </c>
      <c r="T265" s="1164">
        <v>3.8</v>
      </c>
      <c r="U265" s="803">
        <v>0</v>
      </c>
      <c r="V265" s="803">
        <v>0</v>
      </c>
      <c r="W265" s="803">
        <v>0</v>
      </c>
      <c r="X265" s="858">
        <v>1</v>
      </c>
      <c r="Y265" s="310">
        <f>ROUND((R265+S265/'[2]Summary E&amp;M (Origin)'!$O$103)*X265,2)</f>
        <v>3.71</v>
      </c>
      <c r="Z265" s="858">
        <f t="shared" si="219"/>
        <v>1.05</v>
      </c>
      <c r="AA265" s="813">
        <f t="shared" si="135"/>
        <v>3.9</v>
      </c>
      <c r="AB265" s="447">
        <f t="shared" si="136"/>
        <v>0.05</v>
      </c>
      <c r="AC265" s="310">
        <f t="shared" si="100"/>
        <v>3.99</v>
      </c>
      <c r="AD265" s="717">
        <f>ROUND(AC265*'[1]Summary E&amp;M'!$R$94,2)</f>
        <v>4.99</v>
      </c>
      <c r="AE265" s="826">
        <f t="shared" si="128"/>
        <v>166.95</v>
      </c>
      <c r="AF265" s="826">
        <f t="shared" si="129"/>
        <v>179.55</v>
      </c>
      <c r="AG265" s="731"/>
      <c r="AH265" s="732"/>
      <c r="AI265" s="519">
        <f t="shared" si="137"/>
        <v>0</v>
      </c>
      <c r="AJ265" s="519">
        <f t="shared" si="138"/>
        <v>0</v>
      </c>
      <c r="AK265" s="519">
        <f t="shared" si="139"/>
        <v>0</v>
      </c>
      <c r="AL265" s="520">
        <f t="shared" si="140"/>
        <v>0</v>
      </c>
      <c r="AM265" s="520">
        <f t="shared" si="141"/>
        <v>0</v>
      </c>
      <c r="AN265" s="520">
        <f t="shared" si="142"/>
        <v>0</v>
      </c>
      <c r="AO265" s="520">
        <f t="shared" si="143"/>
        <v>0</v>
      </c>
      <c r="AP265" s="719"/>
      <c r="AQ265" s="719"/>
      <c r="AR265" s="719"/>
      <c r="AS265" s="719"/>
      <c r="AT265" s="719"/>
    </row>
    <row r="266" spans="1:46" s="555" customFormat="1" ht="38.25">
      <c r="A266" s="451"/>
      <c r="B266" s="531" t="s">
        <v>1209</v>
      </c>
      <c r="C266" s="1194" t="s">
        <v>1200</v>
      </c>
      <c r="D266" s="1239" t="s">
        <v>1125</v>
      </c>
      <c r="E266" s="525" t="s">
        <v>321</v>
      </c>
      <c r="F266" s="1314">
        <f>ROUND(K266*'[2]Summary E&amp;M (Origin)'!$K$100,0)</f>
        <v>100</v>
      </c>
      <c r="G266" s="527">
        <f t="shared" si="131"/>
        <v>9.7200000000000006</v>
      </c>
      <c r="H266" s="528">
        <f t="shared" si="132"/>
        <v>972</v>
      </c>
      <c r="I266" s="529"/>
      <c r="J266" s="309"/>
      <c r="K266" s="1175">
        <v>95</v>
      </c>
      <c r="L266" s="530">
        <f t="shared" si="133"/>
        <v>14.18</v>
      </c>
      <c r="M266" s="530">
        <f t="shared" si="134"/>
        <v>1418</v>
      </c>
      <c r="N266" s="309"/>
      <c r="O266" s="778">
        <v>131</v>
      </c>
      <c r="P266" s="777"/>
      <c r="Q266" s="777"/>
      <c r="R266" s="751"/>
      <c r="S266" s="1242">
        <f>46700*3+30950+21650</f>
        <v>192700</v>
      </c>
      <c r="T266" s="1164">
        <f>1.2*9</f>
        <v>10.799999999999999</v>
      </c>
      <c r="U266" s="803">
        <v>0</v>
      </c>
      <c r="V266" s="803">
        <v>0</v>
      </c>
      <c r="W266" s="803">
        <v>0</v>
      </c>
      <c r="X266" s="858">
        <v>1</v>
      </c>
      <c r="Y266" s="310">
        <f>ROUND((R266+S266/'[2]Summary E&amp;M (Origin)'!$O$103)*X266,2)</f>
        <v>9.26</v>
      </c>
      <c r="Z266" s="858">
        <f t="shared" si="219"/>
        <v>1.05</v>
      </c>
      <c r="AA266" s="813">
        <f t="shared" si="135"/>
        <v>9.7200000000000006</v>
      </c>
      <c r="AB266" s="447">
        <f t="shared" si="136"/>
        <v>0.05</v>
      </c>
      <c r="AC266" s="310">
        <f t="shared" si="100"/>
        <v>11.34</v>
      </c>
      <c r="AD266" s="717">
        <f>ROUND(AC266*'[1]Summary E&amp;M'!$R$94,2)</f>
        <v>14.18</v>
      </c>
      <c r="AE266" s="826">
        <f t="shared" si="128"/>
        <v>879.7</v>
      </c>
      <c r="AF266" s="826">
        <f t="shared" si="129"/>
        <v>1077.3</v>
      </c>
      <c r="AG266" s="731"/>
      <c r="AH266" s="732"/>
      <c r="AI266" s="519">
        <f t="shared" si="137"/>
        <v>0</v>
      </c>
      <c r="AJ266" s="519">
        <f t="shared" si="138"/>
        <v>0</v>
      </c>
      <c r="AK266" s="519">
        <f t="shared" si="139"/>
        <v>0</v>
      </c>
      <c r="AL266" s="520">
        <f t="shared" si="140"/>
        <v>0</v>
      </c>
      <c r="AM266" s="520">
        <f t="shared" si="141"/>
        <v>0</v>
      </c>
      <c r="AN266" s="520">
        <f t="shared" si="142"/>
        <v>0</v>
      </c>
      <c r="AO266" s="520">
        <f t="shared" si="143"/>
        <v>0</v>
      </c>
      <c r="AP266" s="719"/>
      <c r="AQ266" s="719"/>
      <c r="AR266" s="719"/>
      <c r="AS266" s="719"/>
      <c r="AT266" s="719"/>
    </row>
    <row r="267" spans="1:46" s="555" customFormat="1" ht="38.25">
      <c r="A267" s="451"/>
      <c r="B267" s="531" t="s">
        <v>1210</v>
      </c>
      <c r="C267" s="1194" t="s">
        <v>1200</v>
      </c>
      <c r="D267" s="1239" t="s">
        <v>1125</v>
      </c>
      <c r="E267" s="525" t="s">
        <v>321</v>
      </c>
      <c r="F267" s="1314">
        <f>ROUND(K267*'[2]Summary E&amp;M (Origin)'!$K$100,0)</f>
        <v>124</v>
      </c>
      <c r="G267" s="527">
        <f t="shared" ref="G267" si="220">ROUNDUP(AA267,2)</f>
        <v>9.7200000000000006</v>
      </c>
      <c r="H267" s="528">
        <f t="shared" ref="H267" si="221">ROUND(F267*G267,2)</f>
        <v>1205.28</v>
      </c>
      <c r="I267" s="529"/>
      <c r="J267" s="309"/>
      <c r="K267" s="1175">
        <v>118</v>
      </c>
      <c r="L267" s="530">
        <f t="shared" ref="L267" si="222">ROUND(AD267,2)</f>
        <v>14.18</v>
      </c>
      <c r="M267" s="530">
        <f t="shared" ref="M267" si="223">ROUND(L267*F267,2)</f>
        <v>1758.32</v>
      </c>
      <c r="N267" s="309"/>
      <c r="O267" s="778">
        <v>131</v>
      </c>
      <c r="P267" s="777"/>
      <c r="Q267" s="777"/>
      <c r="R267" s="751"/>
      <c r="S267" s="1242">
        <f>46700*3+30950+21650</f>
        <v>192700</v>
      </c>
      <c r="T267" s="1164">
        <f>1.2*9</f>
        <v>10.799999999999999</v>
      </c>
      <c r="U267" s="803">
        <v>0</v>
      </c>
      <c r="V267" s="803">
        <v>0</v>
      </c>
      <c r="W267" s="803">
        <v>0</v>
      </c>
      <c r="X267" s="858">
        <v>1</v>
      </c>
      <c r="Y267" s="310">
        <f>ROUND((R267+S267/'[2]Summary E&amp;M (Origin)'!$O$103)*X267,2)</f>
        <v>9.26</v>
      </c>
      <c r="Z267" s="858">
        <f t="shared" si="219"/>
        <v>1.05</v>
      </c>
      <c r="AA267" s="813">
        <f t="shared" ref="AA267" si="224">ROUND(Y267*Z267,2)</f>
        <v>9.7200000000000006</v>
      </c>
      <c r="AB267" s="447">
        <f t="shared" si="136"/>
        <v>0.05</v>
      </c>
      <c r="AC267" s="310">
        <f t="shared" ref="AC267" si="225">ROUND((T267*(1+AB267)),2)</f>
        <v>11.34</v>
      </c>
      <c r="AD267" s="717">
        <f>ROUND(AC267*'[1]Summary E&amp;M'!$R$94,2)</f>
        <v>14.18</v>
      </c>
      <c r="AE267" s="826">
        <f t="shared" si="128"/>
        <v>1092.68</v>
      </c>
      <c r="AF267" s="826">
        <f t="shared" si="129"/>
        <v>1338.12</v>
      </c>
      <c r="AG267" s="731"/>
      <c r="AH267" s="732"/>
      <c r="AI267" s="519">
        <f t="shared" si="137"/>
        <v>0</v>
      </c>
      <c r="AJ267" s="519">
        <f t="shared" si="138"/>
        <v>0</v>
      </c>
      <c r="AK267" s="519">
        <f t="shared" si="139"/>
        <v>0</v>
      </c>
      <c r="AL267" s="520">
        <f t="shared" ref="AL267" si="226">ROUND(Y267*AI267+((Y267*(1+AI267))*AJ267)+((Y267*AI267+((Y267*(1+AI267))*AJ267))*AK267),2)</f>
        <v>0</v>
      </c>
      <c r="AM267" s="520">
        <f t="shared" ref="AM267" si="227">AL267*$F267</f>
        <v>0</v>
      </c>
      <c r="AN267" s="520">
        <f t="shared" ref="AN267" si="228">ROUND(AL267*Z267,2)</f>
        <v>0</v>
      </c>
      <c r="AO267" s="520">
        <f t="shared" ref="AO267" si="229">AN267*$F267</f>
        <v>0</v>
      </c>
      <c r="AP267" s="719"/>
      <c r="AQ267" s="719"/>
      <c r="AR267" s="719"/>
      <c r="AS267" s="719"/>
      <c r="AT267" s="719"/>
    </row>
    <row r="268" spans="1:46" s="555" customFormat="1" ht="27" customHeight="1">
      <c r="A268" s="451"/>
      <c r="B268" s="531" t="s">
        <v>1211</v>
      </c>
      <c r="C268" s="523" t="s">
        <v>1206</v>
      </c>
      <c r="D268" s="1239" t="s">
        <v>1125</v>
      </c>
      <c r="E268" s="525" t="s">
        <v>321</v>
      </c>
      <c r="F268" s="1314">
        <f>ROUND(K268*'[2]Summary E&amp;M (Origin)'!$K$100,0)</f>
        <v>40</v>
      </c>
      <c r="G268" s="527">
        <f t="shared" ref="G268" si="230">ROUNDUP(AA268,2)</f>
        <v>2.89</v>
      </c>
      <c r="H268" s="528">
        <f t="shared" ref="H268" si="231">ROUND(F268*G268,2)</f>
        <v>115.6</v>
      </c>
      <c r="I268" s="529"/>
      <c r="J268" s="309"/>
      <c r="K268" s="1175">
        <v>38</v>
      </c>
      <c r="L268" s="530">
        <f t="shared" ref="L268" si="232">ROUND(AD268,2)</f>
        <v>14.18</v>
      </c>
      <c r="M268" s="530">
        <f t="shared" ref="M268" si="233">ROUND(L268*F268,2)</f>
        <v>567.20000000000005</v>
      </c>
      <c r="N268" s="309"/>
      <c r="O268" s="778">
        <v>131</v>
      </c>
      <c r="P268" s="777"/>
      <c r="Q268" s="777"/>
      <c r="R268" s="751"/>
      <c r="S268" s="1242">
        <v>57170</v>
      </c>
      <c r="T268" s="1164">
        <f>1.2*9</f>
        <v>10.799999999999999</v>
      </c>
      <c r="U268" s="803">
        <v>0</v>
      </c>
      <c r="V268" s="803">
        <v>0</v>
      </c>
      <c r="W268" s="803">
        <v>0</v>
      </c>
      <c r="X268" s="858">
        <v>1</v>
      </c>
      <c r="Y268" s="310">
        <f>ROUND((R268+S268/'[2]Summary E&amp;M (Origin)'!$O$103)*X268,2)</f>
        <v>2.75</v>
      </c>
      <c r="Z268" s="858">
        <f t="shared" si="219"/>
        <v>1.05</v>
      </c>
      <c r="AA268" s="813">
        <f t="shared" ref="AA268" si="234">ROUND(Y268*Z268,2)</f>
        <v>2.89</v>
      </c>
      <c r="AB268" s="447">
        <f t="shared" si="136"/>
        <v>0.05</v>
      </c>
      <c r="AC268" s="310">
        <f t="shared" ref="AC268" si="235">ROUND((T268*(1+AB268)),2)</f>
        <v>11.34</v>
      </c>
      <c r="AD268" s="717">
        <f>ROUND(AC268*'[1]Summary E&amp;M'!$R$94,2)</f>
        <v>14.18</v>
      </c>
      <c r="AE268" s="826">
        <f t="shared" si="128"/>
        <v>104.5</v>
      </c>
      <c r="AF268" s="826">
        <f t="shared" si="129"/>
        <v>430.92</v>
      </c>
      <c r="AG268" s="731"/>
      <c r="AH268" s="732"/>
      <c r="AI268" s="519">
        <f t="shared" si="137"/>
        <v>0</v>
      </c>
      <c r="AJ268" s="519">
        <f t="shared" si="138"/>
        <v>0</v>
      </c>
      <c r="AK268" s="519">
        <f t="shared" si="139"/>
        <v>0</v>
      </c>
      <c r="AL268" s="520">
        <f t="shared" ref="AL268" si="236">ROUND(Y268*AI268+((Y268*(1+AI268))*AJ268)+((Y268*AI268+((Y268*(1+AI268))*AJ268))*AK268),2)</f>
        <v>0</v>
      </c>
      <c r="AM268" s="520">
        <f t="shared" ref="AM268" si="237">AL268*$F268</f>
        <v>0</v>
      </c>
      <c r="AN268" s="520">
        <f t="shared" ref="AN268" si="238">ROUND(AL268*Z268,2)</f>
        <v>0</v>
      </c>
      <c r="AO268" s="520">
        <f t="shared" ref="AO268" si="239">AN268*$F268</f>
        <v>0</v>
      </c>
      <c r="AP268" s="719"/>
      <c r="AQ268" s="719"/>
      <c r="AR268" s="719"/>
      <c r="AS268" s="719"/>
      <c r="AT268" s="719"/>
    </row>
    <row r="269" spans="1:46" s="555" customFormat="1" ht="38.25">
      <c r="A269" s="451"/>
      <c r="B269" s="531" t="s">
        <v>1212</v>
      </c>
      <c r="C269" s="1194" t="s">
        <v>1186</v>
      </c>
      <c r="D269" s="1239" t="s">
        <v>1125</v>
      </c>
      <c r="E269" s="525" t="s">
        <v>321</v>
      </c>
      <c r="F269" s="1314">
        <f>ROUND(K269*'[2]Summary E&amp;M (Origin)'!$K$100,0)</f>
        <v>39</v>
      </c>
      <c r="G269" s="527">
        <f t="shared" ref="G269" si="240">ROUNDUP(AA269,2)</f>
        <v>5.38</v>
      </c>
      <c r="H269" s="528">
        <f t="shared" ref="H269" si="241">ROUND(F269*G269,2)</f>
        <v>209.82</v>
      </c>
      <c r="I269" s="529"/>
      <c r="J269" s="309"/>
      <c r="K269" s="1175">
        <v>37</v>
      </c>
      <c r="L269" s="530">
        <f t="shared" ref="L269" si="242">ROUND(AD269,2)</f>
        <v>14.18</v>
      </c>
      <c r="M269" s="530">
        <f t="shared" ref="M269" si="243">ROUND(L269*F269,2)</f>
        <v>553.02</v>
      </c>
      <c r="N269" s="309"/>
      <c r="O269" s="778">
        <v>131</v>
      </c>
      <c r="P269" s="777"/>
      <c r="Q269" s="777"/>
      <c r="R269" s="751"/>
      <c r="S269" s="1122">
        <f>3*25230+19040+11830</f>
        <v>106560</v>
      </c>
      <c r="T269" s="1164">
        <f>1.2*9</f>
        <v>10.799999999999999</v>
      </c>
      <c r="U269" s="803">
        <v>0</v>
      </c>
      <c r="V269" s="803">
        <v>0</v>
      </c>
      <c r="W269" s="803">
        <v>0</v>
      </c>
      <c r="X269" s="858">
        <v>1</v>
      </c>
      <c r="Y269" s="310">
        <f>ROUND((R269+S269/'[2]Summary E&amp;M (Origin)'!$O$103)*X269,2)</f>
        <v>5.12</v>
      </c>
      <c r="Z269" s="858">
        <f t="shared" si="219"/>
        <v>1.05</v>
      </c>
      <c r="AA269" s="813">
        <f t="shared" ref="AA269" si="244">ROUND(Y269*Z269,2)</f>
        <v>5.38</v>
      </c>
      <c r="AB269" s="447">
        <f t="shared" si="136"/>
        <v>0.05</v>
      </c>
      <c r="AC269" s="310">
        <f t="shared" ref="AC269" si="245">ROUND((T269*(1+AB269)),2)</f>
        <v>11.34</v>
      </c>
      <c r="AD269" s="717">
        <f>ROUND(AC269*'[1]Summary E&amp;M'!$R$94,2)</f>
        <v>14.18</v>
      </c>
      <c r="AE269" s="826">
        <f t="shared" si="128"/>
        <v>189.44</v>
      </c>
      <c r="AF269" s="826">
        <f t="shared" si="129"/>
        <v>419.58</v>
      </c>
      <c r="AG269" s="731"/>
      <c r="AH269" s="732"/>
      <c r="AI269" s="519">
        <f t="shared" si="137"/>
        <v>0</v>
      </c>
      <c r="AJ269" s="519">
        <f t="shared" si="138"/>
        <v>0</v>
      </c>
      <c r="AK269" s="519">
        <f t="shared" si="139"/>
        <v>0</v>
      </c>
      <c r="AL269" s="520">
        <f t="shared" ref="AL269" si="246">ROUND(Y269*AI269+((Y269*(1+AI269))*AJ269)+((Y269*AI269+((Y269*(1+AI269))*AJ269))*AK269),2)</f>
        <v>0</v>
      </c>
      <c r="AM269" s="520">
        <f t="shared" ref="AM269" si="247">AL269*$F269</f>
        <v>0</v>
      </c>
      <c r="AN269" s="520">
        <f t="shared" ref="AN269" si="248">ROUND(AL269*Z269,2)</f>
        <v>0</v>
      </c>
      <c r="AO269" s="520">
        <f t="shared" ref="AO269" si="249">AN269*$F269</f>
        <v>0</v>
      </c>
      <c r="AP269" s="719"/>
      <c r="AQ269" s="719"/>
      <c r="AR269" s="719"/>
      <c r="AS269" s="719"/>
      <c r="AT269" s="719"/>
    </row>
    <row r="270" spans="1:46" s="555" customFormat="1" ht="27" customHeight="1">
      <c r="A270" s="451"/>
      <c r="B270" s="531" t="s">
        <v>1213</v>
      </c>
      <c r="C270" s="523" t="s">
        <v>1102</v>
      </c>
      <c r="D270" s="1239" t="s">
        <v>1125</v>
      </c>
      <c r="E270" s="525" t="s">
        <v>321</v>
      </c>
      <c r="F270" s="1314">
        <f>ROUND(K270*'[2]Summary E&amp;M (Origin)'!$K$100,0)</f>
        <v>50</v>
      </c>
      <c r="G270" s="527">
        <f t="shared" si="131"/>
        <v>5.65</v>
      </c>
      <c r="H270" s="528">
        <f t="shared" si="132"/>
        <v>282.5</v>
      </c>
      <c r="I270" s="529"/>
      <c r="J270" s="309"/>
      <c r="K270" s="1175">
        <v>48</v>
      </c>
      <c r="L270" s="530">
        <f t="shared" si="133"/>
        <v>4.99</v>
      </c>
      <c r="M270" s="530">
        <f t="shared" si="134"/>
        <v>249.5</v>
      </c>
      <c r="N270" s="309"/>
      <c r="O270" s="778">
        <v>131</v>
      </c>
      <c r="P270" s="777"/>
      <c r="Q270" s="777"/>
      <c r="R270" s="751"/>
      <c r="S270" s="1242">
        <f>(4*25000)+(12000)</f>
        <v>112000</v>
      </c>
      <c r="T270" s="1164">
        <v>3.8</v>
      </c>
      <c r="U270" s="803">
        <v>0</v>
      </c>
      <c r="V270" s="803">
        <v>0</v>
      </c>
      <c r="W270" s="803">
        <v>0</v>
      </c>
      <c r="X270" s="858">
        <v>1</v>
      </c>
      <c r="Y270" s="310">
        <f>ROUND((R270+S270/'[2]Summary E&amp;M (Origin)'!$O$103)*X270,2)</f>
        <v>5.38</v>
      </c>
      <c r="Z270" s="858">
        <f t="shared" si="219"/>
        <v>1.05</v>
      </c>
      <c r="AA270" s="813">
        <f t="shared" si="135"/>
        <v>5.65</v>
      </c>
      <c r="AB270" s="447">
        <f t="shared" si="136"/>
        <v>0.05</v>
      </c>
      <c r="AC270" s="310">
        <f t="shared" si="100"/>
        <v>3.99</v>
      </c>
      <c r="AD270" s="717">
        <f>ROUND(AC270*'[1]Summary E&amp;M'!$R$94,2)</f>
        <v>4.99</v>
      </c>
      <c r="AE270" s="826">
        <f t="shared" si="128"/>
        <v>258.24</v>
      </c>
      <c r="AF270" s="826">
        <f t="shared" si="129"/>
        <v>191.52</v>
      </c>
      <c r="AG270" s="731"/>
      <c r="AH270" s="732"/>
      <c r="AI270" s="519">
        <f t="shared" si="137"/>
        <v>0</v>
      </c>
      <c r="AJ270" s="519">
        <f t="shared" si="138"/>
        <v>0</v>
      </c>
      <c r="AK270" s="519">
        <f t="shared" si="139"/>
        <v>0</v>
      </c>
      <c r="AL270" s="520">
        <f t="shared" si="140"/>
        <v>0</v>
      </c>
      <c r="AM270" s="520">
        <f t="shared" si="141"/>
        <v>0</v>
      </c>
      <c r="AN270" s="520">
        <f t="shared" si="142"/>
        <v>0</v>
      </c>
      <c r="AO270" s="520">
        <f t="shared" si="143"/>
        <v>0</v>
      </c>
      <c r="AP270" s="719"/>
      <c r="AQ270" s="719"/>
      <c r="AR270" s="719"/>
      <c r="AS270" s="719"/>
      <c r="AT270" s="719"/>
    </row>
    <row r="271" spans="1:46" s="555" customFormat="1" ht="27" customHeight="1">
      <c r="A271" s="451"/>
      <c r="B271" s="531" t="s">
        <v>1214</v>
      </c>
      <c r="C271" s="1194" t="s">
        <v>1207</v>
      </c>
      <c r="D271" s="1239" t="s">
        <v>1125</v>
      </c>
      <c r="E271" s="525" t="s">
        <v>321</v>
      </c>
      <c r="F271" s="1314">
        <f>ROUND(K271*'[2]Summary E&amp;M (Origin)'!$K$100,0)</f>
        <v>126</v>
      </c>
      <c r="G271" s="527">
        <f t="shared" si="131"/>
        <v>5.65</v>
      </c>
      <c r="H271" s="528">
        <f t="shared" si="132"/>
        <v>711.9</v>
      </c>
      <c r="I271" s="529"/>
      <c r="J271" s="309"/>
      <c r="K271" s="1175">
        <v>120</v>
      </c>
      <c r="L271" s="530">
        <f t="shared" si="133"/>
        <v>4.99</v>
      </c>
      <c r="M271" s="530">
        <f t="shared" si="134"/>
        <v>628.74</v>
      </c>
      <c r="N271" s="309"/>
      <c r="O271" s="778">
        <v>131</v>
      </c>
      <c r="P271" s="777"/>
      <c r="Q271" s="777"/>
      <c r="R271" s="751"/>
      <c r="S271" s="1242">
        <f>(4*25000)+(12000)</f>
        <v>112000</v>
      </c>
      <c r="T271" s="1164">
        <v>3.8</v>
      </c>
      <c r="U271" s="803">
        <v>0</v>
      </c>
      <c r="V271" s="803">
        <v>0</v>
      </c>
      <c r="W271" s="803">
        <v>0</v>
      </c>
      <c r="X271" s="858">
        <v>1</v>
      </c>
      <c r="Y271" s="310">
        <f>ROUND((R271+S271/'[2]Summary E&amp;M (Origin)'!$O$103)*X271,2)</f>
        <v>5.38</v>
      </c>
      <c r="Z271" s="858">
        <f t="shared" si="219"/>
        <v>1.05</v>
      </c>
      <c r="AA271" s="813">
        <f t="shared" si="135"/>
        <v>5.65</v>
      </c>
      <c r="AB271" s="447">
        <f t="shared" si="136"/>
        <v>0.05</v>
      </c>
      <c r="AC271" s="310">
        <f t="shared" si="100"/>
        <v>3.99</v>
      </c>
      <c r="AD271" s="717">
        <f>ROUND(AC271*'[1]Summary E&amp;M'!$R$94,2)</f>
        <v>4.99</v>
      </c>
      <c r="AE271" s="826">
        <f t="shared" si="128"/>
        <v>645.6</v>
      </c>
      <c r="AF271" s="826">
        <f t="shared" si="129"/>
        <v>478.8</v>
      </c>
      <c r="AG271" s="731"/>
      <c r="AH271" s="732"/>
      <c r="AI271" s="519">
        <f t="shared" si="137"/>
        <v>0</v>
      </c>
      <c r="AJ271" s="519">
        <f t="shared" si="138"/>
        <v>0</v>
      </c>
      <c r="AK271" s="519">
        <f t="shared" si="139"/>
        <v>0</v>
      </c>
      <c r="AL271" s="520">
        <f t="shared" si="140"/>
        <v>0</v>
      </c>
      <c r="AM271" s="520">
        <f t="shared" si="141"/>
        <v>0</v>
      </c>
      <c r="AN271" s="520">
        <f t="shared" si="142"/>
        <v>0</v>
      </c>
      <c r="AO271" s="520">
        <f t="shared" si="143"/>
        <v>0</v>
      </c>
      <c r="AP271" s="719"/>
      <c r="AQ271" s="719"/>
      <c r="AR271" s="719"/>
      <c r="AS271" s="719"/>
      <c r="AT271" s="719"/>
    </row>
    <row r="272" spans="1:46" s="555" customFormat="1" ht="27" customHeight="1">
      <c r="A272" s="451"/>
      <c r="B272" s="531" t="s">
        <v>1215</v>
      </c>
      <c r="C272" s="523" t="s">
        <v>1102</v>
      </c>
      <c r="D272" s="1239" t="s">
        <v>1125</v>
      </c>
      <c r="E272" s="525" t="s">
        <v>321</v>
      </c>
      <c r="F272" s="1314">
        <f>ROUND(K272*'[2]Summary E&amp;M (Origin)'!$K$100,0)</f>
        <v>116</v>
      </c>
      <c r="G272" s="527">
        <f t="shared" si="131"/>
        <v>3.9</v>
      </c>
      <c r="H272" s="528">
        <f t="shared" si="132"/>
        <v>452.4</v>
      </c>
      <c r="I272" s="529"/>
      <c r="J272" s="309"/>
      <c r="K272" s="1175">
        <v>110</v>
      </c>
      <c r="L272" s="530">
        <f t="shared" si="133"/>
        <v>2.89</v>
      </c>
      <c r="M272" s="530">
        <f t="shared" si="134"/>
        <v>335.24</v>
      </c>
      <c r="N272" s="309"/>
      <c r="O272" s="778">
        <v>131</v>
      </c>
      <c r="P272" s="777"/>
      <c r="Q272" s="777"/>
      <c r="R272" s="751"/>
      <c r="S272" s="1242">
        <v>77220</v>
      </c>
      <c r="T272" s="1164">
        <v>2.2000000000000002</v>
      </c>
      <c r="U272" s="803">
        <v>0</v>
      </c>
      <c r="V272" s="803">
        <v>0</v>
      </c>
      <c r="W272" s="803">
        <v>0</v>
      </c>
      <c r="X272" s="858">
        <v>1</v>
      </c>
      <c r="Y272" s="310">
        <f>ROUND((R272+S272/'[2]Summary E&amp;M (Origin)'!$O$103)*X272,2)</f>
        <v>3.71</v>
      </c>
      <c r="Z272" s="858">
        <f t="shared" si="219"/>
        <v>1.05</v>
      </c>
      <c r="AA272" s="813">
        <f t="shared" si="135"/>
        <v>3.9</v>
      </c>
      <c r="AB272" s="447">
        <f t="shared" si="136"/>
        <v>0.05</v>
      </c>
      <c r="AC272" s="310">
        <f t="shared" si="100"/>
        <v>2.31</v>
      </c>
      <c r="AD272" s="717">
        <f>ROUND(AC272*'[1]Summary E&amp;M'!$R$94,2)</f>
        <v>2.89</v>
      </c>
      <c r="AE272" s="826">
        <f t="shared" si="128"/>
        <v>408.1</v>
      </c>
      <c r="AF272" s="826">
        <f t="shared" si="129"/>
        <v>254.1</v>
      </c>
      <c r="AG272" s="731"/>
      <c r="AH272" s="732"/>
      <c r="AI272" s="519">
        <f t="shared" si="137"/>
        <v>0</v>
      </c>
      <c r="AJ272" s="519">
        <f t="shared" si="138"/>
        <v>0</v>
      </c>
      <c r="AK272" s="519">
        <f t="shared" si="139"/>
        <v>0</v>
      </c>
      <c r="AL272" s="520">
        <f t="shared" si="140"/>
        <v>0</v>
      </c>
      <c r="AM272" s="520">
        <f t="shared" si="141"/>
        <v>0</v>
      </c>
      <c r="AN272" s="520">
        <f t="shared" si="142"/>
        <v>0</v>
      </c>
      <c r="AO272" s="520">
        <f t="shared" si="143"/>
        <v>0</v>
      </c>
      <c r="AP272" s="719"/>
      <c r="AQ272" s="719"/>
      <c r="AR272" s="719"/>
      <c r="AS272" s="719"/>
      <c r="AT272" s="719"/>
    </row>
    <row r="273" spans="1:46" s="555" customFormat="1" ht="27" customHeight="1">
      <c r="A273" s="451"/>
      <c r="B273" s="531" t="s">
        <v>1216</v>
      </c>
      <c r="C273" s="523" t="s">
        <v>1102</v>
      </c>
      <c r="D273" s="1239" t="s">
        <v>1125</v>
      </c>
      <c r="E273" s="525" t="s">
        <v>321</v>
      </c>
      <c r="F273" s="1314">
        <f>ROUND(K273*'[2]Summary E&amp;M (Origin)'!$K$100,0)</f>
        <v>158</v>
      </c>
      <c r="G273" s="527">
        <f t="shared" si="131"/>
        <v>3.9</v>
      </c>
      <c r="H273" s="528">
        <f t="shared" si="132"/>
        <v>616.20000000000005</v>
      </c>
      <c r="I273" s="529"/>
      <c r="J273" s="309"/>
      <c r="K273" s="1175">
        <v>150</v>
      </c>
      <c r="L273" s="530">
        <f t="shared" si="133"/>
        <v>2.89</v>
      </c>
      <c r="M273" s="530">
        <f t="shared" si="134"/>
        <v>456.62</v>
      </c>
      <c r="N273" s="309"/>
      <c r="O273" s="778">
        <v>131</v>
      </c>
      <c r="P273" s="777"/>
      <c r="Q273" s="777"/>
      <c r="R273" s="751"/>
      <c r="S273" s="1242">
        <v>77220</v>
      </c>
      <c r="T273" s="1164">
        <v>2.2000000000000002</v>
      </c>
      <c r="U273" s="803">
        <v>0</v>
      </c>
      <c r="V273" s="803">
        <v>0</v>
      </c>
      <c r="W273" s="803">
        <v>0</v>
      </c>
      <c r="X273" s="858">
        <v>1</v>
      </c>
      <c r="Y273" s="310">
        <f>ROUND((R273+S273/'[2]Summary E&amp;M (Origin)'!$O$103)*X273,2)</f>
        <v>3.71</v>
      </c>
      <c r="Z273" s="858">
        <f t="shared" si="219"/>
        <v>1.05</v>
      </c>
      <c r="AA273" s="813">
        <f t="shared" si="135"/>
        <v>3.9</v>
      </c>
      <c r="AB273" s="447">
        <f t="shared" si="136"/>
        <v>0.05</v>
      </c>
      <c r="AC273" s="310">
        <f t="shared" si="100"/>
        <v>2.31</v>
      </c>
      <c r="AD273" s="717">
        <f>ROUND(AC273*'[1]Summary E&amp;M'!$R$94,2)</f>
        <v>2.89</v>
      </c>
      <c r="AE273" s="826">
        <f t="shared" si="128"/>
        <v>556.5</v>
      </c>
      <c r="AF273" s="826">
        <f t="shared" si="129"/>
        <v>346.5</v>
      </c>
      <c r="AG273" s="731"/>
      <c r="AH273" s="732"/>
      <c r="AI273" s="519">
        <f t="shared" si="137"/>
        <v>0</v>
      </c>
      <c r="AJ273" s="519">
        <f t="shared" si="138"/>
        <v>0</v>
      </c>
      <c r="AK273" s="519">
        <f t="shared" si="139"/>
        <v>0</v>
      </c>
      <c r="AL273" s="520">
        <f t="shared" si="140"/>
        <v>0</v>
      </c>
      <c r="AM273" s="520">
        <f t="shared" si="141"/>
        <v>0</v>
      </c>
      <c r="AN273" s="520">
        <f t="shared" si="142"/>
        <v>0</v>
      </c>
      <c r="AO273" s="520">
        <f t="shared" si="143"/>
        <v>0</v>
      </c>
      <c r="AP273" s="719"/>
      <c r="AQ273" s="719"/>
      <c r="AR273" s="719"/>
      <c r="AS273" s="719"/>
      <c r="AT273" s="719"/>
    </row>
    <row r="274" spans="1:46" s="555" customFormat="1" ht="22.5" customHeight="1">
      <c r="A274" s="451"/>
      <c r="B274" s="531" t="s">
        <v>122</v>
      </c>
      <c r="C274" s="523"/>
      <c r="D274" s="524" t="s">
        <v>690</v>
      </c>
      <c r="E274" s="525" t="s">
        <v>322</v>
      </c>
      <c r="F274" s="1315">
        <f>K274</f>
        <v>1</v>
      </c>
      <c r="G274" s="527">
        <f t="shared" si="131"/>
        <v>668.36</v>
      </c>
      <c r="H274" s="528">
        <f t="shared" si="132"/>
        <v>668.36</v>
      </c>
      <c r="I274" s="529"/>
      <c r="J274" s="309"/>
      <c r="K274" s="1175">
        <v>1</v>
      </c>
      <c r="L274" s="530">
        <f t="shared" si="133"/>
        <v>172.26</v>
      </c>
      <c r="M274" s="530">
        <f t="shared" si="134"/>
        <v>172.26</v>
      </c>
      <c r="N274" s="309"/>
      <c r="O274" s="778" t="s">
        <v>690</v>
      </c>
      <c r="P274" s="777">
        <v>0.03</v>
      </c>
      <c r="Q274" s="777"/>
      <c r="R274" s="751">
        <f>ROUND(SUM(AE249:AE273)*P274,2)</f>
        <v>656.22</v>
      </c>
      <c r="S274" s="752"/>
      <c r="T274" s="792">
        <f>R274*0.2</f>
        <v>131.244</v>
      </c>
      <c r="U274" s="803">
        <v>0</v>
      </c>
      <c r="V274" s="803">
        <v>0</v>
      </c>
      <c r="W274" s="803">
        <v>0</v>
      </c>
      <c r="X274" s="858">
        <f>SUMIF('Summary-E'!O$4:O$50,D274,'Summary-E'!Q$4:Q$50)</f>
        <v>0.97</v>
      </c>
      <c r="Y274" s="310">
        <f>ROUND((R274+S274/'[2]Summary E&amp;M (Origin)'!$O$103)*X274,2)</f>
        <v>636.53</v>
      </c>
      <c r="Z274" s="858">
        <f t="shared" si="219"/>
        <v>1.05</v>
      </c>
      <c r="AA274" s="813">
        <f t="shared" si="135"/>
        <v>668.36</v>
      </c>
      <c r="AB274" s="447">
        <f t="shared" si="136"/>
        <v>0.05</v>
      </c>
      <c r="AC274" s="310">
        <f t="shared" si="100"/>
        <v>137.81</v>
      </c>
      <c r="AD274" s="717">
        <f>ROUND(AC274*'[1]Summary E&amp;M'!$R$94,2)</f>
        <v>172.26</v>
      </c>
      <c r="AE274" s="826">
        <f t="shared" si="128"/>
        <v>636.53</v>
      </c>
      <c r="AF274" s="826">
        <f t="shared" si="129"/>
        <v>137.81</v>
      </c>
      <c r="AG274" s="731">
        <v>6466.99</v>
      </c>
      <c r="AH274" s="732">
        <v>798.04</v>
      </c>
      <c r="AI274" s="519">
        <f t="shared" si="137"/>
        <v>0</v>
      </c>
      <c r="AJ274" s="519">
        <f t="shared" si="138"/>
        <v>0</v>
      </c>
      <c r="AK274" s="519">
        <f t="shared" si="139"/>
        <v>0</v>
      </c>
      <c r="AL274" s="520">
        <f t="shared" si="140"/>
        <v>0</v>
      </c>
      <c r="AM274" s="520">
        <f t="shared" si="141"/>
        <v>0</v>
      </c>
      <c r="AN274" s="520">
        <f t="shared" si="142"/>
        <v>0</v>
      </c>
      <c r="AO274" s="520">
        <f t="shared" si="143"/>
        <v>0</v>
      </c>
      <c r="AP274" s="719"/>
      <c r="AQ274" s="719"/>
      <c r="AR274" s="719"/>
      <c r="AS274" s="719"/>
      <c r="AT274" s="719"/>
    </row>
    <row r="275" spans="1:46" s="555" customFormat="1" ht="22.5" customHeight="1">
      <c r="A275" s="451"/>
      <c r="B275" s="531" t="s">
        <v>753</v>
      </c>
      <c r="C275" s="523" t="s">
        <v>182</v>
      </c>
      <c r="D275" s="524"/>
      <c r="E275" s="525"/>
      <c r="F275" s="1314"/>
      <c r="G275" s="527" t="s">
        <v>807</v>
      </c>
      <c r="H275" s="528"/>
      <c r="I275" s="529"/>
      <c r="J275" s="309"/>
      <c r="K275" s="1175"/>
      <c r="L275" s="530"/>
      <c r="M275" s="530"/>
      <c r="N275" s="309"/>
      <c r="O275" s="778"/>
      <c r="P275" s="777"/>
      <c r="Q275" s="777"/>
      <c r="R275" s="751"/>
      <c r="S275" s="752"/>
      <c r="T275" s="792"/>
      <c r="U275" s="803"/>
      <c r="V275" s="803"/>
      <c r="W275" s="803"/>
      <c r="X275" s="858">
        <f>SUMIF('Summary-E'!O$4:O$50,D275,'Summary-E'!Q$4:Q$50)</f>
        <v>0</v>
      </c>
      <c r="Y275" s="310">
        <f>ROUND((R275+S275/'[2]Summary E&amp;M (Origin)'!$O$103)*X275,2)</f>
        <v>0</v>
      </c>
      <c r="Z275" s="858">
        <f t="shared" si="219"/>
        <v>1.05</v>
      </c>
      <c r="AA275" s="813"/>
      <c r="AB275" s="447"/>
      <c r="AC275" s="310">
        <f t="shared" si="100"/>
        <v>0</v>
      </c>
      <c r="AD275" s="717">
        <f>ROUND(AC275*'[1]Summary E&amp;M'!$R$94,2)</f>
        <v>0</v>
      </c>
      <c r="AE275" s="826"/>
      <c r="AF275" s="826"/>
      <c r="AG275" s="731"/>
      <c r="AH275" s="732"/>
      <c r="AI275" s="519"/>
      <c r="AJ275" s="519"/>
      <c r="AK275" s="519"/>
      <c r="AL275" s="520"/>
      <c r="AM275" s="520"/>
      <c r="AN275" s="520"/>
      <c r="AO275" s="520"/>
      <c r="AP275" s="719"/>
      <c r="AQ275" s="719"/>
      <c r="AR275" s="719"/>
      <c r="AS275" s="719"/>
      <c r="AT275" s="719"/>
    </row>
    <row r="276" spans="1:46" s="555" customFormat="1" ht="22.5" customHeight="1">
      <c r="A276" s="451"/>
      <c r="B276" s="531" t="s">
        <v>692</v>
      </c>
      <c r="C276" s="523" t="s">
        <v>693</v>
      </c>
      <c r="D276" s="524">
        <v>121</v>
      </c>
      <c r="E276" s="525" t="s">
        <v>321</v>
      </c>
      <c r="F276" s="1314">
        <f>ROUND(K276*'[2]Summary E&amp;M (Origin)'!$K$101,0)</f>
        <v>488</v>
      </c>
      <c r="G276" s="527">
        <f>ROUNDUP(AA276,2)</f>
        <v>15.8</v>
      </c>
      <c r="H276" s="528">
        <f>ROUND(F276*G276,2)</f>
        <v>7710.4</v>
      </c>
      <c r="I276" s="529"/>
      <c r="J276" s="309"/>
      <c r="K276" s="1175">
        <v>465</v>
      </c>
      <c r="L276" s="530">
        <f>ROUND(AD276,2)</f>
        <v>4.5999999999999996</v>
      </c>
      <c r="M276" s="530">
        <f>ROUND(L276*F276,2)</f>
        <v>2244.8000000000002</v>
      </c>
      <c r="N276" s="309"/>
      <c r="O276" s="778">
        <v>121</v>
      </c>
      <c r="P276" s="777"/>
      <c r="Q276" s="777"/>
      <c r="R276" s="751"/>
      <c r="S276" s="752">
        <v>313000</v>
      </c>
      <c r="T276" s="792">
        <v>3.5</v>
      </c>
      <c r="U276" s="803">
        <v>0</v>
      </c>
      <c r="V276" s="803">
        <v>0</v>
      </c>
      <c r="W276" s="803">
        <v>0</v>
      </c>
      <c r="X276" s="858">
        <v>1</v>
      </c>
      <c r="Y276" s="310">
        <f>ROUND((R276+S276/'[2]Summary E&amp;M (Origin)'!$O$103)*X276,2)</f>
        <v>15.05</v>
      </c>
      <c r="Z276" s="858">
        <f t="shared" si="219"/>
        <v>1.05</v>
      </c>
      <c r="AA276" s="813">
        <f>ROUND(Y276*Z276,2)</f>
        <v>15.8</v>
      </c>
      <c r="AB276" s="447">
        <f>$AB$3</f>
        <v>0.05</v>
      </c>
      <c r="AC276" s="310">
        <f t="shared" si="100"/>
        <v>3.68</v>
      </c>
      <c r="AD276" s="717">
        <f>ROUND(AC276*'[1]Summary E&amp;M'!$R$94,2)</f>
        <v>4.5999999999999996</v>
      </c>
      <c r="AE276" s="826">
        <f t="shared" ref="AE276:AE283" si="250">ROUND($K276*$Y276,2)</f>
        <v>6998.25</v>
      </c>
      <c r="AF276" s="826">
        <f t="shared" ref="AF276:AF283" si="251">ROUND($K276*$AC276,2)</f>
        <v>1711.2</v>
      </c>
      <c r="AG276" s="731"/>
      <c r="AH276" s="732"/>
      <c r="AI276" s="519">
        <f>$U276</f>
        <v>0</v>
      </c>
      <c r="AJ276" s="519">
        <f>$V276</f>
        <v>0</v>
      </c>
      <c r="AK276" s="519">
        <f>$W276</f>
        <v>0</v>
      </c>
      <c r="AL276" s="520">
        <f>ROUND(Y276*AI276+((Y276*(1+AI276))*AJ276)+((Y276*AI276+((Y276*(1+AI276))*AJ276))*AK276),2)</f>
        <v>0</v>
      </c>
      <c r="AM276" s="520">
        <f>AL276*$F276</f>
        <v>0</v>
      </c>
      <c r="AN276" s="520">
        <f>ROUND(AL276*Z276,2)</f>
        <v>0</v>
      </c>
      <c r="AO276" s="520">
        <f>AN276*$F276</f>
        <v>0</v>
      </c>
      <c r="AP276" s="719"/>
      <c r="AQ276" s="719"/>
      <c r="AR276" s="719"/>
      <c r="AS276" s="719"/>
      <c r="AT276" s="719"/>
    </row>
    <row r="277" spans="1:46" s="555" customFormat="1" ht="22.5" customHeight="1">
      <c r="A277" s="451"/>
      <c r="B277" s="531" t="s">
        <v>692</v>
      </c>
      <c r="C277" s="523" t="s">
        <v>1030</v>
      </c>
      <c r="D277" s="524">
        <v>121</v>
      </c>
      <c r="E277" s="525" t="s">
        <v>321</v>
      </c>
      <c r="F277" s="1314">
        <f>ROUND(K277*'[2]Summary E&amp;M (Origin)'!$K$101,0)</f>
        <v>95</v>
      </c>
      <c r="G277" s="527">
        <f t="shared" si="131"/>
        <v>12.12</v>
      </c>
      <c r="H277" s="528">
        <f>ROUND(F277*G277,2)</f>
        <v>1151.4000000000001</v>
      </c>
      <c r="I277" s="529"/>
      <c r="J277" s="309"/>
      <c r="K277" s="1175">
        <v>90</v>
      </c>
      <c r="L277" s="530">
        <f>ROUND(AD277,2)</f>
        <v>3.94</v>
      </c>
      <c r="M277" s="530">
        <f>ROUND(L277*F277,2)</f>
        <v>374.3</v>
      </c>
      <c r="N277" s="309"/>
      <c r="O277" s="778">
        <v>121</v>
      </c>
      <c r="P277" s="777"/>
      <c r="Q277" s="777"/>
      <c r="R277" s="751"/>
      <c r="S277" s="752">
        <v>240000</v>
      </c>
      <c r="T277" s="792">
        <v>3</v>
      </c>
      <c r="U277" s="803">
        <v>0</v>
      </c>
      <c r="V277" s="803">
        <v>0</v>
      </c>
      <c r="W277" s="803">
        <v>0</v>
      </c>
      <c r="X277" s="858">
        <v>1</v>
      </c>
      <c r="Y277" s="310">
        <f>ROUND((R277+S277/'[2]Summary E&amp;M (Origin)'!$O$103)*X277,2)</f>
        <v>11.54</v>
      </c>
      <c r="Z277" s="858">
        <f t="shared" si="219"/>
        <v>1.05</v>
      </c>
      <c r="AA277" s="813">
        <f>ROUND(Y277*Z277,2)</f>
        <v>12.12</v>
      </c>
      <c r="AB277" s="447">
        <f>$AB$3</f>
        <v>0.05</v>
      </c>
      <c r="AC277" s="310">
        <f t="shared" si="100"/>
        <v>3.15</v>
      </c>
      <c r="AD277" s="717">
        <f>ROUND(AC277*'[1]Summary E&amp;M'!$R$94,2)</f>
        <v>3.94</v>
      </c>
      <c r="AE277" s="826">
        <f t="shared" si="250"/>
        <v>1038.5999999999999</v>
      </c>
      <c r="AF277" s="826">
        <f t="shared" si="251"/>
        <v>283.5</v>
      </c>
      <c r="AG277" s="731"/>
      <c r="AH277" s="732"/>
      <c r="AI277" s="519">
        <f>$U277</f>
        <v>0</v>
      </c>
      <c r="AJ277" s="519">
        <f>$V277</f>
        <v>0</v>
      </c>
      <c r="AK277" s="519">
        <f>$W277</f>
        <v>0</v>
      </c>
      <c r="AL277" s="520">
        <f>ROUND(Y277*AI277+((Y277*(1+AI277))*AJ277)+((Y277*AI277+((Y277*(1+AI277))*AJ277))*AK277),2)</f>
        <v>0</v>
      </c>
      <c r="AM277" s="520">
        <f>AL277*$F277</f>
        <v>0</v>
      </c>
      <c r="AN277" s="520">
        <f>ROUND(AL277*Z277,2)</f>
        <v>0</v>
      </c>
      <c r="AO277" s="520">
        <f>AN277*$F277</f>
        <v>0</v>
      </c>
      <c r="AP277" s="719"/>
      <c r="AQ277" s="719"/>
      <c r="AR277" s="719"/>
      <c r="AS277" s="719"/>
      <c r="AT277" s="719"/>
    </row>
    <row r="278" spans="1:46" s="555" customFormat="1" ht="22.5" customHeight="1">
      <c r="A278" s="451"/>
      <c r="B278" s="531" t="s">
        <v>692</v>
      </c>
      <c r="C278" s="523" t="s">
        <v>694</v>
      </c>
      <c r="D278" s="524">
        <v>121</v>
      </c>
      <c r="E278" s="525" t="s">
        <v>321</v>
      </c>
      <c r="F278" s="1314">
        <f>ROUND(K278*'[2]Summary E&amp;M (Origin)'!$K$101,0)</f>
        <v>143</v>
      </c>
      <c r="G278" s="527">
        <f t="shared" si="131"/>
        <v>7.98</v>
      </c>
      <c r="H278" s="528">
        <f>ROUND(F278*G278,2)</f>
        <v>1141.1400000000001</v>
      </c>
      <c r="I278" s="529"/>
      <c r="J278" s="309"/>
      <c r="K278" s="1175">
        <v>136</v>
      </c>
      <c r="L278" s="530">
        <f>ROUND(AD278,2)</f>
        <v>3.29</v>
      </c>
      <c r="M278" s="530">
        <f>ROUND(L278*F278,2)</f>
        <v>470.47</v>
      </c>
      <c r="N278" s="309"/>
      <c r="O278" s="778">
        <v>121</v>
      </c>
      <c r="P278" s="777"/>
      <c r="Q278" s="777"/>
      <c r="R278" s="751"/>
      <c r="S278" s="752">
        <v>158000</v>
      </c>
      <c r="T278" s="792">
        <v>2.5</v>
      </c>
      <c r="U278" s="803">
        <v>0</v>
      </c>
      <c r="V278" s="803">
        <v>0</v>
      </c>
      <c r="W278" s="803">
        <v>0</v>
      </c>
      <c r="X278" s="858">
        <v>1</v>
      </c>
      <c r="Y278" s="310">
        <f>ROUND((R278+S278/'[2]Summary E&amp;M (Origin)'!$O$103)*X278,2)</f>
        <v>7.6</v>
      </c>
      <c r="Z278" s="858">
        <f t="shared" si="219"/>
        <v>1.05</v>
      </c>
      <c r="AA278" s="813">
        <f>ROUND(Y278*Z278,2)</f>
        <v>7.98</v>
      </c>
      <c r="AB278" s="447">
        <f>$AB$3</f>
        <v>0.05</v>
      </c>
      <c r="AC278" s="310">
        <f t="shared" si="100"/>
        <v>2.63</v>
      </c>
      <c r="AD278" s="717">
        <f>ROUND(AC278*'[1]Summary E&amp;M'!$R$94,2)</f>
        <v>3.29</v>
      </c>
      <c r="AE278" s="826">
        <f t="shared" si="250"/>
        <v>1033.5999999999999</v>
      </c>
      <c r="AF278" s="826">
        <f t="shared" si="251"/>
        <v>357.68</v>
      </c>
      <c r="AG278" s="731"/>
      <c r="AH278" s="732"/>
      <c r="AI278" s="519">
        <f>$U278</f>
        <v>0</v>
      </c>
      <c r="AJ278" s="519">
        <f>$V278</f>
        <v>0</v>
      </c>
      <c r="AK278" s="519">
        <f>$W278</f>
        <v>0</v>
      </c>
      <c r="AL278" s="520">
        <f>ROUND(Y278*AI278+((Y278*(1+AI278))*AJ278)+((Y278*AI278+((Y278*(1+AI278))*AJ278))*AK278),2)</f>
        <v>0</v>
      </c>
      <c r="AM278" s="520">
        <f>AL278*$F278</f>
        <v>0</v>
      </c>
      <c r="AN278" s="520">
        <f>ROUND(AL278*Z278,2)</f>
        <v>0</v>
      </c>
      <c r="AO278" s="520">
        <f>AN278*$F278</f>
        <v>0</v>
      </c>
      <c r="AP278" s="719"/>
      <c r="AQ278" s="719"/>
      <c r="AR278" s="719"/>
      <c r="AS278" s="719"/>
      <c r="AT278" s="719"/>
    </row>
    <row r="279" spans="1:46" s="555" customFormat="1" ht="22.5" customHeight="1">
      <c r="A279" s="451"/>
      <c r="B279" s="531" t="s">
        <v>400</v>
      </c>
      <c r="C279" s="523"/>
      <c r="D279" s="524">
        <v>121</v>
      </c>
      <c r="E279" s="525" t="s">
        <v>322</v>
      </c>
      <c r="F279" s="1315">
        <f>K279</f>
        <v>1</v>
      </c>
      <c r="G279" s="527">
        <f t="shared" si="131"/>
        <v>2771.49</v>
      </c>
      <c r="H279" s="528">
        <f>ROUND(F279*G279,2)</f>
        <v>2771.49</v>
      </c>
      <c r="I279" s="529"/>
      <c r="J279" s="309"/>
      <c r="K279" s="1175">
        <v>1</v>
      </c>
      <c r="L279" s="530">
        <f>ROUND(AD279,2)</f>
        <v>714.3</v>
      </c>
      <c r="M279" s="530">
        <f>ROUND(L279*F279,2)</f>
        <v>714.3</v>
      </c>
      <c r="N279" s="309"/>
      <c r="O279" s="778" t="s">
        <v>139</v>
      </c>
      <c r="P279" s="777">
        <v>0.3</v>
      </c>
      <c r="Q279" s="777"/>
      <c r="R279" s="751">
        <f>ROUND(SUM(AE276:AE278)*P279,2)</f>
        <v>2721.14</v>
      </c>
      <c r="S279" s="752"/>
      <c r="T279" s="792">
        <f>R279*0.2</f>
        <v>544.22799999999995</v>
      </c>
      <c r="U279" s="803">
        <v>0</v>
      </c>
      <c r="V279" s="803">
        <v>0</v>
      </c>
      <c r="W279" s="803">
        <v>0</v>
      </c>
      <c r="X279" s="858">
        <f>SUMIF('Summary-E'!O$4:O$50,D279,'Summary-E'!Q$4:Q$50)</f>
        <v>0.97</v>
      </c>
      <c r="Y279" s="310">
        <f>ROUND((R279+S279/'[2]Summary E&amp;M (Origin)'!$O$103)*X279,2)</f>
        <v>2639.51</v>
      </c>
      <c r="Z279" s="858">
        <f t="shared" si="219"/>
        <v>1.05</v>
      </c>
      <c r="AA279" s="813">
        <f>ROUND(Y279*Z279,2)</f>
        <v>2771.49</v>
      </c>
      <c r="AB279" s="447">
        <f>$AB$3</f>
        <v>0.05</v>
      </c>
      <c r="AC279" s="310">
        <f t="shared" si="100"/>
        <v>571.44000000000005</v>
      </c>
      <c r="AD279" s="717">
        <f>ROUND(AC279*'[1]Summary E&amp;M'!$R$94,2)</f>
        <v>714.3</v>
      </c>
      <c r="AE279" s="826">
        <f t="shared" si="250"/>
        <v>2639.51</v>
      </c>
      <c r="AF279" s="826">
        <f t="shared" si="251"/>
        <v>571.44000000000005</v>
      </c>
      <c r="AG279" s="731"/>
      <c r="AH279" s="732"/>
      <c r="AI279" s="519">
        <f>$U279</f>
        <v>0</v>
      </c>
      <c r="AJ279" s="519">
        <f>$V279</f>
        <v>0</v>
      </c>
      <c r="AK279" s="519">
        <f>$W279</f>
        <v>0</v>
      </c>
      <c r="AL279" s="520">
        <f>ROUND(Y279*AI279+((Y279*(1+AI279))*AJ279)+((Y279*AI279+((Y279*(1+AI279))*AJ279))*AK279),2)</f>
        <v>0</v>
      </c>
      <c r="AM279" s="520">
        <f>AL279*$F279</f>
        <v>0</v>
      </c>
      <c r="AN279" s="520">
        <f>ROUND(AL279*Z279,2)</f>
        <v>0</v>
      </c>
      <c r="AO279" s="520">
        <f>AN279*$F279</f>
        <v>0</v>
      </c>
      <c r="AP279" s="719"/>
      <c r="AQ279" s="719"/>
      <c r="AR279" s="719"/>
      <c r="AS279" s="719"/>
      <c r="AT279" s="719"/>
    </row>
    <row r="280" spans="1:46" s="555" customFormat="1" ht="22.5" customHeight="1">
      <c r="A280" s="451"/>
      <c r="B280" s="531" t="s">
        <v>677</v>
      </c>
      <c r="C280" s="523"/>
      <c r="D280" s="524" t="s">
        <v>139</v>
      </c>
      <c r="E280" s="525" t="s">
        <v>322</v>
      </c>
      <c r="F280" s="1315">
        <f>K280</f>
        <v>1</v>
      </c>
      <c r="G280" s="527">
        <f t="shared" si="131"/>
        <v>1385.74</v>
      </c>
      <c r="H280" s="528">
        <f>ROUND(F280*G280,2)</f>
        <v>1385.74</v>
      </c>
      <c r="I280" s="529"/>
      <c r="J280" s="309"/>
      <c r="K280" s="1175">
        <v>1</v>
      </c>
      <c r="L280" s="530">
        <f>ROUND(AD280,2)</f>
        <v>535.73</v>
      </c>
      <c r="M280" s="530">
        <f>ROUND(L280*F280,2)</f>
        <v>535.73</v>
      </c>
      <c r="N280" s="309"/>
      <c r="O280" s="778" t="s">
        <v>130</v>
      </c>
      <c r="P280" s="777">
        <v>0.15</v>
      </c>
      <c r="Q280" s="777"/>
      <c r="R280" s="751">
        <f>ROUND(SUM(AE276:AE278)*P280,2)</f>
        <v>1360.57</v>
      </c>
      <c r="S280" s="752"/>
      <c r="T280" s="792">
        <f>R280*0.3</f>
        <v>408.17099999999999</v>
      </c>
      <c r="U280" s="803">
        <v>0</v>
      </c>
      <c r="V280" s="803">
        <v>0</v>
      </c>
      <c r="W280" s="803">
        <v>0</v>
      </c>
      <c r="X280" s="858">
        <f>SUMIF('Summary-E'!O$4:O$50,D280,'Summary-E'!Q$4:Q$50)</f>
        <v>0.97</v>
      </c>
      <c r="Y280" s="310">
        <f>ROUND((R280+S280/'[2]Summary E&amp;M (Origin)'!$O$103)*X280,2)</f>
        <v>1319.75</v>
      </c>
      <c r="Z280" s="858">
        <f t="shared" si="219"/>
        <v>1.05</v>
      </c>
      <c r="AA280" s="813">
        <f>ROUND(Y280*Z280,2)</f>
        <v>1385.74</v>
      </c>
      <c r="AB280" s="447">
        <f>$AB$3</f>
        <v>0.05</v>
      </c>
      <c r="AC280" s="310">
        <f t="shared" si="100"/>
        <v>428.58</v>
      </c>
      <c r="AD280" s="717">
        <f>ROUND(AC280*'[1]Summary E&amp;M'!$R$94,2)</f>
        <v>535.73</v>
      </c>
      <c r="AE280" s="826">
        <f t="shared" si="250"/>
        <v>1319.75</v>
      </c>
      <c r="AF280" s="826">
        <f t="shared" si="251"/>
        <v>428.58</v>
      </c>
      <c r="AG280" s="731"/>
      <c r="AH280" s="732"/>
      <c r="AI280" s="519">
        <f>$U280</f>
        <v>0</v>
      </c>
      <c r="AJ280" s="519">
        <f>$V280</f>
        <v>0</v>
      </c>
      <c r="AK280" s="519">
        <f>$W280</f>
        <v>0</v>
      </c>
      <c r="AL280" s="520">
        <f>ROUND(Y280*AI280+((Y280*(1+AI280))*AJ280)+((Y280*AI280+((Y280*(1+AI280))*AJ280))*AK280),2)</f>
        <v>0</v>
      </c>
      <c r="AM280" s="520">
        <f>AL280*$F280</f>
        <v>0</v>
      </c>
      <c r="AN280" s="520">
        <f>ROUND(AL280*Z280,2)</f>
        <v>0</v>
      </c>
      <c r="AO280" s="520">
        <f>AN280*$F280</f>
        <v>0</v>
      </c>
      <c r="AP280" s="719"/>
      <c r="AQ280" s="719"/>
      <c r="AR280" s="719"/>
      <c r="AS280" s="719"/>
      <c r="AT280" s="719"/>
    </row>
    <row r="281" spans="1:46" s="555" customFormat="1" ht="22.5" customHeight="1">
      <c r="A281" s="451"/>
      <c r="B281" s="531"/>
      <c r="C281" s="523"/>
      <c r="D281" s="524"/>
      <c r="E281" s="525"/>
      <c r="F281" s="1314"/>
      <c r="G281" s="528"/>
      <c r="H281" s="528"/>
      <c r="I281" s="529"/>
      <c r="J281" s="309"/>
      <c r="K281" s="1175"/>
      <c r="L281" s="530"/>
      <c r="M281" s="530"/>
      <c r="N281" s="309"/>
      <c r="O281" s="778"/>
      <c r="P281" s="777"/>
      <c r="Q281" s="777"/>
      <c r="R281" s="751"/>
      <c r="S281" s="752"/>
      <c r="T281" s="792"/>
      <c r="U281" s="803"/>
      <c r="V281" s="803"/>
      <c r="W281" s="803"/>
      <c r="X281" s="858">
        <f>SUMIF('Summary-E'!O$4:O$50,D281,'Summary-E'!Q$4:Q$50)</f>
        <v>0</v>
      </c>
      <c r="Y281" s="310">
        <f>ROUND((R281+S281/'Summary-E'!$M$63)*X281,2)</f>
        <v>0</v>
      </c>
      <c r="Z281" s="858">
        <f t="shared" si="219"/>
        <v>1.05</v>
      </c>
      <c r="AA281" s="813"/>
      <c r="AB281" s="447"/>
      <c r="AC281" s="310">
        <f t="shared" ref="AC281:AC287" si="252">ROUND((T281*(1+AB281)),2)</f>
        <v>0</v>
      </c>
      <c r="AD281" s="717">
        <f>ROUND(AC281*'[1]Summary E&amp;M'!$R$94,2)</f>
        <v>0</v>
      </c>
      <c r="AE281" s="826">
        <f t="shared" si="250"/>
        <v>0</v>
      </c>
      <c r="AF281" s="826">
        <f t="shared" si="251"/>
        <v>0</v>
      </c>
      <c r="AG281" s="731"/>
      <c r="AH281" s="732"/>
      <c r="AI281" s="519"/>
      <c r="AJ281" s="519"/>
      <c r="AK281" s="519"/>
      <c r="AL281" s="520"/>
      <c r="AM281" s="520"/>
      <c r="AN281" s="520"/>
      <c r="AO281" s="520"/>
      <c r="AP281" s="719"/>
      <c r="AQ281" s="719"/>
      <c r="AR281" s="719"/>
      <c r="AS281" s="719"/>
      <c r="AT281" s="719"/>
    </row>
    <row r="282" spans="1:46" s="555" customFormat="1" ht="22.5" customHeight="1">
      <c r="A282" s="451"/>
      <c r="B282" s="531" t="s">
        <v>324</v>
      </c>
      <c r="C282" s="523"/>
      <c r="D282" s="524">
        <v>210</v>
      </c>
      <c r="E282" s="525" t="s">
        <v>319</v>
      </c>
      <c r="F282" s="1315">
        <f>K282</f>
        <v>1</v>
      </c>
      <c r="G282" s="528">
        <f>M285</f>
        <v>29100.370000000003</v>
      </c>
      <c r="H282" s="528">
        <f>ROUND(F282*G282,2)</f>
        <v>29100.37</v>
      </c>
      <c r="I282" s="529"/>
      <c r="J282" s="309"/>
      <c r="K282" s="1175">
        <v>1</v>
      </c>
      <c r="L282" s="530">
        <f>ROUND(AD282,2)</f>
        <v>0</v>
      </c>
      <c r="M282" s="530">
        <f>ROUND(L282*F282,2)</f>
        <v>0</v>
      </c>
      <c r="N282" s="309"/>
      <c r="O282" s="778">
        <v>210</v>
      </c>
      <c r="P282" s="777"/>
      <c r="Q282" s="777"/>
      <c r="R282" s="751"/>
      <c r="S282" s="752"/>
      <c r="T282" s="792"/>
      <c r="U282" s="803">
        <v>0</v>
      </c>
      <c r="V282" s="803">
        <v>0</v>
      </c>
      <c r="W282" s="803">
        <v>0</v>
      </c>
      <c r="X282" s="858">
        <f>SUMIF('Summary-E'!O$4:O$50,D282,'Summary-E'!Q$4:Q$50)</f>
        <v>0.05</v>
      </c>
      <c r="Y282" s="310">
        <f>ROUND((R282+S282/'Summary-E'!$M$63)*X282,2)</f>
        <v>0</v>
      </c>
      <c r="Z282" s="858">
        <f t="shared" si="219"/>
        <v>1.05</v>
      </c>
      <c r="AA282" s="813">
        <f>ROUND(Y282*Z282,2)</f>
        <v>0</v>
      </c>
      <c r="AB282" s="447">
        <f>$AB$3</f>
        <v>0.05</v>
      </c>
      <c r="AC282" s="310">
        <f t="shared" si="252"/>
        <v>0</v>
      </c>
      <c r="AD282" s="717">
        <f>ROUND(AC282*'[1]Summary E&amp;M'!$R$94,2)</f>
        <v>0</v>
      </c>
      <c r="AE282" s="826">
        <f t="shared" si="250"/>
        <v>0</v>
      </c>
      <c r="AF282" s="826">
        <f t="shared" si="251"/>
        <v>0</v>
      </c>
      <c r="AG282" s="731"/>
      <c r="AH282" s="732"/>
      <c r="AI282" s="519">
        <f>$U282</f>
        <v>0</v>
      </c>
      <c r="AJ282" s="519">
        <f>$V282</f>
        <v>0</v>
      </c>
      <c r="AK282" s="519">
        <f>$W282</f>
        <v>0</v>
      </c>
      <c r="AL282" s="520">
        <f>ROUND(Y282*AI282+((Y282*(1+AI282))*AJ282)+((Y282*AI282+((Y282*(1+AI282))*AJ282))*AK282),2)</f>
        <v>0</v>
      </c>
      <c r="AM282" s="520">
        <f>AL282*$F282</f>
        <v>0</v>
      </c>
      <c r="AN282" s="520">
        <f>ROUND(AL282*Z282,2)</f>
        <v>0</v>
      </c>
      <c r="AO282" s="520">
        <f>AN282*$F282</f>
        <v>0</v>
      </c>
      <c r="AP282" s="719"/>
      <c r="AQ282" s="719"/>
      <c r="AR282" s="719"/>
      <c r="AS282" s="719"/>
      <c r="AT282" s="719"/>
    </row>
    <row r="283" spans="1:46" s="555" customFormat="1" ht="22.5" customHeight="1">
      <c r="A283" s="451"/>
      <c r="B283" s="531" t="s">
        <v>401</v>
      </c>
      <c r="C283" s="523"/>
      <c r="D283" s="524">
        <v>159</v>
      </c>
      <c r="E283" s="525" t="s">
        <v>322</v>
      </c>
      <c r="F283" s="1315">
        <f>K283</f>
        <v>1</v>
      </c>
      <c r="G283" s="527">
        <f>ROUNDUP(AA283,2)</f>
        <v>139.19</v>
      </c>
      <c r="H283" s="528">
        <f>ROUND(F283*G283,2)</f>
        <v>139.19</v>
      </c>
      <c r="I283" s="529"/>
      <c r="J283" s="309"/>
      <c r="K283" s="1175">
        <v>1</v>
      </c>
      <c r="L283" s="530">
        <f>ROUND(AD283,2)</f>
        <v>0</v>
      </c>
      <c r="M283" s="530">
        <f>ROUND(L283*F283,2)</f>
        <v>0</v>
      </c>
      <c r="N283" s="309"/>
      <c r="O283" s="778">
        <v>159</v>
      </c>
      <c r="P283" s="777">
        <v>0.01</v>
      </c>
      <c r="Q283" s="777"/>
      <c r="R283" s="751">
        <f>ROUND(SUM(AE274:AE280)*P283,2)</f>
        <v>136.66</v>
      </c>
      <c r="S283" s="752"/>
      <c r="T283" s="792"/>
      <c r="U283" s="803">
        <v>0</v>
      </c>
      <c r="V283" s="803">
        <v>0</v>
      </c>
      <c r="W283" s="803">
        <v>0</v>
      </c>
      <c r="X283" s="858">
        <f>SUMIF('Summary-E'!O$4:O$50,D283,'Summary-E'!Q$4:Q$50)</f>
        <v>0.97</v>
      </c>
      <c r="Y283" s="310">
        <f>ROUND((R283+S283/'Summary-E'!$M$63)*X283,2)</f>
        <v>132.56</v>
      </c>
      <c r="Z283" s="858">
        <f t="shared" si="219"/>
        <v>1.05</v>
      </c>
      <c r="AA283" s="813">
        <f>ROUND(Y283*Z283,2)</f>
        <v>139.19</v>
      </c>
      <c r="AB283" s="447">
        <f>$AB$3</f>
        <v>0.05</v>
      </c>
      <c r="AC283" s="310">
        <f t="shared" si="252"/>
        <v>0</v>
      </c>
      <c r="AD283" s="717">
        <f>ROUND(AC283*'[1]Summary E&amp;M'!$R$94,2)</f>
        <v>0</v>
      </c>
      <c r="AE283" s="826">
        <f t="shared" si="250"/>
        <v>132.56</v>
      </c>
      <c r="AF283" s="826">
        <f t="shared" si="251"/>
        <v>0</v>
      </c>
      <c r="AG283" s="731"/>
      <c r="AH283" s="732"/>
      <c r="AI283" s="519">
        <f>$U283</f>
        <v>0</v>
      </c>
      <c r="AJ283" s="519">
        <f>$V283</f>
        <v>0</v>
      </c>
      <c r="AK283" s="519">
        <f>$W283</f>
        <v>0</v>
      </c>
      <c r="AL283" s="520">
        <f>ROUND(Y283*AI283+((Y283*(1+AI283))*AJ283)+((Y283*AI283+((Y283*(1+AI283))*AJ283))*AK283),2)</f>
        <v>0</v>
      </c>
      <c r="AM283" s="520">
        <f>AL283*$F283</f>
        <v>0</v>
      </c>
      <c r="AN283" s="520">
        <f>ROUND(AL283*Z283,2)</f>
        <v>0</v>
      </c>
      <c r="AO283" s="520">
        <f>AN283*$F283</f>
        <v>0</v>
      </c>
      <c r="AP283" s="719"/>
      <c r="AQ283" s="719"/>
      <c r="AR283" s="719"/>
      <c r="AS283" s="719"/>
      <c r="AT283" s="719"/>
    </row>
    <row r="284" spans="1:46" s="555" customFormat="1" ht="22.5" customHeight="1">
      <c r="A284" s="451"/>
      <c r="B284" s="531"/>
      <c r="C284" s="523"/>
      <c r="D284" s="524"/>
      <c r="E284" s="525"/>
      <c r="F284" s="1314"/>
      <c r="G284" s="527"/>
      <c r="H284" s="528"/>
      <c r="I284" s="529"/>
      <c r="J284" s="311"/>
      <c r="K284" s="1175"/>
      <c r="L284" s="530"/>
      <c r="M284" s="530"/>
      <c r="N284" s="309"/>
      <c r="O284" s="776"/>
      <c r="P284" s="777"/>
      <c r="Q284" s="777"/>
      <c r="R284" s="751"/>
      <c r="S284" s="752"/>
      <c r="T284" s="792"/>
      <c r="U284" s="803"/>
      <c r="V284" s="803"/>
      <c r="W284" s="803"/>
      <c r="X284" s="858">
        <f>SUMIF('Summary-E'!O$4:O$50,D284,'Summary-E'!Q$4:Q$50)</f>
        <v>0</v>
      </c>
      <c r="Y284" s="310">
        <f>ROUND((R284+S284/'Summary-E'!$M$63)*X284,2)</f>
        <v>0</v>
      </c>
      <c r="Z284" s="858">
        <f t="shared" si="219"/>
        <v>1.05</v>
      </c>
      <c r="AA284" s="813"/>
      <c r="AB284" s="447"/>
      <c r="AC284" s="310">
        <f t="shared" si="252"/>
        <v>0</v>
      </c>
      <c r="AD284" s="717">
        <f>ROUND(AC284*'[1]Summary E&amp;M'!$R$94,2)</f>
        <v>0</v>
      </c>
      <c r="AE284" s="826"/>
      <c r="AF284" s="826"/>
      <c r="AG284" s="731"/>
      <c r="AH284" s="732"/>
      <c r="AI284" s="519"/>
      <c r="AJ284" s="519"/>
      <c r="AK284" s="519"/>
      <c r="AL284" s="520"/>
      <c r="AM284" s="520"/>
      <c r="AN284" s="520"/>
      <c r="AO284" s="520"/>
      <c r="AP284" s="719"/>
      <c r="AQ284" s="719"/>
      <c r="AR284" s="719"/>
      <c r="AS284" s="719"/>
      <c r="AT284" s="719"/>
    </row>
    <row r="285" spans="1:46" s="555" customFormat="1" ht="22.5" customHeight="1">
      <c r="A285" s="535"/>
      <c r="B285" s="532" t="s">
        <v>796</v>
      </c>
      <c r="C285" s="533"/>
      <c r="D285" s="534"/>
      <c r="E285" s="535"/>
      <c r="F285" s="1319"/>
      <c r="G285" s="536"/>
      <c r="H285" s="537">
        <f>SUBTOTAL(9,H221:H284)</f>
        <v>114885.11</v>
      </c>
      <c r="I285" s="538"/>
      <c r="J285" s="311"/>
      <c r="K285" s="1178"/>
      <c r="L285" s="530"/>
      <c r="M285" s="537">
        <f>SUBTOTAL(9,M222:M283)</f>
        <v>29100.370000000003</v>
      </c>
      <c r="N285" s="309"/>
      <c r="O285" s="776"/>
      <c r="P285" s="777"/>
      <c r="Q285" s="777"/>
      <c r="R285" s="751"/>
      <c r="S285" s="752"/>
      <c r="T285" s="792"/>
      <c r="U285" s="803">
        <v>0</v>
      </c>
      <c r="V285" s="803">
        <v>0</v>
      </c>
      <c r="W285" s="803">
        <v>0</v>
      </c>
      <c r="X285" s="858">
        <f>SUMIF('Summary-E'!O$4:O$50,D285,'Summary-E'!Q$4:Q$50)</f>
        <v>0</v>
      </c>
      <c r="Y285" s="310">
        <f>ROUND((R285+S285/'Summary-E'!$M$63)*X285,2)</f>
        <v>0</v>
      </c>
      <c r="Z285" s="858">
        <f t="shared" si="219"/>
        <v>1.05</v>
      </c>
      <c r="AA285" s="816"/>
      <c r="AB285" s="552"/>
      <c r="AC285" s="310">
        <f t="shared" si="252"/>
        <v>0</v>
      </c>
      <c r="AD285" s="717">
        <f>ROUND(AC285*'[1]Summary E&amp;M'!$R$94,2)</f>
        <v>0</v>
      </c>
      <c r="AE285" s="831">
        <f>SUBTOTAL(9,AE221:AE284)</f>
        <v>80140.179999999993</v>
      </c>
      <c r="AF285" s="831">
        <f>SUBTOTAL(9,AF221:AF284)</f>
        <v>22386.949999999997</v>
      </c>
      <c r="AG285" s="735"/>
      <c r="AH285" s="736"/>
      <c r="AI285" s="552"/>
      <c r="AJ285" s="552"/>
      <c r="AK285" s="552"/>
      <c r="AL285" s="552"/>
      <c r="AM285" s="579">
        <f>SUBTOTAL(9,AM222:AM283)</f>
        <v>0</v>
      </c>
      <c r="AN285" s="552"/>
      <c r="AO285" s="579">
        <f>SUBTOTAL(9,AO222:AO283)</f>
        <v>0</v>
      </c>
      <c r="AP285" s="719"/>
      <c r="AQ285" s="719"/>
      <c r="AR285" s="719"/>
      <c r="AS285" s="719"/>
      <c r="AT285" s="719"/>
    </row>
    <row r="286" spans="1:46" s="555" customFormat="1" ht="22.5" customHeight="1">
      <c r="A286" s="545"/>
      <c r="B286" s="543"/>
      <c r="C286" s="544"/>
      <c r="D286" s="545"/>
      <c r="E286" s="546"/>
      <c r="F286" s="1320"/>
      <c r="G286" s="547"/>
      <c r="H286" s="547"/>
      <c r="I286" s="548"/>
      <c r="J286" s="549"/>
      <c r="K286" s="1179"/>
      <c r="L286" s="550"/>
      <c r="M286" s="550"/>
      <c r="N286" s="549"/>
      <c r="O286" s="776"/>
      <c r="P286" s="777"/>
      <c r="Q286" s="777"/>
      <c r="R286" s="751"/>
      <c r="S286" s="752"/>
      <c r="T286" s="792"/>
      <c r="U286" s="803"/>
      <c r="V286" s="803"/>
      <c r="W286" s="803"/>
      <c r="X286" s="858">
        <f>SUMIF('Summary-E'!O$4:O$50,D286,'Summary-E'!Q$4:Q$50)</f>
        <v>0</v>
      </c>
      <c r="Y286" s="310">
        <f>ROUND((R286+S286/'Summary-E'!$M$63)*X286,2)</f>
        <v>0</v>
      </c>
      <c r="Z286" s="858">
        <f t="shared" si="219"/>
        <v>1.05</v>
      </c>
      <c r="AA286" s="816"/>
      <c r="AB286" s="552"/>
      <c r="AC286" s="310">
        <f t="shared" si="252"/>
        <v>0</v>
      </c>
      <c r="AD286" s="717">
        <f>ROUND(AC286*'[1]Summary E&amp;M'!$R$94,2)</f>
        <v>0</v>
      </c>
      <c r="AE286" s="832"/>
      <c r="AF286" s="832"/>
      <c r="AG286" s="554"/>
      <c r="AH286" s="737"/>
      <c r="AI286" s="552"/>
      <c r="AJ286" s="552"/>
      <c r="AK286" s="552"/>
      <c r="AL286" s="553"/>
      <c r="AM286" s="552"/>
      <c r="AN286" s="553"/>
      <c r="AO286" s="552"/>
      <c r="AP286" s="552"/>
      <c r="AQ286" s="552"/>
      <c r="AR286" s="552"/>
      <c r="AS286" s="552"/>
      <c r="AT286" s="552"/>
    </row>
    <row r="287" spans="1:46" s="555" customFormat="1" ht="22.5" customHeight="1">
      <c r="A287" s="641" t="s">
        <v>717</v>
      </c>
      <c r="B287" s="522" t="s">
        <v>696</v>
      </c>
      <c r="C287" s="540"/>
      <c r="D287" s="524"/>
      <c r="E287" s="525"/>
      <c r="F287" s="1314"/>
      <c r="G287" s="528"/>
      <c r="H287" s="528"/>
      <c r="I287" s="529"/>
      <c r="J287" s="309"/>
      <c r="K287" s="1175"/>
      <c r="L287" s="530"/>
      <c r="M287" s="530"/>
      <c r="N287" s="309"/>
      <c r="O287" s="778"/>
      <c r="P287" s="777"/>
      <c r="Q287" s="777"/>
      <c r="R287" s="751"/>
      <c r="S287" s="752"/>
      <c r="T287" s="792"/>
      <c r="U287" s="803"/>
      <c r="V287" s="803"/>
      <c r="W287" s="803"/>
      <c r="X287" s="858">
        <f>SUMIF('Summary-E'!O$4:O$50,D287,'Summary-E'!Q$4:Q$50)</f>
        <v>0</v>
      </c>
      <c r="Y287" s="310">
        <f>ROUND((R287+S287/'Summary-E'!$M$63)*X287,2)</f>
        <v>0</v>
      </c>
      <c r="Z287" s="858">
        <f t="shared" si="219"/>
        <v>1.05</v>
      </c>
      <c r="AA287" s="813"/>
      <c r="AB287" s="447"/>
      <c r="AC287" s="310">
        <f t="shared" si="252"/>
        <v>0</v>
      </c>
      <c r="AD287" s="717">
        <f>ROUND(AC287*'[1]Summary E&amp;M'!$R$94,2)</f>
        <v>0</v>
      </c>
      <c r="AE287" s="826">
        <f>ROUND($K287*$Y287,2)</f>
        <v>0</v>
      </c>
      <c r="AF287" s="826">
        <f>ROUND($K287*$AC287,2)</f>
        <v>0</v>
      </c>
      <c r="AG287" s="731"/>
      <c r="AH287" s="732"/>
      <c r="AI287" s="519"/>
      <c r="AJ287" s="519"/>
      <c r="AK287" s="519"/>
      <c r="AL287" s="520"/>
      <c r="AM287" s="520"/>
      <c r="AN287" s="520"/>
      <c r="AO287" s="520"/>
      <c r="AP287" s="719"/>
      <c r="AQ287" s="719"/>
      <c r="AR287" s="719"/>
      <c r="AS287" s="719"/>
      <c r="AT287" s="719"/>
    </row>
    <row r="288" spans="1:46" s="555" customFormat="1" ht="22.5" customHeight="1">
      <c r="A288" s="620"/>
      <c r="B288" s="522" t="s">
        <v>1045</v>
      </c>
      <c r="C288" s="523"/>
      <c r="D288" s="524"/>
      <c r="E288" s="525"/>
      <c r="F288" s="1315"/>
      <c r="G288" s="527"/>
      <c r="H288" s="528"/>
      <c r="I288" s="529"/>
      <c r="J288" s="309"/>
      <c r="K288" s="1175"/>
      <c r="L288" s="530"/>
      <c r="M288" s="530"/>
      <c r="N288" s="309"/>
      <c r="O288" s="778"/>
      <c r="P288" s="777"/>
      <c r="Q288" s="777"/>
      <c r="R288" s="751"/>
      <c r="S288" s="752"/>
      <c r="T288" s="792"/>
      <c r="U288" s="803"/>
      <c r="V288" s="803"/>
      <c r="W288" s="803"/>
      <c r="X288" s="858"/>
      <c r="Y288" s="310">
        <f>ROUND((R288+S288/'[4]Summary E&amp;M'!$O$103)*X288,2)</f>
        <v>0</v>
      </c>
      <c r="Z288" s="858">
        <f t="shared" si="219"/>
        <v>1.05</v>
      </c>
      <c r="AA288" s="813"/>
      <c r="AB288" s="447"/>
      <c r="AC288" s="310"/>
      <c r="AD288" s="717"/>
      <c r="AE288" s="826"/>
      <c r="AF288" s="826"/>
      <c r="AG288" s="744"/>
      <c r="AH288" s="728"/>
      <c r="AI288" s="519"/>
      <c r="AJ288" s="519"/>
      <c r="AK288" s="519"/>
      <c r="AL288" s="520"/>
      <c r="AM288" s="520"/>
      <c r="AN288" s="520"/>
      <c r="AO288" s="520"/>
      <c r="AP288" s="719"/>
      <c r="AQ288" s="719"/>
      <c r="AR288" s="719"/>
      <c r="AS288" s="719"/>
      <c r="AT288" s="719"/>
    </row>
    <row r="289" spans="1:46" ht="22.5" customHeight="1">
      <c r="A289" s="1103"/>
      <c r="B289" s="531" t="s">
        <v>691</v>
      </c>
      <c r="C289" s="523" t="s">
        <v>1274</v>
      </c>
      <c r="D289" s="1202" t="s">
        <v>1125</v>
      </c>
      <c r="E289" s="525" t="s">
        <v>321</v>
      </c>
      <c r="F289" s="1314">
        <f>ROUND(K289*'[4]Summary E&amp;M'!$K$100,0)</f>
        <v>200</v>
      </c>
      <c r="G289" s="527">
        <f t="shared" ref="G289:G298" si="253">ROUNDUP(AA289,2)</f>
        <v>20.04</v>
      </c>
      <c r="H289" s="528">
        <f t="shared" ref="H289:H298" si="254">ROUND(F289*G289,2)</f>
        <v>4008</v>
      </c>
      <c r="I289" s="961"/>
      <c r="J289" s="903"/>
      <c r="K289" s="1175">
        <v>190</v>
      </c>
      <c r="L289" s="1104">
        <f t="shared" ref="L289:L308" si="255">ROUND(AD289,2)</f>
        <v>2.36</v>
      </c>
      <c r="M289" s="1104">
        <f t="shared" ref="M289:M298" si="256">ROUND(L289*F289,2)</f>
        <v>472</v>
      </c>
      <c r="N289" s="903"/>
      <c r="O289" s="1105">
        <v>131</v>
      </c>
      <c r="P289" s="1106"/>
      <c r="Q289" s="1106"/>
      <c r="R289" s="751"/>
      <c r="S289" s="1122">
        <f>352221+44822</f>
        <v>397043</v>
      </c>
      <c r="T289" s="1123">
        <v>1.8</v>
      </c>
      <c r="U289" s="1107">
        <v>0</v>
      </c>
      <c r="V289" s="1107">
        <v>0</v>
      </c>
      <c r="W289" s="1107">
        <v>0</v>
      </c>
      <c r="X289" s="858">
        <v>1</v>
      </c>
      <c r="Y289" s="1108">
        <f>ROUND((R289+S289/'[4]Summary E&amp;M'!$O$103)*X289,2)</f>
        <v>19.09</v>
      </c>
      <c r="Z289" s="858">
        <f t="shared" si="219"/>
        <v>1.05</v>
      </c>
      <c r="AA289" s="1109">
        <f t="shared" ref="AA289:AA308" si="257">ROUND(Y289*Z289,2)</f>
        <v>20.04</v>
      </c>
      <c r="AB289" s="1110">
        <f t="shared" ref="AB289:AB308" si="258">$AB$3</f>
        <v>0.05</v>
      </c>
      <c r="AC289" s="1108">
        <f t="shared" ref="AC289:AC308" si="259">ROUND((T289*(1+AB289)),2)</f>
        <v>1.89</v>
      </c>
      <c r="AD289" s="1111">
        <f>ROUND(AC289*'[1]Summary E&amp;M'!$R$94,2)</f>
        <v>2.36</v>
      </c>
      <c r="AE289" s="1112">
        <f t="shared" ref="AE289:AE308" si="260">ROUND($K289*$Y289,2)</f>
        <v>3627.1</v>
      </c>
      <c r="AF289" s="1112">
        <f t="shared" ref="AF289:AF308" si="261">ROUND($K289*$AC289,2)</f>
        <v>359.1</v>
      </c>
      <c r="AG289" s="1113">
        <v>1036.2</v>
      </c>
      <c r="AH289" s="1114">
        <v>594</v>
      </c>
      <c r="AI289" s="1115">
        <f t="shared" ref="AI289:AI308" si="262">$U289</f>
        <v>0</v>
      </c>
      <c r="AJ289" s="1115">
        <f t="shared" ref="AJ289:AJ308" si="263">$V289</f>
        <v>0</v>
      </c>
      <c r="AK289" s="1115">
        <f t="shared" ref="AK289:AK308" si="264">$W289</f>
        <v>0</v>
      </c>
      <c r="AL289" s="1116">
        <f t="shared" ref="AL289:AL308" si="265">ROUND(Y289*AI289+((Y289*(1+AI289))*AJ289)+((Y289*AI289+((Y289*(1+AI289))*AJ289))*AK289),2)</f>
        <v>0</v>
      </c>
      <c r="AM289" s="1116">
        <f t="shared" ref="AM289:AM308" si="266">AL289*$F289</f>
        <v>0</v>
      </c>
      <c r="AN289" s="1116">
        <f t="shared" ref="AN289:AN308" si="267">ROUND(AL289*Z289,2)</f>
        <v>0</v>
      </c>
      <c r="AO289" s="1116">
        <f t="shared" ref="AO289:AO308" si="268">AN289*$F289</f>
        <v>0</v>
      </c>
      <c r="AP289" s="1117"/>
      <c r="AQ289" s="1117"/>
      <c r="AR289" s="1117"/>
      <c r="AS289" s="1117"/>
      <c r="AT289" s="1117"/>
    </row>
    <row r="290" spans="1:46" ht="22.5" customHeight="1">
      <c r="A290" s="1221"/>
      <c r="B290" s="265" t="s">
        <v>691</v>
      </c>
      <c r="C290" s="1237" t="s">
        <v>1275</v>
      </c>
      <c r="D290" s="1202" t="s">
        <v>1218</v>
      </c>
      <c r="E290" s="1156" t="s">
        <v>321</v>
      </c>
      <c r="F290" s="1321">
        <f>ROUND(K290*'[1]Summary E&amp;M'!$K$98,0)</f>
        <v>641</v>
      </c>
      <c r="G290" s="1157">
        <f>ROUNDUP(AA290,2)</f>
        <v>14.9</v>
      </c>
      <c r="H290" s="528">
        <f>ROUND(F290*G290,2)</f>
        <v>9550.9</v>
      </c>
      <c r="I290" s="961"/>
      <c r="J290" s="903"/>
      <c r="K290" s="1175">
        <v>610</v>
      </c>
      <c r="L290" s="1104">
        <f t="shared" si="255"/>
        <v>1.58</v>
      </c>
      <c r="M290" s="1104">
        <f t="shared" si="256"/>
        <v>1012.78</v>
      </c>
      <c r="N290" s="903"/>
      <c r="O290" s="1105">
        <v>131</v>
      </c>
      <c r="P290" s="1106"/>
      <c r="Q290" s="1106"/>
      <c r="R290" s="751"/>
      <c r="S290" s="1098">
        <f>266629+28548</f>
        <v>295177</v>
      </c>
      <c r="T290" s="792">
        <v>1.5</v>
      </c>
      <c r="U290" s="1107">
        <v>0</v>
      </c>
      <c r="V290" s="1107">
        <v>0</v>
      </c>
      <c r="W290" s="1107">
        <v>0</v>
      </c>
      <c r="X290" s="858">
        <v>1</v>
      </c>
      <c r="Y290" s="1108">
        <f>ROUND((R290+S290/'[5]Summary E&amp;M (Origin)'!$M$102)*X290,2)</f>
        <v>14.19</v>
      </c>
      <c r="Z290" s="858">
        <f t="shared" si="219"/>
        <v>1.05</v>
      </c>
      <c r="AA290" s="1109">
        <f t="shared" si="257"/>
        <v>14.9</v>
      </c>
      <c r="AB290" s="1110">
        <f t="shared" si="258"/>
        <v>0.05</v>
      </c>
      <c r="AC290" s="1108">
        <f t="shared" si="259"/>
        <v>1.58</v>
      </c>
      <c r="AD290" s="1111">
        <f>ROUND(AC290*1,2)</f>
        <v>1.58</v>
      </c>
      <c r="AE290" s="1112">
        <f t="shared" si="260"/>
        <v>8655.9</v>
      </c>
      <c r="AF290" s="1112">
        <f t="shared" si="261"/>
        <v>963.8</v>
      </c>
      <c r="AG290" s="1113">
        <v>1036.2</v>
      </c>
      <c r="AH290" s="1114">
        <v>594</v>
      </c>
      <c r="AI290" s="1115">
        <f t="shared" si="262"/>
        <v>0</v>
      </c>
      <c r="AJ290" s="1115">
        <f t="shared" si="263"/>
        <v>0</v>
      </c>
      <c r="AK290" s="1115">
        <f t="shared" si="264"/>
        <v>0</v>
      </c>
      <c r="AL290" s="1116">
        <f t="shared" si="265"/>
        <v>0</v>
      </c>
      <c r="AM290" s="1116">
        <f t="shared" si="266"/>
        <v>0</v>
      </c>
      <c r="AN290" s="1116">
        <f t="shared" si="267"/>
        <v>0</v>
      </c>
      <c r="AO290" s="1116">
        <f t="shared" si="268"/>
        <v>0</v>
      </c>
      <c r="AP290" s="1117"/>
      <c r="AQ290" s="1117"/>
      <c r="AR290" s="1117"/>
      <c r="AS290" s="1117"/>
      <c r="AT290" s="1117"/>
    </row>
    <row r="291" spans="1:46" ht="22.5" customHeight="1">
      <c r="A291" s="1221"/>
      <c r="B291" s="265" t="s">
        <v>691</v>
      </c>
      <c r="C291" s="1237" t="s">
        <v>1276</v>
      </c>
      <c r="D291" s="1202" t="s">
        <v>1218</v>
      </c>
      <c r="E291" s="1156" t="s">
        <v>321</v>
      </c>
      <c r="F291" s="1321">
        <f>ROUND(K291*'[1]Summary E&amp;M'!$K$98,0)</f>
        <v>1628</v>
      </c>
      <c r="G291" s="1157">
        <f>ROUNDUP(AA291,2)</f>
        <v>7.84</v>
      </c>
      <c r="H291" s="528">
        <f>ROUND(F291*G291,2)</f>
        <v>12763.52</v>
      </c>
      <c r="I291" s="961"/>
      <c r="J291" s="903"/>
      <c r="K291" s="1175">
        <v>1550</v>
      </c>
      <c r="L291" s="1104">
        <f t="shared" si="255"/>
        <v>1.26</v>
      </c>
      <c r="M291" s="1104">
        <f t="shared" si="256"/>
        <v>2051.2800000000002</v>
      </c>
      <c r="N291" s="903"/>
      <c r="O291" s="1105">
        <v>131</v>
      </c>
      <c r="P291" s="1106"/>
      <c r="Q291" s="1106"/>
      <c r="R291" s="751"/>
      <c r="S291" s="1098">
        <f>126931+28548</f>
        <v>155479</v>
      </c>
      <c r="T291" s="792">
        <v>1.2</v>
      </c>
      <c r="U291" s="1107">
        <v>0</v>
      </c>
      <c r="V291" s="1107">
        <v>0</v>
      </c>
      <c r="W291" s="1107">
        <v>0</v>
      </c>
      <c r="X291" s="858">
        <v>1</v>
      </c>
      <c r="Y291" s="1108">
        <f>ROUND((R291+S291/'[5]Summary E&amp;M (Origin)'!$M$102)*X291,2)</f>
        <v>7.47</v>
      </c>
      <c r="Z291" s="858">
        <f t="shared" si="219"/>
        <v>1.05</v>
      </c>
      <c r="AA291" s="1109">
        <f t="shared" si="257"/>
        <v>7.84</v>
      </c>
      <c r="AB291" s="1110">
        <f t="shared" si="258"/>
        <v>0.05</v>
      </c>
      <c r="AC291" s="1108">
        <f t="shared" si="259"/>
        <v>1.26</v>
      </c>
      <c r="AD291" s="1111">
        <f>ROUND(AC291*1,2)</f>
        <v>1.26</v>
      </c>
      <c r="AE291" s="1112">
        <f t="shared" si="260"/>
        <v>11578.5</v>
      </c>
      <c r="AF291" s="1112">
        <f t="shared" si="261"/>
        <v>1953</v>
      </c>
      <c r="AG291" s="1113">
        <v>1036.2</v>
      </c>
      <c r="AH291" s="1114">
        <v>594</v>
      </c>
      <c r="AI291" s="1115">
        <f t="shared" si="262"/>
        <v>0</v>
      </c>
      <c r="AJ291" s="1115">
        <f t="shared" si="263"/>
        <v>0</v>
      </c>
      <c r="AK291" s="1115">
        <f t="shared" si="264"/>
        <v>0</v>
      </c>
      <c r="AL291" s="1116">
        <f t="shared" si="265"/>
        <v>0</v>
      </c>
      <c r="AM291" s="1116">
        <f t="shared" si="266"/>
        <v>0</v>
      </c>
      <c r="AN291" s="1116">
        <f t="shared" si="267"/>
        <v>0</v>
      </c>
      <c r="AO291" s="1116">
        <f t="shared" si="268"/>
        <v>0</v>
      </c>
      <c r="AP291" s="1117"/>
      <c r="AQ291" s="1117"/>
      <c r="AR291" s="1117"/>
      <c r="AS291" s="1117"/>
      <c r="AT291" s="1117"/>
    </row>
    <row r="292" spans="1:46" ht="22.5" customHeight="1">
      <c r="A292" s="1103"/>
      <c r="B292" s="265" t="s">
        <v>691</v>
      </c>
      <c r="C292" s="1237" t="s">
        <v>1277</v>
      </c>
      <c r="D292" s="1202" t="s">
        <v>1219</v>
      </c>
      <c r="E292" s="1156" t="s">
        <v>321</v>
      </c>
      <c r="F292" s="1321">
        <f>ROUND(K292*'[4]Summary E&amp;M'!$K$100,0)</f>
        <v>6038</v>
      </c>
      <c r="G292" s="1157">
        <f t="shared" si="253"/>
        <v>5.09</v>
      </c>
      <c r="H292" s="528">
        <f t="shared" si="254"/>
        <v>30733.42</v>
      </c>
      <c r="I292" s="961"/>
      <c r="J292" s="903"/>
      <c r="K292" s="1175">
        <v>5750</v>
      </c>
      <c r="L292" s="1104">
        <f t="shared" si="255"/>
        <v>1.31</v>
      </c>
      <c r="M292" s="1104">
        <f t="shared" si="256"/>
        <v>7909.78</v>
      </c>
      <c r="N292" s="903"/>
      <c r="O292" s="1105">
        <v>131</v>
      </c>
      <c r="P292" s="1106"/>
      <c r="Q292" s="1106"/>
      <c r="R292" s="751"/>
      <c r="S292" s="752">
        <f>82675+18296</f>
        <v>100971</v>
      </c>
      <c r="T292" s="792">
        <v>1</v>
      </c>
      <c r="U292" s="1107">
        <v>0</v>
      </c>
      <c r="V292" s="1107">
        <v>0</v>
      </c>
      <c r="W292" s="1107">
        <v>0</v>
      </c>
      <c r="X292" s="858">
        <v>1</v>
      </c>
      <c r="Y292" s="1108">
        <f>ROUND((R292+S292/'[4]Summary E&amp;M'!$O$103)*X292,2)</f>
        <v>4.8499999999999996</v>
      </c>
      <c r="Z292" s="858">
        <f t="shared" si="219"/>
        <v>1.05</v>
      </c>
      <c r="AA292" s="1109">
        <f t="shared" si="257"/>
        <v>5.09</v>
      </c>
      <c r="AB292" s="1110">
        <f t="shared" si="258"/>
        <v>0.05</v>
      </c>
      <c r="AC292" s="1108">
        <f t="shared" si="259"/>
        <v>1.05</v>
      </c>
      <c r="AD292" s="1111">
        <f>ROUND(AC292*'[1]Summary E&amp;M'!$R$94,2)</f>
        <v>1.31</v>
      </c>
      <c r="AE292" s="1112">
        <f t="shared" si="260"/>
        <v>27887.5</v>
      </c>
      <c r="AF292" s="1112">
        <f t="shared" si="261"/>
        <v>6037.5</v>
      </c>
      <c r="AG292" s="1113">
        <v>1036.2</v>
      </c>
      <c r="AH292" s="1114">
        <v>594</v>
      </c>
      <c r="AI292" s="1115">
        <f t="shared" si="262"/>
        <v>0</v>
      </c>
      <c r="AJ292" s="1115">
        <f t="shared" si="263"/>
        <v>0</v>
      </c>
      <c r="AK292" s="1115">
        <f t="shared" si="264"/>
        <v>0</v>
      </c>
      <c r="AL292" s="1116">
        <f t="shared" si="265"/>
        <v>0</v>
      </c>
      <c r="AM292" s="1116">
        <f t="shared" si="266"/>
        <v>0</v>
      </c>
      <c r="AN292" s="1116">
        <f t="shared" si="267"/>
        <v>0</v>
      </c>
      <c r="AO292" s="1116">
        <f t="shared" si="268"/>
        <v>0</v>
      </c>
      <c r="AP292" s="1117"/>
      <c r="AQ292" s="1117"/>
      <c r="AR292" s="1117"/>
      <c r="AS292" s="1117"/>
      <c r="AT292" s="1117"/>
    </row>
    <row r="293" spans="1:46" ht="22.5" customHeight="1">
      <c r="A293" s="1103"/>
      <c r="B293" s="265" t="s">
        <v>691</v>
      </c>
      <c r="C293" s="1237" t="s">
        <v>1278</v>
      </c>
      <c r="D293" s="1202" t="s">
        <v>1219</v>
      </c>
      <c r="E293" s="1156" t="s">
        <v>321</v>
      </c>
      <c r="F293" s="1321">
        <f>ROUND(K293*'[4]Summary E&amp;M'!$K$100,0)</f>
        <v>4358</v>
      </c>
      <c r="G293" s="1157">
        <f t="shared" si="253"/>
        <v>3.21</v>
      </c>
      <c r="H293" s="528">
        <f t="shared" si="254"/>
        <v>13989.18</v>
      </c>
      <c r="I293" s="961"/>
      <c r="J293" s="903"/>
      <c r="K293" s="1175">
        <v>4150</v>
      </c>
      <c r="L293" s="1104">
        <f t="shared" si="255"/>
        <v>1.05</v>
      </c>
      <c r="M293" s="1104">
        <f t="shared" si="256"/>
        <v>4575.8999999999996</v>
      </c>
      <c r="N293" s="903"/>
      <c r="O293" s="1105">
        <v>131</v>
      </c>
      <c r="P293" s="1106"/>
      <c r="Q293" s="1106"/>
      <c r="R293" s="751"/>
      <c r="S293" s="752">
        <f>52667+11083</f>
        <v>63750</v>
      </c>
      <c r="T293" s="792">
        <v>0.8</v>
      </c>
      <c r="U293" s="1107">
        <v>0</v>
      </c>
      <c r="V293" s="1107">
        <v>0</v>
      </c>
      <c r="W293" s="1107">
        <v>0</v>
      </c>
      <c r="X293" s="858">
        <v>1</v>
      </c>
      <c r="Y293" s="1108">
        <f>ROUND((R293+S293/'[4]Summary E&amp;M'!$O$103)*X293,2)</f>
        <v>3.06</v>
      </c>
      <c r="Z293" s="858">
        <f t="shared" si="219"/>
        <v>1.05</v>
      </c>
      <c r="AA293" s="1109">
        <f t="shared" si="257"/>
        <v>3.21</v>
      </c>
      <c r="AB293" s="1110">
        <f t="shared" si="258"/>
        <v>0.05</v>
      </c>
      <c r="AC293" s="1108">
        <f t="shared" si="259"/>
        <v>0.84</v>
      </c>
      <c r="AD293" s="1111">
        <f>ROUND(AC293*'[1]Summary E&amp;M'!$R$94,2)</f>
        <v>1.05</v>
      </c>
      <c r="AE293" s="1112">
        <f t="shared" si="260"/>
        <v>12699</v>
      </c>
      <c r="AF293" s="1112">
        <f t="shared" si="261"/>
        <v>3486</v>
      </c>
      <c r="AG293" s="1113">
        <v>1036.2</v>
      </c>
      <c r="AH293" s="1114">
        <v>594</v>
      </c>
      <c r="AI293" s="1115">
        <f t="shared" si="262"/>
        <v>0</v>
      </c>
      <c r="AJ293" s="1115">
        <f t="shared" si="263"/>
        <v>0</v>
      </c>
      <c r="AK293" s="1115">
        <f t="shared" si="264"/>
        <v>0</v>
      </c>
      <c r="AL293" s="1116">
        <f t="shared" si="265"/>
        <v>0</v>
      </c>
      <c r="AM293" s="1116">
        <f t="shared" si="266"/>
        <v>0</v>
      </c>
      <c r="AN293" s="1116">
        <f t="shared" si="267"/>
        <v>0</v>
      </c>
      <c r="AO293" s="1116">
        <f t="shared" si="268"/>
        <v>0</v>
      </c>
      <c r="AP293" s="1117"/>
      <c r="AQ293" s="1117"/>
      <c r="AR293" s="1117"/>
      <c r="AS293" s="1117"/>
      <c r="AT293" s="1117"/>
    </row>
    <row r="294" spans="1:46" ht="22.5" customHeight="1">
      <c r="A294" s="1103"/>
      <c r="B294" s="265" t="s">
        <v>691</v>
      </c>
      <c r="C294" s="1237" t="s">
        <v>1279</v>
      </c>
      <c r="D294" s="1202" t="s">
        <v>1219</v>
      </c>
      <c r="E294" s="1156" t="s">
        <v>321</v>
      </c>
      <c r="F294" s="1321">
        <f>ROUND(K294*'[4]Summary E&amp;M'!$K$100,0)</f>
        <v>4778</v>
      </c>
      <c r="G294" s="1157">
        <f t="shared" si="253"/>
        <v>2.2599999999999998</v>
      </c>
      <c r="H294" s="528">
        <f t="shared" si="254"/>
        <v>10798.28</v>
      </c>
      <c r="I294" s="961"/>
      <c r="J294" s="903"/>
      <c r="K294" s="1175">
        <v>4550</v>
      </c>
      <c r="L294" s="1104">
        <f t="shared" si="255"/>
        <v>0.66</v>
      </c>
      <c r="M294" s="1104">
        <f t="shared" si="256"/>
        <v>3153.48</v>
      </c>
      <c r="N294" s="903"/>
      <c r="O294" s="1105">
        <v>131</v>
      </c>
      <c r="P294" s="1106"/>
      <c r="Q294" s="1106"/>
      <c r="R294" s="751"/>
      <c r="S294" s="752">
        <f>37100+7600</f>
        <v>44700</v>
      </c>
      <c r="T294" s="792">
        <v>0.5</v>
      </c>
      <c r="U294" s="1107">
        <v>0</v>
      </c>
      <c r="V294" s="1107">
        <v>0</v>
      </c>
      <c r="W294" s="1107">
        <v>0</v>
      </c>
      <c r="X294" s="858">
        <v>1</v>
      </c>
      <c r="Y294" s="1108">
        <f>ROUND((R294+S294/'[4]Summary E&amp;M'!$O$103)*X294,2)</f>
        <v>2.15</v>
      </c>
      <c r="Z294" s="858">
        <f t="shared" si="219"/>
        <v>1.05</v>
      </c>
      <c r="AA294" s="1109">
        <f t="shared" si="257"/>
        <v>2.2599999999999998</v>
      </c>
      <c r="AB294" s="1110">
        <f t="shared" si="258"/>
        <v>0.05</v>
      </c>
      <c r="AC294" s="1108">
        <f t="shared" si="259"/>
        <v>0.53</v>
      </c>
      <c r="AD294" s="1111">
        <f>ROUND(AC294*'[1]Summary E&amp;M'!$R$94,2)</f>
        <v>0.66</v>
      </c>
      <c r="AE294" s="1112">
        <f t="shared" si="260"/>
        <v>9782.5</v>
      </c>
      <c r="AF294" s="1112">
        <f t="shared" si="261"/>
        <v>2411.5</v>
      </c>
      <c r="AG294" s="1113">
        <v>1036.2</v>
      </c>
      <c r="AH294" s="1114">
        <v>594</v>
      </c>
      <c r="AI294" s="1115">
        <f t="shared" si="262"/>
        <v>0</v>
      </c>
      <c r="AJ294" s="1115">
        <f t="shared" si="263"/>
        <v>0</v>
      </c>
      <c r="AK294" s="1115">
        <f t="shared" si="264"/>
        <v>0</v>
      </c>
      <c r="AL294" s="1116">
        <f t="shared" si="265"/>
        <v>0</v>
      </c>
      <c r="AM294" s="1116">
        <f t="shared" si="266"/>
        <v>0</v>
      </c>
      <c r="AN294" s="1116">
        <f t="shared" si="267"/>
        <v>0</v>
      </c>
      <c r="AO294" s="1116">
        <f t="shared" si="268"/>
        <v>0</v>
      </c>
      <c r="AP294" s="1117"/>
      <c r="AQ294" s="1117"/>
      <c r="AR294" s="1117"/>
      <c r="AS294" s="1117"/>
      <c r="AT294" s="1117"/>
    </row>
    <row r="295" spans="1:46" ht="22.5" customHeight="1">
      <c r="A295" s="1103"/>
      <c r="B295" s="265" t="s">
        <v>691</v>
      </c>
      <c r="C295" s="1237" t="s">
        <v>1280</v>
      </c>
      <c r="D295" s="1202" t="s">
        <v>1219</v>
      </c>
      <c r="E295" s="1156" t="s">
        <v>321</v>
      </c>
      <c r="F295" s="1321">
        <f>ROUND(K295*'[4]Summary E&amp;M'!$K$100,0)</f>
        <v>3203</v>
      </c>
      <c r="G295" s="1157">
        <f t="shared" si="253"/>
        <v>1.43</v>
      </c>
      <c r="H295" s="528">
        <f t="shared" si="254"/>
        <v>4580.29</v>
      </c>
      <c r="I295" s="961"/>
      <c r="J295" s="903"/>
      <c r="K295" s="1175">
        <v>3050</v>
      </c>
      <c r="L295" s="1104">
        <f t="shared" si="255"/>
        <v>0.26</v>
      </c>
      <c r="M295" s="1104">
        <f t="shared" si="256"/>
        <v>832.78</v>
      </c>
      <c r="N295" s="903"/>
      <c r="O295" s="1105">
        <v>131</v>
      </c>
      <c r="P295" s="1106"/>
      <c r="Q295" s="1106"/>
      <c r="R295" s="751"/>
      <c r="S295" s="752">
        <f>23540+4700</f>
        <v>28240</v>
      </c>
      <c r="T295" s="792">
        <v>0.2</v>
      </c>
      <c r="U295" s="1107">
        <v>0</v>
      </c>
      <c r="V295" s="1107">
        <v>0</v>
      </c>
      <c r="W295" s="1107">
        <v>0</v>
      </c>
      <c r="X295" s="858">
        <v>1</v>
      </c>
      <c r="Y295" s="1108">
        <f>ROUND((R295+S295/'[4]Summary E&amp;M'!$O$103)*X295,2)</f>
        <v>1.36</v>
      </c>
      <c r="Z295" s="858">
        <f t="shared" si="219"/>
        <v>1.05</v>
      </c>
      <c r="AA295" s="1109">
        <f t="shared" si="257"/>
        <v>1.43</v>
      </c>
      <c r="AB295" s="1110">
        <f t="shared" si="258"/>
        <v>0.05</v>
      </c>
      <c r="AC295" s="1108">
        <f t="shared" si="259"/>
        <v>0.21</v>
      </c>
      <c r="AD295" s="1111">
        <f>ROUND(AC295*'[1]Summary E&amp;M'!$R$94,2)</f>
        <v>0.26</v>
      </c>
      <c r="AE295" s="1112">
        <f t="shared" si="260"/>
        <v>4148</v>
      </c>
      <c r="AF295" s="1112">
        <f t="shared" si="261"/>
        <v>640.5</v>
      </c>
      <c r="AG295" s="1113">
        <v>1036.2</v>
      </c>
      <c r="AH295" s="1114">
        <v>594</v>
      </c>
      <c r="AI295" s="1115">
        <f t="shared" si="262"/>
        <v>0</v>
      </c>
      <c r="AJ295" s="1115">
        <f t="shared" si="263"/>
        <v>0</v>
      </c>
      <c r="AK295" s="1115">
        <f t="shared" si="264"/>
        <v>0</v>
      </c>
      <c r="AL295" s="1116">
        <f t="shared" si="265"/>
        <v>0</v>
      </c>
      <c r="AM295" s="1116">
        <f t="shared" si="266"/>
        <v>0</v>
      </c>
      <c r="AN295" s="1116">
        <f t="shared" si="267"/>
        <v>0</v>
      </c>
      <c r="AO295" s="1116">
        <f t="shared" si="268"/>
        <v>0</v>
      </c>
      <c r="AP295" s="1117"/>
      <c r="AQ295" s="1117"/>
      <c r="AR295" s="1117"/>
      <c r="AS295" s="1117"/>
      <c r="AT295" s="1117"/>
    </row>
    <row r="296" spans="1:46" ht="22.5" customHeight="1">
      <c r="A296" s="1103"/>
      <c r="B296" s="265" t="s">
        <v>691</v>
      </c>
      <c r="C296" s="1237" t="s">
        <v>1043</v>
      </c>
      <c r="D296" s="1202" t="s">
        <v>1219</v>
      </c>
      <c r="E296" s="1156" t="s">
        <v>321</v>
      </c>
      <c r="F296" s="1321">
        <f>ROUND(K296*'[4]Summary E&amp;M'!$K$100,0)</f>
        <v>95</v>
      </c>
      <c r="G296" s="1157">
        <f t="shared" si="253"/>
        <v>1.46</v>
      </c>
      <c r="H296" s="528">
        <f t="shared" si="254"/>
        <v>138.69999999999999</v>
      </c>
      <c r="I296" s="961"/>
      <c r="J296" s="903"/>
      <c r="K296" s="1175">
        <v>90</v>
      </c>
      <c r="L296" s="1104">
        <f t="shared" si="255"/>
        <v>0.26</v>
      </c>
      <c r="M296" s="1104">
        <f t="shared" si="256"/>
        <v>24.7</v>
      </c>
      <c r="N296" s="903"/>
      <c r="O296" s="1105">
        <v>131</v>
      </c>
      <c r="P296" s="1106"/>
      <c r="Q296" s="1106"/>
      <c r="R296" s="751"/>
      <c r="S296" s="752">
        <v>28889</v>
      </c>
      <c r="T296" s="792">
        <v>0.2</v>
      </c>
      <c r="U296" s="1107">
        <v>0</v>
      </c>
      <c r="V296" s="1107">
        <v>0</v>
      </c>
      <c r="W296" s="1107">
        <v>0</v>
      </c>
      <c r="X296" s="858">
        <v>1</v>
      </c>
      <c r="Y296" s="1108">
        <f>ROUND((R296+S296/'[4]Summary E&amp;M'!$O$103)*X296,2)</f>
        <v>1.39</v>
      </c>
      <c r="Z296" s="858">
        <f t="shared" si="219"/>
        <v>1.05</v>
      </c>
      <c r="AA296" s="1109">
        <f t="shared" si="257"/>
        <v>1.46</v>
      </c>
      <c r="AB296" s="1110">
        <f t="shared" si="258"/>
        <v>0.05</v>
      </c>
      <c r="AC296" s="1108">
        <f t="shared" si="259"/>
        <v>0.21</v>
      </c>
      <c r="AD296" s="1111">
        <f>ROUND(AC296*'[1]Summary E&amp;M'!$R$94,2)</f>
        <v>0.26</v>
      </c>
      <c r="AE296" s="1112">
        <f t="shared" si="260"/>
        <v>125.1</v>
      </c>
      <c r="AF296" s="1112">
        <f t="shared" si="261"/>
        <v>18.899999999999999</v>
      </c>
      <c r="AG296" s="1113">
        <v>1036.2</v>
      </c>
      <c r="AH296" s="1114">
        <v>594</v>
      </c>
      <c r="AI296" s="1115">
        <f t="shared" si="262"/>
        <v>0</v>
      </c>
      <c r="AJ296" s="1115">
        <f t="shared" si="263"/>
        <v>0</v>
      </c>
      <c r="AK296" s="1115">
        <f t="shared" si="264"/>
        <v>0</v>
      </c>
      <c r="AL296" s="1116">
        <f t="shared" si="265"/>
        <v>0</v>
      </c>
      <c r="AM296" s="1116">
        <f t="shared" si="266"/>
        <v>0</v>
      </c>
      <c r="AN296" s="1116">
        <f t="shared" si="267"/>
        <v>0</v>
      </c>
      <c r="AO296" s="1116">
        <f t="shared" si="268"/>
        <v>0</v>
      </c>
      <c r="AP296" s="1117"/>
      <c r="AQ296" s="1117"/>
      <c r="AR296" s="1117"/>
      <c r="AS296" s="1117"/>
      <c r="AT296" s="1117"/>
    </row>
    <row r="297" spans="1:46" ht="22.5" customHeight="1">
      <c r="A297" s="1103"/>
      <c r="B297" s="265" t="s">
        <v>691</v>
      </c>
      <c r="C297" s="1237" t="s">
        <v>1044</v>
      </c>
      <c r="D297" s="1202" t="s">
        <v>1219</v>
      </c>
      <c r="E297" s="1156" t="s">
        <v>321</v>
      </c>
      <c r="F297" s="1321">
        <f>ROUND(K297*'[4]Summary E&amp;M'!$K$100,0)</f>
        <v>473</v>
      </c>
      <c r="G297" s="1157">
        <f t="shared" si="253"/>
        <v>1.19</v>
      </c>
      <c r="H297" s="528">
        <f t="shared" si="254"/>
        <v>562.87</v>
      </c>
      <c r="I297" s="961"/>
      <c r="J297" s="903"/>
      <c r="K297" s="1175">
        <v>450</v>
      </c>
      <c r="L297" s="1104">
        <f t="shared" si="255"/>
        <v>0.26</v>
      </c>
      <c r="M297" s="1104">
        <f t="shared" si="256"/>
        <v>122.98</v>
      </c>
      <c r="N297" s="903"/>
      <c r="O297" s="1105">
        <v>131</v>
      </c>
      <c r="P297" s="1106"/>
      <c r="Q297" s="1106"/>
      <c r="R297" s="751"/>
      <c r="S297" s="752">
        <v>23540</v>
      </c>
      <c r="T297" s="792">
        <v>0.2</v>
      </c>
      <c r="U297" s="1107">
        <v>0</v>
      </c>
      <c r="V297" s="1107">
        <v>0</v>
      </c>
      <c r="W297" s="1107">
        <v>0</v>
      </c>
      <c r="X297" s="858">
        <v>1</v>
      </c>
      <c r="Y297" s="1108">
        <f>ROUND((R297+S297/'[4]Summary E&amp;M'!$O$103)*X297,2)</f>
        <v>1.1299999999999999</v>
      </c>
      <c r="Z297" s="858">
        <f t="shared" si="219"/>
        <v>1.05</v>
      </c>
      <c r="AA297" s="1109">
        <f t="shared" si="257"/>
        <v>1.19</v>
      </c>
      <c r="AB297" s="1110">
        <f t="shared" si="258"/>
        <v>0.05</v>
      </c>
      <c r="AC297" s="1108">
        <f t="shared" si="259"/>
        <v>0.21</v>
      </c>
      <c r="AD297" s="1111">
        <f>ROUND(AC297*'[1]Summary E&amp;M'!$R$94,2)</f>
        <v>0.26</v>
      </c>
      <c r="AE297" s="1112">
        <f t="shared" si="260"/>
        <v>508.5</v>
      </c>
      <c r="AF297" s="1112">
        <f t="shared" si="261"/>
        <v>94.5</v>
      </c>
      <c r="AG297" s="1113">
        <v>1036.2</v>
      </c>
      <c r="AH297" s="1114">
        <v>594</v>
      </c>
      <c r="AI297" s="1115">
        <f t="shared" si="262"/>
        <v>0</v>
      </c>
      <c r="AJ297" s="1115">
        <f t="shared" si="263"/>
        <v>0</v>
      </c>
      <c r="AK297" s="1115">
        <f t="shared" si="264"/>
        <v>0</v>
      </c>
      <c r="AL297" s="1116">
        <f t="shared" si="265"/>
        <v>0</v>
      </c>
      <c r="AM297" s="1116">
        <f t="shared" si="266"/>
        <v>0</v>
      </c>
      <c r="AN297" s="1116">
        <f t="shared" si="267"/>
        <v>0</v>
      </c>
      <c r="AO297" s="1116">
        <f t="shared" si="268"/>
        <v>0</v>
      </c>
      <c r="AP297" s="1117"/>
      <c r="AQ297" s="1117"/>
      <c r="AR297" s="1117"/>
      <c r="AS297" s="1117"/>
      <c r="AT297" s="1117"/>
    </row>
    <row r="298" spans="1:46" s="555" customFormat="1" ht="22.5" customHeight="1">
      <c r="A298" s="451"/>
      <c r="B298" s="531" t="s">
        <v>122</v>
      </c>
      <c r="C298" s="523"/>
      <c r="D298" s="524" t="s">
        <v>690</v>
      </c>
      <c r="E298" s="525" t="s">
        <v>322</v>
      </c>
      <c r="F298" s="1315">
        <f>K298</f>
        <v>1</v>
      </c>
      <c r="G298" s="527">
        <f t="shared" si="253"/>
        <v>1609.47</v>
      </c>
      <c r="H298" s="528">
        <f t="shared" si="254"/>
        <v>1609.47</v>
      </c>
      <c r="I298" s="529"/>
      <c r="J298" s="309"/>
      <c r="K298" s="1175">
        <v>1</v>
      </c>
      <c r="L298" s="530">
        <f t="shared" si="255"/>
        <v>414.81</v>
      </c>
      <c r="M298" s="530">
        <f t="shared" si="256"/>
        <v>414.81</v>
      </c>
      <c r="N298" s="309"/>
      <c r="O298" s="778" t="s">
        <v>690</v>
      </c>
      <c r="P298" s="777">
        <v>0.02</v>
      </c>
      <c r="Q298" s="777"/>
      <c r="R298" s="751">
        <f>ROUND(SUM(AE289:AE297)*P298,2)</f>
        <v>1580.24</v>
      </c>
      <c r="S298" s="752"/>
      <c r="T298" s="792">
        <f>R298*0.2</f>
        <v>316.048</v>
      </c>
      <c r="U298" s="803">
        <v>0</v>
      </c>
      <c r="V298" s="803">
        <v>0</v>
      </c>
      <c r="W298" s="803">
        <v>0</v>
      </c>
      <c r="X298" s="858">
        <f>SUMIF('Summary-E'!O$4:O$50,D298,'Summary-E'!Q$4:Q$50)</f>
        <v>0.97</v>
      </c>
      <c r="Y298" s="310">
        <f>ROUND((R298+S298/'[4]Summary E&amp;M'!$O$103)*X298,2)</f>
        <v>1532.83</v>
      </c>
      <c r="Z298" s="858">
        <f t="shared" si="219"/>
        <v>1.05</v>
      </c>
      <c r="AA298" s="813">
        <f t="shared" si="257"/>
        <v>1609.47</v>
      </c>
      <c r="AB298" s="447">
        <f t="shared" si="258"/>
        <v>0.05</v>
      </c>
      <c r="AC298" s="310">
        <f t="shared" si="259"/>
        <v>331.85</v>
      </c>
      <c r="AD298" s="717">
        <f>ROUND(AC298*'[6]Summary E&amp;M'!$R$94,2)</f>
        <v>414.81</v>
      </c>
      <c r="AE298" s="826">
        <f t="shared" si="260"/>
        <v>1532.83</v>
      </c>
      <c r="AF298" s="826">
        <f t="shared" si="261"/>
        <v>331.85</v>
      </c>
      <c r="AG298" s="731"/>
      <c r="AH298" s="732"/>
      <c r="AI298" s="519">
        <f t="shared" si="262"/>
        <v>0</v>
      </c>
      <c r="AJ298" s="519">
        <f t="shared" si="263"/>
        <v>0</v>
      </c>
      <c r="AK298" s="519">
        <f t="shared" si="264"/>
        <v>0</v>
      </c>
      <c r="AL298" s="520">
        <f t="shared" si="265"/>
        <v>0</v>
      </c>
      <c r="AM298" s="520">
        <f t="shared" si="266"/>
        <v>0</v>
      </c>
      <c r="AN298" s="520">
        <f t="shared" si="267"/>
        <v>0</v>
      </c>
      <c r="AO298" s="520">
        <f t="shared" si="268"/>
        <v>0</v>
      </c>
      <c r="AP298" s="719"/>
      <c r="AQ298" s="719"/>
      <c r="AR298" s="719"/>
      <c r="AS298" s="719"/>
      <c r="AT298" s="719"/>
    </row>
    <row r="299" spans="1:46" s="555" customFormat="1" ht="22.5" customHeight="1">
      <c r="A299" s="451"/>
      <c r="B299" s="531" t="s">
        <v>1027</v>
      </c>
      <c r="C299" s="523" t="s">
        <v>694</v>
      </c>
      <c r="D299" s="524">
        <v>121</v>
      </c>
      <c r="E299" s="525" t="s">
        <v>321</v>
      </c>
      <c r="F299" s="1363">
        <f>ROUND(K299*'[4]Summary E&amp;M'!$K$101,0)</f>
        <v>685</v>
      </c>
      <c r="G299" s="527">
        <f t="shared" ref="G299:G308" si="269">ROUNDUP(AA299,2)</f>
        <v>7.98</v>
      </c>
      <c r="H299" s="1364">
        <f t="shared" ref="H299:H308" si="270">ROUND(F299*G299,2)</f>
        <v>5466.3</v>
      </c>
      <c r="I299" s="529"/>
      <c r="J299" s="309"/>
      <c r="K299" s="1175">
        <v>652</v>
      </c>
      <c r="L299" s="530">
        <f t="shared" si="255"/>
        <v>3.94</v>
      </c>
      <c r="M299" s="530">
        <f t="shared" ref="M299:M308" si="271">ROUND(L299*F299,2)</f>
        <v>2698.9</v>
      </c>
      <c r="N299" s="309"/>
      <c r="O299" s="778">
        <v>121</v>
      </c>
      <c r="P299" s="777"/>
      <c r="Q299" s="777"/>
      <c r="R299" s="751"/>
      <c r="S299" s="752">
        <v>158000</v>
      </c>
      <c r="T299" s="792">
        <v>3</v>
      </c>
      <c r="U299" s="803">
        <v>0</v>
      </c>
      <c r="V299" s="803">
        <v>0</v>
      </c>
      <c r="W299" s="803">
        <v>0</v>
      </c>
      <c r="X299" s="858">
        <v>1</v>
      </c>
      <c r="Y299" s="310">
        <f>ROUND((R299+S299/'[4]Summary E&amp;M'!$O$103)*X299,2)</f>
        <v>7.6</v>
      </c>
      <c r="Z299" s="858">
        <f t="shared" si="219"/>
        <v>1.05</v>
      </c>
      <c r="AA299" s="813">
        <f t="shared" si="257"/>
        <v>7.98</v>
      </c>
      <c r="AB299" s="447">
        <f t="shared" si="258"/>
        <v>0.05</v>
      </c>
      <c r="AC299" s="310">
        <f t="shared" si="259"/>
        <v>3.15</v>
      </c>
      <c r="AD299" s="717">
        <f>ROUND(AC299*'[6]Summary E&amp;M'!$R$94,2)</f>
        <v>3.94</v>
      </c>
      <c r="AE299" s="826">
        <f t="shared" si="260"/>
        <v>4955.2</v>
      </c>
      <c r="AF299" s="826">
        <f t="shared" si="261"/>
        <v>2053.8000000000002</v>
      </c>
      <c r="AG299" s="731"/>
      <c r="AH299" s="732"/>
      <c r="AI299" s="519">
        <f t="shared" si="262"/>
        <v>0</v>
      </c>
      <c r="AJ299" s="519">
        <f t="shared" si="263"/>
        <v>0</v>
      </c>
      <c r="AK299" s="519">
        <f t="shared" si="264"/>
        <v>0</v>
      </c>
      <c r="AL299" s="520">
        <f t="shared" si="265"/>
        <v>0</v>
      </c>
      <c r="AM299" s="520">
        <f t="shared" si="266"/>
        <v>0</v>
      </c>
      <c r="AN299" s="520">
        <f t="shared" si="267"/>
        <v>0</v>
      </c>
      <c r="AO299" s="520">
        <f t="shared" si="268"/>
        <v>0</v>
      </c>
      <c r="AP299" s="719"/>
      <c r="AQ299" s="719"/>
      <c r="AR299" s="719"/>
      <c r="AS299" s="719"/>
      <c r="AT299" s="719"/>
    </row>
    <row r="300" spans="1:46" s="555" customFormat="1" ht="22.5" customHeight="1">
      <c r="A300" s="451"/>
      <c r="B300" s="531" t="s">
        <v>780</v>
      </c>
      <c r="C300" s="523" t="s">
        <v>1004</v>
      </c>
      <c r="D300" s="524">
        <v>121</v>
      </c>
      <c r="E300" s="525" t="s">
        <v>321</v>
      </c>
      <c r="F300" s="1314">
        <f>ROUND(K300*'[4]Summary E&amp;M'!$K$101,0)</f>
        <v>179</v>
      </c>
      <c r="G300" s="527">
        <f t="shared" si="269"/>
        <v>9.14</v>
      </c>
      <c r="H300" s="528">
        <f>ROUND(F300*G300,2)</f>
        <v>1636.06</v>
      </c>
      <c r="I300" s="529"/>
      <c r="J300" s="309"/>
      <c r="K300" s="1175">
        <v>170</v>
      </c>
      <c r="L300" s="530">
        <f>ROUND(AD300,2)</f>
        <v>1.58</v>
      </c>
      <c r="M300" s="530">
        <f t="shared" si="271"/>
        <v>282.82</v>
      </c>
      <c r="N300" s="309"/>
      <c r="O300" s="778">
        <v>121</v>
      </c>
      <c r="P300" s="777"/>
      <c r="Q300" s="777"/>
      <c r="R300" s="751"/>
      <c r="S300" s="752">
        <v>181000</v>
      </c>
      <c r="T300" s="792">
        <v>1.2</v>
      </c>
      <c r="U300" s="803">
        <v>0</v>
      </c>
      <c r="V300" s="803">
        <v>0</v>
      </c>
      <c r="W300" s="803">
        <v>0</v>
      </c>
      <c r="X300" s="858">
        <v>1</v>
      </c>
      <c r="Y300" s="310">
        <f>ROUND((R300+S300/'[4]Summary E&amp;M'!$O$103)*X300,2)</f>
        <v>8.6999999999999993</v>
      </c>
      <c r="Z300" s="858">
        <f t="shared" si="219"/>
        <v>1.05</v>
      </c>
      <c r="AA300" s="813">
        <f>ROUND(Y300*Z300,2)</f>
        <v>9.14</v>
      </c>
      <c r="AB300" s="447">
        <f t="shared" si="258"/>
        <v>0.05</v>
      </c>
      <c r="AC300" s="310">
        <f t="shared" si="259"/>
        <v>1.26</v>
      </c>
      <c r="AD300" s="717">
        <f>ROUND(AC300*'[6]Summary E&amp;M'!$R$94,2)</f>
        <v>1.58</v>
      </c>
      <c r="AE300" s="826">
        <f t="shared" si="260"/>
        <v>1479</v>
      </c>
      <c r="AF300" s="826">
        <f t="shared" si="261"/>
        <v>214.2</v>
      </c>
      <c r="AG300" s="731"/>
      <c r="AH300" s="732"/>
      <c r="AI300" s="519">
        <f t="shared" si="262"/>
        <v>0</v>
      </c>
      <c r="AJ300" s="519">
        <f t="shared" si="263"/>
        <v>0</v>
      </c>
      <c r="AK300" s="519">
        <f t="shared" si="264"/>
        <v>0</v>
      </c>
      <c r="AL300" s="520">
        <f t="shared" si="265"/>
        <v>0</v>
      </c>
      <c r="AM300" s="520">
        <f t="shared" si="266"/>
        <v>0</v>
      </c>
      <c r="AN300" s="520">
        <f t="shared" si="267"/>
        <v>0</v>
      </c>
      <c r="AO300" s="520">
        <f t="shared" si="268"/>
        <v>0</v>
      </c>
      <c r="AP300" s="719"/>
      <c r="AQ300" s="719"/>
      <c r="AR300" s="719"/>
      <c r="AS300" s="719"/>
      <c r="AT300" s="719"/>
    </row>
    <row r="301" spans="1:46" s="555" customFormat="1" ht="22.5" customHeight="1">
      <c r="A301" s="1365"/>
      <c r="B301" s="1361" t="s">
        <v>1335</v>
      </c>
      <c r="C301" s="1362" t="s">
        <v>1336</v>
      </c>
      <c r="D301" s="1366" t="s">
        <v>1113</v>
      </c>
      <c r="E301" s="1367" t="s">
        <v>321</v>
      </c>
      <c r="F301" s="1363">
        <f>ROUND(K301*'[4]Summary E&amp;M'!$K$101,0)</f>
        <v>2616</v>
      </c>
      <c r="G301" s="1359">
        <f t="shared" ref="G301" si="272">ROUNDUP(AA301,2)</f>
        <v>2.5</v>
      </c>
      <c r="H301" s="1364">
        <f t="shared" ref="H301" si="273">ROUND(F301*G301,2)</f>
        <v>6540</v>
      </c>
      <c r="I301" s="1368"/>
      <c r="J301" s="309"/>
      <c r="K301" s="1175">
        <f>2491</f>
        <v>2491</v>
      </c>
      <c r="L301" s="530">
        <f t="shared" ref="L301" si="274">ROUND(AD301,2)</f>
        <v>1.19</v>
      </c>
      <c r="M301" s="530">
        <f t="shared" ref="M301" si="275">ROUND(L301*F301,2)</f>
        <v>3113.04</v>
      </c>
      <c r="N301" s="309"/>
      <c r="O301" s="778" t="s">
        <v>131</v>
      </c>
      <c r="P301" s="777"/>
      <c r="Q301" s="777"/>
      <c r="R301" s="751"/>
      <c r="S301" s="752">
        <f>148800/3</f>
        <v>49600</v>
      </c>
      <c r="T301" s="792">
        <v>0.9</v>
      </c>
      <c r="U301" s="803">
        <v>0</v>
      </c>
      <c r="V301" s="803">
        <v>0</v>
      </c>
      <c r="W301" s="803">
        <v>0</v>
      </c>
      <c r="X301" s="858">
        <v>1</v>
      </c>
      <c r="Y301" s="310">
        <f>ROUND((R301+S301/'[4]Summary E&amp;M'!$O$103)*X301,2)</f>
        <v>2.38</v>
      </c>
      <c r="Z301" s="858">
        <f t="shared" si="219"/>
        <v>1.05</v>
      </c>
      <c r="AA301" s="813">
        <f t="shared" ref="AA301" si="276">ROUND(Y301*Z301,2)</f>
        <v>2.5</v>
      </c>
      <c r="AB301" s="447">
        <f t="shared" si="258"/>
        <v>0.05</v>
      </c>
      <c r="AC301" s="310">
        <f t="shared" ref="AC301" si="277">ROUND((T301*(1+AB301)),2)</f>
        <v>0.95</v>
      </c>
      <c r="AD301" s="717">
        <f>ROUND(AC301*'[6]Summary E&amp;M'!$R$94,2)</f>
        <v>1.19</v>
      </c>
      <c r="AE301" s="826">
        <f t="shared" si="260"/>
        <v>5928.58</v>
      </c>
      <c r="AF301" s="826">
        <f t="shared" si="261"/>
        <v>2366.4499999999998</v>
      </c>
      <c r="AG301" s="731"/>
      <c r="AH301" s="732"/>
      <c r="AI301" s="519">
        <f t="shared" si="262"/>
        <v>0</v>
      </c>
      <c r="AJ301" s="519">
        <f t="shared" si="263"/>
        <v>0</v>
      </c>
      <c r="AK301" s="519">
        <f t="shared" si="264"/>
        <v>0</v>
      </c>
      <c r="AL301" s="520">
        <f t="shared" ref="AL301" si="278">ROUND(Y301*AI301+((Y301*(1+AI301))*AJ301)+((Y301*AI301+((Y301*(1+AI301))*AJ301))*AK301),2)</f>
        <v>0</v>
      </c>
      <c r="AM301" s="520">
        <f t="shared" ref="AM301" si="279">AL301*$F301</f>
        <v>0</v>
      </c>
      <c r="AN301" s="520">
        <f t="shared" ref="AN301" si="280">ROUND(AL301*Z301,2)</f>
        <v>0</v>
      </c>
      <c r="AO301" s="520">
        <f t="shared" ref="AO301" si="281">AN301*$F301</f>
        <v>0</v>
      </c>
      <c r="AP301" s="719"/>
      <c r="AQ301" s="719"/>
      <c r="AR301" s="719"/>
      <c r="AS301" s="719"/>
      <c r="AT301" s="719"/>
    </row>
    <row r="302" spans="1:46" s="555" customFormat="1" ht="22.5" customHeight="1">
      <c r="A302" s="1365"/>
      <c r="B302" s="1361" t="s">
        <v>1335</v>
      </c>
      <c r="C302" s="1362" t="s">
        <v>1333</v>
      </c>
      <c r="D302" s="1366" t="s">
        <v>1113</v>
      </c>
      <c r="E302" s="1367" t="s">
        <v>321</v>
      </c>
      <c r="F302" s="1363">
        <f>ROUND(K302*'[4]Summary E&amp;M'!$K$101,0)</f>
        <v>3109</v>
      </c>
      <c r="G302" s="1359">
        <f t="shared" ref="G302" si="282">ROUNDUP(AA302,2)</f>
        <v>1.41</v>
      </c>
      <c r="H302" s="1364">
        <f t="shared" ref="H302" si="283">ROUND(F302*G302,2)</f>
        <v>4383.6899999999996</v>
      </c>
      <c r="I302" s="1368"/>
      <c r="J302" s="309"/>
      <c r="K302" s="1175">
        <f>2961</f>
        <v>2961</v>
      </c>
      <c r="L302" s="530">
        <f t="shared" ref="L302" si="284">ROUND(AD302,2)</f>
        <v>1.19</v>
      </c>
      <c r="M302" s="530">
        <f t="shared" ref="M302" si="285">ROUND(L302*F302,2)</f>
        <v>3699.71</v>
      </c>
      <c r="N302" s="309"/>
      <c r="O302" s="778" t="s">
        <v>131</v>
      </c>
      <c r="P302" s="777"/>
      <c r="Q302" s="777"/>
      <c r="R302" s="751"/>
      <c r="S302" s="752">
        <f>83900/3</f>
        <v>27966.666666666668</v>
      </c>
      <c r="T302" s="792">
        <v>0.9</v>
      </c>
      <c r="U302" s="803">
        <v>0</v>
      </c>
      <c r="V302" s="803">
        <v>0</v>
      </c>
      <c r="W302" s="803">
        <v>0</v>
      </c>
      <c r="X302" s="858">
        <v>1</v>
      </c>
      <c r="Y302" s="310">
        <f>ROUND((R302+S302/'[4]Summary E&amp;M'!$O$103)*X302,2)</f>
        <v>1.34</v>
      </c>
      <c r="Z302" s="858">
        <f t="shared" si="219"/>
        <v>1.05</v>
      </c>
      <c r="AA302" s="813">
        <f t="shared" ref="AA302" si="286">ROUND(Y302*Z302,2)</f>
        <v>1.41</v>
      </c>
      <c r="AB302" s="447">
        <f t="shared" si="258"/>
        <v>0.05</v>
      </c>
      <c r="AC302" s="310">
        <f t="shared" ref="AC302" si="287">ROUND((T302*(1+AB302)),2)</f>
        <v>0.95</v>
      </c>
      <c r="AD302" s="717">
        <f>ROUND(AC302*'[6]Summary E&amp;M'!$R$94,2)</f>
        <v>1.19</v>
      </c>
      <c r="AE302" s="826">
        <f t="shared" si="260"/>
        <v>3967.74</v>
      </c>
      <c r="AF302" s="826">
        <f t="shared" si="261"/>
        <v>2812.95</v>
      </c>
      <c r="AG302" s="731"/>
      <c r="AH302" s="732"/>
      <c r="AI302" s="519">
        <f t="shared" si="262"/>
        <v>0</v>
      </c>
      <c r="AJ302" s="519">
        <f t="shared" si="263"/>
        <v>0</v>
      </c>
      <c r="AK302" s="519">
        <f t="shared" si="264"/>
        <v>0</v>
      </c>
      <c r="AL302" s="520">
        <f t="shared" ref="AL302" si="288">ROUND(Y302*AI302+((Y302*(1+AI302))*AJ302)+((Y302*AI302+((Y302*(1+AI302))*AJ302))*AK302),2)</f>
        <v>0</v>
      </c>
      <c r="AM302" s="520">
        <f t="shared" ref="AM302" si="289">AL302*$F302</f>
        <v>0</v>
      </c>
      <c r="AN302" s="520">
        <f t="shared" ref="AN302" si="290">ROUND(AL302*Z302,2)</f>
        <v>0</v>
      </c>
      <c r="AO302" s="520">
        <f t="shared" ref="AO302" si="291">AN302*$F302</f>
        <v>0</v>
      </c>
      <c r="AP302" s="719"/>
      <c r="AQ302" s="719"/>
      <c r="AR302" s="719"/>
      <c r="AS302" s="719"/>
      <c r="AT302" s="719"/>
    </row>
    <row r="303" spans="1:46" s="555" customFormat="1" ht="22.5" customHeight="1">
      <c r="A303" s="1365"/>
      <c r="B303" s="1361" t="s">
        <v>1335</v>
      </c>
      <c r="C303" s="1362" t="s">
        <v>1332</v>
      </c>
      <c r="D303" s="1366" t="s">
        <v>1113</v>
      </c>
      <c r="E303" s="1367" t="s">
        <v>321</v>
      </c>
      <c r="F303" s="1363">
        <f>ROUND(K303*'[4]Summary E&amp;M'!$K$101,0)</f>
        <v>1179</v>
      </c>
      <c r="G303" s="1359">
        <f t="shared" ref="G303" si="292">ROUNDUP(AA303,2)</f>
        <v>1</v>
      </c>
      <c r="H303" s="1364">
        <f t="shared" ref="H303" si="293">ROUND(F303*G303,2)</f>
        <v>1179</v>
      </c>
      <c r="I303" s="1368"/>
      <c r="J303" s="309"/>
      <c r="K303" s="1175">
        <f>1123</f>
        <v>1123</v>
      </c>
      <c r="L303" s="530">
        <f t="shared" ref="L303" si="294">ROUND(AD303,2)</f>
        <v>1.19</v>
      </c>
      <c r="M303" s="530">
        <f t="shared" ref="M303" si="295">ROUND(L303*F303,2)</f>
        <v>1403.01</v>
      </c>
      <c r="N303" s="309"/>
      <c r="O303" s="778" t="s">
        <v>131</v>
      </c>
      <c r="P303" s="777"/>
      <c r="Q303" s="777"/>
      <c r="R303" s="751"/>
      <c r="S303" s="752">
        <f>59400/3</f>
        <v>19800</v>
      </c>
      <c r="T303" s="792">
        <v>0.9</v>
      </c>
      <c r="U303" s="803">
        <v>0</v>
      </c>
      <c r="V303" s="803">
        <v>0</v>
      </c>
      <c r="W303" s="803">
        <v>0</v>
      </c>
      <c r="X303" s="858">
        <v>1</v>
      </c>
      <c r="Y303" s="310">
        <f>ROUND((R303+S303/'[4]Summary E&amp;M'!$O$103)*X303,2)</f>
        <v>0.95</v>
      </c>
      <c r="Z303" s="858">
        <f t="shared" si="219"/>
        <v>1.05</v>
      </c>
      <c r="AA303" s="813">
        <f t="shared" ref="AA303" si="296">ROUND(Y303*Z303,2)</f>
        <v>1</v>
      </c>
      <c r="AB303" s="447">
        <f t="shared" si="258"/>
        <v>0.05</v>
      </c>
      <c r="AC303" s="310">
        <f t="shared" ref="AC303" si="297">ROUND((T303*(1+AB303)),2)</f>
        <v>0.95</v>
      </c>
      <c r="AD303" s="717">
        <f>ROUND(AC303*'[6]Summary E&amp;M'!$R$94,2)</f>
        <v>1.19</v>
      </c>
      <c r="AE303" s="826">
        <f t="shared" si="260"/>
        <v>1066.8499999999999</v>
      </c>
      <c r="AF303" s="826">
        <f t="shared" si="261"/>
        <v>1066.8499999999999</v>
      </c>
      <c r="AG303" s="731"/>
      <c r="AH303" s="732"/>
      <c r="AI303" s="519">
        <f t="shared" si="262"/>
        <v>0</v>
      </c>
      <c r="AJ303" s="519">
        <f t="shared" si="263"/>
        <v>0</v>
      </c>
      <c r="AK303" s="519">
        <f t="shared" si="264"/>
        <v>0</v>
      </c>
      <c r="AL303" s="520">
        <f t="shared" ref="AL303" si="298">ROUND(Y303*AI303+((Y303*(1+AI303))*AJ303)+((Y303*AI303+((Y303*(1+AI303))*AJ303))*AK303),2)</f>
        <v>0</v>
      </c>
      <c r="AM303" s="520">
        <f t="shared" ref="AM303" si="299">AL303*$F303</f>
        <v>0</v>
      </c>
      <c r="AN303" s="520">
        <f t="shared" ref="AN303" si="300">ROUND(AL303*Z303,2)</f>
        <v>0</v>
      </c>
      <c r="AO303" s="520">
        <f t="shared" ref="AO303" si="301">AN303*$F303</f>
        <v>0</v>
      </c>
      <c r="AP303" s="719"/>
      <c r="AQ303" s="719"/>
      <c r="AR303" s="719"/>
      <c r="AS303" s="719"/>
      <c r="AT303" s="719"/>
    </row>
    <row r="304" spans="1:46" s="555" customFormat="1" ht="22.5" customHeight="1">
      <c r="A304" s="451"/>
      <c r="B304" s="531" t="s">
        <v>782</v>
      </c>
      <c r="C304" s="523" t="s">
        <v>783</v>
      </c>
      <c r="D304" s="1203" t="s">
        <v>1113</v>
      </c>
      <c r="E304" s="525" t="s">
        <v>321</v>
      </c>
      <c r="F304" s="1314">
        <f>ROUND(K304*'[4]Summary E&amp;M'!$K$101,0)</f>
        <v>53</v>
      </c>
      <c r="G304" s="527">
        <f t="shared" si="269"/>
        <v>4.74</v>
      </c>
      <c r="H304" s="528">
        <f t="shared" si="270"/>
        <v>251.22</v>
      </c>
      <c r="I304" s="529"/>
      <c r="J304" s="309"/>
      <c r="K304" s="1175">
        <v>50</v>
      </c>
      <c r="L304" s="530">
        <f t="shared" si="255"/>
        <v>1.19</v>
      </c>
      <c r="M304" s="530">
        <f t="shared" si="271"/>
        <v>63.07</v>
      </c>
      <c r="N304" s="309"/>
      <c r="O304" s="778" t="s">
        <v>131</v>
      </c>
      <c r="P304" s="777"/>
      <c r="Q304" s="777"/>
      <c r="R304" s="751"/>
      <c r="S304" s="752">
        <v>93750</v>
      </c>
      <c r="T304" s="792">
        <v>0.9</v>
      </c>
      <c r="U304" s="803">
        <v>0</v>
      </c>
      <c r="V304" s="803">
        <v>0</v>
      </c>
      <c r="W304" s="803">
        <v>0</v>
      </c>
      <c r="X304" s="858">
        <v>1</v>
      </c>
      <c r="Y304" s="310">
        <f>ROUND((R304+S304/'[4]Summary E&amp;M'!$O$103)*X304,2)</f>
        <v>4.51</v>
      </c>
      <c r="Z304" s="858">
        <f t="shared" si="219"/>
        <v>1.05</v>
      </c>
      <c r="AA304" s="813">
        <f t="shared" si="257"/>
        <v>4.74</v>
      </c>
      <c r="AB304" s="447">
        <f t="shared" si="258"/>
        <v>0.05</v>
      </c>
      <c r="AC304" s="310">
        <f t="shared" si="259"/>
        <v>0.95</v>
      </c>
      <c r="AD304" s="717">
        <f>ROUND(AC304*'[6]Summary E&amp;M'!$R$94,2)</f>
        <v>1.19</v>
      </c>
      <c r="AE304" s="826">
        <f t="shared" si="260"/>
        <v>225.5</v>
      </c>
      <c r="AF304" s="826">
        <f t="shared" si="261"/>
        <v>47.5</v>
      </c>
      <c r="AG304" s="731"/>
      <c r="AH304" s="732"/>
      <c r="AI304" s="519">
        <f t="shared" si="262"/>
        <v>0</v>
      </c>
      <c r="AJ304" s="519">
        <f t="shared" si="263"/>
        <v>0</v>
      </c>
      <c r="AK304" s="519">
        <f t="shared" si="264"/>
        <v>0</v>
      </c>
      <c r="AL304" s="520">
        <f t="shared" si="265"/>
        <v>0</v>
      </c>
      <c r="AM304" s="520">
        <f t="shared" si="266"/>
        <v>0</v>
      </c>
      <c r="AN304" s="520">
        <f t="shared" si="267"/>
        <v>0</v>
      </c>
      <c r="AO304" s="520">
        <f t="shared" si="268"/>
        <v>0</v>
      </c>
      <c r="AP304" s="719"/>
      <c r="AQ304" s="719"/>
      <c r="AR304" s="719"/>
      <c r="AS304" s="719"/>
      <c r="AT304" s="719"/>
    </row>
    <row r="305" spans="1:47" s="555" customFormat="1" ht="22.5" customHeight="1">
      <c r="A305" s="451"/>
      <c r="B305" s="531" t="s">
        <v>782</v>
      </c>
      <c r="C305" s="523" t="s">
        <v>330</v>
      </c>
      <c r="D305" s="1203" t="s">
        <v>1113</v>
      </c>
      <c r="E305" s="525" t="s">
        <v>321</v>
      </c>
      <c r="F305" s="1363">
        <f>ROUND(K305*'[4]Summary E&amp;M'!$K$101,0)</f>
        <v>523</v>
      </c>
      <c r="G305" s="527">
        <f t="shared" si="269"/>
        <v>2.8</v>
      </c>
      <c r="H305" s="528">
        <f t="shared" si="270"/>
        <v>1464.4</v>
      </c>
      <c r="I305" s="529"/>
      <c r="J305" s="309"/>
      <c r="K305" s="1175">
        <v>498</v>
      </c>
      <c r="L305" s="530">
        <f t="shared" si="255"/>
        <v>0.79</v>
      </c>
      <c r="M305" s="530">
        <f t="shared" si="271"/>
        <v>413.17</v>
      </c>
      <c r="N305" s="309"/>
      <c r="O305" s="778" t="s">
        <v>131</v>
      </c>
      <c r="P305" s="777"/>
      <c r="Q305" s="777"/>
      <c r="R305" s="751"/>
      <c r="S305" s="752">
        <v>55500</v>
      </c>
      <c r="T305" s="792">
        <v>0.6</v>
      </c>
      <c r="U305" s="803">
        <v>0</v>
      </c>
      <c r="V305" s="803">
        <v>0</v>
      </c>
      <c r="W305" s="803">
        <v>0</v>
      </c>
      <c r="X305" s="858">
        <v>1</v>
      </c>
      <c r="Y305" s="310">
        <f>ROUND((R305+S305/'[4]Summary E&amp;M'!$O$103)*X305,2)</f>
        <v>2.67</v>
      </c>
      <c r="Z305" s="858">
        <f t="shared" si="219"/>
        <v>1.05</v>
      </c>
      <c r="AA305" s="813">
        <f t="shared" si="257"/>
        <v>2.8</v>
      </c>
      <c r="AB305" s="447">
        <f t="shared" si="258"/>
        <v>0.05</v>
      </c>
      <c r="AC305" s="310">
        <f t="shared" si="259"/>
        <v>0.63</v>
      </c>
      <c r="AD305" s="717">
        <f>ROUND(AC305*'[6]Summary E&amp;M'!$R$94,2)</f>
        <v>0.79</v>
      </c>
      <c r="AE305" s="826">
        <f t="shared" si="260"/>
        <v>1329.66</v>
      </c>
      <c r="AF305" s="826">
        <f t="shared" si="261"/>
        <v>313.74</v>
      </c>
      <c r="AG305" s="731"/>
      <c r="AH305" s="732"/>
      <c r="AI305" s="519">
        <f t="shared" si="262"/>
        <v>0</v>
      </c>
      <c r="AJ305" s="519">
        <f t="shared" si="263"/>
        <v>0</v>
      </c>
      <c r="AK305" s="519">
        <f t="shared" si="264"/>
        <v>0</v>
      </c>
      <c r="AL305" s="520">
        <f t="shared" si="265"/>
        <v>0</v>
      </c>
      <c r="AM305" s="520">
        <f t="shared" si="266"/>
        <v>0</v>
      </c>
      <c r="AN305" s="520">
        <f t="shared" si="267"/>
        <v>0</v>
      </c>
      <c r="AO305" s="520">
        <f t="shared" si="268"/>
        <v>0</v>
      </c>
      <c r="AP305" s="719"/>
      <c r="AQ305" s="719"/>
      <c r="AR305" s="719"/>
      <c r="AS305" s="719"/>
      <c r="AT305" s="719"/>
    </row>
    <row r="306" spans="1:47" s="555" customFormat="1" ht="22.5" customHeight="1">
      <c r="A306" s="1365"/>
      <c r="B306" s="1361" t="s">
        <v>782</v>
      </c>
      <c r="C306" s="1362" t="s">
        <v>329</v>
      </c>
      <c r="D306" s="1366" t="s">
        <v>1113</v>
      </c>
      <c r="E306" s="1367" t="s">
        <v>321</v>
      </c>
      <c r="F306" s="1363">
        <f>ROUND(K306*'[4]Summary E&amp;M'!$K$101,0)</f>
        <v>589</v>
      </c>
      <c r="G306" s="1359">
        <f t="shared" ref="G306" si="302">ROUNDUP(AA306,2)</f>
        <v>2.2999999999999998</v>
      </c>
      <c r="H306" s="1364">
        <f t="shared" ref="H306" si="303">ROUND(F306*G306,2)</f>
        <v>1354.7</v>
      </c>
      <c r="I306" s="1368"/>
      <c r="J306" s="309"/>
      <c r="K306" s="1175">
        <v>561</v>
      </c>
      <c r="L306" s="530">
        <f t="shared" ref="L306" si="304">ROUND(AD306,2)</f>
        <v>0.79</v>
      </c>
      <c r="M306" s="530">
        <f t="shared" ref="M306" si="305">ROUND(L306*F306,2)</f>
        <v>465.31</v>
      </c>
      <c r="N306" s="309"/>
      <c r="O306" s="778" t="s">
        <v>131</v>
      </c>
      <c r="P306" s="777"/>
      <c r="Q306" s="777"/>
      <c r="R306" s="751"/>
      <c r="S306" s="752">
        <v>45500</v>
      </c>
      <c r="T306" s="792">
        <v>0.6</v>
      </c>
      <c r="U306" s="803">
        <v>0</v>
      </c>
      <c r="V306" s="803">
        <v>0</v>
      </c>
      <c r="W306" s="803">
        <v>0</v>
      </c>
      <c r="X306" s="858">
        <v>1</v>
      </c>
      <c r="Y306" s="310">
        <f>ROUND((R306+S306/'[4]Summary E&amp;M'!$O$103)*X306,2)</f>
        <v>2.19</v>
      </c>
      <c r="Z306" s="858">
        <f t="shared" si="219"/>
        <v>1.05</v>
      </c>
      <c r="AA306" s="813">
        <f t="shared" ref="AA306" si="306">ROUND(Y306*Z306,2)</f>
        <v>2.2999999999999998</v>
      </c>
      <c r="AB306" s="447">
        <f t="shared" si="258"/>
        <v>0.05</v>
      </c>
      <c r="AC306" s="310">
        <f t="shared" ref="AC306" si="307">ROUND((T306*(1+AB306)),2)</f>
        <v>0.63</v>
      </c>
      <c r="AD306" s="717">
        <f>ROUND(AC306*'[6]Summary E&amp;M'!$R$94,2)</f>
        <v>0.79</v>
      </c>
      <c r="AE306" s="826">
        <f t="shared" si="260"/>
        <v>1228.5899999999999</v>
      </c>
      <c r="AF306" s="826">
        <f t="shared" si="261"/>
        <v>353.43</v>
      </c>
      <c r="AG306" s="731"/>
      <c r="AH306" s="732"/>
      <c r="AI306" s="519">
        <f t="shared" si="262"/>
        <v>0</v>
      </c>
      <c r="AJ306" s="519">
        <f t="shared" si="263"/>
        <v>0</v>
      </c>
      <c r="AK306" s="519">
        <f t="shared" si="264"/>
        <v>0</v>
      </c>
      <c r="AL306" s="520">
        <f t="shared" ref="AL306" si="308">ROUND(Y306*AI306+((Y306*(1+AI306))*AJ306)+((Y306*AI306+((Y306*(1+AI306))*AJ306))*AK306),2)</f>
        <v>0</v>
      </c>
      <c r="AM306" s="520">
        <f t="shared" ref="AM306" si="309">AL306*$F306</f>
        <v>0</v>
      </c>
      <c r="AN306" s="520">
        <f t="shared" ref="AN306" si="310">ROUND(AL306*Z306,2)</f>
        <v>0</v>
      </c>
      <c r="AO306" s="520">
        <f t="shared" ref="AO306" si="311">AN306*$F306</f>
        <v>0</v>
      </c>
      <c r="AP306" s="719"/>
      <c r="AQ306" s="719"/>
      <c r="AR306" s="719"/>
      <c r="AS306" s="719"/>
      <c r="AT306" s="719"/>
    </row>
    <row r="307" spans="1:47" s="555" customFormat="1" ht="22.5" customHeight="1">
      <c r="A307" s="451"/>
      <c r="B307" s="531" t="s">
        <v>400</v>
      </c>
      <c r="C307" s="523"/>
      <c r="D307" s="1203" t="s">
        <v>1113</v>
      </c>
      <c r="E307" s="525" t="s">
        <v>322</v>
      </c>
      <c r="F307" s="1315">
        <f>K307</f>
        <v>1</v>
      </c>
      <c r="G307" s="527">
        <f t="shared" si="269"/>
        <v>3860.63</v>
      </c>
      <c r="H307" s="528">
        <f t="shared" si="270"/>
        <v>3860.63</v>
      </c>
      <c r="I307" s="529"/>
      <c r="J307" s="309"/>
      <c r="K307" s="1175">
        <v>1</v>
      </c>
      <c r="L307" s="530">
        <f t="shared" si="255"/>
        <v>995.01</v>
      </c>
      <c r="M307" s="530">
        <f t="shared" si="271"/>
        <v>995.01</v>
      </c>
      <c r="N307" s="309"/>
      <c r="O307" s="778" t="s">
        <v>139</v>
      </c>
      <c r="P307" s="777">
        <v>0.2</v>
      </c>
      <c r="Q307" s="777"/>
      <c r="R307" s="751">
        <f>ROUND(SUM(AE299:AE305)*P307,2)</f>
        <v>3790.51</v>
      </c>
      <c r="S307" s="752"/>
      <c r="T307" s="792">
        <f>R307*0.2</f>
        <v>758.10200000000009</v>
      </c>
      <c r="U307" s="803">
        <v>0</v>
      </c>
      <c r="V307" s="803">
        <v>0</v>
      </c>
      <c r="W307" s="803">
        <v>0</v>
      </c>
      <c r="X307" s="858">
        <f>SUMIF('Summary-E'!O$4:O$50,D307,'Summary-E'!Q$4:Q$50)</f>
        <v>0.97</v>
      </c>
      <c r="Y307" s="310">
        <f>ROUND((R307+S307/'[4]Summary E&amp;M'!$O$103)*X307,2)</f>
        <v>3676.79</v>
      </c>
      <c r="Z307" s="858">
        <f t="shared" si="219"/>
        <v>1.05</v>
      </c>
      <c r="AA307" s="813">
        <f t="shared" si="257"/>
        <v>3860.63</v>
      </c>
      <c r="AB307" s="447">
        <f t="shared" si="258"/>
        <v>0.05</v>
      </c>
      <c r="AC307" s="310">
        <f t="shared" si="259"/>
        <v>796.01</v>
      </c>
      <c r="AD307" s="717">
        <f>ROUND(AC307*'[6]Summary E&amp;M'!$R$94,2)</f>
        <v>995.01</v>
      </c>
      <c r="AE307" s="826">
        <f t="shared" si="260"/>
        <v>3676.79</v>
      </c>
      <c r="AF307" s="826">
        <f t="shared" si="261"/>
        <v>796.01</v>
      </c>
      <c r="AG307" s="731"/>
      <c r="AH307" s="732"/>
      <c r="AI307" s="519">
        <f t="shared" si="262"/>
        <v>0</v>
      </c>
      <c r="AJ307" s="519">
        <f t="shared" si="263"/>
        <v>0</v>
      </c>
      <c r="AK307" s="519">
        <f t="shared" si="264"/>
        <v>0</v>
      </c>
      <c r="AL307" s="520">
        <f t="shared" si="265"/>
        <v>0</v>
      </c>
      <c r="AM307" s="520">
        <f t="shared" si="266"/>
        <v>0</v>
      </c>
      <c r="AN307" s="520">
        <f t="shared" si="267"/>
        <v>0</v>
      </c>
      <c r="AO307" s="520">
        <f t="shared" si="268"/>
        <v>0</v>
      </c>
      <c r="AP307" s="719"/>
      <c r="AQ307" s="719"/>
      <c r="AR307" s="719"/>
      <c r="AS307" s="719"/>
      <c r="AT307" s="719"/>
    </row>
    <row r="308" spans="1:47" s="555" customFormat="1" ht="22.5" customHeight="1">
      <c r="A308" s="451"/>
      <c r="B308" s="531" t="s">
        <v>677</v>
      </c>
      <c r="C308" s="523"/>
      <c r="D308" s="524" t="s">
        <v>139</v>
      </c>
      <c r="E308" s="525" t="s">
        <v>322</v>
      </c>
      <c r="F308" s="1315">
        <f>K308</f>
        <v>1</v>
      </c>
      <c r="G308" s="527">
        <f t="shared" si="269"/>
        <v>1930.31</v>
      </c>
      <c r="H308" s="528">
        <f t="shared" si="270"/>
        <v>1930.31</v>
      </c>
      <c r="I308" s="529"/>
      <c r="J308" s="309"/>
      <c r="K308" s="1175">
        <v>1</v>
      </c>
      <c r="L308" s="530">
        <f t="shared" si="255"/>
        <v>746.25</v>
      </c>
      <c r="M308" s="530">
        <f t="shared" si="271"/>
        <v>746.25</v>
      </c>
      <c r="N308" s="309"/>
      <c r="O308" s="778" t="s">
        <v>130</v>
      </c>
      <c r="P308" s="777">
        <v>0.1</v>
      </c>
      <c r="Q308" s="777"/>
      <c r="R308" s="751">
        <f>ROUND(SUM(AE299:AE305)*P308,2)</f>
        <v>1895.25</v>
      </c>
      <c r="S308" s="752"/>
      <c r="T308" s="792">
        <f>R308*0.3</f>
        <v>568.57499999999993</v>
      </c>
      <c r="U308" s="803">
        <v>0</v>
      </c>
      <c r="V308" s="803">
        <v>0</v>
      </c>
      <c r="W308" s="803">
        <v>0</v>
      </c>
      <c r="X308" s="858">
        <f>SUMIF('Summary-E'!O$4:O$50,D308,'Summary-E'!Q$4:Q$50)</f>
        <v>0.97</v>
      </c>
      <c r="Y308" s="310">
        <f>ROUND((R308+S308/'[4]Summary E&amp;M'!$O$103)*X308,2)</f>
        <v>1838.39</v>
      </c>
      <c r="Z308" s="858">
        <f t="shared" si="219"/>
        <v>1.05</v>
      </c>
      <c r="AA308" s="813">
        <f t="shared" si="257"/>
        <v>1930.31</v>
      </c>
      <c r="AB308" s="447">
        <f t="shared" si="258"/>
        <v>0.05</v>
      </c>
      <c r="AC308" s="310">
        <f t="shared" si="259"/>
        <v>597</v>
      </c>
      <c r="AD308" s="717">
        <f>ROUND(AC308*'[6]Summary E&amp;M'!$R$94,2)</f>
        <v>746.25</v>
      </c>
      <c r="AE308" s="826">
        <f t="shared" si="260"/>
        <v>1838.39</v>
      </c>
      <c r="AF308" s="826">
        <f t="shared" si="261"/>
        <v>597</v>
      </c>
      <c r="AG308" s="731"/>
      <c r="AH308" s="732"/>
      <c r="AI308" s="519">
        <f t="shared" si="262"/>
        <v>0</v>
      </c>
      <c r="AJ308" s="519">
        <f t="shared" si="263"/>
        <v>0</v>
      </c>
      <c r="AK308" s="519">
        <f t="shared" si="264"/>
        <v>0</v>
      </c>
      <c r="AL308" s="520">
        <f t="shared" si="265"/>
        <v>0</v>
      </c>
      <c r="AM308" s="520">
        <f t="shared" si="266"/>
        <v>0</v>
      </c>
      <c r="AN308" s="520">
        <f t="shared" si="267"/>
        <v>0</v>
      </c>
      <c r="AO308" s="520">
        <f t="shared" si="268"/>
        <v>0</v>
      </c>
      <c r="AP308" s="719"/>
      <c r="AQ308" s="719"/>
      <c r="AR308" s="719"/>
      <c r="AS308" s="719"/>
      <c r="AT308" s="719"/>
    </row>
    <row r="309" spans="1:47" s="555" customFormat="1" ht="22.5" customHeight="1">
      <c r="A309" s="451"/>
      <c r="B309" s="531"/>
      <c r="C309" s="523"/>
      <c r="D309" s="524"/>
      <c r="E309" s="525"/>
      <c r="F309" s="1315"/>
      <c r="G309" s="528"/>
      <c r="H309" s="528"/>
      <c r="I309" s="529"/>
      <c r="J309" s="309"/>
      <c r="K309" s="1175"/>
      <c r="L309" s="530"/>
      <c r="M309" s="530"/>
      <c r="N309" s="309"/>
      <c r="O309" s="778"/>
      <c r="P309" s="777"/>
      <c r="Q309" s="777"/>
      <c r="R309" s="751"/>
      <c r="S309" s="752"/>
      <c r="T309" s="792"/>
      <c r="U309" s="803"/>
      <c r="V309" s="803"/>
      <c r="W309" s="803"/>
      <c r="X309" s="858">
        <f>SUMIF('Summary-E'!O$4:O$50,D309,'Summary-E'!Q$4:Q$50)</f>
        <v>0</v>
      </c>
      <c r="Y309" s="310"/>
      <c r="Z309" s="858">
        <f t="shared" si="219"/>
        <v>1.05</v>
      </c>
      <c r="AA309" s="813"/>
      <c r="AB309" s="447"/>
      <c r="AC309" s="310"/>
      <c r="AD309" s="717"/>
      <c r="AE309" s="826"/>
      <c r="AF309" s="826"/>
      <c r="AG309" s="731"/>
      <c r="AH309" s="732"/>
      <c r="AI309" s="519"/>
      <c r="AJ309" s="519"/>
      <c r="AK309" s="519"/>
      <c r="AL309" s="520"/>
      <c r="AM309" s="520"/>
      <c r="AN309" s="520"/>
      <c r="AO309" s="520"/>
      <c r="AP309" s="719"/>
      <c r="AQ309" s="719"/>
      <c r="AR309" s="719"/>
      <c r="AS309" s="719"/>
      <c r="AT309" s="719"/>
    </row>
    <row r="310" spans="1:47" s="555" customFormat="1" ht="22.5" customHeight="1">
      <c r="A310" s="620"/>
      <c r="B310" s="522" t="s">
        <v>1046</v>
      </c>
      <c r="C310" s="523"/>
      <c r="D310" s="524"/>
      <c r="E310" s="525"/>
      <c r="F310" s="1315"/>
      <c r="G310" s="527"/>
      <c r="H310" s="528"/>
      <c r="I310" s="529"/>
      <c r="J310" s="309"/>
      <c r="K310" s="1175"/>
      <c r="L310" s="530"/>
      <c r="M310" s="530"/>
      <c r="N310" s="309"/>
      <c r="O310" s="778"/>
      <c r="P310" s="777"/>
      <c r="Q310" s="777"/>
      <c r="R310" s="751"/>
      <c r="S310" s="752"/>
      <c r="T310" s="792"/>
      <c r="U310" s="803"/>
      <c r="V310" s="803"/>
      <c r="W310" s="803"/>
      <c r="X310" s="858">
        <f>SUMIF('Summary-E'!O$4:O$50,D310,'Summary-E'!Q$4:Q$50)</f>
        <v>0</v>
      </c>
      <c r="Y310" s="310">
        <f>ROUND((R310+S310/'[4]Summary E&amp;M'!$O$103)*X310,2)</f>
        <v>0</v>
      </c>
      <c r="Z310" s="858">
        <f t="shared" si="219"/>
        <v>1.05</v>
      </c>
      <c r="AA310" s="813"/>
      <c r="AB310" s="447"/>
      <c r="AC310" s="310"/>
      <c r="AD310" s="717"/>
      <c r="AE310" s="826"/>
      <c r="AF310" s="826"/>
      <c r="AG310" s="744"/>
      <c r="AH310" s="728"/>
      <c r="AI310" s="519"/>
      <c r="AJ310" s="519"/>
      <c r="AK310" s="519"/>
      <c r="AL310" s="520"/>
      <c r="AM310" s="520"/>
      <c r="AN310" s="520"/>
      <c r="AO310" s="520"/>
      <c r="AP310" s="719"/>
      <c r="AQ310" s="719"/>
      <c r="AR310" s="719"/>
      <c r="AS310" s="719"/>
      <c r="AT310" s="719"/>
    </row>
    <row r="311" spans="1:47" s="555" customFormat="1" ht="22.5" customHeight="1">
      <c r="A311" s="451"/>
      <c r="B311" s="531" t="s">
        <v>1026</v>
      </c>
      <c r="C311" s="523" t="s">
        <v>1047</v>
      </c>
      <c r="D311" s="1203" t="s">
        <v>1127</v>
      </c>
      <c r="E311" s="525" t="s">
        <v>319</v>
      </c>
      <c r="F311" s="1314">
        <f>K311</f>
        <v>66</v>
      </c>
      <c r="G311" s="527">
        <f>ROUNDUP(AA311,2)</f>
        <v>61.2</v>
      </c>
      <c r="H311" s="528">
        <f>ROUND(F311*G311,2)</f>
        <v>4039.2</v>
      </c>
      <c r="I311" s="529"/>
      <c r="J311" s="309"/>
      <c r="K311" s="1175">
        <v>66</v>
      </c>
      <c r="L311" s="530">
        <f>ROUND(AD311,2)</f>
        <v>7.88</v>
      </c>
      <c r="M311" s="530">
        <f>ROUND(L311*F311,2)</f>
        <v>520.08000000000004</v>
      </c>
      <c r="N311" s="309"/>
      <c r="O311" s="778" t="s">
        <v>154</v>
      </c>
      <c r="P311" s="777"/>
      <c r="Q311" s="777"/>
      <c r="R311" s="751"/>
      <c r="S311" s="752">
        <v>1250000</v>
      </c>
      <c r="T311" s="792">
        <v>6</v>
      </c>
      <c r="U311" s="803">
        <v>0</v>
      </c>
      <c r="V311" s="803">
        <v>0</v>
      </c>
      <c r="W311" s="803">
        <v>0</v>
      </c>
      <c r="X311" s="858">
        <f>SUMIF('Summary-E'!O$4:O$50,D311,'Summary-E'!Q$4:Q$50)</f>
        <v>0.97</v>
      </c>
      <c r="Y311" s="310">
        <f>ROUND((R311+S311/'[7]Summary E&amp;M'!$M$104)*X311,2)</f>
        <v>58.29</v>
      </c>
      <c r="Z311" s="858">
        <f t="shared" si="219"/>
        <v>1.05</v>
      </c>
      <c r="AA311" s="813">
        <f>ROUND(Y311*Z311,2)</f>
        <v>61.2</v>
      </c>
      <c r="AB311" s="447">
        <f>$AB$3</f>
        <v>0.05</v>
      </c>
      <c r="AC311" s="310">
        <f t="shared" ref="AC311:AC319" si="312">ROUND((T311*(1+AB311)),2)</f>
        <v>6.3</v>
      </c>
      <c r="AD311" s="717">
        <f>ROUND(AC311*'[8]Summary E&amp;M'!$R$94,2)</f>
        <v>7.88</v>
      </c>
      <c r="AE311" s="826">
        <f>ROUND($K311*$Y311,2)</f>
        <v>3847.14</v>
      </c>
      <c r="AF311" s="826">
        <f>ROUND($K311*$AC311,2)</f>
        <v>415.8</v>
      </c>
      <c r="AG311" s="744"/>
      <c r="AH311" s="728"/>
      <c r="AI311" s="519">
        <f>$U311</f>
        <v>0</v>
      </c>
      <c r="AJ311" s="519">
        <f>$V311</f>
        <v>0</v>
      </c>
      <c r="AK311" s="519">
        <f>$W311</f>
        <v>0</v>
      </c>
      <c r="AL311" s="520">
        <f>ROUND(Y311*AI311+((Y311*(1+AI311))*AJ311)+((Y311*AI311+((Y311*(1+AI311))*AJ311))*AK311),2)</f>
        <v>0</v>
      </c>
      <c r="AM311" s="520">
        <f>AL311*$F311</f>
        <v>0</v>
      </c>
      <c r="AN311" s="520">
        <f>ROUND(AL311*Z311,2)</f>
        <v>0</v>
      </c>
      <c r="AO311" s="520">
        <f>AN311*$F311</f>
        <v>0</v>
      </c>
      <c r="AP311" s="719"/>
      <c r="AQ311" s="719"/>
      <c r="AR311" s="719"/>
      <c r="AS311" s="719"/>
      <c r="AT311" s="719"/>
    </row>
    <row r="312" spans="1:47" s="555" customFormat="1" ht="22.5" customHeight="1">
      <c r="A312" s="451"/>
      <c r="B312" s="531" t="s">
        <v>781</v>
      </c>
      <c r="C312" s="523" t="s">
        <v>788</v>
      </c>
      <c r="D312" s="1203" t="s">
        <v>1112</v>
      </c>
      <c r="E312" s="525" t="s">
        <v>321</v>
      </c>
      <c r="F312" s="1314">
        <f>ROUND(K312*'[4]Summary E&amp;M'!$K$101,0)</f>
        <v>208</v>
      </c>
      <c r="G312" s="527">
        <f t="shared" ref="G312:G319" si="313">ROUNDUP(AA312,2)</f>
        <v>3</v>
      </c>
      <c r="H312" s="528">
        <f t="shared" ref="H312:H319" si="314">ROUND(F312*G312,2)</f>
        <v>624</v>
      </c>
      <c r="I312" s="529"/>
      <c r="J312" s="309"/>
      <c r="K312" s="1149">
        <f>K311*3</f>
        <v>198</v>
      </c>
      <c r="L312" s="530">
        <f t="shared" ref="L312:L319" si="315">ROUND(AD312,2)</f>
        <v>0.59</v>
      </c>
      <c r="M312" s="530">
        <f t="shared" ref="M312:M319" si="316">ROUND(L312*F312,2)</f>
        <v>122.72</v>
      </c>
      <c r="N312" s="309"/>
      <c r="O312" s="778" t="s">
        <v>131</v>
      </c>
      <c r="P312" s="777"/>
      <c r="Q312" s="777"/>
      <c r="R312" s="751"/>
      <c r="S312" s="752">
        <v>59400</v>
      </c>
      <c r="T312" s="792">
        <v>0.45</v>
      </c>
      <c r="U312" s="803">
        <v>0</v>
      </c>
      <c r="V312" s="803">
        <v>0</v>
      </c>
      <c r="W312" s="803">
        <v>0</v>
      </c>
      <c r="X312" s="858">
        <v>1</v>
      </c>
      <c r="Y312" s="310">
        <f>ROUND((R312+S312/'[7]Summary E&amp;M'!$M$104)*X312,2)</f>
        <v>2.86</v>
      </c>
      <c r="Z312" s="858">
        <f t="shared" si="219"/>
        <v>1.05</v>
      </c>
      <c r="AA312" s="813">
        <f t="shared" ref="AA312:AA319" si="317">ROUND(Y312*Z312,2)</f>
        <v>3</v>
      </c>
      <c r="AB312" s="447">
        <f t="shared" ref="AB312:AB319" si="318">$AB$3</f>
        <v>0.05</v>
      </c>
      <c r="AC312" s="310">
        <f t="shared" si="312"/>
        <v>0.47</v>
      </c>
      <c r="AD312" s="717">
        <f>ROUND(AC312*'[8]Summary E&amp;M'!$R$94,2)</f>
        <v>0.59</v>
      </c>
      <c r="AE312" s="826">
        <f t="shared" ref="AE312:AE319" si="319">ROUND($K312*$Y312,2)</f>
        <v>566.28</v>
      </c>
      <c r="AF312" s="826">
        <f t="shared" ref="AF312:AF319" si="320">ROUND($K312*$AC312,2)</f>
        <v>93.06</v>
      </c>
      <c r="AG312" s="744"/>
      <c r="AH312" s="732"/>
      <c r="AI312" s="723"/>
      <c r="AJ312" s="519">
        <f>$U312</f>
        <v>0</v>
      </c>
      <c r="AK312" s="519">
        <f>$V312</f>
        <v>0</v>
      </c>
      <c r="AL312" s="519">
        <f>$W312</f>
        <v>0</v>
      </c>
      <c r="AM312" s="520">
        <f>ROUND(Y312*AJ312+((Y312*(1+AJ312))*AK312)+((Y312*AJ312+((Y312*(1+AJ312))*AK312))*AL312),2)</f>
        <v>0</v>
      </c>
      <c r="AN312" s="520">
        <f>AM312*$F312</f>
        <v>0</v>
      </c>
      <c r="AO312" s="520">
        <f>ROUND(AM312*Z312,2)</f>
        <v>0</v>
      </c>
      <c r="AP312" s="520">
        <f>AO312*$F312</f>
        <v>0</v>
      </c>
      <c r="AQ312" s="719"/>
      <c r="AR312" s="719"/>
      <c r="AS312" s="719"/>
      <c r="AT312" s="719"/>
      <c r="AU312" s="643"/>
    </row>
    <row r="313" spans="1:47" s="555" customFormat="1" ht="22.5" customHeight="1">
      <c r="A313" s="451"/>
      <c r="B313" s="531" t="s">
        <v>734</v>
      </c>
      <c r="C313" s="566" t="s">
        <v>789</v>
      </c>
      <c r="D313" s="525">
        <v>121</v>
      </c>
      <c r="E313" s="524" t="s">
        <v>321</v>
      </c>
      <c r="F313" s="1314">
        <f>ROUND(K313*'[4]Summary E&amp;M'!$K$101,0)</f>
        <v>79</v>
      </c>
      <c r="G313" s="527">
        <f t="shared" si="313"/>
        <v>11.16</v>
      </c>
      <c r="H313" s="527">
        <f>ROUND(F313*G313,2)</f>
        <v>881.64</v>
      </c>
      <c r="I313" s="567"/>
      <c r="J313" s="309"/>
      <c r="K313" s="1149">
        <v>75</v>
      </c>
      <c r="L313" s="530">
        <f>ROUND(AD313,2)</f>
        <v>3.68</v>
      </c>
      <c r="M313" s="530">
        <f t="shared" si="316"/>
        <v>290.72000000000003</v>
      </c>
      <c r="N313" s="309"/>
      <c r="O313" s="776">
        <v>121</v>
      </c>
      <c r="P313" s="777"/>
      <c r="Q313" s="777"/>
      <c r="R313" s="751"/>
      <c r="S313" s="752">
        <f>149000+72000</f>
        <v>221000</v>
      </c>
      <c r="T313" s="792">
        <v>2.8</v>
      </c>
      <c r="U313" s="803">
        <v>0</v>
      </c>
      <c r="V313" s="803">
        <v>0</v>
      </c>
      <c r="W313" s="803">
        <v>0</v>
      </c>
      <c r="X313" s="858">
        <v>1</v>
      </c>
      <c r="Y313" s="310">
        <f>ROUND((R313+S313/'[7]Summary E&amp;M'!$M$104)*X313,2)</f>
        <v>10.63</v>
      </c>
      <c r="Z313" s="858">
        <f t="shared" si="219"/>
        <v>1.05</v>
      </c>
      <c r="AA313" s="813">
        <f>ROUND(Y313*Z313,2)</f>
        <v>11.16</v>
      </c>
      <c r="AB313" s="447">
        <f t="shared" si="318"/>
        <v>0.05</v>
      </c>
      <c r="AC313" s="310">
        <f t="shared" si="312"/>
        <v>2.94</v>
      </c>
      <c r="AD313" s="717">
        <f>ROUND(AC313*'[8]Summary E&amp;M'!$R$94,2)</f>
        <v>3.68</v>
      </c>
      <c r="AE313" s="825">
        <f t="shared" si="319"/>
        <v>797.25</v>
      </c>
      <c r="AF313" s="825">
        <f t="shared" si="320"/>
        <v>220.5</v>
      </c>
      <c r="AG313" s="743"/>
      <c r="AH313" s="728"/>
      <c r="AI313" s="519">
        <f t="shared" ref="AI313:AI319" si="321">$U313</f>
        <v>0</v>
      </c>
      <c r="AJ313" s="519">
        <f t="shared" ref="AJ313:AJ319" si="322">$V313</f>
        <v>0</v>
      </c>
      <c r="AK313" s="519">
        <f t="shared" ref="AK313:AK319" si="323">$W313</f>
        <v>0</v>
      </c>
      <c r="AL313" s="520">
        <f t="shared" ref="AL313:AL319" si="324">ROUND(Y313*AI313+((Y313*(1+AI313))*AJ313)+((Y313*AI313+((Y313*(1+AI313))*AJ313))*AK313),2)</f>
        <v>0</v>
      </c>
      <c r="AM313" s="520">
        <f t="shared" ref="AM313:AM319" si="325">AL313*$F313</f>
        <v>0</v>
      </c>
      <c r="AN313" s="520">
        <f t="shared" ref="AN313:AN319" si="326">ROUND(AL313*Z313,2)</f>
        <v>0</v>
      </c>
      <c r="AO313" s="520">
        <f t="shared" ref="AO313:AO319" si="327">AN313*$F313</f>
        <v>0</v>
      </c>
      <c r="AP313" s="552"/>
      <c r="AQ313" s="552"/>
      <c r="AR313" s="552"/>
      <c r="AS313" s="552"/>
      <c r="AT313" s="552"/>
    </row>
    <row r="314" spans="1:47" s="555" customFormat="1" ht="22.5" customHeight="1">
      <c r="A314" s="451"/>
      <c r="B314" s="531" t="s">
        <v>734</v>
      </c>
      <c r="C314" s="566" t="s">
        <v>790</v>
      </c>
      <c r="D314" s="525">
        <v>121</v>
      </c>
      <c r="E314" s="524" t="s">
        <v>321</v>
      </c>
      <c r="F314" s="1314">
        <f>ROUND(K314*'[4]Summary E&amp;M'!$K$101,0)</f>
        <v>105</v>
      </c>
      <c r="G314" s="527">
        <f t="shared" si="313"/>
        <v>5.81</v>
      </c>
      <c r="H314" s="527">
        <f>ROUND(F314*G314,2)</f>
        <v>610.04999999999995</v>
      </c>
      <c r="I314" s="567"/>
      <c r="J314" s="309"/>
      <c r="K314" s="1149">
        <v>100</v>
      </c>
      <c r="L314" s="530">
        <f>ROUND(AD314,2)</f>
        <v>1.58</v>
      </c>
      <c r="M314" s="530">
        <f t="shared" si="316"/>
        <v>165.9</v>
      </c>
      <c r="N314" s="309"/>
      <c r="O314" s="776">
        <v>121</v>
      </c>
      <c r="P314" s="777"/>
      <c r="Q314" s="777"/>
      <c r="R314" s="751"/>
      <c r="S314" s="752">
        <v>115000</v>
      </c>
      <c r="T314" s="792">
        <v>1.2</v>
      </c>
      <c r="U314" s="803">
        <v>0</v>
      </c>
      <c r="V314" s="803">
        <v>0</v>
      </c>
      <c r="W314" s="803">
        <v>0</v>
      </c>
      <c r="X314" s="858">
        <v>1</v>
      </c>
      <c r="Y314" s="310">
        <f>ROUND((R314+S314/'[7]Summary E&amp;M'!$M$104)*X314,2)</f>
        <v>5.53</v>
      </c>
      <c r="Z314" s="858">
        <f t="shared" si="219"/>
        <v>1.05</v>
      </c>
      <c r="AA314" s="813">
        <f>ROUND(Y314*Z314,2)</f>
        <v>5.81</v>
      </c>
      <c r="AB314" s="447">
        <f t="shared" si="318"/>
        <v>0.05</v>
      </c>
      <c r="AC314" s="310">
        <f t="shared" si="312"/>
        <v>1.26</v>
      </c>
      <c r="AD314" s="717">
        <f>ROUND(AC314*'[8]Summary E&amp;M'!$R$94,2)</f>
        <v>1.58</v>
      </c>
      <c r="AE314" s="825">
        <f t="shared" si="319"/>
        <v>553</v>
      </c>
      <c r="AF314" s="825">
        <f t="shared" si="320"/>
        <v>126</v>
      </c>
      <c r="AG314" s="743"/>
      <c r="AH314" s="728"/>
      <c r="AI314" s="519">
        <f t="shared" si="321"/>
        <v>0</v>
      </c>
      <c r="AJ314" s="519">
        <f t="shared" si="322"/>
        <v>0</v>
      </c>
      <c r="AK314" s="519">
        <f t="shared" si="323"/>
        <v>0</v>
      </c>
      <c r="AL314" s="520">
        <f t="shared" si="324"/>
        <v>0</v>
      </c>
      <c r="AM314" s="520">
        <f t="shared" si="325"/>
        <v>0</v>
      </c>
      <c r="AN314" s="520">
        <f t="shared" si="326"/>
        <v>0</v>
      </c>
      <c r="AO314" s="520">
        <f t="shared" si="327"/>
        <v>0</v>
      </c>
      <c r="AP314" s="552"/>
      <c r="AQ314" s="552"/>
      <c r="AR314" s="552"/>
      <c r="AS314" s="552"/>
      <c r="AT314" s="552"/>
    </row>
    <row r="315" spans="1:47" s="555" customFormat="1" ht="22.5" customHeight="1">
      <c r="A315" s="570"/>
      <c r="B315" s="568" t="s">
        <v>333</v>
      </c>
      <c r="C315" s="569"/>
      <c r="D315" s="525">
        <v>121</v>
      </c>
      <c r="E315" s="571" t="s">
        <v>322</v>
      </c>
      <c r="F315" s="1322">
        <f>K315</f>
        <v>1</v>
      </c>
      <c r="G315" s="527">
        <f t="shared" si="313"/>
        <v>173.02</v>
      </c>
      <c r="H315" s="527">
        <f t="shared" si="314"/>
        <v>173.02</v>
      </c>
      <c r="I315" s="567"/>
      <c r="J315" s="309"/>
      <c r="K315" s="1149">
        <v>1</v>
      </c>
      <c r="L315" s="530">
        <f t="shared" si="315"/>
        <v>22.3</v>
      </c>
      <c r="M315" s="530">
        <f t="shared" si="316"/>
        <v>22.3</v>
      </c>
      <c r="N315" s="309"/>
      <c r="O315" s="778" t="s">
        <v>683</v>
      </c>
      <c r="P315" s="777">
        <v>0.3</v>
      </c>
      <c r="Q315" s="777"/>
      <c r="R315" s="751">
        <f>ROUND(SUM(AE312:AE312)*P315,2)</f>
        <v>169.88</v>
      </c>
      <c r="S315" s="752"/>
      <c r="T315" s="792">
        <f>ROUND(R315*10%,2)</f>
        <v>16.989999999999998</v>
      </c>
      <c r="U315" s="803">
        <v>0</v>
      </c>
      <c r="V315" s="803">
        <v>0</v>
      </c>
      <c r="W315" s="803">
        <v>0</v>
      </c>
      <c r="X315" s="858">
        <f>SUMIF('Summary-E'!O$4:O$50,D315,'Summary-E'!Q$4:Q$50)</f>
        <v>0.97</v>
      </c>
      <c r="Y315" s="310">
        <f>ROUND((R315+S315/'[7]Summary E&amp;M'!$M$104)*X315,2)</f>
        <v>164.78</v>
      </c>
      <c r="Z315" s="858">
        <f t="shared" si="219"/>
        <v>1.05</v>
      </c>
      <c r="AA315" s="813">
        <f t="shared" si="317"/>
        <v>173.02</v>
      </c>
      <c r="AB315" s="447">
        <f t="shared" si="318"/>
        <v>0.05</v>
      </c>
      <c r="AC315" s="310">
        <f t="shared" si="312"/>
        <v>17.84</v>
      </c>
      <c r="AD315" s="717">
        <f>ROUND(AC315*'[8]Summary E&amp;M'!$R$94,2)</f>
        <v>22.3</v>
      </c>
      <c r="AE315" s="825">
        <f t="shared" si="319"/>
        <v>164.78</v>
      </c>
      <c r="AF315" s="825">
        <f t="shared" si="320"/>
        <v>17.84</v>
      </c>
      <c r="AG315" s="743"/>
      <c r="AH315" s="728"/>
      <c r="AI315" s="519">
        <f t="shared" si="321"/>
        <v>0</v>
      </c>
      <c r="AJ315" s="519">
        <f t="shared" si="322"/>
        <v>0</v>
      </c>
      <c r="AK315" s="519">
        <f t="shared" si="323"/>
        <v>0</v>
      </c>
      <c r="AL315" s="520">
        <f t="shared" si="324"/>
        <v>0</v>
      </c>
      <c r="AM315" s="520">
        <f t="shared" si="325"/>
        <v>0</v>
      </c>
      <c r="AN315" s="520">
        <f t="shared" si="326"/>
        <v>0</v>
      </c>
      <c r="AO315" s="520">
        <f t="shared" si="327"/>
        <v>0</v>
      </c>
      <c r="AP315" s="552"/>
      <c r="AQ315" s="552"/>
      <c r="AR315" s="552"/>
      <c r="AS315" s="552"/>
      <c r="AT315" s="552"/>
    </row>
    <row r="316" spans="1:47" s="555" customFormat="1" ht="22.5" customHeight="1">
      <c r="A316" s="451"/>
      <c r="B316" s="531" t="s">
        <v>334</v>
      </c>
      <c r="C316" s="566"/>
      <c r="D316" s="525" t="s">
        <v>139</v>
      </c>
      <c r="E316" s="524" t="s">
        <v>322</v>
      </c>
      <c r="F316" s="1322">
        <f>K316</f>
        <v>1</v>
      </c>
      <c r="G316" s="527">
        <f t="shared" si="313"/>
        <v>86.51</v>
      </c>
      <c r="H316" s="527">
        <f t="shared" si="314"/>
        <v>86.51</v>
      </c>
      <c r="I316" s="567"/>
      <c r="J316" s="309"/>
      <c r="K316" s="1149">
        <v>1</v>
      </c>
      <c r="L316" s="530">
        <f t="shared" si="315"/>
        <v>11.14</v>
      </c>
      <c r="M316" s="530">
        <f t="shared" si="316"/>
        <v>11.14</v>
      </c>
      <c r="N316" s="309"/>
      <c r="O316" s="778" t="s">
        <v>130</v>
      </c>
      <c r="P316" s="777">
        <v>0.15</v>
      </c>
      <c r="Q316" s="777"/>
      <c r="R316" s="751">
        <f>ROUND(SUM(AE312:AE312)*P316,2)</f>
        <v>84.94</v>
      </c>
      <c r="S316" s="752"/>
      <c r="T316" s="792">
        <f>ROUND(R316*10%,2)</f>
        <v>8.49</v>
      </c>
      <c r="U316" s="803">
        <v>0</v>
      </c>
      <c r="V316" s="803">
        <v>0</v>
      </c>
      <c r="W316" s="803">
        <v>0</v>
      </c>
      <c r="X316" s="858">
        <f>SUMIF('Summary-E'!O$4:O$50,D316,'Summary-E'!Q$4:Q$50)</f>
        <v>0.97</v>
      </c>
      <c r="Y316" s="310">
        <f>ROUND((R316+S316/'[7]Summary E&amp;M'!$M$104)*X316,2)</f>
        <v>82.39</v>
      </c>
      <c r="Z316" s="858">
        <f t="shared" si="219"/>
        <v>1.05</v>
      </c>
      <c r="AA316" s="813">
        <f t="shared" si="317"/>
        <v>86.51</v>
      </c>
      <c r="AB316" s="447">
        <f t="shared" si="318"/>
        <v>0.05</v>
      </c>
      <c r="AC316" s="310">
        <f t="shared" si="312"/>
        <v>8.91</v>
      </c>
      <c r="AD316" s="717">
        <f>ROUND(AC316*'[8]Summary E&amp;M'!$R$94,2)</f>
        <v>11.14</v>
      </c>
      <c r="AE316" s="825">
        <f t="shared" si="319"/>
        <v>82.39</v>
      </c>
      <c r="AF316" s="825">
        <f t="shared" si="320"/>
        <v>8.91</v>
      </c>
      <c r="AG316" s="743"/>
      <c r="AH316" s="728"/>
      <c r="AI316" s="519">
        <f t="shared" si="321"/>
        <v>0</v>
      </c>
      <c r="AJ316" s="519">
        <f t="shared" si="322"/>
        <v>0</v>
      </c>
      <c r="AK316" s="519">
        <f t="shared" si="323"/>
        <v>0</v>
      </c>
      <c r="AL316" s="520">
        <f t="shared" si="324"/>
        <v>0</v>
      </c>
      <c r="AM316" s="520">
        <f t="shared" si="325"/>
        <v>0</v>
      </c>
      <c r="AN316" s="520">
        <f t="shared" si="326"/>
        <v>0</v>
      </c>
      <c r="AO316" s="520">
        <f t="shared" si="327"/>
        <v>0</v>
      </c>
      <c r="AP316" s="552"/>
      <c r="AQ316" s="552"/>
      <c r="AR316" s="552"/>
      <c r="AS316" s="552"/>
      <c r="AT316" s="552"/>
    </row>
    <row r="317" spans="1:47" s="555" customFormat="1" ht="22.5" customHeight="1">
      <c r="A317" s="451"/>
      <c r="B317" s="531" t="s">
        <v>332</v>
      </c>
      <c r="C317" s="566" t="s">
        <v>1048</v>
      </c>
      <c r="D317" s="525">
        <v>131</v>
      </c>
      <c r="E317" s="524" t="s">
        <v>321</v>
      </c>
      <c r="F317" s="1314">
        <f>ROUND(K317*'[4]Summary E&amp;M'!$K$100,0)</f>
        <v>1940</v>
      </c>
      <c r="G317" s="527">
        <f t="shared" si="313"/>
        <v>1.5</v>
      </c>
      <c r="H317" s="527">
        <f t="shared" si="314"/>
        <v>2910</v>
      </c>
      <c r="I317" s="567"/>
      <c r="J317" s="309"/>
      <c r="K317" s="1149">
        <f>K311*28</f>
        <v>1848</v>
      </c>
      <c r="L317" s="530">
        <f t="shared" si="315"/>
        <v>0.53</v>
      </c>
      <c r="M317" s="530">
        <f t="shared" si="316"/>
        <v>1028.2</v>
      </c>
      <c r="N317" s="309"/>
      <c r="O317" s="776">
        <v>131</v>
      </c>
      <c r="P317" s="777"/>
      <c r="Q317" s="777"/>
      <c r="R317" s="751"/>
      <c r="S317" s="752">
        <f>1.05*29140</f>
        <v>30597</v>
      </c>
      <c r="T317" s="792">
        <v>0.4</v>
      </c>
      <c r="U317" s="803">
        <v>0</v>
      </c>
      <c r="V317" s="803">
        <v>0</v>
      </c>
      <c r="W317" s="803">
        <v>0</v>
      </c>
      <c r="X317" s="858">
        <f>SUMIF('Summary-E'!O$4:O$50,D317,'Summary-E'!Q$4:Q$50)</f>
        <v>0.97</v>
      </c>
      <c r="Y317" s="310">
        <f>ROUND((R317+S317/'[7]Summary E&amp;M'!$M$104)*X317,2)</f>
        <v>1.43</v>
      </c>
      <c r="Z317" s="858">
        <f t="shared" si="219"/>
        <v>1.05</v>
      </c>
      <c r="AA317" s="813">
        <f t="shared" si="317"/>
        <v>1.5</v>
      </c>
      <c r="AB317" s="447">
        <f t="shared" si="318"/>
        <v>0.05</v>
      </c>
      <c r="AC317" s="310">
        <f t="shared" si="312"/>
        <v>0.42</v>
      </c>
      <c r="AD317" s="717">
        <f>ROUND(AC317*'[8]Summary E&amp;M'!$R$94,2)</f>
        <v>0.53</v>
      </c>
      <c r="AE317" s="825">
        <f t="shared" si="319"/>
        <v>2642.64</v>
      </c>
      <c r="AF317" s="825">
        <f t="shared" si="320"/>
        <v>776.16</v>
      </c>
      <c r="AG317" s="743"/>
      <c r="AH317" s="728"/>
      <c r="AI317" s="519">
        <f t="shared" si="321"/>
        <v>0</v>
      </c>
      <c r="AJ317" s="519">
        <f t="shared" si="322"/>
        <v>0</v>
      </c>
      <c r="AK317" s="519">
        <f t="shared" si="323"/>
        <v>0</v>
      </c>
      <c r="AL317" s="520">
        <f t="shared" si="324"/>
        <v>0</v>
      </c>
      <c r="AM317" s="520">
        <f t="shared" si="325"/>
        <v>0</v>
      </c>
      <c r="AN317" s="520">
        <f t="shared" si="326"/>
        <v>0</v>
      </c>
      <c r="AO317" s="520">
        <f t="shared" si="327"/>
        <v>0</v>
      </c>
      <c r="AP317" s="552"/>
      <c r="AQ317" s="552"/>
      <c r="AR317" s="552"/>
      <c r="AS317" s="552"/>
      <c r="AT317" s="552"/>
    </row>
    <row r="318" spans="1:47" s="555" customFormat="1" ht="22.5" customHeight="1">
      <c r="A318" s="570"/>
      <c r="B318" s="531" t="s">
        <v>122</v>
      </c>
      <c r="C318" s="569"/>
      <c r="D318" s="525" t="s">
        <v>690</v>
      </c>
      <c r="E318" s="571" t="s">
        <v>322</v>
      </c>
      <c r="F318" s="1322">
        <f>K318</f>
        <v>1</v>
      </c>
      <c r="G318" s="527">
        <f t="shared" si="313"/>
        <v>80.75</v>
      </c>
      <c r="H318" s="527">
        <f t="shared" si="314"/>
        <v>80.75</v>
      </c>
      <c r="I318" s="567"/>
      <c r="J318" s="309"/>
      <c r="K318" s="1149">
        <v>1</v>
      </c>
      <c r="L318" s="530">
        <f t="shared" si="315"/>
        <v>10.41</v>
      </c>
      <c r="M318" s="530">
        <f t="shared" si="316"/>
        <v>10.41</v>
      </c>
      <c r="N318" s="309"/>
      <c r="O318" s="778" t="s">
        <v>690</v>
      </c>
      <c r="P318" s="777">
        <v>0.03</v>
      </c>
      <c r="Q318" s="777"/>
      <c r="R318" s="751">
        <f>ROUND(SUM(AE317:AE317)*P318,2)</f>
        <v>79.28</v>
      </c>
      <c r="S318" s="752"/>
      <c r="T318" s="792">
        <f>ROUND(R318*10%,2)</f>
        <v>7.93</v>
      </c>
      <c r="U318" s="803">
        <v>0</v>
      </c>
      <c r="V318" s="803">
        <v>0</v>
      </c>
      <c r="W318" s="803">
        <v>0</v>
      </c>
      <c r="X318" s="858">
        <f>SUMIF('Summary-E'!O$4:O$50,D318,'Summary-E'!Q$4:Q$50)</f>
        <v>0.97</v>
      </c>
      <c r="Y318" s="310">
        <f>ROUND((R318+S318/'[7]Summary E&amp;M'!$M$104)*X318,2)</f>
        <v>76.900000000000006</v>
      </c>
      <c r="Z318" s="858">
        <f t="shared" si="219"/>
        <v>1.05</v>
      </c>
      <c r="AA318" s="813">
        <f t="shared" si="317"/>
        <v>80.75</v>
      </c>
      <c r="AB318" s="447">
        <f t="shared" si="318"/>
        <v>0.05</v>
      </c>
      <c r="AC318" s="310">
        <f t="shared" si="312"/>
        <v>8.33</v>
      </c>
      <c r="AD318" s="717">
        <f>ROUND(AC318*'[8]Summary E&amp;M'!$R$94,2)</f>
        <v>10.41</v>
      </c>
      <c r="AE318" s="825">
        <f t="shared" si="319"/>
        <v>76.900000000000006</v>
      </c>
      <c r="AF318" s="825">
        <f t="shared" si="320"/>
        <v>8.33</v>
      </c>
      <c r="AG318" s="743"/>
      <c r="AH318" s="728"/>
      <c r="AI318" s="519">
        <f t="shared" si="321"/>
        <v>0</v>
      </c>
      <c r="AJ318" s="519">
        <f t="shared" si="322"/>
        <v>0</v>
      </c>
      <c r="AK318" s="519">
        <f t="shared" si="323"/>
        <v>0</v>
      </c>
      <c r="AL318" s="520">
        <f t="shared" si="324"/>
        <v>0</v>
      </c>
      <c r="AM318" s="520">
        <f t="shared" si="325"/>
        <v>0</v>
      </c>
      <c r="AN318" s="520">
        <f t="shared" si="326"/>
        <v>0</v>
      </c>
      <c r="AO318" s="520">
        <f t="shared" si="327"/>
        <v>0</v>
      </c>
      <c r="AP318" s="552"/>
      <c r="AQ318" s="552"/>
      <c r="AR318" s="552"/>
      <c r="AS318" s="552"/>
      <c r="AT318" s="552"/>
    </row>
    <row r="319" spans="1:47" s="555" customFormat="1" ht="22.5" customHeight="1">
      <c r="A319" s="570"/>
      <c r="B319" s="568" t="s">
        <v>401</v>
      </c>
      <c r="C319" s="569"/>
      <c r="D319" s="570">
        <v>159</v>
      </c>
      <c r="E319" s="571" t="s">
        <v>322</v>
      </c>
      <c r="F319" s="1322">
        <f>K319</f>
        <v>1</v>
      </c>
      <c r="G319" s="527">
        <f t="shared" si="313"/>
        <v>444.59</v>
      </c>
      <c r="H319" s="527">
        <f t="shared" si="314"/>
        <v>444.59</v>
      </c>
      <c r="I319" s="567"/>
      <c r="J319" s="309"/>
      <c r="K319" s="1149">
        <v>1</v>
      </c>
      <c r="L319" s="530">
        <f t="shared" si="315"/>
        <v>85.94</v>
      </c>
      <c r="M319" s="530">
        <f t="shared" si="316"/>
        <v>85.94</v>
      </c>
      <c r="N319" s="309"/>
      <c r="O319" s="778">
        <v>159</v>
      </c>
      <c r="P319" s="777">
        <v>0.05</v>
      </c>
      <c r="Q319" s="777"/>
      <c r="R319" s="751">
        <f>ROUND(SUM(AE310:AE318)*P319,2)</f>
        <v>436.52</v>
      </c>
      <c r="S319" s="752"/>
      <c r="T319" s="792">
        <f>R319*0.15</f>
        <v>65.477999999999994</v>
      </c>
      <c r="U319" s="803">
        <v>0</v>
      </c>
      <c r="V319" s="803">
        <v>0</v>
      </c>
      <c r="W319" s="803">
        <v>0</v>
      </c>
      <c r="X319" s="858">
        <f>SUMIF('Summary-E'!O$4:O$50,D319,'Summary-E'!Q$4:Q$50)</f>
        <v>0.97</v>
      </c>
      <c r="Y319" s="310">
        <f>ROUND((R319+S319/'[7]Summary E&amp;M'!$M$104)*X319,2)</f>
        <v>423.42</v>
      </c>
      <c r="Z319" s="858">
        <f t="shared" si="219"/>
        <v>1.05</v>
      </c>
      <c r="AA319" s="813">
        <f t="shared" si="317"/>
        <v>444.59</v>
      </c>
      <c r="AB319" s="447">
        <f t="shared" si="318"/>
        <v>0.05</v>
      </c>
      <c r="AC319" s="310">
        <f t="shared" si="312"/>
        <v>68.75</v>
      </c>
      <c r="AD319" s="717">
        <f>ROUND(AC319*'[8]Summary E&amp;M'!$R$94,2)</f>
        <v>85.94</v>
      </c>
      <c r="AE319" s="825">
        <f t="shared" si="319"/>
        <v>423.42</v>
      </c>
      <c r="AF319" s="825">
        <f t="shared" si="320"/>
        <v>68.75</v>
      </c>
      <c r="AG319" s="743"/>
      <c r="AH319" s="728"/>
      <c r="AI319" s="519">
        <f t="shared" si="321"/>
        <v>0</v>
      </c>
      <c r="AJ319" s="519">
        <f t="shared" si="322"/>
        <v>0</v>
      </c>
      <c r="AK319" s="519">
        <f t="shared" si="323"/>
        <v>0</v>
      </c>
      <c r="AL319" s="520">
        <f t="shared" si="324"/>
        <v>0</v>
      </c>
      <c r="AM319" s="520">
        <f t="shared" si="325"/>
        <v>0</v>
      </c>
      <c r="AN319" s="520">
        <f t="shared" si="326"/>
        <v>0</v>
      </c>
      <c r="AO319" s="520">
        <f t="shared" si="327"/>
        <v>0</v>
      </c>
      <c r="AP319" s="552"/>
      <c r="AQ319" s="552"/>
      <c r="AR319" s="552"/>
      <c r="AS319" s="552"/>
      <c r="AT319" s="552"/>
    </row>
    <row r="320" spans="1:47" s="555" customFormat="1" ht="22.5" customHeight="1">
      <c r="A320" s="451"/>
      <c r="B320" s="531"/>
      <c r="C320" s="566"/>
      <c r="D320" s="525"/>
      <c r="E320" s="525"/>
      <c r="F320" s="1315"/>
      <c r="G320" s="528"/>
      <c r="H320" s="528"/>
      <c r="I320" s="529"/>
      <c r="J320" s="309"/>
      <c r="K320" s="1175"/>
      <c r="L320" s="530"/>
      <c r="M320" s="530"/>
      <c r="N320" s="309"/>
      <c r="O320" s="778"/>
      <c r="P320" s="777"/>
      <c r="Q320" s="777"/>
      <c r="R320" s="751"/>
      <c r="S320" s="752"/>
      <c r="T320" s="792"/>
      <c r="U320" s="803"/>
      <c r="V320" s="803"/>
      <c r="W320" s="803"/>
      <c r="X320" s="858">
        <f>SUMIF('Summary-E'!O$4:O$50,D320,'Summary-E'!Q$4:Q$50)</f>
        <v>0</v>
      </c>
      <c r="Y320" s="310"/>
      <c r="Z320" s="858">
        <f t="shared" si="219"/>
        <v>1.05</v>
      </c>
      <c r="AA320" s="813"/>
      <c r="AB320" s="447"/>
      <c r="AC320" s="310"/>
      <c r="AD320" s="717"/>
      <c r="AE320" s="826"/>
      <c r="AF320" s="826"/>
      <c r="AG320" s="731"/>
      <c r="AH320" s="732"/>
      <c r="AI320" s="519"/>
      <c r="AJ320" s="519"/>
      <c r="AK320" s="519"/>
      <c r="AL320" s="520"/>
      <c r="AM320" s="520"/>
      <c r="AN320" s="520"/>
      <c r="AO320" s="520"/>
      <c r="AP320" s="719"/>
      <c r="AQ320" s="719"/>
      <c r="AR320" s="719"/>
      <c r="AS320" s="719"/>
      <c r="AT320" s="719"/>
    </row>
    <row r="321" spans="1:46" s="555" customFormat="1" ht="22.5" customHeight="1">
      <c r="A321" s="620"/>
      <c r="B321" s="522" t="s">
        <v>1049</v>
      </c>
      <c r="C321" s="523"/>
      <c r="D321" s="524"/>
      <c r="E321" s="525"/>
      <c r="F321" s="1315"/>
      <c r="G321" s="527"/>
      <c r="H321" s="528"/>
      <c r="I321" s="529"/>
      <c r="J321" s="309"/>
      <c r="K321" s="1175"/>
      <c r="L321" s="530"/>
      <c r="M321" s="530"/>
      <c r="N321" s="309"/>
      <c r="O321" s="778"/>
      <c r="P321" s="777"/>
      <c r="Q321" s="777"/>
      <c r="R321" s="751"/>
      <c r="S321" s="752"/>
      <c r="T321" s="792"/>
      <c r="U321" s="803"/>
      <c r="V321" s="803"/>
      <c r="W321" s="803"/>
      <c r="X321" s="858">
        <f>SUMIF('Summary-E'!O$4:O$50,D321,'Summary-E'!Q$4:Q$50)</f>
        <v>0</v>
      </c>
      <c r="Y321" s="310">
        <f>ROUND((R321+S321/'Summary-E'!$M$63)*X321,2)</f>
        <v>0</v>
      </c>
      <c r="Z321" s="858">
        <f t="shared" si="219"/>
        <v>1.05</v>
      </c>
      <c r="AA321" s="813"/>
      <c r="AB321" s="447"/>
      <c r="AC321" s="310"/>
      <c r="AD321" s="717"/>
      <c r="AE321" s="826"/>
      <c r="AF321" s="826"/>
      <c r="AG321" s="744"/>
      <c r="AH321" s="728"/>
      <c r="AI321" s="519"/>
      <c r="AJ321" s="519"/>
      <c r="AK321" s="519"/>
      <c r="AL321" s="520"/>
      <c r="AM321" s="520"/>
      <c r="AN321" s="520"/>
      <c r="AO321" s="520"/>
      <c r="AP321" s="719"/>
      <c r="AQ321" s="719"/>
      <c r="AR321" s="719"/>
      <c r="AS321" s="719"/>
      <c r="AT321" s="719"/>
    </row>
    <row r="322" spans="1:46" s="555" customFormat="1" ht="22.5" customHeight="1">
      <c r="A322" s="451"/>
      <c r="B322" s="531" t="s">
        <v>1050</v>
      </c>
      <c r="C322" s="523"/>
      <c r="D322" s="524"/>
      <c r="E322" s="525" t="s">
        <v>322</v>
      </c>
      <c r="F322" s="1315">
        <f>K322</f>
        <v>1</v>
      </c>
      <c r="G322" s="1269" t="s">
        <v>1316</v>
      </c>
      <c r="H322" s="1270"/>
      <c r="I322" s="435" t="s">
        <v>137</v>
      </c>
      <c r="J322" s="309"/>
      <c r="K322" s="1175">
        <v>1</v>
      </c>
      <c r="L322" s="530">
        <f t="shared" ref="L322:L327" si="328">ROUND(AD322,2)</f>
        <v>0</v>
      </c>
      <c r="M322" s="530">
        <f>ROUND(L322*F322,2)</f>
        <v>0</v>
      </c>
      <c r="N322" s="309"/>
      <c r="O322" s="778" t="s">
        <v>154</v>
      </c>
      <c r="P322" s="777"/>
      <c r="Q322" s="777"/>
      <c r="R322" s="751"/>
      <c r="S322" s="752"/>
      <c r="T322" s="792"/>
      <c r="U322" s="803">
        <v>0</v>
      </c>
      <c r="V322" s="803">
        <v>0</v>
      </c>
      <c r="W322" s="803">
        <v>0</v>
      </c>
      <c r="X322" s="858">
        <f>SUMIF('Summary-E'!O$4:O$50,D322,'Summary-E'!Q$4:Q$50)</f>
        <v>0</v>
      </c>
      <c r="Y322" s="310">
        <f>ROUND((R322+S322/'[7]Summary E&amp;M'!$M$104)*X322,2)</f>
        <v>0</v>
      </c>
      <c r="Z322" s="858">
        <f t="shared" si="219"/>
        <v>1.05</v>
      </c>
      <c r="AA322" s="813">
        <f t="shared" ref="AA322:AA327" si="329">ROUND(Y322*Z322,2)</f>
        <v>0</v>
      </c>
      <c r="AB322" s="447">
        <f>$AB$3</f>
        <v>0.05</v>
      </c>
      <c r="AC322" s="310">
        <f t="shared" ref="AC322:AC332" si="330">ROUND((T322*(1+AB322)),2)</f>
        <v>0</v>
      </c>
      <c r="AD322" s="717">
        <f>ROUND(AC322*'[8]Summary E&amp;M'!$R$94,2)</f>
        <v>0</v>
      </c>
      <c r="AE322" s="826">
        <f>ROUND($K322*$Y322,2)</f>
        <v>0</v>
      </c>
      <c r="AF322" s="826">
        <f>ROUND($K322*$AC322,2)</f>
        <v>0</v>
      </c>
      <c r="AG322" s="744"/>
      <c r="AH322" s="728"/>
      <c r="AI322" s="519">
        <f>$U322</f>
        <v>0</v>
      </c>
      <c r="AJ322" s="519">
        <f>$V322</f>
        <v>0</v>
      </c>
      <c r="AK322" s="519">
        <f>$W322</f>
        <v>0</v>
      </c>
      <c r="AL322" s="520">
        <f>ROUND(Y322*AI322+((Y322*(1+AI322))*AJ322)+((Y322*AI322+((Y322*(1+AI322))*AJ322))*AK322),2)</f>
        <v>0</v>
      </c>
      <c r="AM322" s="520">
        <f>AL322*$F322</f>
        <v>0</v>
      </c>
      <c r="AN322" s="520">
        <f>ROUND(AL322*Z322,2)</f>
        <v>0</v>
      </c>
      <c r="AO322" s="520">
        <f>AN322*$F322</f>
        <v>0</v>
      </c>
      <c r="AP322" s="719"/>
      <c r="AQ322" s="719"/>
      <c r="AR322" s="719"/>
      <c r="AS322" s="719"/>
      <c r="AT322" s="719"/>
    </row>
    <row r="323" spans="1:46" s="555" customFormat="1" ht="22.5" customHeight="1">
      <c r="A323" s="451"/>
      <c r="B323" s="531" t="s">
        <v>1026</v>
      </c>
      <c r="C323" s="523" t="s">
        <v>1163</v>
      </c>
      <c r="D323" s="1240" t="s">
        <v>129</v>
      </c>
      <c r="E323" s="525" t="s">
        <v>319</v>
      </c>
      <c r="F323" s="1314">
        <f>ROUND(K323*'Summary-E'!$K$61,0)</f>
        <v>300</v>
      </c>
      <c r="G323" s="527">
        <f>ROUNDUP(AA323,2)</f>
        <v>7.64</v>
      </c>
      <c r="H323" s="528">
        <f>ROUND(F323*G323,2)</f>
        <v>2292</v>
      </c>
      <c r="I323" s="529"/>
      <c r="J323" s="309"/>
      <c r="K323" s="1097">
        <v>286</v>
      </c>
      <c r="L323" s="530">
        <f t="shared" si="328"/>
        <v>6.56</v>
      </c>
      <c r="M323" s="530">
        <f>ROUND(L323*F323,2)</f>
        <v>1968</v>
      </c>
      <c r="N323" s="309"/>
      <c r="O323" s="778" t="s">
        <v>154</v>
      </c>
      <c r="P323" s="777"/>
      <c r="Q323" s="777"/>
      <c r="R323" s="751"/>
      <c r="S323" s="752">
        <v>151480</v>
      </c>
      <c r="T323" s="792">
        <v>5</v>
      </c>
      <c r="U323" s="803">
        <v>0</v>
      </c>
      <c r="V323" s="803">
        <v>0</v>
      </c>
      <c r="W323" s="803">
        <v>0</v>
      </c>
      <c r="X323" s="858">
        <v>1</v>
      </c>
      <c r="Y323" s="310">
        <f>ROUND((R323+S323/'[7]Summary E&amp;M'!$M$104)*X323,2)</f>
        <v>7.28</v>
      </c>
      <c r="Z323" s="858">
        <f t="shared" si="219"/>
        <v>1.05</v>
      </c>
      <c r="AA323" s="813">
        <f t="shared" si="329"/>
        <v>7.64</v>
      </c>
      <c r="AB323" s="447">
        <f>$AB$3</f>
        <v>0.05</v>
      </c>
      <c r="AC323" s="310">
        <f t="shared" si="330"/>
        <v>5.25</v>
      </c>
      <c r="AD323" s="717">
        <f>ROUND(AC323*'[8]Summary E&amp;M'!$R$94,2)</f>
        <v>6.56</v>
      </c>
      <c r="AE323" s="826">
        <f>ROUND($K323*$Y323,2)</f>
        <v>2082.08</v>
      </c>
      <c r="AF323" s="826">
        <f>ROUND($K323*$AC323,2)</f>
        <v>1501.5</v>
      </c>
      <c r="AG323" s="744"/>
      <c r="AH323" s="728"/>
      <c r="AI323" s="519">
        <f>$U323</f>
        <v>0</v>
      </c>
      <c r="AJ323" s="519">
        <f>$V323</f>
        <v>0</v>
      </c>
      <c r="AK323" s="519">
        <f>$W323</f>
        <v>0</v>
      </c>
      <c r="AL323" s="520">
        <f>ROUND(Y323*AI323+((Y323*(1+AI323))*AJ323)+((Y323*AI323+((Y323*(1+AI323))*AJ323))*AK323),2)</f>
        <v>0</v>
      </c>
      <c r="AM323" s="520">
        <f>AL323*$F323</f>
        <v>0</v>
      </c>
      <c r="AN323" s="520">
        <f>ROUND(AL323*Z323,2)</f>
        <v>0</v>
      </c>
      <c r="AO323" s="520">
        <f>AN323*$F323</f>
        <v>0</v>
      </c>
      <c r="AP323" s="719"/>
      <c r="AQ323" s="719"/>
      <c r="AR323" s="719"/>
      <c r="AS323" s="719"/>
      <c r="AT323" s="719"/>
    </row>
    <row r="324" spans="1:46" s="555" customFormat="1" ht="22.5" customHeight="1">
      <c r="A324" s="620"/>
      <c r="B324" s="531" t="s">
        <v>403</v>
      </c>
      <c r="C324" s="566" t="s">
        <v>329</v>
      </c>
      <c r="D324" s="1202" t="s">
        <v>1111</v>
      </c>
      <c r="E324" s="524" t="s">
        <v>321</v>
      </c>
      <c r="F324" s="1314">
        <f>ROUND(K324*'Summary-E'!$K$61,0)</f>
        <v>5405</v>
      </c>
      <c r="G324" s="527">
        <f t="shared" ref="G324" si="331">ROUNDUP(AA324,2)</f>
        <v>0.77</v>
      </c>
      <c r="H324" s="527">
        <f t="shared" ref="H324" si="332">ROUND(F324*G324,2)</f>
        <v>4161.8500000000004</v>
      </c>
      <c r="I324" s="567"/>
      <c r="J324" s="309"/>
      <c r="K324" s="1175">
        <v>5148</v>
      </c>
      <c r="L324" s="530">
        <f t="shared" si="328"/>
        <v>0.4</v>
      </c>
      <c r="M324" s="530">
        <f t="shared" ref="M324" si="333">ROUND(L324*F324,2)</f>
        <v>2162</v>
      </c>
      <c r="N324" s="309"/>
      <c r="O324" s="776" t="s">
        <v>131</v>
      </c>
      <c r="P324" s="777"/>
      <c r="Q324" s="777"/>
      <c r="R324" s="751">
        <v>0.73</v>
      </c>
      <c r="S324" s="752"/>
      <c r="T324" s="792">
        <v>0.3</v>
      </c>
      <c r="U324" s="803">
        <v>0</v>
      </c>
      <c r="V324" s="803">
        <v>0</v>
      </c>
      <c r="W324" s="803">
        <v>0</v>
      </c>
      <c r="X324" s="858">
        <v>1</v>
      </c>
      <c r="Y324" s="310">
        <f>ROUND((R324+S324/'[7]Summary E&amp;M'!$M$104)*X324,2)</f>
        <v>0.73</v>
      </c>
      <c r="Z324" s="858">
        <f t="shared" si="219"/>
        <v>1.05</v>
      </c>
      <c r="AA324" s="813">
        <f t="shared" si="329"/>
        <v>0.77</v>
      </c>
      <c r="AB324" s="447">
        <f t="shared" ref="AB324" si="334">$AB$3</f>
        <v>0.05</v>
      </c>
      <c r="AC324" s="310">
        <f t="shared" si="330"/>
        <v>0.32</v>
      </c>
      <c r="AD324" s="717">
        <f>ROUND(AC324*'[8]Summary E&amp;M'!$R$94,2)</f>
        <v>0.4</v>
      </c>
      <c r="AE324" s="825">
        <f t="shared" ref="AE324" si="335">ROUND($K324*$Y324,2)</f>
        <v>3758.04</v>
      </c>
      <c r="AF324" s="825">
        <f t="shared" ref="AF324" si="336">ROUND($K324*$AC324,2)</f>
        <v>1647.36</v>
      </c>
      <c r="AG324" s="743"/>
      <c r="AH324" s="728"/>
      <c r="AI324" s="519">
        <f t="shared" ref="AI324" si="337">$U324</f>
        <v>0</v>
      </c>
      <c r="AJ324" s="519">
        <f t="shared" ref="AJ324" si="338">$V324</f>
        <v>0</v>
      </c>
      <c r="AK324" s="519">
        <f t="shared" ref="AK324" si="339">$W324</f>
        <v>0</v>
      </c>
      <c r="AL324" s="520">
        <f t="shared" ref="AL324" si="340">ROUND(Y324*AI324+((Y324*(1+AI324))*AJ324)+((Y324*AI324+((Y324*(1+AI324))*AJ324))*AK324),2)</f>
        <v>0</v>
      </c>
      <c r="AM324" s="520">
        <f t="shared" ref="AM324" si="341">AL324*$F324</f>
        <v>0</v>
      </c>
      <c r="AN324" s="520">
        <f t="shared" ref="AN324" si="342">ROUND(AL324*Z324,2)</f>
        <v>0</v>
      </c>
      <c r="AO324" s="520">
        <f t="shared" ref="AO324" si="343">AN324*$F324</f>
        <v>0</v>
      </c>
      <c r="AP324" s="552"/>
      <c r="AQ324" s="552"/>
      <c r="AR324" s="552"/>
      <c r="AS324" s="552"/>
      <c r="AT324" s="552"/>
    </row>
    <row r="325" spans="1:46" s="555" customFormat="1" ht="22.5" customHeight="1">
      <c r="A325" s="451"/>
      <c r="B325" s="531" t="s">
        <v>1051</v>
      </c>
      <c r="C325" s="566" t="s">
        <v>1052</v>
      </c>
      <c r="D325" s="525">
        <v>121</v>
      </c>
      <c r="E325" s="524" t="s">
        <v>321</v>
      </c>
      <c r="F325" s="1314">
        <f>ROUND(K325*'Summary-E'!$K$61,0)</f>
        <v>294</v>
      </c>
      <c r="G325" s="527">
        <f t="shared" ref="G325:G332" si="344">ROUNDUP(AA325,2)</f>
        <v>30.64</v>
      </c>
      <c r="H325" s="528">
        <f>ROUND(F325*G325,2)</f>
        <v>9008.16</v>
      </c>
      <c r="I325" s="567"/>
      <c r="J325" s="309"/>
      <c r="K325" s="1149">
        <f>70*4</f>
        <v>280</v>
      </c>
      <c r="L325" s="530">
        <f t="shared" si="328"/>
        <v>3.29</v>
      </c>
      <c r="M325" s="530">
        <f t="shared" ref="M325:M332" si="345">ROUND(L325*F325,2)</f>
        <v>967.26</v>
      </c>
      <c r="N325" s="309"/>
      <c r="O325" s="776">
        <v>121</v>
      </c>
      <c r="P325" s="777"/>
      <c r="Q325" s="777"/>
      <c r="R325" s="751"/>
      <c r="S325" s="752">
        <v>607000</v>
      </c>
      <c r="T325" s="792">
        <v>2.5</v>
      </c>
      <c r="U325" s="803">
        <v>0</v>
      </c>
      <c r="V325" s="803">
        <v>0</v>
      </c>
      <c r="W325" s="803">
        <v>0</v>
      </c>
      <c r="X325" s="858">
        <v>1</v>
      </c>
      <c r="Y325" s="310">
        <f>ROUND((R325+S325/'[7]Summary E&amp;M'!$M$104)*X325,2)</f>
        <v>29.18</v>
      </c>
      <c r="Z325" s="858">
        <f t="shared" ref="Z325:Z388" si="346">$Z$4</f>
        <v>1.05</v>
      </c>
      <c r="AA325" s="813">
        <f t="shared" si="329"/>
        <v>30.64</v>
      </c>
      <c r="AB325" s="447">
        <f t="shared" ref="AB325:AB332" si="347">$AB$3</f>
        <v>0.05</v>
      </c>
      <c r="AC325" s="310">
        <f t="shared" si="330"/>
        <v>2.63</v>
      </c>
      <c r="AD325" s="717">
        <f>ROUND(AC325*'[8]Summary E&amp;M'!$R$94,2)</f>
        <v>3.29</v>
      </c>
      <c r="AE325" s="825">
        <f t="shared" ref="AE325:AE332" si="348">ROUND($K325*$Y325,2)</f>
        <v>8170.4</v>
      </c>
      <c r="AF325" s="825">
        <f t="shared" ref="AF325:AF332" si="349">ROUND($K325*$AC325,2)</f>
        <v>736.4</v>
      </c>
      <c r="AG325" s="743"/>
      <c r="AH325" s="728"/>
      <c r="AI325" s="519">
        <f t="shared" ref="AI325:AI332" si="350">$U325</f>
        <v>0</v>
      </c>
      <c r="AJ325" s="519">
        <f t="shared" ref="AJ325:AJ332" si="351">$V325</f>
        <v>0</v>
      </c>
      <c r="AK325" s="519">
        <f t="shared" ref="AK325:AK332" si="352">$W325</f>
        <v>0</v>
      </c>
      <c r="AL325" s="520">
        <f t="shared" ref="AL325:AL332" si="353">ROUND(Y325*AI325+((Y325*(1+AI325))*AJ325)+((Y325*AI325+((Y325*(1+AI325))*AJ325))*AK325),2)</f>
        <v>0</v>
      </c>
      <c r="AM325" s="520">
        <f t="shared" ref="AM325:AM332" si="354">AL325*$F325</f>
        <v>0</v>
      </c>
      <c r="AN325" s="520">
        <f t="shared" ref="AN325:AN332" si="355">ROUND(AL325*Z325,2)</f>
        <v>0</v>
      </c>
      <c r="AO325" s="520">
        <f t="shared" ref="AO325:AO332" si="356">AN325*$F325</f>
        <v>0</v>
      </c>
      <c r="AP325" s="552"/>
      <c r="AQ325" s="552"/>
      <c r="AR325" s="552"/>
      <c r="AS325" s="552"/>
      <c r="AT325" s="552"/>
    </row>
    <row r="326" spans="1:46" s="555" customFormat="1" ht="22.5" customHeight="1">
      <c r="A326" s="451"/>
      <c r="B326" s="531" t="s">
        <v>1051</v>
      </c>
      <c r="C326" s="566" t="s">
        <v>786</v>
      </c>
      <c r="D326" s="525">
        <v>121</v>
      </c>
      <c r="E326" s="524" t="s">
        <v>321</v>
      </c>
      <c r="F326" s="1314">
        <f>ROUND(K326*'Summary-E'!$K$61,0)</f>
        <v>105</v>
      </c>
      <c r="G326" s="527">
        <f t="shared" si="344"/>
        <v>13.93</v>
      </c>
      <c r="H326" s="528">
        <f>ROUND(F326*G326,2)</f>
        <v>1462.65</v>
      </c>
      <c r="I326" s="567"/>
      <c r="J326" s="309"/>
      <c r="K326" s="1149">
        <v>100</v>
      </c>
      <c r="L326" s="530">
        <f t="shared" si="328"/>
        <v>1.58</v>
      </c>
      <c r="M326" s="530">
        <f t="shared" si="345"/>
        <v>165.9</v>
      </c>
      <c r="N326" s="309"/>
      <c r="O326" s="776">
        <v>121</v>
      </c>
      <c r="P326" s="777"/>
      <c r="Q326" s="777"/>
      <c r="R326" s="751"/>
      <c r="S326" s="752">
        <v>276000</v>
      </c>
      <c r="T326" s="792">
        <v>1.2</v>
      </c>
      <c r="U326" s="803">
        <v>0</v>
      </c>
      <c r="V326" s="803">
        <v>0</v>
      </c>
      <c r="W326" s="803">
        <v>0</v>
      </c>
      <c r="X326" s="858">
        <v>1</v>
      </c>
      <c r="Y326" s="310">
        <f>ROUND((R326+S326/'[7]Summary E&amp;M'!$M$104)*X326,2)</f>
        <v>13.27</v>
      </c>
      <c r="Z326" s="858">
        <f t="shared" si="346"/>
        <v>1.05</v>
      </c>
      <c r="AA326" s="813">
        <f t="shared" si="329"/>
        <v>13.93</v>
      </c>
      <c r="AB326" s="447">
        <f t="shared" si="347"/>
        <v>0.05</v>
      </c>
      <c r="AC326" s="310">
        <f t="shared" si="330"/>
        <v>1.26</v>
      </c>
      <c r="AD326" s="717">
        <f>ROUND(AC326*'[8]Summary E&amp;M'!$R$94,2)</f>
        <v>1.58</v>
      </c>
      <c r="AE326" s="825">
        <f t="shared" si="348"/>
        <v>1327</v>
      </c>
      <c r="AF326" s="825">
        <f t="shared" si="349"/>
        <v>126</v>
      </c>
      <c r="AG326" s="743"/>
      <c r="AH326" s="728"/>
      <c r="AI326" s="519">
        <f t="shared" si="350"/>
        <v>0</v>
      </c>
      <c r="AJ326" s="519">
        <f t="shared" si="351"/>
        <v>0</v>
      </c>
      <c r="AK326" s="519">
        <f t="shared" si="352"/>
        <v>0</v>
      </c>
      <c r="AL326" s="520">
        <f t="shared" si="353"/>
        <v>0</v>
      </c>
      <c r="AM326" s="520">
        <f t="shared" si="354"/>
        <v>0</v>
      </c>
      <c r="AN326" s="520">
        <f t="shared" si="355"/>
        <v>0</v>
      </c>
      <c r="AO326" s="520">
        <f t="shared" si="356"/>
        <v>0</v>
      </c>
      <c r="AP326" s="552"/>
      <c r="AQ326" s="552"/>
      <c r="AR326" s="552"/>
      <c r="AS326" s="552"/>
      <c r="AT326" s="552"/>
    </row>
    <row r="327" spans="1:46" s="555" customFormat="1" ht="22.5" customHeight="1">
      <c r="A327" s="451"/>
      <c r="B327" s="531" t="s">
        <v>1051</v>
      </c>
      <c r="C327" s="566" t="s">
        <v>1004</v>
      </c>
      <c r="D327" s="525">
        <v>121</v>
      </c>
      <c r="E327" s="524" t="s">
        <v>321</v>
      </c>
      <c r="F327" s="1314">
        <f>ROUND(K327*'Summary-E'!$K$61,0)</f>
        <v>651</v>
      </c>
      <c r="G327" s="527">
        <f t="shared" si="344"/>
        <v>9.2899999999999991</v>
      </c>
      <c r="H327" s="528">
        <f>ROUND(F327*G327,2)</f>
        <v>6047.79</v>
      </c>
      <c r="I327" s="567"/>
      <c r="J327" s="309"/>
      <c r="K327" s="1149">
        <f>540+80</f>
        <v>620</v>
      </c>
      <c r="L327" s="530">
        <f t="shared" si="328"/>
        <v>1.58</v>
      </c>
      <c r="M327" s="530">
        <f t="shared" si="345"/>
        <v>1028.58</v>
      </c>
      <c r="N327" s="309"/>
      <c r="O327" s="776">
        <v>121</v>
      </c>
      <c r="P327" s="777"/>
      <c r="Q327" s="777"/>
      <c r="R327" s="751"/>
      <c r="S327" s="752">
        <v>184000</v>
      </c>
      <c r="T327" s="792">
        <v>1.2</v>
      </c>
      <c r="U327" s="803">
        <v>0</v>
      </c>
      <c r="V327" s="803">
        <v>0</v>
      </c>
      <c r="W327" s="803">
        <v>0</v>
      </c>
      <c r="X327" s="858">
        <v>1</v>
      </c>
      <c r="Y327" s="310">
        <f>ROUND((R327+S327/'[7]Summary E&amp;M'!$M$104)*X327,2)</f>
        <v>8.85</v>
      </c>
      <c r="Z327" s="858">
        <f t="shared" si="346"/>
        <v>1.05</v>
      </c>
      <c r="AA327" s="813">
        <f t="shared" si="329"/>
        <v>9.2899999999999991</v>
      </c>
      <c r="AB327" s="447">
        <f t="shared" si="347"/>
        <v>0.05</v>
      </c>
      <c r="AC327" s="310">
        <f t="shared" si="330"/>
        <v>1.26</v>
      </c>
      <c r="AD327" s="717">
        <f>ROUND(AC327*'[8]Summary E&amp;M'!$R$94,2)</f>
        <v>1.58</v>
      </c>
      <c r="AE327" s="825">
        <f t="shared" si="348"/>
        <v>5487</v>
      </c>
      <c r="AF327" s="825">
        <f t="shared" si="349"/>
        <v>781.2</v>
      </c>
      <c r="AG327" s="743"/>
      <c r="AH327" s="728"/>
      <c r="AI327" s="519">
        <f t="shared" si="350"/>
        <v>0</v>
      </c>
      <c r="AJ327" s="519">
        <f t="shared" si="351"/>
        <v>0</v>
      </c>
      <c r="AK327" s="519">
        <f t="shared" si="352"/>
        <v>0</v>
      </c>
      <c r="AL327" s="520">
        <f t="shared" si="353"/>
        <v>0</v>
      </c>
      <c r="AM327" s="520">
        <f t="shared" si="354"/>
        <v>0</v>
      </c>
      <c r="AN327" s="520">
        <f t="shared" si="355"/>
        <v>0</v>
      </c>
      <c r="AO327" s="520">
        <f t="shared" si="356"/>
        <v>0</v>
      </c>
      <c r="AP327" s="552"/>
      <c r="AQ327" s="552"/>
      <c r="AR327" s="552"/>
      <c r="AS327" s="552"/>
      <c r="AT327" s="552"/>
    </row>
    <row r="328" spans="1:46" s="555" customFormat="1" ht="22.5" customHeight="1">
      <c r="A328" s="570"/>
      <c r="B328" s="568" t="s">
        <v>333</v>
      </c>
      <c r="C328" s="569"/>
      <c r="D328" s="525">
        <v>121</v>
      </c>
      <c r="E328" s="571" t="s">
        <v>322</v>
      </c>
      <c r="F328" s="1322">
        <f>K328</f>
        <v>1</v>
      </c>
      <c r="G328" s="527">
        <f t="shared" si="344"/>
        <v>1148.27</v>
      </c>
      <c r="H328" s="528">
        <f t="shared" ref="H328:H332" si="357">ROUND(F328*G328,2)</f>
        <v>1148.27</v>
      </c>
      <c r="I328" s="567"/>
      <c r="J328" s="309"/>
      <c r="K328" s="1149">
        <v>1</v>
      </c>
      <c r="L328" s="530">
        <f t="shared" ref="L328:L332" si="358">ROUND(AD328,2)</f>
        <v>147.97999999999999</v>
      </c>
      <c r="M328" s="530">
        <f t="shared" si="345"/>
        <v>147.97999999999999</v>
      </c>
      <c r="N328" s="309"/>
      <c r="O328" s="778" t="s">
        <v>683</v>
      </c>
      <c r="P328" s="777">
        <v>0.3</v>
      </c>
      <c r="Q328" s="777"/>
      <c r="R328" s="751">
        <f>ROUND(SUM(AE324:AE324)*P328,2)</f>
        <v>1127.4100000000001</v>
      </c>
      <c r="S328" s="752"/>
      <c r="T328" s="792">
        <f>ROUND(R328*10%,2)</f>
        <v>112.74</v>
      </c>
      <c r="U328" s="803">
        <v>0</v>
      </c>
      <c r="V328" s="803">
        <v>0</v>
      </c>
      <c r="W328" s="803">
        <v>0</v>
      </c>
      <c r="X328" s="858">
        <f>SUMIF('Summary-E'!O$4:O$50,D328,'Summary-E'!Q$4:Q$50)</f>
        <v>0.97</v>
      </c>
      <c r="Y328" s="310">
        <f>ROUND((R328+S328/'[7]Summary E&amp;M'!$M$104)*X328,2)</f>
        <v>1093.5899999999999</v>
      </c>
      <c r="Z328" s="858">
        <f t="shared" si="346"/>
        <v>1.05</v>
      </c>
      <c r="AA328" s="813">
        <f t="shared" ref="AA328:AA332" si="359">ROUND(Y328*Z328,2)</f>
        <v>1148.27</v>
      </c>
      <c r="AB328" s="447">
        <f t="shared" si="347"/>
        <v>0.05</v>
      </c>
      <c r="AC328" s="310">
        <f t="shared" si="330"/>
        <v>118.38</v>
      </c>
      <c r="AD328" s="717">
        <f>ROUND(AC328*'[8]Summary E&amp;M'!$R$94,2)</f>
        <v>147.97999999999999</v>
      </c>
      <c r="AE328" s="825">
        <f t="shared" si="348"/>
        <v>1093.5899999999999</v>
      </c>
      <c r="AF328" s="825">
        <f t="shared" si="349"/>
        <v>118.38</v>
      </c>
      <c r="AG328" s="743"/>
      <c r="AH328" s="728"/>
      <c r="AI328" s="519">
        <f t="shared" si="350"/>
        <v>0</v>
      </c>
      <c r="AJ328" s="519">
        <f t="shared" si="351"/>
        <v>0</v>
      </c>
      <c r="AK328" s="519">
        <f t="shared" si="352"/>
        <v>0</v>
      </c>
      <c r="AL328" s="520">
        <f t="shared" si="353"/>
        <v>0</v>
      </c>
      <c r="AM328" s="520">
        <f t="shared" si="354"/>
        <v>0</v>
      </c>
      <c r="AN328" s="520">
        <f t="shared" si="355"/>
        <v>0</v>
      </c>
      <c r="AO328" s="520">
        <f t="shared" si="356"/>
        <v>0</v>
      </c>
      <c r="AP328" s="552"/>
      <c r="AQ328" s="552"/>
      <c r="AR328" s="552"/>
      <c r="AS328" s="552"/>
      <c r="AT328" s="552"/>
    </row>
    <row r="329" spans="1:46" s="555" customFormat="1" ht="22.5" customHeight="1">
      <c r="A329" s="451"/>
      <c r="B329" s="531" t="s">
        <v>334</v>
      </c>
      <c r="C329" s="566"/>
      <c r="D329" s="525" t="s">
        <v>139</v>
      </c>
      <c r="E329" s="524" t="s">
        <v>322</v>
      </c>
      <c r="F329" s="1322">
        <f>K329</f>
        <v>1</v>
      </c>
      <c r="G329" s="527">
        <f t="shared" si="344"/>
        <v>574.14</v>
      </c>
      <c r="H329" s="528">
        <f t="shared" si="357"/>
        <v>574.14</v>
      </c>
      <c r="I329" s="567"/>
      <c r="J329" s="309"/>
      <c r="K329" s="1149">
        <v>1</v>
      </c>
      <c r="L329" s="530">
        <f t="shared" si="358"/>
        <v>73.989999999999995</v>
      </c>
      <c r="M329" s="530">
        <f t="shared" si="345"/>
        <v>73.989999999999995</v>
      </c>
      <c r="N329" s="309"/>
      <c r="O329" s="778" t="s">
        <v>130</v>
      </c>
      <c r="P329" s="777">
        <v>0.15</v>
      </c>
      <c r="Q329" s="777"/>
      <c r="R329" s="751">
        <f>ROUND(SUM(AE324:AE324)*P329,2)</f>
        <v>563.71</v>
      </c>
      <c r="S329" s="752"/>
      <c r="T329" s="792">
        <f>ROUND(R329*10%,2)</f>
        <v>56.37</v>
      </c>
      <c r="U329" s="803">
        <v>0</v>
      </c>
      <c r="V329" s="803">
        <v>0</v>
      </c>
      <c r="W329" s="803">
        <v>0</v>
      </c>
      <c r="X329" s="858">
        <f>SUMIF('Summary-E'!O$4:O$50,D329,'Summary-E'!Q$4:Q$50)</f>
        <v>0.97</v>
      </c>
      <c r="Y329" s="310">
        <f>ROUND((R329+S329/'[7]Summary E&amp;M'!$M$104)*X329,2)</f>
        <v>546.79999999999995</v>
      </c>
      <c r="Z329" s="858">
        <f t="shared" si="346"/>
        <v>1.05</v>
      </c>
      <c r="AA329" s="813">
        <f t="shared" si="359"/>
        <v>574.14</v>
      </c>
      <c r="AB329" s="447">
        <f t="shared" si="347"/>
        <v>0.05</v>
      </c>
      <c r="AC329" s="310">
        <f t="shared" si="330"/>
        <v>59.19</v>
      </c>
      <c r="AD329" s="717">
        <f>ROUND(AC329*'[8]Summary E&amp;M'!$R$94,2)</f>
        <v>73.989999999999995</v>
      </c>
      <c r="AE329" s="825">
        <f t="shared" si="348"/>
        <v>546.79999999999995</v>
      </c>
      <c r="AF329" s="825">
        <f t="shared" si="349"/>
        <v>59.19</v>
      </c>
      <c r="AG329" s="743"/>
      <c r="AH329" s="728"/>
      <c r="AI329" s="519">
        <f t="shared" si="350"/>
        <v>0</v>
      </c>
      <c r="AJ329" s="519">
        <f t="shared" si="351"/>
        <v>0</v>
      </c>
      <c r="AK329" s="519">
        <f t="shared" si="352"/>
        <v>0</v>
      </c>
      <c r="AL329" s="520">
        <f t="shared" si="353"/>
        <v>0</v>
      </c>
      <c r="AM329" s="520">
        <f t="shared" si="354"/>
        <v>0</v>
      </c>
      <c r="AN329" s="520">
        <f t="shared" si="355"/>
        <v>0</v>
      </c>
      <c r="AO329" s="520">
        <f t="shared" si="356"/>
        <v>0</v>
      </c>
      <c r="AP329" s="552"/>
      <c r="AQ329" s="552"/>
      <c r="AR329" s="552"/>
      <c r="AS329" s="552"/>
      <c r="AT329" s="552"/>
    </row>
    <row r="330" spans="1:46" s="555" customFormat="1" ht="22.5" customHeight="1">
      <c r="A330" s="451"/>
      <c r="B330" s="531" t="s">
        <v>332</v>
      </c>
      <c r="C330" s="566" t="s">
        <v>1048</v>
      </c>
      <c r="D330" s="525">
        <v>131</v>
      </c>
      <c r="E330" s="524" t="s">
        <v>321</v>
      </c>
      <c r="F330" s="1314">
        <f>ROUND(K330*'Summary-E'!$K$61,0)</f>
        <v>9009</v>
      </c>
      <c r="G330" s="527">
        <f t="shared" si="344"/>
        <v>1.37</v>
      </c>
      <c r="H330" s="528">
        <f t="shared" si="357"/>
        <v>12342.33</v>
      </c>
      <c r="I330" s="567"/>
      <c r="J330" s="309"/>
      <c r="K330" s="1149">
        <f>K323/2*60</f>
        <v>8580</v>
      </c>
      <c r="L330" s="530">
        <f t="shared" si="358"/>
        <v>0.53</v>
      </c>
      <c r="M330" s="530">
        <f t="shared" si="345"/>
        <v>4774.7700000000004</v>
      </c>
      <c r="N330" s="309"/>
      <c r="O330" s="776">
        <v>131</v>
      </c>
      <c r="P330" s="777"/>
      <c r="Q330" s="777"/>
      <c r="R330" s="751"/>
      <c r="S330" s="752">
        <v>27825</v>
      </c>
      <c r="T330" s="792">
        <v>0.4</v>
      </c>
      <c r="U330" s="803">
        <v>0</v>
      </c>
      <c r="V330" s="803">
        <v>0</v>
      </c>
      <c r="W330" s="803">
        <v>0</v>
      </c>
      <c r="X330" s="858">
        <f>SUMIF('Summary-E'!O$4:O$50,D330,'Summary-E'!Q$4:Q$50)</f>
        <v>0.97</v>
      </c>
      <c r="Y330" s="310">
        <f>ROUND((R330+S330/'[7]Summary E&amp;M'!$M$104)*X330,2)</f>
        <v>1.3</v>
      </c>
      <c r="Z330" s="858">
        <f t="shared" si="346"/>
        <v>1.05</v>
      </c>
      <c r="AA330" s="813">
        <f t="shared" si="359"/>
        <v>1.37</v>
      </c>
      <c r="AB330" s="447">
        <f t="shared" si="347"/>
        <v>0.05</v>
      </c>
      <c r="AC330" s="310">
        <f t="shared" si="330"/>
        <v>0.42</v>
      </c>
      <c r="AD330" s="717">
        <f>ROUND(AC330*'[8]Summary E&amp;M'!$R$94,2)</f>
        <v>0.53</v>
      </c>
      <c r="AE330" s="825">
        <f t="shared" si="348"/>
        <v>11154</v>
      </c>
      <c r="AF330" s="825">
        <f t="shared" si="349"/>
        <v>3603.6</v>
      </c>
      <c r="AG330" s="743"/>
      <c r="AH330" s="728"/>
      <c r="AI330" s="519">
        <f t="shared" si="350"/>
        <v>0</v>
      </c>
      <c r="AJ330" s="519">
        <f t="shared" si="351"/>
        <v>0</v>
      </c>
      <c r="AK330" s="519">
        <f t="shared" si="352"/>
        <v>0</v>
      </c>
      <c r="AL330" s="520">
        <f t="shared" si="353"/>
        <v>0</v>
      </c>
      <c r="AM330" s="520">
        <f t="shared" si="354"/>
        <v>0</v>
      </c>
      <c r="AN330" s="520">
        <f t="shared" si="355"/>
        <v>0</v>
      </c>
      <c r="AO330" s="520">
        <f t="shared" si="356"/>
        <v>0</v>
      </c>
      <c r="AP330" s="552"/>
      <c r="AQ330" s="552"/>
      <c r="AR330" s="552"/>
      <c r="AS330" s="552"/>
      <c r="AT330" s="552"/>
    </row>
    <row r="331" spans="1:46" s="555" customFormat="1" ht="22.5" customHeight="1">
      <c r="A331" s="570"/>
      <c r="B331" s="531" t="s">
        <v>122</v>
      </c>
      <c r="C331" s="569"/>
      <c r="D331" s="525" t="s">
        <v>690</v>
      </c>
      <c r="E331" s="571" t="s">
        <v>322</v>
      </c>
      <c r="F331" s="1322">
        <f>K331</f>
        <v>1</v>
      </c>
      <c r="G331" s="527">
        <f t="shared" si="344"/>
        <v>340.81</v>
      </c>
      <c r="H331" s="528">
        <f t="shared" si="357"/>
        <v>340.81</v>
      </c>
      <c r="I331" s="567"/>
      <c r="J331" s="309"/>
      <c r="K331" s="1149">
        <v>1</v>
      </c>
      <c r="L331" s="530">
        <f t="shared" si="358"/>
        <v>43.91</v>
      </c>
      <c r="M331" s="530">
        <f t="shared" si="345"/>
        <v>43.91</v>
      </c>
      <c r="N331" s="309"/>
      <c r="O331" s="778" t="s">
        <v>690</v>
      </c>
      <c r="P331" s="777">
        <v>0.03</v>
      </c>
      <c r="Q331" s="777"/>
      <c r="R331" s="751">
        <f>ROUND(SUM(AE330:AE330)*P331,2)</f>
        <v>334.62</v>
      </c>
      <c r="S331" s="752"/>
      <c r="T331" s="792">
        <f>ROUND(R331*10%,2)</f>
        <v>33.46</v>
      </c>
      <c r="U331" s="803">
        <v>0</v>
      </c>
      <c r="V331" s="803">
        <v>0</v>
      </c>
      <c r="W331" s="803">
        <v>0</v>
      </c>
      <c r="X331" s="858">
        <f>SUMIF('Summary-E'!O$4:O$50,D331,'Summary-E'!Q$4:Q$50)</f>
        <v>0.97</v>
      </c>
      <c r="Y331" s="310">
        <f>ROUND((R331+S331/'[7]Summary E&amp;M'!$M$104)*X331,2)</f>
        <v>324.58</v>
      </c>
      <c r="Z331" s="858">
        <f t="shared" si="346"/>
        <v>1.05</v>
      </c>
      <c r="AA331" s="813">
        <f t="shared" si="359"/>
        <v>340.81</v>
      </c>
      <c r="AB331" s="447">
        <f t="shared" si="347"/>
        <v>0.05</v>
      </c>
      <c r="AC331" s="310">
        <f t="shared" si="330"/>
        <v>35.130000000000003</v>
      </c>
      <c r="AD331" s="717">
        <f>ROUND(AC331*'[8]Summary E&amp;M'!$R$94,2)</f>
        <v>43.91</v>
      </c>
      <c r="AE331" s="825">
        <f t="shared" si="348"/>
        <v>324.58</v>
      </c>
      <c r="AF331" s="825">
        <f t="shared" si="349"/>
        <v>35.130000000000003</v>
      </c>
      <c r="AG331" s="743"/>
      <c r="AH331" s="728"/>
      <c r="AI331" s="519">
        <f t="shared" si="350"/>
        <v>0</v>
      </c>
      <c r="AJ331" s="519">
        <f t="shared" si="351"/>
        <v>0</v>
      </c>
      <c r="AK331" s="519">
        <f t="shared" si="352"/>
        <v>0</v>
      </c>
      <c r="AL331" s="520">
        <f t="shared" si="353"/>
        <v>0</v>
      </c>
      <c r="AM331" s="520">
        <f t="shared" si="354"/>
        <v>0</v>
      </c>
      <c r="AN331" s="520">
        <f t="shared" si="355"/>
        <v>0</v>
      </c>
      <c r="AO331" s="520">
        <f t="shared" si="356"/>
        <v>0</v>
      </c>
      <c r="AP331" s="552"/>
      <c r="AQ331" s="552"/>
      <c r="AR331" s="552"/>
      <c r="AS331" s="552"/>
      <c r="AT331" s="552"/>
    </row>
    <row r="332" spans="1:46" s="555" customFormat="1" ht="22.5" customHeight="1">
      <c r="A332" s="570"/>
      <c r="B332" s="568" t="s">
        <v>401</v>
      </c>
      <c r="C332" s="569"/>
      <c r="D332" s="570">
        <v>159</v>
      </c>
      <c r="E332" s="571" t="s">
        <v>322</v>
      </c>
      <c r="F332" s="1322">
        <f>K332</f>
        <v>1</v>
      </c>
      <c r="G332" s="527">
        <f t="shared" si="344"/>
        <v>1728.56</v>
      </c>
      <c r="H332" s="527">
        <f t="shared" si="357"/>
        <v>1728.56</v>
      </c>
      <c r="I332" s="567"/>
      <c r="J332" s="309"/>
      <c r="K332" s="1149">
        <v>1</v>
      </c>
      <c r="L332" s="530">
        <f t="shared" si="358"/>
        <v>334.13</v>
      </c>
      <c r="M332" s="530">
        <f t="shared" si="345"/>
        <v>334.13</v>
      </c>
      <c r="N332" s="309"/>
      <c r="O332" s="778">
        <v>159</v>
      </c>
      <c r="P332" s="777">
        <v>0.05</v>
      </c>
      <c r="Q332" s="777"/>
      <c r="R332" s="751">
        <f>ROUND(SUM(AE321:AE331)*P332,2)</f>
        <v>1697.17</v>
      </c>
      <c r="S332" s="752"/>
      <c r="T332" s="792">
        <f>R332*0.15</f>
        <v>254.57550000000001</v>
      </c>
      <c r="U332" s="803">
        <v>0</v>
      </c>
      <c r="V332" s="803">
        <v>0</v>
      </c>
      <c r="W332" s="803">
        <v>0</v>
      </c>
      <c r="X332" s="858">
        <f>SUMIF('Summary-E'!O$4:O$50,D332,'Summary-E'!Q$4:Q$50)</f>
        <v>0.97</v>
      </c>
      <c r="Y332" s="310">
        <f>ROUND((R332+S332/'[7]Summary E&amp;M'!$M$104)*X332,2)</f>
        <v>1646.25</v>
      </c>
      <c r="Z332" s="858">
        <f t="shared" si="346"/>
        <v>1.05</v>
      </c>
      <c r="AA332" s="813">
        <f t="shared" si="359"/>
        <v>1728.56</v>
      </c>
      <c r="AB332" s="447">
        <f t="shared" si="347"/>
        <v>0.05</v>
      </c>
      <c r="AC332" s="310">
        <f t="shared" si="330"/>
        <v>267.3</v>
      </c>
      <c r="AD332" s="717">
        <f>ROUND(AC332*'[8]Summary E&amp;M'!$R$94,2)</f>
        <v>334.13</v>
      </c>
      <c r="AE332" s="825">
        <f t="shared" si="348"/>
        <v>1646.25</v>
      </c>
      <c r="AF332" s="825">
        <f t="shared" si="349"/>
        <v>267.3</v>
      </c>
      <c r="AG332" s="743"/>
      <c r="AH332" s="728"/>
      <c r="AI332" s="519">
        <f t="shared" si="350"/>
        <v>0</v>
      </c>
      <c r="AJ332" s="519">
        <f t="shared" si="351"/>
        <v>0</v>
      </c>
      <c r="AK332" s="519">
        <f t="shared" si="352"/>
        <v>0</v>
      </c>
      <c r="AL332" s="520">
        <f t="shared" si="353"/>
        <v>0</v>
      </c>
      <c r="AM332" s="520">
        <f t="shared" si="354"/>
        <v>0</v>
      </c>
      <c r="AN332" s="520">
        <f t="shared" si="355"/>
        <v>0</v>
      </c>
      <c r="AO332" s="520">
        <f t="shared" si="356"/>
        <v>0</v>
      </c>
      <c r="AP332" s="552"/>
      <c r="AQ332" s="552"/>
      <c r="AR332" s="552"/>
      <c r="AS332" s="552"/>
      <c r="AT332" s="552"/>
    </row>
    <row r="333" spans="1:46" s="555" customFormat="1" ht="22.5" customHeight="1">
      <c r="A333" s="451"/>
      <c r="B333" s="531"/>
      <c r="C333" s="523"/>
      <c r="D333" s="524"/>
      <c r="E333" s="525"/>
      <c r="F333" s="1314"/>
      <c r="G333" s="528"/>
      <c r="H333" s="528"/>
      <c r="I333" s="529"/>
      <c r="J333" s="309"/>
      <c r="K333" s="1175"/>
      <c r="L333" s="530"/>
      <c r="M333" s="530"/>
      <c r="N333" s="309"/>
      <c r="O333" s="778"/>
      <c r="P333" s="777"/>
      <c r="Q333" s="777"/>
      <c r="R333" s="751"/>
      <c r="S333" s="752"/>
      <c r="T333" s="792"/>
      <c r="U333" s="803"/>
      <c r="V333" s="803"/>
      <c r="W333" s="803"/>
      <c r="X333" s="858">
        <f>SUMIF('Summary-E'!O$4:O$50,D333,'Summary-E'!Q$4:Q$50)</f>
        <v>0</v>
      </c>
      <c r="Y333" s="310">
        <f>ROUND((R333+S333/'Summary-E'!$M$63)*X333,2)</f>
        <v>0</v>
      </c>
      <c r="Z333" s="858">
        <f t="shared" si="346"/>
        <v>1.05</v>
      </c>
      <c r="AA333" s="813"/>
      <c r="AB333" s="447"/>
      <c r="AC333" s="310">
        <f t="shared" ref="AC333:AC337" si="360">ROUND((T333*(1+AB333)),2)</f>
        <v>0</v>
      </c>
      <c r="AD333" s="717">
        <f>ROUND(AC333*'[1]Summary E&amp;M'!$R$94,2)</f>
        <v>0</v>
      </c>
      <c r="AE333" s="826">
        <f t="shared" ref="AE333:AE334" si="361">ROUND($K333*$Y333,2)</f>
        <v>0</v>
      </c>
      <c r="AF333" s="826">
        <f t="shared" ref="AF333:AF334" si="362">ROUND($K333*$AC333,2)</f>
        <v>0</v>
      </c>
      <c r="AG333" s="731"/>
      <c r="AH333" s="732"/>
      <c r="AI333" s="519"/>
      <c r="AJ333" s="519"/>
      <c r="AK333" s="519"/>
      <c r="AL333" s="520"/>
      <c r="AM333" s="520"/>
      <c r="AN333" s="520"/>
      <c r="AO333" s="520"/>
      <c r="AP333" s="719"/>
      <c r="AQ333" s="719"/>
      <c r="AR333" s="719"/>
      <c r="AS333" s="719"/>
      <c r="AT333" s="719"/>
    </row>
    <row r="334" spans="1:46" s="555" customFormat="1" ht="22.5" customHeight="1">
      <c r="A334" s="451"/>
      <c r="B334" s="531" t="s">
        <v>324</v>
      </c>
      <c r="C334" s="523"/>
      <c r="D334" s="524">
        <v>210</v>
      </c>
      <c r="E334" s="525" t="s">
        <v>319</v>
      </c>
      <c r="F334" s="1315">
        <f>K334</f>
        <v>1</v>
      </c>
      <c r="G334" s="528">
        <f>M336</f>
        <v>48374.710000000014</v>
      </c>
      <c r="H334" s="528">
        <f>ROUND(F334*G334,2)</f>
        <v>48374.71</v>
      </c>
      <c r="I334" s="529"/>
      <c r="J334" s="309"/>
      <c r="K334" s="1175">
        <v>1</v>
      </c>
      <c r="L334" s="530">
        <f>ROUND(AD334,2)</f>
        <v>0</v>
      </c>
      <c r="M334" s="530">
        <f>ROUND(L334*F334,2)</f>
        <v>0</v>
      </c>
      <c r="N334" s="309"/>
      <c r="O334" s="778">
        <v>210</v>
      </c>
      <c r="P334" s="777"/>
      <c r="Q334" s="777"/>
      <c r="R334" s="751"/>
      <c r="S334" s="752"/>
      <c r="T334" s="792"/>
      <c r="U334" s="803">
        <v>0</v>
      </c>
      <c r="V334" s="803">
        <v>0</v>
      </c>
      <c r="W334" s="803">
        <v>0</v>
      </c>
      <c r="X334" s="858">
        <f>SUMIF('Summary-E'!O$4:O$50,D334,'Summary-E'!Q$4:Q$50)</f>
        <v>0.05</v>
      </c>
      <c r="Y334" s="310">
        <f>ROUND((R334+S334/'Summary-E'!$M$63)*X334,2)</f>
        <v>0</v>
      </c>
      <c r="Z334" s="858">
        <f t="shared" si="346"/>
        <v>1.05</v>
      </c>
      <c r="AA334" s="813">
        <f>ROUND(Y334*Z334,2)</f>
        <v>0</v>
      </c>
      <c r="AB334" s="447">
        <f>$AB$3</f>
        <v>0.05</v>
      </c>
      <c r="AC334" s="310">
        <f t="shared" si="360"/>
        <v>0</v>
      </c>
      <c r="AD334" s="717">
        <f>ROUND(AC334*'[1]Summary E&amp;M'!$R$94,2)</f>
        <v>0</v>
      </c>
      <c r="AE334" s="826">
        <f t="shared" si="361"/>
        <v>0</v>
      </c>
      <c r="AF334" s="826">
        <f t="shared" si="362"/>
        <v>0</v>
      </c>
      <c r="AG334" s="731"/>
      <c r="AH334" s="732"/>
      <c r="AI334" s="519">
        <f>$U334</f>
        <v>0</v>
      </c>
      <c r="AJ334" s="519">
        <f>$V334</f>
        <v>0</v>
      </c>
      <c r="AK334" s="519">
        <f>$W334</f>
        <v>0</v>
      </c>
      <c r="AL334" s="520">
        <f>ROUND(Y334*AI334+((Y334*(1+AI334))*AJ334)+((Y334*AI334+((Y334*(1+AI334))*AJ334))*AK334),2)</f>
        <v>0</v>
      </c>
      <c r="AM334" s="520">
        <f>AL334*$F334</f>
        <v>0</v>
      </c>
      <c r="AN334" s="520">
        <f>ROUND(AL334*Z334,2)</f>
        <v>0</v>
      </c>
      <c r="AO334" s="520">
        <f>AN334*$F334</f>
        <v>0</v>
      </c>
      <c r="AP334" s="719"/>
      <c r="AQ334" s="719"/>
      <c r="AR334" s="719"/>
      <c r="AS334" s="719"/>
      <c r="AT334" s="719"/>
    </row>
    <row r="335" spans="1:46" s="555" customFormat="1" ht="22.5" customHeight="1">
      <c r="A335" s="451"/>
      <c r="B335" s="531"/>
      <c r="C335" s="523"/>
      <c r="D335" s="524"/>
      <c r="E335" s="525"/>
      <c r="F335" s="1315"/>
      <c r="G335" s="527"/>
      <c r="H335" s="528"/>
      <c r="I335" s="529"/>
      <c r="J335" s="309"/>
      <c r="K335" s="1175"/>
      <c r="L335" s="530"/>
      <c r="M335" s="530"/>
      <c r="N335" s="309"/>
      <c r="O335" s="778"/>
      <c r="P335" s="777"/>
      <c r="Q335" s="777"/>
      <c r="R335" s="751"/>
      <c r="S335" s="752"/>
      <c r="T335" s="792"/>
      <c r="U335" s="803"/>
      <c r="V335" s="803"/>
      <c r="W335" s="803"/>
      <c r="X335" s="858">
        <f>SUMIF('Summary-E'!O$4:O$50,D335,'Summary-E'!Q$4:Q$50)</f>
        <v>0</v>
      </c>
      <c r="Y335" s="310">
        <f>ROUND((R335+S335/'Summary-E'!$M$63)*X335,2)</f>
        <v>0</v>
      </c>
      <c r="Z335" s="858">
        <f t="shared" si="346"/>
        <v>1.05</v>
      </c>
      <c r="AA335" s="813"/>
      <c r="AB335" s="447"/>
      <c r="AC335" s="310">
        <f t="shared" si="360"/>
        <v>0</v>
      </c>
      <c r="AD335" s="717">
        <f>ROUND(AC335*'[1]Summary E&amp;M'!$R$94,2)</f>
        <v>0</v>
      </c>
      <c r="AE335" s="826"/>
      <c r="AF335" s="826"/>
      <c r="AG335" s="731"/>
      <c r="AH335" s="732"/>
      <c r="AI335" s="519"/>
      <c r="AJ335" s="519"/>
      <c r="AK335" s="519"/>
      <c r="AL335" s="520"/>
      <c r="AM335" s="520"/>
      <c r="AN335" s="520"/>
      <c r="AO335" s="520"/>
      <c r="AP335" s="719"/>
      <c r="AQ335" s="719"/>
      <c r="AR335" s="719"/>
      <c r="AS335" s="719"/>
      <c r="AT335" s="719"/>
    </row>
    <row r="336" spans="1:46" s="555" customFormat="1" ht="22.5" customHeight="1">
      <c r="A336" s="535"/>
      <c r="B336" s="532" t="s">
        <v>797</v>
      </c>
      <c r="C336" s="533"/>
      <c r="D336" s="534"/>
      <c r="E336" s="535"/>
      <c r="F336" s="1319"/>
      <c r="G336" s="536"/>
      <c r="H336" s="537">
        <f>SUBTOTAL(9,H287:H335)</f>
        <v>214131.96999999994</v>
      </c>
      <c r="I336" s="538"/>
      <c r="J336" s="311"/>
      <c r="K336" s="1178"/>
      <c r="L336" s="530"/>
      <c r="M336" s="537">
        <f>SUBTOTAL(9,M287:M335)</f>
        <v>48374.710000000014</v>
      </c>
      <c r="N336" s="309"/>
      <c r="O336" s="776"/>
      <c r="P336" s="777"/>
      <c r="Q336" s="777"/>
      <c r="R336" s="751"/>
      <c r="S336" s="752"/>
      <c r="T336" s="792"/>
      <c r="U336" s="803">
        <v>0</v>
      </c>
      <c r="V336" s="803">
        <v>0</v>
      </c>
      <c r="W336" s="803">
        <v>0</v>
      </c>
      <c r="X336" s="858">
        <f>SUMIF('Summary-E'!O$4:O$50,D336,'Summary-E'!Q$4:Q$50)</f>
        <v>0</v>
      </c>
      <c r="Y336" s="310">
        <f>ROUND((R336+S336/'Summary-E'!$M$63)*X336,2)</f>
        <v>0</v>
      </c>
      <c r="Z336" s="858">
        <f t="shared" si="346"/>
        <v>1.05</v>
      </c>
      <c r="AA336" s="816"/>
      <c r="AB336" s="552"/>
      <c r="AC336" s="310">
        <f t="shared" si="360"/>
        <v>0</v>
      </c>
      <c r="AD336" s="717">
        <f>ROUND(AC336*'[1]Summary E&amp;M'!$R$94,2)</f>
        <v>0</v>
      </c>
      <c r="AE336" s="831">
        <f>SUBTOTAL(9,AE287:AE335)</f>
        <v>150984.76999999996</v>
      </c>
      <c r="AF336" s="831">
        <f>SUBTOTAL(9,AF287:AF335)</f>
        <v>37529.990000000005</v>
      </c>
      <c r="AG336" s="735"/>
      <c r="AH336" s="736"/>
      <c r="AI336" s="552"/>
      <c r="AJ336" s="552"/>
      <c r="AK336" s="552"/>
      <c r="AL336" s="552"/>
      <c r="AM336" s="579">
        <f>SUBTOTAL(9,AM287:AM335)</f>
        <v>0</v>
      </c>
      <c r="AN336" s="552"/>
      <c r="AO336" s="579">
        <f>SUBTOTAL(9,AO287:AO335)</f>
        <v>0</v>
      </c>
      <c r="AP336" s="719"/>
      <c r="AQ336" s="719"/>
      <c r="AR336" s="719"/>
      <c r="AS336" s="719"/>
      <c r="AT336" s="719"/>
    </row>
    <row r="337" spans="1:46" s="555" customFormat="1" ht="22.5" customHeight="1">
      <c r="A337" s="620"/>
      <c r="B337" s="522"/>
      <c r="C337" s="523"/>
      <c r="D337" s="524"/>
      <c r="E337" s="525"/>
      <c r="F337" s="1314"/>
      <c r="G337" s="527"/>
      <c r="H337" s="528"/>
      <c r="I337" s="529"/>
      <c r="J337" s="311"/>
      <c r="K337" s="1175"/>
      <c r="L337" s="530"/>
      <c r="M337" s="530"/>
      <c r="N337" s="309"/>
      <c r="O337" s="776"/>
      <c r="P337" s="777"/>
      <c r="Q337" s="777"/>
      <c r="R337" s="751"/>
      <c r="S337" s="752"/>
      <c r="T337" s="792"/>
      <c r="U337" s="803"/>
      <c r="V337" s="803"/>
      <c r="W337" s="803"/>
      <c r="X337" s="858">
        <f>SUMIF('Summary-E'!O$4:O$50,D337,'Summary-E'!Q$4:Q$50)</f>
        <v>0</v>
      </c>
      <c r="Y337" s="310">
        <f>ROUND((R337+S337/'Summary-E'!$M$63)*X337,2)</f>
        <v>0</v>
      </c>
      <c r="Z337" s="858">
        <f t="shared" si="346"/>
        <v>1.05</v>
      </c>
      <c r="AA337" s="813"/>
      <c r="AB337" s="447"/>
      <c r="AC337" s="310">
        <f t="shared" si="360"/>
        <v>0</v>
      </c>
      <c r="AD337" s="717">
        <f>ROUND(AC337*'[1]Summary E&amp;M'!$R$94,2)</f>
        <v>0</v>
      </c>
      <c r="AE337" s="826"/>
      <c r="AF337" s="826"/>
      <c r="AG337" s="731"/>
      <c r="AH337" s="732"/>
      <c r="AI337" s="519"/>
      <c r="AJ337" s="519"/>
      <c r="AK337" s="519"/>
      <c r="AL337" s="520"/>
      <c r="AM337" s="520"/>
      <c r="AN337" s="520"/>
      <c r="AO337" s="520"/>
      <c r="AP337" s="719"/>
      <c r="AQ337" s="719"/>
      <c r="AR337" s="719"/>
      <c r="AS337" s="719"/>
      <c r="AT337" s="719"/>
    </row>
    <row r="338" spans="1:46" s="555" customFormat="1" ht="22.5" customHeight="1">
      <c r="A338" s="451" t="s">
        <v>724</v>
      </c>
      <c r="B338" s="522" t="s">
        <v>725</v>
      </c>
      <c r="C338" s="523"/>
      <c r="D338" s="524"/>
      <c r="E338" s="525"/>
      <c r="F338" s="1314"/>
      <c r="G338" s="1271" t="s">
        <v>1317</v>
      </c>
      <c r="H338" s="650"/>
      <c r="I338" s="420" t="s">
        <v>713</v>
      </c>
      <c r="J338" s="309"/>
      <c r="K338" s="1175"/>
      <c r="L338" s="530"/>
      <c r="M338" s="530"/>
      <c r="N338" s="309"/>
      <c r="O338" s="778"/>
      <c r="P338" s="777"/>
      <c r="Q338" s="777"/>
      <c r="R338" s="751"/>
      <c r="S338" s="752"/>
      <c r="T338" s="792"/>
      <c r="U338" s="803"/>
      <c r="V338" s="803"/>
      <c r="W338" s="803"/>
      <c r="X338" s="858">
        <f>SUMIF('Summary-E'!O$4:O$50,D338,'Summary-E'!Q$4:Q$50)</f>
        <v>0</v>
      </c>
      <c r="Y338" s="310">
        <f>ROUND((R338+S338/'Summary-E'!$M$63)*X338,2)</f>
        <v>0</v>
      </c>
      <c r="Z338" s="858">
        <f t="shared" si="346"/>
        <v>1.05</v>
      </c>
      <c r="AA338" s="813"/>
      <c r="AB338" s="447"/>
      <c r="AC338" s="310">
        <f t="shared" ref="AC338:AC458" si="363">ROUND((T338*(1+AB338)),2)</f>
        <v>0</v>
      </c>
      <c r="AD338" s="717">
        <f>ROUND(AC338*'[1]Summary E&amp;M'!$R$94,2)</f>
        <v>0</v>
      </c>
      <c r="AE338" s="826">
        <f>ROUND($K338*$Y338,2)</f>
        <v>0</v>
      </c>
      <c r="AF338" s="826">
        <f>ROUND($K338*$AC338,2)</f>
        <v>0</v>
      </c>
      <c r="AG338" s="731"/>
      <c r="AH338" s="732"/>
      <c r="AI338" s="519"/>
      <c r="AJ338" s="519"/>
      <c r="AK338" s="519"/>
      <c r="AL338" s="520"/>
      <c r="AM338" s="520"/>
      <c r="AN338" s="520"/>
      <c r="AO338" s="520"/>
      <c r="AP338" s="719"/>
      <c r="AQ338" s="719"/>
      <c r="AR338" s="719"/>
      <c r="AS338" s="719"/>
      <c r="AT338" s="719"/>
    </row>
    <row r="339" spans="1:46" s="555" customFormat="1" ht="22.5" customHeight="1">
      <c r="A339" s="451"/>
      <c r="B339" s="531"/>
      <c r="C339" s="523"/>
      <c r="D339" s="524"/>
      <c r="E339" s="525"/>
      <c r="F339" s="1314"/>
      <c r="G339" s="527"/>
      <c r="H339" s="528"/>
      <c r="I339" s="529"/>
      <c r="J339" s="311"/>
      <c r="K339" s="1175"/>
      <c r="L339" s="530"/>
      <c r="M339" s="530"/>
      <c r="N339" s="309"/>
      <c r="O339" s="776"/>
      <c r="P339" s="777"/>
      <c r="Q339" s="777"/>
      <c r="R339" s="751"/>
      <c r="S339" s="752"/>
      <c r="T339" s="792"/>
      <c r="U339" s="803"/>
      <c r="V339" s="803"/>
      <c r="W339" s="803"/>
      <c r="X339" s="858">
        <f>SUMIF('Summary-E'!O$4:O$50,D339,'Summary-E'!Q$4:Q$50)</f>
        <v>0</v>
      </c>
      <c r="Y339" s="310">
        <f>ROUND((R339+S339/'Summary-E'!$M$63)*X339,2)</f>
        <v>0</v>
      </c>
      <c r="Z339" s="858">
        <f t="shared" si="346"/>
        <v>1.05</v>
      </c>
      <c r="AA339" s="813"/>
      <c r="AB339" s="447"/>
      <c r="AC339" s="310">
        <f t="shared" si="363"/>
        <v>0</v>
      </c>
      <c r="AD339" s="717">
        <f>ROUND(AC339*'[1]Summary E&amp;M'!$R$94,2)</f>
        <v>0</v>
      </c>
      <c r="AE339" s="826"/>
      <c r="AF339" s="826"/>
      <c r="AG339" s="731"/>
      <c r="AH339" s="732"/>
      <c r="AI339" s="519"/>
      <c r="AJ339" s="519"/>
      <c r="AK339" s="519"/>
      <c r="AL339" s="520"/>
      <c r="AM339" s="520"/>
      <c r="AN339" s="520"/>
      <c r="AO339" s="520"/>
      <c r="AP339" s="719"/>
      <c r="AQ339" s="719"/>
      <c r="AR339" s="719"/>
      <c r="AS339" s="719"/>
      <c r="AT339" s="719"/>
    </row>
    <row r="340" spans="1:46" s="555" customFormat="1" ht="22.5" customHeight="1">
      <c r="A340" s="535"/>
      <c r="B340" s="532" t="s">
        <v>798</v>
      </c>
      <c r="C340" s="533"/>
      <c r="D340" s="534"/>
      <c r="E340" s="535"/>
      <c r="F340" s="1319"/>
      <c r="G340" s="536"/>
      <c r="H340" s="537">
        <f>SUBTOTAL(9,H338:H339)</f>
        <v>0</v>
      </c>
      <c r="I340" s="538"/>
      <c r="J340" s="311"/>
      <c r="K340" s="1178"/>
      <c r="L340" s="530"/>
      <c r="M340" s="537">
        <f>SUBTOTAL(9,M338:M338)</f>
        <v>0</v>
      </c>
      <c r="N340" s="309"/>
      <c r="O340" s="776"/>
      <c r="P340" s="777"/>
      <c r="Q340" s="777"/>
      <c r="R340" s="751"/>
      <c r="S340" s="752"/>
      <c r="T340" s="792"/>
      <c r="U340" s="803">
        <v>0</v>
      </c>
      <c r="V340" s="803">
        <v>0</v>
      </c>
      <c r="W340" s="803">
        <v>0</v>
      </c>
      <c r="X340" s="858">
        <f>SUMIF('Summary-E'!O$4:O$50,D340,'Summary-E'!Q$4:Q$50)</f>
        <v>0</v>
      </c>
      <c r="Y340" s="310">
        <f>ROUND((R340+S340/'Summary-E'!$M$63)*X340,2)</f>
        <v>0</v>
      </c>
      <c r="Z340" s="858">
        <f t="shared" si="346"/>
        <v>1.05</v>
      </c>
      <c r="AA340" s="816"/>
      <c r="AB340" s="552"/>
      <c r="AC340" s="310">
        <f t="shared" si="363"/>
        <v>0</v>
      </c>
      <c r="AD340" s="717">
        <f>ROUND(AC340*'[1]Summary E&amp;M'!$R$94,2)</f>
        <v>0</v>
      </c>
      <c r="AE340" s="831">
        <f>SUBTOTAL(9,AE338:AE338)</f>
        <v>0</v>
      </c>
      <c r="AF340" s="831">
        <f>SUBTOTAL(9,AF338:AF338)</f>
        <v>0</v>
      </c>
      <c r="AG340" s="735"/>
      <c r="AH340" s="736"/>
      <c r="AI340" s="552"/>
      <c r="AJ340" s="552"/>
      <c r="AK340" s="552"/>
      <c r="AL340" s="552"/>
      <c r="AM340" s="579">
        <f>SUBTOTAL(9,AM338:AM338)</f>
        <v>0</v>
      </c>
      <c r="AN340" s="552"/>
      <c r="AO340" s="579">
        <f>SUBTOTAL(9,AO338:AO338)</f>
        <v>0</v>
      </c>
      <c r="AP340" s="719"/>
      <c r="AQ340" s="719"/>
      <c r="AR340" s="719"/>
      <c r="AS340" s="719"/>
      <c r="AT340" s="719"/>
    </row>
    <row r="341" spans="1:46" s="555" customFormat="1" ht="22.5" customHeight="1">
      <c r="A341" s="535"/>
      <c r="B341" s="532"/>
      <c r="C341" s="533"/>
      <c r="D341" s="534"/>
      <c r="E341" s="535"/>
      <c r="F341" s="1319"/>
      <c r="G341" s="536"/>
      <c r="H341" s="537"/>
      <c r="I341" s="538"/>
      <c r="J341" s="309"/>
      <c r="K341" s="1178"/>
      <c r="L341" s="530"/>
      <c r="M341" s="537"/>
      <c r="N341" s="309"/>
      <c r="O341" s="776"/>
      <c r="P341" s="777"/>
      <c r="Q341" s="777"/>
      <c r="R341" s="751"/>
      <c r="S341" s="752"/>
      <c r="T341" s="792"/>
      <c r="U341" s="803"/>
      <c r="V341" s="803"/>
      <c r="W341" s="803"/>
      <c r="X341" s="858">
        <f>SUMIF('Summary-E'!O$4:O$50,D341,'Summary-E'!Q$4:Q$50)</f>
        <v>0</v>
      </c>
      <c r="Y341" s="310">
        <f>ROUND((R341+S341/'Summary-E'!$M$63)*X341,2)</f>
        <v>0</v>
      </c>
      <c r="Z341" s="858">
        <f t="shared" si="346"/>
        <v>1.05</v>
      </c>
      <c r="AA341" s="816"/>
      <c r="AB341" s="552"/>
      <c r="AC341" s="310">
        <f t="shared" si="363"/>
        <v>0</v>
      </c>
      <c r="AD341" s="717">
        <f>ROUND(AC341*'[1]Summary E&amp;M'!$R$94,2)</f>
        <v>0</v>
      </c>
      <c r="AE341" s="831"/>
      <c r="AF341" s="831"/>
      <c r="AG341" s="735"/>
      <c r="AH341" s="736"/>
      <c r="AI341" s="552"/>
      <c r="AJ341" s="552"/>
      <c r="AK341" s="552"/>
      <c r="AL341" s="552"/>
      <c r="AM341" s="536"/>
      <c r="AN341" s="552"/>
      <c r="AO341" s="536"/>
      <c r="AP341" s="719"/>
      <c r="AQ341" s="719"/>
      <c r="AR341" s="719"/>
      <c r="AS341" s="719"/>
      <c r="AT341" s="719"/>
    </row>
    <row r="342" spans="1:46" s="711" customFormat="1" ht="22.5" customHeight="1">
      <c r="A342" s="973"/>
      <c r="B342" s="974" t="s">
        <v>799</v>
      </c>
      <c r="C342" s="979"/>
      <c r="D342" s="973"/>
      <c r="E342" s="973"/>
      <c r="F342" s="1317"/>
      <c r="G342" s="971"/>
      <c r="H342" s="977">
        <f>SUBTOTAL(9,H220:H340)</f>
        <v>329017.08000000007</v>
      </c>
      <c r="I342" s="978"/>
      <c r="J342" s="551"/>
      <c r="K342" s="1177"/>
      <c r="L342" s="550"/>
      <c r="M342" s="1051">
        <f>SUBTOTAL(9,M220:M340)</f>
        <v>77475.080000000016</v>
      </c>
      <c r="N342" s="549"/>
      <c r="O342" s="779"/>
      <c r="P342" s="780"/>
      <c r="Q342" s="780"/>
      <c r="R342" s="759"/>
      <c r="S342" s="760"/>
      <c r="T342" s="792"/>
      <c r="U342" s="803">
        <v>0</v>
      </c>
      <c r="V342" s="803">
        <v>0</v>
      </c>
      <c r="W342" s="803">
        <v>0</v>
      </c>
      <c r="X342" s="858">
        <f>SUMIF('Summary-E'!O$4:O$50,D342,'Summary-E'!Q$4:Q$50)</f>
        <v>0</v>
      </c>
      <c r="Y342" s="310">
        <f>ROUND((R342+S342/'Summary-E'!$M$63)*X342,2)</f>
        <v>0</v>
      </c>
      <c r="Z342" s="858">
        <f t="shared" si="346"/>
        <v>1.05</v>
      </c>
      <c r="AA342" s="816"/>
      <c r="AB342" s="552"/>
      <c r="AC342" s="310">
        <f t="shared" si="363"/>
        <v>0</v>
      </c>
      <c r="AD342" s="721">
        <f>ROUND(AC342*'[1]Summary E&amp;M'!$R$94,2)</f>
        <v>0</v>
      </c>
      <c r="AE342" s="828">
        <f>SUBTOTAL(9,AE220:AE340)</f>
        <v>231124.95</v>
      </c>
      <c r="AF342" s="828">
        <f>SUBTOTAL(9,AF220:AF340)</f>
        <v>59916.939999999988</v>
      </c>
      <c r="AG342" s="733"/>
      <c r="AH342" s="734"/>
      <c r="AI342" s="713"/>
      <c r="AJ342" s="713"/>
      <c r="AK342" s="713"/>
      <c r="AL342" s="713"/>
      <c r="AM342" s="712">
        <f>SUBTOTAL(9,AM220:AM340)</f>
        <v>0</v>
      </c>
      <c r="AN342" s="713"/>
      <c r="AO342" s="712">
        <f>SUBTOTAL(9,AO220:AO340)</f>
        <v>0</v>
      </c>
      <c r="AP342" s="722"/>
      <c r="AQ342" s="722"/>
      <c r="AR342" s="722"/>
      <c r="AS342" s="722"/>
      <c r="AT342" s="722"/>
    </row>
    <row r="343" spans="1:46" s="555" customFormat="1" ht="22.5" customHeight="1">
      <c r="A343" s="640"/>
      <c r="B343" s="557"/>
      <c r="C343" s="558"/>
      <c r="D343" s="640"/>
      <c r="E343" s="559"/>
      <c r="F343" s="1323"/>
      <c r="G343" s="560"/>
      <c r="H343" s="561"/>
      <c r="I343" s="562"/>
      <c r="J343" s="309"/>
      <c r="K343" s="1180"/>
      <c r="L343" s="530"/>
      <c r="M343" s="561"/>
      <c r="N343" s="309"/>
      <c r="O343" s="776"/>
      <c r="P343" s="777"/>
      <c r="Q343" s="777"/>
      <c r="R343" s="751"/>
      <c r="S343" s="752"/>
      <c r="T343" s="792"/>
      <c r="U343" s="803"/>
      <c r="V343" s="803"/>
      <c r="W343" s="803"/>
      <c r="X343" s="858">
        <f>SUMIF('Summary-E'!O$4:O$50,D343,'Summary-E'!Q$4:Q$50)</f>
        <v>0</v>
      </c>
      <c r="Y343" s="310">
        <f>ROUND((R343+S343/'Summary-E'!$M$63)*X343,2)</f>
        <v>0</v>
      </c>
      <c r="Z343" s="858">
        <f t="shared" si="346"/>
        <v>1.05</v>
      </c>
      <c r="AA343" s="816"/>
      <c r="AB343" s="552"/>
      <c r="AC343" s="310">
        <f t="shared" si="363"/>
        <v>0</v>
      </c>
      <c r="AD343" s="717">
        <f>ROUND(AC343*'[1]Summary E&amp;M'!$R$94,2)</f>
        <v>0</v>
      </c>
      <c r="AE343" s="833"/>
      <c r="AF343" s="833"/>
      <c r="AG343" s="735"/>
      <c r="AH343" s="736"/>
      <c r="AI343" s="552"/>
      <c r="AJ343" s="552"/>
      <c r="AK343" s="552"/>
      <c r="AL343" s="552"/>
      <c r="AM343" s="560"/>
      <c r="AN343" s="552"/>
      <c r="AO343" s="560"/>
      <c r="AP343" s="719"/>
      <c r="AQ343" s="719"/>
      <c r="AR343" s="719"/>
      <c r="AS343" s="719"/>
      <c r="AT343" s="719"/>
    </row>
    <row r="344" spans="1:46" s="555" customFormat="1" ht="22.5" customHeight="1">
      <c r="A344" s="620" t="s">
        <v>411</v>
      </c>
      <c r="B344" s="522" t="s">
        <v>778</v>
      </c>
      <c r="C344" s="566"/>
      <c r="D344" s="525"/>
      <c r="E344" s="525"/>
      <c r="F344" s="1314"/>
      <c r="G344" s="541"/>
      <c r="H344" s="528"/>
      <c r="I344" s="529"/>
      <c r="J344" s="311"/>
      <c r="K344" s="1175"/>
      <c r="L344" s="530"/>
      <c r="M344" s="530"/>
      <c r="N344" s="309"/>
      <c r="O344" s="776"/>
      <c r="P344" s="777"/>
      <c r="Q344" s="777"/>
      <c r="R344" s="751"/>
      <c r="S344" s="752"/>
      <c r="T344" s="792"/>
      <c r="U344" s="803"/>
      <c r="V344" s="803"/>
      <c r="W344" s="803"/>
      <c r="X344" s="858">
        <f>SUMIF('Summary-E'!O$4:O$50,D344,'Summary-E'!Q$4:Q$50)</f>
        <v>0</v>
      </c>
      <c r="Y344" s="310">
        <f>ROUND((R344+S344/'Summary-E'!$M$63)*X344,2)</f>
        <v>0</v>
      </c>
      <c r="Z344" s="858">
        <f t="shared" si="346"/>
        <v>1.05</v>
      </c>
      <c r="AA344" s="813"/>
      <c r="AB344" s="447"/>
      <c r="AC344" s="310">
        <f t="shared" si="363"/>
        <v>0</v>
      </c>
      <c r="AD344" s="717">
        <f>ROUND(AC344*'[1]Summary E&amp;M'!$R$94,2)</f>
        <v>0</v>
      </c>
      <c r="AE344" s="826">
        <f t="shared" ref="AE344:AE382" si="364">ROUND($K344*$Y344,2)</f>
        <v>0</v>
      </c>
      <c r="AF344" s="826">
        <f t="shared" ref="AF344:AF382" si="365">ROUND($K344*$AC344,2)</f>
        <v>0</v>
      </c>
      <c r="AG344" s="731"/>
      <c r="AH344" s="732"/>
      <c r="AI344" s="519"/>
      <c r="AJ344" s="519"/>
      <c r="AK344" s="519"/>
      <c r="AL344" s="520"/>
      <c r="AM344" s="520"/>
      <c r="AN344" s="520"/>
      <c r="AO344" s="520"/>
      <c r="AP344" s="719"/>
      <c r="AQ344" s="719"/>
      <c r="AR344" s="719"/>
      <c r="AS344" s="719"/>
      <c r="AT344" s="719"/>
    </row>
    <row r="345" spans="1:46" s="555" customFormat="1" ht="22.5" customHeight="1">
      <c r="A345" s="451"/>
      <c r="B345" s="1002" t="s">
        <v>982</v>
      </c>
      <c r="C345" s="1003"/>
      <c r="D345" s="1004">
        <v>183</v>
      </c>
      <c r="E345" s="525" t="s">
        <v>319</v>
      </c>
      <c r="F345" s="1315">
        <f>K345</f>
        <v>0</v>
      </c>
      <c r="G345" s="1269" t="s">
        <v>1308</v>
      </c>
      <c r="H345" s="1270"/>
      <c r="I345" s="420" t="s">
        <v>137</v>
      </c>
      <c r="J345" s="309"/>
      <c r="K345" s="1268">
        <v>0</v>
      </c>
      <c r="L345" s="530">
        <f>ROUND(AD345,2)</f>
        <v>2362.5</v>
      </c>
      <c r="M345" s="530">
        <f>ROUND(L345*F345,2)</f>
        <v>0</v>
      </c>
      <c r="N345" s="309"/>
      <c r="O345" s="778">
        <v>183</v>
      </c>
      <c r="P345" s="777"/>
      <c r="Q345" s="777"/>
      <c r="R345" s="751">
        <f>130600*1.05</f>
        <v>137130</v>
      </c>
      <c r="S345" s="752"/>
      <c r="T345" s="792">
        <v>1800</v>
      </c>
      <c r="U345" s="803">
        <v>0.05</v>
      </c>
      <c r="V345" s="803">
        <v>0</v>
      </c>
      <c r="W345" s="803">
        <v>0.1</v>
      </c>
      <c r="X345" s="858">
        <f>SUMIF('Summary-E'!O$4:O$50,D345,'Summary-E'!Q$4:Q$50)</f>
        <v>0.97</v>
      </c>
      <c r="Y345" s="310">
        <f>ROUND((R345+S345/'Summary-E'!$M$63)*X345,2)</f>
        <v>133016.1</v>
      </c>
      <c r="Z345" s="858">
        <f t="shared" si="346"/>
        <v>1.05</v>
      </c>
      <c r="AA345" s="813">
        <f>ROUND(Y345*Z345,2)</f>
        <v>139666.91</v>
      </c>
      <c r="AB345" s="447">
        <f>$AB$3</f>
        <v>0.05</v>
      </c>
      <c r="AC345" s="310">
        <f t="shared" si="363"/>
        <v>1890</v>
      </c>
      <c r="AD345" s="717">
        <f>ROUND(AC345*'[1]Summary E&amp;M'!$R$94,2)</f>
        <v>2362.5</v>
      </c>
      <c r="AE345" s="826">
        <f t="shared" si="364"/>
        <v>0</v>
      </c>
      <c r="AF345" s="826">
        <f t="shared" si="365"/>
        <v>0</v>
      </c>
      <c r="AG345" s="731">
        <v>125600</v>
      </c>
      <c r="AH345" s="732">
        <v>1995</v>
      </c>
      <c r="AI345" s="519">
        <f>$U345</f>
        <v>0.05</v>
      </c>
      <c r="AJ345" s="519">
        <f>$V345</f>
        <v>0</v>
      </c>
      <c r="AK345" s="519">
        <f>$W345</f>
        <v>0.1</v>
      </c>
      <c r="AL345" s="520">
        <f>ROUND(Y345*AI345+((Y345*(1+AI345))*AJ345)+((Y345*AI345+((Y345*(1+AI345))*AJ345))*AK345),2)</f>
        <v>7315.89</v>
      </c>
      <c r="AM345" s="520">
        <f>AL345*$F345</f>
        <v>0</v>
      </c>
      <c r="AN345" s="520">
        <f>ROUND(AL345*Z345,2)</f>
        <v>7681.68</v>
      </c>
      <c r="AO345" s="520">
        <f>AN345*$F345</f>
        <v>0</v>
      </c>
      <c r="AP345" s="719"/>
      <c r="AQ345" s="719"/>
      <c r="AR345" s="719"/>
      <c r="AS345" s="719"/>
      <c r="AT345" s="719"/>
    </row>
    <row r="346" spans="1:46" s="555" customFormat="1" ht="22.5" customHeight="1">
      <c r="A346" s="451"/>
      <c r="B346" s="1002" t="s">
        <v>754</v>
      </c>
      <c r="C346" s="1003"/>
      <c r="D346" s="1004"/>
      <c r="E346" s="525"/>
      <c r="F346" s="1314"/>
      <c r="G346" s="527"/>
      <c r="H346" s="528"/>
      <c r="I346" s="961"/>
      <c r="J346" s="309"/>
      <c r="K346" s="1175"/>
      <c r="L346" s="530"/>
      <c r="M346" s="530"/>
      <c r="N346" s="309"/>
      <c r="O346" s="778"/>
      <c r="P346" s="777"/>
      <c r="Q346" s="777"/>
      <c r="R346" s="751"/>
      <c r="S346" s="752"/>
      <c r="T346" s="792"/>
      <c r="U346" s="803"/>
      <c r="V346" s="1355"/>
      <c r="W346" s="803"/>
      <c r="X346" s="858">
        <f>SUMIF('Summary-E'!O$4:O$50,D346,'Summary-E'!Q$4:Q$50)</f>
        <v>0</v>
      </c>
      <c r="Y346" s="310">
        <f>ROUND((R346+S346/'Summary-E'!$M$63)*X346,2)</f>
        <v>0</v>
      </c>
      <c r="Z346" s="858">
        <f t="shared" si="346"/>
        <v>1.05</v>
      </c>
      <c r="AA346" s="813"/>
      <c r="AB346" s="447"/>
      <c r="AC346" s="310">
        <f t="shared" si="363"/>
        <v>0</v>
      </c>
      <c r="AD346" s="717">
        <f>ROUND(AC346*'[1]Summary E&amp;M'!$R$94,2)</f>
        <v>0</v>
      </c>
      <c r="AE346" s="826">
        <f t="shared" si="364"/>
        <v>0</v>
      </c>
      <c r="AF346" s="826">
        <f t="shared" si="365"/>
        <v>0</v>
      </c>
      <c r="AG346" s="731"/>
      <c r="AH346" s="732"/>
      <c r="AI346" s="519"/>
      <c r="AJ346" s="519"/>
      <c r="AK346" s="519"/>
      <c r="AL346" s="520"/>
      <c r="AM346" s="520"/>
      <c r="AN346" s="520"/>
      <c r="AO346" s="520"/>
      <c r="AP346" s="719"/>
      <c r="AQ346" s="719"/>
      <c r="AR346" s="719"/>
      <c r="AS346" s="719"/>
      <c r="AT346" s="719"/>
    </row>
    <row r="347" spans="1:46" s="555" customFormat="1" ht="22.5" customHeight="1">
      <c r="A347" s="451"/>
      <c r="B347" s="1002" t="s">
        <v>755</v>
      </c>
      <c r="C347" s="1003"/>
      <c r="D347" s="1004"/>
      <c r="E347" s="525"/>
      <c r="F347" s="1314"/>
      <c r="G347" s="527"/>
      <c r="H347" s="528"/>
      <c r="I347" s="961"/>
      <c r="J347" s="309"/>
      <c r="K347" s="1175"/>
      <c r="L347" s="530"/>
      <c r="M347" s="530"/>
      <c r="N347" s="309"/>
      <c r="O347" s="778"/>
      <c r="P347" s="777"/>
      <c r="Q347" s="777"/>
      <c r="R347" s="751"/>
      <c r="S347" s="752"/>
      <c r="T347" s="792"/>
      <c r="U347" s="803"/>
      <c r="V347" s="803"/>
      <c r="W347" s="803"/>
      <c r="X347" s="858">
        <f>SUMIF('Summary-E'!O$4:O$50,D347,'Summary-E'!Q$4:Q$50)</f>
        <v>0</v>
      </c>
      <c r="Y347" s="310">
        <f>ROUND((R347+S347/'Summary-E'!$M$63)*X347,2)</f>
        <v>0</v>
      </c>
      <c r="Z347" s="858">
        <f t="shared" si="346"/>
        <v>1.05</v>
      </c>
      <c r="AA347" s="813"/>
      <c r="AB347" s="447"/>
      <c r="AC347" s="310">
        <f t="shared" si="363"/>
        <v>0</v>
      </c>
      <c r="AD347" s="717">
        <f>ROUND(AC347*'[1]Summary E&amp;M'!$R$94,2)</f>
        <v>0</v>
      </c>
      <c r="AE347" s="826">
        <f t="shared" si="364"/>
        <v>0</v>
      </c>
      <c r="AF347" s="826">
        <f t="shared" si="365"/>
        <v>0</v>
      </c>
      <c r="AG347" s="731"/>
      <c r="AH347" s="732"/>
      <c r="AI347" s="519"/>
      <c r="AJ347" s="519"/>
      <c r="AK347" s="519"/>
      <c r="AL347" s="520"/>
      <c r="AM347" s="520"/>
      <c r="AN347" s="520"/>
      <c r="AO347" s="520"/>
      <c r="AP347" s="719"/>
      <c r="AQ347" s="719"/>
      <c r="AR347" s="719"/>
      <c r="AS347" s="719"/>
      <c r="AT347" s="719"/>
    </row>
    <row r="348" spans="1:46" s="555" customFormat="1" ht="22.5" customHeight="1">
      <c r="A348" s="451"/>
      <c r="B348" s="1002" t="s">
        <v>756</v>
      </c>
      <c r="C348" s="1003"/>
      <c r="D348" s="1004"/>
      <c r="E348" s="525"/>
      <c r="F348" s="1314"/>
      <c r="G348" s="527"/>
      <c r="H348" s="528"/>
      <c r="I348" s="961"/>
      <c r="J348" s="309"/>
      <c r="K348" s="1175"/>
      <c r="L348" s="530"/>
      <c r="M348" s="530"/>
      <c r="N348" s="309"/>
      <c r="O348" s="778"/>
      <c r="P348" s="777"/>
      <c r="Q348" s="777"/>
      <c r="R348" s="751"/>
      <c r="S348" s="752"/>
      <c r="T348" s="792"/>
      <c r="U348" s="803"/>
      <c r="V348" s="803"/>
      <c r="W348" s="803"/>
      <c r="X348" s="858">
        <f>SUMIF('Summary-E'!O$4:O$50,D348,'Summary-E'!Q$4:Q$50)</f>
        <v>0</v>
      </c>
      <c r="Y348" s="310">
        <f>ROUND((R348+S348/'Summary-E'!$M$63)*X348,2)</f>
        <v>0</v>
      </c>
      <c r="Z348" s="858">
        <f t="shared" si="346"/>
        <v>1.05</v>
      </c>
      <c r="AA348" s="813"/>
      <c r="AB348" s="447"/>
      <c r="AC348" s="310">
        <f t="shared" si="363"/>
        <v>0</v>
      </c>
      <c r="AD348" s="717">
        <f>ROUND(AC348*'[1]Summary E&amp;M'!$R$94,2)</f>
        <v>0</v>
      </c>
      <c r="AE348" s="826">
        <f t="shared" si="364"/>
        <v>0</v>
      </c>
      <c r="AF348" s="826">
        <f t="shared" si="365"/>
        <v>0</v>
      </c>
      <c r="AG348" s="731"/>
      <c r="AH348" s="732"/>
      <c r="AI348" s="519"/>
      <c r="AJ348" s="519"/>
      <c r="AK348" s="519"/>
      <c r="AL348" s="520"/>
      <c r="AM348" s="520"/>
      <c r="AN348" s="520"/>
      <c r="AO348" s="520"/>
      <c r="AP348" s="719"/>
      <c r="AQ348" s="719"/>
      <c r="AR348" s="719"/>
      <c r="AS348" s="719"/>
      <c r="AT348" s="719"/>
    </row>
    <row r="349" spans="1:46" s="555" customFormat="1" ht="22.5" customHeight="1">
      <c r="A349" s="451"/>
      <c r="B349" s="1002" t="s">
        <v>757</v>
      </c>
      <c r="C349" s="1003"/>
      <c r="D349" s="1004"/>
      <c r="E349" s="525"/>
      <c r="F349" s="1314"/>
      <c r="G349" s="527"/>
      <c r="H349" s="528"/>
      <c r="I349" s="961"/>
      <c r="J349" s="309"/>
      <c r="K349" s="1175"/>
      <c r="L349" s="530"/>
      <c r="M349" s="530"/>
      <c r="N349" s="309"/>
      <c r="O349" s="778"/>
      <c r="P349" s="777"/>
      <c r="Q349" s="777"/>
      <c r="R349" s="751"/>
      <c r="S349" s="752"/>
      <c r="T349" s="792"/>
      <c r="U349" s="803"/>
      <c r="V349" s="803"/>
      <c r="W349" s="803"/>
      <c r="X349" s="858">
        <f>SUMIF('Summary-E'!O$4:O$50,D349,'Summary-E'!Q$4:Q$50)</f>
        <v>0</v>
      </c>
      <c r="Y349" s="310">
        <f>ROUND((R349+S349/'Summary-E'!$M$63)*X349,2)</f>
        <v>0</v>
      </c>
      <c r="Z349" s="858">
        <f t="shared" si="346"/>
        <v>1.05</v>
      </c>
      <c r="AA349" s="813"/>
      <c r="AB349" s="447"/>
      <c r="AC349" s="310">
        <f t="shared" si="363"/>
        <v>0</v>
      </c>
      <c r="AD349" s="717">
        <f>ROUND(AC349*'[1]Summary E&amp;M'!$R$94,2)</f>
        <v>0</v>
      </c>
      <c r="AE349" s="826">
        <f t="shared" si="364"/>
        <v>0</v>
      </c>
      <c r="AF349" s="826">
        <f t="shared" si="365"/>
        <v>0</v>
      </c>
      <c r="AG349" s="731"/>
      <c r="AH349" s="732"/>
      <c r="AI349" s="519"/>
      <c r="AJ349" s="519"/>
      <c r="AK349" s="519"/>
      <c r="AL349" s="520"/>
      <c r="AM349" s="520"/>
      <c r="AN349" s="520"/>
      <c r="AO349" s="520"/>
      <c r="AP349" s="719"/>
      <c r="AQ349" s="719"/>
      <c r="AR349" s="719"/>
      <c r="AS349" s="719"/>
      <c r="AT349" s="719"/>
    </row>
    <row r="350" spans="1:46" s="555" customFormat="1" ht="22.5" customHeight="1">
      <c r="A350" s="451"/>
      <c r="B350" s="1002" t="s">
        <v>758</v>
      </c>
      <c r="C350" s="1003"/>
      <c r="D350" s="1004"/>
      <c r="E350" s="525"/>
      <c r="F350" s="1314"/>
      <c r="G350" s="527"/>
      <c r="H350" s="528"/>
      <c r="I350" s="961"/>
      <c r="J350" s="309"/>
      <c r="K350" s="1175"/>
      <c r="L350" s="530"/>
      <c r="M350" s="530"/>
      <c r="N350" s="309"/>
      <c r="O350" s="778"/>
      <c r="P350" s="777"/>
      <c r="Q350" s="777"/>
      <c r="R350" s="751"/>
      <c r="S350" s="752"/>
      <c r="T350" s="792"/>
      <c r="U350" s="803"/>
      <c r="V350" s="803"/>
      <c r="W350" s="803"/>
      <c r="X350" s="858">
        <f>SUMIF('Summary-E'!O$4:O$50,D350,'Summary-E'!Q$4:Q$50)</f>
        <v>0</v>
      </c>
      <c r="Y350" s="310">
        <f>ROUND((R350+S350/'Summary-E'!$M$63)*X350,2)</f>
        <v>0</v>
      </c>
      <c r="Z350" s="858">
        <f t="shared" si="346"/>
        <v>1.05</v>
      </c>
      <c r="AA350" s="813"/>
      <c r="AB350" s="447"/>
      <c r="AC350" s="310">
        <f t="shared" si="363"/>
        <v>0</v>
      </c>
      <c r="AD350" s="717">
        <f>ROUND(AC350*'[1]Summary E&amp;M'!$R$94,2)</f>
        <v>0</v>
      </c>
      <c r="AE350" s="826">
        <f t="shared" si="364"/>
        <v>0</v>
      </c>
      <c r="AF350" s="826">
        <f t="shared" si="365"/>
        <v>0</v>
      </c>
      <c r="AG350" s="731"/>
      <c r="AH350" s="732"/>
      <c r="AI350" s="519"/>
      <c r="AJ350" s="519"/>
      <c r="AK350" s="519"/>
      <c r="AL350" s="520"/>
      <c r="AM350" s="520"/>
      <c r="AN350" s="520"/>
      <c r="AO350" s="520"/>
      <c r="AP350" s="719"/>
      <c r="AQ350" s="719"/>
      <c r="AR350" s="719"/>
      <c r="AS350" s="719"/>
      <c r="AT350" s="719"/>
    </row>
    <row r="351" spans="1:46" s="555" customFormat="1" ht="22.5" customHeight="1">
      <c r="A351" s="451"/>
      <c r="B351" s="1005" t="s">
        <v>984</v>
      </c>
      <c r="C351" s="1003" t="s">
        <v>983</v>
      </c>
      <c r="D351" s="1204" t="s">
        <v>210</v>
      </c>
      <c r="E351" s="525" t="s">
        <v>319</v>
      </c>
      <c r="F351" s="1315">
        <f>K351</f>
        <v>1</v>
      </c>
      <c r="G351" s="527">
        <f>ROUNDUP(AA351,2)</f>
        <v>4522.05</v>
      </c>
      <c r="H351" s="528">
        <f>ROUND(F351*G351,2)</f>
        <v>4522.05</v>
      </c>
      <c r="I351" s="961"/>
      <c r="J351" s="309"/>
      <c r="K351" s="1175">
        <v>1</v>
      </c>
      <c r="L351" s="530">
        <f>ROUND(AD351,2)</f>
        <v>656.25</v>
      </c>
      <c r="M351" s="530">
        <f>ROUND(L351*F351,2)</f>
        <v>656.25</v>
      </c>
      <c r="N351" s="309"/>
      <c r="O351" s="778" t="s">
        <v>132</v>
      </c>
      <c r="P351" s="777"/>
      <c r="Q351" s="777"/>
      <c r="R351" s="751"/>
      <c r="S351" s="752">
        <v>92350000</v>
      </c>
      <c r="T351" s="792">
        <v>500</v>
      </c>
      <c r="U351" s="803">
        <v>0</v>
      </c>
      <c r="V351" s="803">
        <v>0</v>
      </c>
      <c r="W351" s="803">
        <v>0</v>
      </c>
      <c r="X351" s="858">
        <f>SUMIF('Summary-E'!O$4:O$50,D351,'Summary-E'!Q$4:Q$50)</f>
        <v>0.97</v>
      </c>
      <c r="Y351" s="310">
        <f>ROUND((R351+S351/'Summary-E'!$M$63)*X351,2)</f>
        <v>4306.71</v>
      </c>
      <c r="Z351" s="858">
        <f t="shared" si="346"/>
        <v>1.05</v>
      </c>
      <c r="AA351" s="813">
        <f>ROUND(Y351*Z351,2)</f>
        <v>4522.05</v>
      </c>
      <c r="AB351" s="447">
        <f>$AB$3</f>
        <v>0.05</v>
      </c>
      <c r="AC351" s="310">
        <f t="shared" si="363"/>
        <v>525</v>
      </c>
      <c r="AD351" s="717">
        <f>ROUND(AC351*'[1]Summary E&amp;M'!$R$94,2)</f>
        <v>656.25</v>
      </c>
      <c r="AE351" s="826">
        <f t="shared" si="364"/>
        <v>4306.71</v>
      </c>
      <c r="AF351" s="826">
        <f t="shared" si="365"/>
        <v>525</v>
      </c>
      <c r="AG351" s="731"/>
      <c r="AH351" s="732"/>
      <c r="AI351" s="519">
        <f>$U351</f>
        <v>0</v>
      </c>
      <c r="AJ351" s="519">
        <f>$V351</f>
        <v>0</v>
      </c>
      <c r="AK351" s="519">
        <f>$W351</f>
        <v>0</v>
      </c>
      <c r="AL351" s="520">
        <f>ROUND(Y351*AI351+((Y351*(1+AI351))*AJ351)+((Y351*AI351+((Y351*(1+AI351))*AJ351))*AK351),2)</f>
        <v>0</v>
      </c>
      <c r="AM351" s="520">
        <f>AL351*$F351</f>
        <v>0</v>
      </c>
      <c r="AN351" s="520">
        <f>ROUND(AL351*Z351,2)</f>
        <v>0</v>
      </c>
      <c r="AO351" s="520">
        <f>AN351*$F351</f>
        <v>0</v>
      </c>
      <c r="AP351" s="719"/>
      <c r="AQ351" s="719"/>
      <c r="AR351" s="719"/>
      <c r="AS351" s="719"/>
      <c r="AT351" s="719"/>
    </row>
    <row r="352" spans="1:46" s="555" customFormat="1" ht="22.5" customHeight="1">
      <c r="A352" s="451"/>
      <c r="B352" s="1005" t="s">
        <v>672</v>
      </c>
      <c r="C352" s="1003"/>
      <c r="D352" s="524" t="s">
        <v>139</v>
      </c>
      <c r="E352" s="525" t="s">
        <v>322</v>
      </c>
      <c r="F352" s="1315">
        <f>K352</f>
        <v>1</v>
      </c>
      <c r="G352" s="527">
        <f>ROUNDUP(AA352,2)</f>
        <v>611.1</v>
      </c>
      <c r="H352" s="528">
        <f>ROUND(F352*G352,2)</f>
        <v>611.1</v>
      </c>
      <c r="I352" s="961"/>
      <c r="J352" s="309"/>
      <c r="K352" s="1175">
        <v>1</v>
      </c>
      <c r="L352" s="530">
        <f>ROUND(AD352,2)</f>
        <v>157.5</v>
      </c>
      <c r="M352" s="530">
        <f>ROUND(L352*F352,2)</f>
        <v>157.5</v>
      </c>
      <c r="N352" s="309"/>
      <c r="O352" s="778" t="s">
        <v>130</v>
      </c>
      <c r="P352" s="777"/>
      <c r="Q352" s="777"/>
      <c r="R352" s="751">
        <v>600</v>
      </c>
      <c r="S352" s="752"/>
      <c r="T352" s="792">
        <v>120</v>
      </c>
      <c r="U352" s="803">
        <v>0</v>
      </c>
      <c r="V352" s="803">
        <v>0</v>
      </c>
      <c r="W352" s="803">
        <v>0</v>
      </c>
      <c r="X352" s="858">
        <f>SUMIF('Summary-E'!O$4:O$50,D352,'Summary-E'!Q$4:Q$50)</f>
        <v>0.97</v>
      </c>
      <c r="Y352" s="310">
        <f>ROUND((R352+S352/'Summary-E'!$M$63)*X352,2)</f>
        <v>582</v>
      </c>
      <c r="Z352" s="858">
        <f t="shared" si="346"/>
        <v>1.05</v>
      </c>
      <c r="AA352" s="813">
        <f>ROUND(Y352*Z352,2)</f>
        <v>611.1</v>
      </c>
      <c r="AB352" s="447">
        <f>$AB$3</f>
        <v>0.05</v>
      </c>
      <c r="AC352" s="310">
        <f t="shared" si="363"/>
        <v>126</v>
      </c>
      <c r="AD352" s="717">
        <f>ROUND(AC352*'[1]Summary E&amp;M'!$R$94,2)</f>
        <v>157.5</v>
      </c>
      <c r="AE352" s="826">
        <f t="shared" si="364"/>
        <v>582</v>
      </c>
      <c r="AF352" s="826">
        <f t="shared" si="365"/>
        <v>126</v>
      </c>
      <c r="AG352" s="731"/>
      <c r="AH352" s="732"/>
      <c r="AI352" s="519">
        <f>$U352</f>
        <v>0</v>
      </c>
      <c r="AJ352" s="519">
        <f>$V352</f>
        <v>0</v>
      </c>
      <c r="AK352" s="519">
        <f>$W352</f>
        <v>0</v>
      </c>
      <c r="AL352" s="520">
        <f>ROUND(Y352*AI352+((Y352*(1+AI352))*AJ352)+((Y352*AI352+((Y352*(1+AI352))*AJ352))*AK352),2)</f>
        <v>0</v>
      </c>
      <c r="AM352" s="520">
        <f>AL352*$F352</f>
        <v>0</v>
      </c>
      <c r="AN352" s="520">
        <f>ROUND(AL352*Z352,2)</f>
        <v>0</v>
      </c>
      <c r="AO352" s="520">
        <f>AN352*$F352</f>
        <v>0</v>
      </c>
      <c r="AP352" s="719"/>
      <c r="AQ352" s="719"/>
      <c r="AR352" s="719"/>
      <c r="AS352" s="719"/>
      <c r="AT352" s="719"/>
    </row>
    <row r="353" spans="1:46" s="555" customFormat="1" ht="22.5" customHeight="1">
      <c r="A353" s="451"/>
      <c r="B353" s="1005" t="s">
        <v>762</v>
      </c>
      <c r="C353" s="1003"/>
      <c r="D353" s="1004"/>
      <c r="E353" s="525" t="s">
        <v>319</v>
      </c>
      <c r="F353" s="1322">
        <f>K353</f>
        <v>1</v>
      </c>
      <c r="G353" s="952" t="s">
        <v>750</v>
      </c>
      <c r="H353" s="650"/>
      <c r="I353" s="420" t="s">
        <v>805</v>
      </c>
      <c r="J353" s="309"/>
      <c r="K353" s="1175">
        <v>1</v>
      </c>
      <c r="L353" s="530">
        <f>ROUND(AD353,2)</f>
        <v>0</v>
      </c>
      <c r="M353" s="530">
        <f>ROUND(L353*F353,2)</f>
        <v>0</v>
      </c>
      <c r="N353" s="309"/>
      <c r="O353" s="778"/>
      <c r="P353" s="777"/>
      <c r="Q353" s="777"/>
      <c r="R353" s="751"/>
      <c r="S353" s="752"/>
      <c r="T353" s="792"/>
      <c r="U353" s="803">
        <v>0</v>
      </c>
      <c r="V353" s="803">
        <v>0</v>
      </c>
      <c r="W353" s="803">
        <v>0</v>
      </c>
      <c r="X353" s="858">
        <f>SUMIF('Summary-E'!O$4:O$50,D353,'Summary-E'!Q$4:Q$50)</f>
        <v>0</v>
      </c>
      <c r="Y353" s="310">
        <f>ROUND((R353+S353/'Summary-E'!$M$63)*X353,2)</f>
        <v>0</v>
      </c>
      <c r="Z353" s="858">
        <f t="shared" si="346"/>
        <v>1.05</v>
      </c>
      <c r="AA353" s="813">
        <f>ROUND(Y353*Z353,2)</f>
        <v>0</v>
      </c>
      <c r="AB353" s="447">
        <f>$AB$3</f>
        <v>0.05</v>
      </c>
      <c r="AC353" s="310">
        <f t="shared" si="363"/>
        <v>0</v>
      </c>
      <c r="AD353" s="717">
        <f>ROUND(AC353*'[1]Summary E&amp;M'!$R$94,2)</f>
        <v>0</v>
      </c>
      <c r="AE353" s="826">
        <f t="shared" si="364"/>
        <v>0</v>
      </c>
      <c r="AF353" s="826">
        <f t="shared" si="365"/>
        <v>0</v>
      </c>
      <c r="AG353" s="731"/>
      <c r="AH353" s="732"/>
      <c r="AI353" s="519">
        <f>$U353</f>
        <v>0</v>
      </c>
      <c r="AJ353" s="519">
        <f>$V353</f>
        <v>0</v>
      </c>
      <c r="AK353" s="519">
        <f>$W353</f>
        <v>0</v>
      </c>
      <c r="AL353" s="520">
        <f>ROUND(Y353*AI353+((Y353*(1+AI353))*AJ353)+((Y353*AI353+((Y353*(1+AI353))*AJ353))*AK353),2)</f>
        <v>0</v>
      </c>
      <c r="AM353" s="520">
        <f>AL353*$F353</f>
        <v>0</v>
      </c>
      <c r="AN353" s="520">
        <f>ROUND(AL353*Z353,2)</f>
        <v>0</v>
      </c>
      <c r="AO353" s="520">
        <f>AN353*$F353</f>
        <v>0</v>
      </c>
      <c r="AP353" s="719"/>
      <c r="AQ353" s="719"/>
      <c r="AR353" s="719"/>
      <c r="AS353" s="719"/>
      <c r="AT353" s="719"/>
    </row>
    <row r="354" spans="1:46" s="555" customFormat="1" ht="22.5" customHeight="1">
      <c r="A354" s="451"/>
      <c r="B354" s="1005" t="s">
        <v>763</v>
      </c>
      <c r="C354" s="1003"/>
      <c r="D354" s="1004"/>
      <c r="E354" s="525" t="s">
        <v>319</v>
      </c>
      <c r="F354" s="1322">
        <f>K354</f>
        <v>1</v>
      </c>
      <c r="G354" s="952" t="s">
        <v>750</v>
      </c>
      <c r="H354" s="650"/>
      <c r="I354" s="420" t="s">
        <v>805</v>
      </c>
      <c r="J354" s="309"/>
      <c r="K354" s="1175">
        <v>1</v>
      </c>
      <c r="L354" s="530">
        <f>ROUND(AD354,2)</f>
        <v>0</v>
      </c>
      <c r="M354" s="530">
        <f>ROUND(L354*F354,2)</f>
        <v>0</v>
      </c>
      <c r="N354" s="309"/>
      <c r="O354" s="778"/>
      <c r="P354" s="777"/>
      <c r="Q354" s="777"/>
      <c r="R354" s="751"/>
      <c r="S354" s="752"/>
      <c r="T354" s="792"/>
      <c r="U354" s="803">
        <v>0</v>
      </c>
      <c r="V354" s="803">
        <v>0</v>
      </c>
      <c r="W354" s="803">
        <v>0</v>
      </c>
      <c r="X354" s="858">
        <f>SUMIF('Summary-E'!O$4:O$50,D354,'Summary-E'!Q$4:Q$50)</f>
        <v>0</v>
      </c>
      <c r="Y354" s="310">
        <f>ROUND((R354+S354/'Summary-E'!$M$63)*X354,2)</f>
        <v>0</v>
      </c>
      <c r="Z354" s="858">
        <f t="shared" si="346"/>
        <v>1.05</v>
      </c>
      <c r="AA354" s="813">
        <f>ROUND(Y354*Z354,2)</f>
        <v>0</v>
      </c>
      <c r="AB354" s="447">
        <f>$AB$3</f>
        <v>0.05</v>
      </c>
      <c r="AC354" s="310">
        <f t="shared" si="363"/>
        <v>0</v>
      </c>
      <c r="AD354" s="717">
        <f>ROUND(AC354*'[1]Summary E&amp;M'!$R$94,2)</f>
        <v>0</v>
      </c>
      <c r="AE354" s="826">
        <f t="shared" si="364"/>
        <v>0</v>
      </c>
      <c r="AF354" s="826">
        <f t="shared" si="365"/>
        <v>0</v>
      </c>
      <c r="AG354" s="731"/>
      <c r="AH354" s="732"/>
      <c r="AI354" s="519">
        <f>$U354</f>
        <v>0</v>
      </c>
      <c r="AJ354" s="519">
        <f>$V354</f>
        <v>0</v>
      </c>
      <c r="AK354" s="519">
        <f>$W354</f>
        <v>0</v>
      </c>
      <c r="AL354" s="520">
        <f>ROUND(Y354*AI354+((Y354*(1+AI354))*AJ354)+((Y354*AI354+((Y354*(1+AI354))*AJ354))*AK354),2)</f>
        <v>0</v>
      </c>
      <c r="AM354" s="520">
        <f>AL354*$F354</f>
        <v>0</v>
      </c>
      <c r="AN354" s="520">
        <f>ROUND(AL354*Z354,2)</f>
        <v>0</v>
      </c>
      <c r="AO354" s="520">
        <f>AN354*$F354</f>
        <v>0</v>
      </c>
      <c r="AP354" s="719"/>
      <c r="AQ354" s="719"/>
      <c r="AR354" s="719"/>
      <c r="AS354" s="719"/>
      <c r="AT354" s="719"/>
    </row>
    <row r="355" spans="1:46" s="555" customFormat="1" ht="22.5" customHeight="1">
      <c r="A355" s="451"/>
      <c r="B355" s="1005"/>
      <c r="C355" s="1003"/>
      <c r="D355" s="1004"/>
      <c r="E355" s="525"/>
      <c r="F355" s="1314"/>
      <c r="G355" s="527"/>
      <c r="H355" s="528"/>
      <c r="I355" s="961"/>
      <c r="J355" s="309"/>
      <c r="K355" s="1175"/>
      <c r="L355" s="530"/>
      <c r="M355" s="530"/>
      <c r="N355" s="309"/>
      <c r="O355" s="778"/>
      <c r="P355" s="777"/>
      <c r="Q355" s="777"/>
      <c r="R355" s="751"/>
      <c r="S355" s="752"/>
      <c r="T355" s="792"/>
      <c r="U355" s="803"/>
      <c r="V355" s="803"/>
      <c r="W355" s="803"/>
      <c r="X355" s="858">
        <f>SUMIF('Summary-E'!O$4:O$50,D355,'Summary-E'!Q$4:Q$50)</f>
        <v>0</v>
      </c>
      <c r="Y355" s="310">
        <f>ROUND((R355+S355/'Summary-E'!$M$63)*X355,2)</f>
        <v>0</v>
      </c>
      <c r="Z355" s="858">
        <f t="shared" si="346"/>
        <v>1.05</v>
      </c>
      <c r="AA355" s="813"/>
      <c r="AB355" s="447"/>
      <c r="AC355" s="310">
        <f t="shared" si="363"/>
        <v>0</v>
      </c>
      <c r="AD355" s="717">
        <f>ROUND(AC355*'[1]Summary E&amp;M'!$R$94,2)</f>
        <v>0</v>
      </c>
      <c r="AE355" s="826">
        <f t="shared" si="364"/>
        <v>0</v>
      </c>
      <c r="AF355" s="826">
        <f t="shared" si="365"/>
        <v>0</v>
      </c>
      <c r="AG355" s="731"/>
      <c r="AH355" s="732"/>
      <c r="AI355" s="519"/>
      <c r="AJ355" s="519"/>
      <c r="AK355" s="519"/>
      <c r="AL355" s="520"/>
      <c r="AM355" s="520"/>
      <c r="AN355" s="520"/>
      <c r="AO355" s="520"/>
      <c r="AP355" s="719"/>
      <c r="AQ355" s="719"/>
      <c r="AR355" s="719"/>
      <c r="AS355" s="719"/>
      <c r="AT355" s="719"/>
    </row>
    <row r="356" spans="1:46" s="555" customFormat="1" ht="22.5" customHeight="1">
      <c r="A356" s="451"/>
      <c r="B356" s="1002" t="s">
        <v>759</v>
      </c>
      <c r="C356" s="1003"/>
      <c r="D356" s="1204" t="s">
        <v>211</v>
      </c>
      <c r="E356" s="525" t="s">
        <v>322</v>
      </c>
      <c r="F356" s="1315">
        <f>K356</f>
        <v>1</v>
      </c>
      <c r="G356" s="527">
        <f>ROUND(AA356,2)</f>
        <v>3564.75</v>
      </c>
      <c r="H356" s="528">
        <f>ROUND(F356*G356,2)</f>
        <v>3564.75</v>
      </c>
      <c r="I356" s="961">
        <f>Y356</f>
        <v>3395</v>
      </c>
      <c r="J356" s="309"/>
      <c r="K356" s="1175">
        <v>1</v>
      </c>
      <c r="L356" s="530">
        <f>ROUND(AD356,2)</f>
        <v>1050</v>
      </c>
      <c r="M356" s="530">
        <f>ROUND(L356*F356,2)</f>
        <v>1050</v>
      </c>
      <c r="N356" s="309"/>
      <c r="O356" s="778">
        <v>183</v>
      </c>
      <c r="P356" s="777"/>
      <c r="Q356" s="777"/>
      <c r="R356" s="751">
        <v>3500</v>
      </c>
      <c r="S356" s="752"/>
      <c r="T356" s="792">
        <v>800</v>
      </c>
      <c r="U356" s="803">
        <v>0</v>
      </c>
      <c r="V356" s="803">
        <v>0</v>
      </c>
      <c r="W356" s="803">
        <v>0</v>
      </c>
      <c r="X356" s="858">
        <f>SUMIF('Summary-E'!O$4:O$50,D356,'Summary-E'!Q$4:Q$50)</f>
        <v>0.97</v>
      </c>
      <c r="Y356" s="310">
        <f>ROUND((R356+S356/'Summary-E'!$M$63)*X356,2)</f>
        <v>3395</v>
      </c>
      <c r="Z356" s="858">
        <f t="shared" si="346"/>
        <v>1.05</v>
      </c>
      <c r="AA356" s="813">
        <f>ROUND(Y356*Z356,2)</f>
        <v>3564.75</v>
      </c>
      <c r="AB356" s="447">
        <f>$AB$3</f>
        <v>0.05</v>
      </c>
      <c r="AC356" s="310">
        <f t="shared" si="363"/>
        <v>840</v>
      </c>
      <c r="AD356" s="717">
        <f>ROUND(AC356*'[1]Summary E&amp;M'!$R$94,2)</f>
        <v>1050</v>
      </c>
      <c r="AE356" s="826">
        <f>ROUND($K356*$Y356,2)</f>
        <v>3395</v>
      </c>
      <c r="AF356" s="826">
        <f>ROUND($K356*$AC356,2)</f>
        <v>840</v>
      </c>
      <c r="AG356" s="731"/>
      <c r="AH356" s="732"/>
      <c r="AI356" s="519">
        <f>$U356</f>
        <v>0</v>
      </c>
      <c r="AJ356" s="519">
        <f>$V356</f>
        <v>0</v>
      </c>
      <c r="AK356" s="519">
        <f>$W356</f>
        <v>0</v>
      </c>
      <c r="AL356" s="520">
        <f>ROUND(Y356*AI356+((Y356*(1+AI356))*AJ356)+((Y356*AI356+((Y356*(1+AI356))*AJ356))*AK356),2)</f>
        <v>0</v>
      </c>
      <c r="AM356" s="520">
        <f>AL356*$F356</f>
        <v>0</v>
      </c>
      <c r="AN356" s="520">
        <f>ROUND(AL356*Z356,2)</f>
        <v>0</v>
      </c>
      <c r="AO356" s="520">
        <f>AN356*$F356</f>
        <v>0</v>
      </c>
      <c r="AP356" s="719"/>
      <c r="AQ356" s="719"/>
      <c r="AR356" s="719"/>
      <c r="AS356" s="719"/>
      <c r="AT356" s="719"/>
    </row>
    <row r="357" spans="1:46" s="555" customFormat="1" ht="22.5" customHeight="1">
      <c r="A357" s="451"/>
      <c r="B357" s="1005" t="s">
        <v>772</v>
      </c>
      <c r="C357" s="1003" t="s">
        <v>668</v>
      </c>
      <c r="D357" s="1004"/>
      <c r="E357" s="525"/>
      <c r="F357" s="1314"/>
      <c r="G357" s="527"/>
      <c r="H357" s="528"/>
      <c r="I357" s="961"/>
      <c r="J357" s="309"/>
      <c r="K357" s="1175"/>
      <c r="L357" s="530">
        <f>ROUND(AD357,2)</f>
        <v>0</v>
      </c>
      <c r="M357" s="530">
        <f>ROUND(L357*F357,2)</f>
        <v>0</v>
      </c>
      <c r="N357" s="309"/>
      <c r="O357" s="778"/>
      <c r="P357" s="777"/>
      <c r="Q357" s="777"/>
      <c r="R357" s="751"/>
      <c r="S357" s="752"/>
      <c r="T357" s="792"/>
      <c r="U357" s="803">
        <v>0</v>
      </c>
      <c r="V357" s="803">
        <v>0</v>
      </c>
      <c r="W357" s="803">
        <v>0</v>
      </c>
      <c r="X357" s="858">
        <f>SUMIF('Summary-E'!O$4:O$50,D357,'Summary-E'!Q$4:Q$50)</f>
        <v>0</v>
      </c>
      <c r="Y357" s="310">
        <f>ROUND((R357+S357/'Summary-E'!$M$63)*X357,2)</f>
        <v>0</v>
      </c>
      <c r="Z357" s="858">
        <f t="shared" si="346"/>
        <v>1.05</v>
      </c>
      <c r="AA357" s="813">
        <f>ROUND(Y357*Z357,2)</f>
        <v>0</v>
      </c>
      <c r="AB357" s="447">
        <f>$AB$3</f>
        <v>0.05</v>
      </c>
      <c r="AC357" s="310">
        <f t="shared" si="363"/>
        <v>0</v>
      </c>
      <c r="AD357" s="717">
        <f>ROUND(AC357*'[1]Summary E&amp;M'!$R$94,2)</f>
        <v>0</v>
      </c>
      <c r="AE357" s="826">
        <f>ROUND($K357*$Y357,2)</f>
        <v>0</v>
      </c>
      <c r="AF357" s="826">
        <f>ROUND($K357*$AC357,2)</f>
        <v>0</v>
      </c>
      <c r="AG357" s="731"/>
      <c r="AH357" s="732"/>
      <c r="AI357" s="519">
        <f>$U357</f>
        <v>0</v>
      </c>
      <c r="AJ357" s="519">
        <f>$V357</f>
        <v>0</v>
      </c>
      <c r="AK357" s="519">
        <f>$W357</f>
        <v>0</v>
      </c>
      <c r="AL357" s="520">
        <f>ROUND(Y357*AI357+((Y357*(1+AI357))*AJ357)+((Y357*AI357+((Y357*(1+AI357))*AJ357))*AK357),2)</f>
        <v>0</v>
      </c>
      <c r="AM357" s="520">
        <f>AL357*$F357</f>
        <v>0</v>
      </c>
      <c r="AN357" s="520">
        <f>ROUND(AL357*Z357,2)</f>
        <v>0</v>
      </c>
      <c r="AO357" s="520">
        <f>AN357*$F357</f>
        <v>0</v>
      </c>
      <c r="AP357" s="719"/>
      <c r="AQ357" s="719"/>
      <c r="AR357" s="719"/>
      <c r="AS357" s="719"/>
      <c r="AT357" s="719"/>
    </row>
    <row r="358" spans="1:46" s="555" customFormat="1" ht="22.5" customHeight="1">
      <c r="A358" s="451"/>
      <c r="B358" s="1005" t="s">
        <v>760</v>
      </c>
      <c r="C358" s="1003" t="s">
        <v>668</v>
      </c>
      <c r="D358" s="1004"/>
      <c r="E358" s="525"/>
      <c r="F358" s="1314"/>
      <c r="G358" s="527"/>
      <c r="H358" s="528"/>
      <c r="I358" s="961"/>
      <c r="J358" s="309"/>
      <c r="K358" s="1175"/>
      <c r="L358" s="530"/>
      <c r="M358" s="530"/>
      <c r="N358" s="309"/>
      <c r="O358" s="778"/>
      <c r="P358" s="777"/>
      <c r="Q358" s="777"/>
      <c r="R358" s="751"/>
      <c r="S358" s="752"/>
      <c r="T358" s="792"/>
      <c r="U358" s="803"/>
      <c r="V358" s="803"/>
      <c r="W358" s="803"/>
      <c r="X358" s="858">
        <f>SUMIF('Summary-E'!O$4:O$50,D358,'Summary-E'!Q$4:Q$50)</f>
        <v>0</v>
      </c>
      <c r="Y358" s="310">
        <f>ROUND((R358+S358/'Summary-E'!$M$63)*X358,2)</f>
        <v>0</v>
      </c>
      <c r="Z358" s="858">
        <f t="shared" si="346"/>
        <v>1.05</v>
      </c>
      <c r="AA358" s="813"/>
      <c r="AB358" s="447"/>
      <c r="AC358" s="310">
        <f t="shared" si="363"/>
        <v>0</v>
      </c>
      <c r="AD358" s="717">
        <f>ROUND(AC358*'[1]Summary E&amp;M'!$R$94,2)</f>
        <v>0</v>
      </c>
      <c r="AE358" s="826">
        <f>ROUND($K358*$Y358,2)</f>
        <v>0</v>
      </c>
      <c r="AF358" s="826">
        <f>ROUND($K358*$AC358,2)</f>
        <v>0</v>
      </c>
      <c r="AG358" s="731"/>
      <c r="AH358" s="732"/>
      <c r="AI358" s="519"/>
      <c r="AJ358" s="519"/>
      <c r="AK358" s="519"/>
      <c r="AL358" s="520"/>
      <c r="AM358" s="520"/>
      <c r="AN358" s="520"/>
      <c r="AO358" s="520"/>
      <c r="AP358" s="719"/>
      <c r="AQ358" s="719"/>
      <c r="AR358" s="719"/>
      <c r="AS358" s="719"/>
      <c r="AT358" s="719"/>
    </row>
    <row r="359" spans="1:46" s="555" customFormat="1" ht="22.5" customHeight="1">
      <c r="A359" s="451"/>
      <c r="B359" s="1002" t="s">
        <v>761</v>
      </c>
      <c r="C359" s="1003" t="s">
        <v>668</v>
      </c>
      <c r="D359" s="1004"/>
      <c r="E359" s="525"/>
      <c r="F359" s="1314"/>
      <c r="G359" s="527"/>
      <c r="H359" s="528"/>
      <c r="I359" s="961"/>
      <c r="J359" s="309"/>
      <c r="K359" s="1175"/>
      <c r="L359" s="530">
        <f>ROUND(AD359,2)</f>
        <v>0</v>
      </c>
      <c r="M359" s="530">
        <f t="shared" ref="M359:M367" si="366">ROUND(L359*F359,2)</f>
        <v>0</v>
      </c>
      <c r="N359" s="309"/>
      <c r="O359" s="778"/>
      <c r="P359" s="777"/>
      <c r="Q359" s="777"/>
      <c r="R359" s="751"/>
      <c r="S359" s="752"/>
      <c r="T359" s="792"/>
      <c r="U359" s="803">
        <v>0</v>
      </c>
      <c r="V359" s="803">
        <v>0</v>
      </c>
      <c r="W359" s="803">
        <v>0</v>
      </c>
      <c r="X359" s="858">
        <f>SUMIF('Summary-E'!O$4:O$50,D359,'Summary-E'!Q$4:Q$50)</f>
        <v>0</v>
      </c>
      <c r="Y359" s="310">
        <f>ROUND((R359+S359/'Summary-E'!$M$63)*X359,2)</f>
        <v>0</v>
      </c>
      <c r="Z359" s="858">
        <f t="shared" si="346"/>
        <v>1.05</v>
      </c>
      <c r="AA359" s="813">
        <f>ROUND(Y359*Z359,2)</f>
        <v>0</v>
      </c>
      <c r="AB359" s="447">
        <f>$AB$3</f>
        <v>0.05</v>
      </c>
      <c r="AC359" s="310">
        <f t="shared" si="363"/>
        <v>0</v>
      </c>
      <c r="AD359" s="717">
        <f>ROUND(AC359*'[1]Summary E&amp;M'!$R$94,2)</f>
        <v>0</v>
      </c>
      <c r="AE359" s="826">
        <f>ROUND($K359*$Y359,2)</f>
        <v>0</v>
      </c>
      <c r="AF359" s="826">
        <f>ROUND($K359*$AC359,2)</f>
        <v>0</v>
      </c>
      <c r="AG359" s="731"/>
      <c r="AH359" s="732"/>
      <c r="AI359" s="519">
        <f>$U359</f>
        <v>0</v>
      </c>
      <c r="AJ359" s="519">
        <f>$V359</f>
        <v>0</v>
      </c>
      <c r="AK359" s="519">
        <f>$W359</f>
        <v>0</v>
      </c>
      <c r="AL359" s="520">
        <f t="shared" ref="AL359:AL367" si="367">ROUND(Y359*AI359+((Y359*(1+AI359))*AJ359)+((Y359*AI359+((Y359*(1+AI359))*AJ359))*AK359),2)</f>
        <v>0</v>
      </c>
      <c r="AM359" s="520">
        <f t="shared" ref="AM359:AM367" si="368">AL359*$F359</f>
        <v>0</v>
      </c>
      <c r="AN359" s="520">
        <f t="shared" ref="AN359:AN367" si="369">ROUND(AL359*Z359,2)</f>
        <v>0</v>
      </c>
      <c r="AO359" s="520">
        <f t="shared" ref="AO359:AO367" si="370">AN359*$F359</f>
        <v>0</v>
      </c>
      <c r="AP359" s="719"/>
      <c r="AQ359" s="719"/>
      <c r="AR359" s="719"/>
      <c r="AS359" s="719"/>
      <c r="AT359" s="719"/>
    </row>
    <row r="360" spans="1:46" s="555" customFormat="1" ht="22.5" customHeight="1">
      <c r="A360" s="451"/>
      <c r="B360" s="1002" t="s">
        <v>785</v>
      </c>
      <c r="C360" s="1003" t="s">
        <v>776</v>
      </c>
      <c r="D360" s="1004"/>
      <c r="E360" s="525"/>
      <c r="F360" s="1315"/>
      <c r="G360" s="527"/>
      <c r="H360" s="528"/>
      <c r="I360" s="961"/>
      <c r="J360" s="309"/>
      <c r="K360" s="1175"/>
      <c r="L360" s="530">
        <f t="shared" ref="L360:L367" si="371">ROUND(AD360,2)</f>
        <v>0</v>
      </c>
      <c r="M360" s="530">
        <f t="shared" si="366"/>
        <v>0</v>
      </c>
      <c r="N360" s="309"/>
      <c r="O360" s="778"/>
      <c r="P360" s="777"/>
      <c r="Q360" s="777"/>
      <c r="R360" s="751"/>
      <c r="S360" s="752"/>
      <c r="T360" s="792"/>
      <c r="U360" s="803">
        <v>0</v>
      </c>
      <c r="V360" s="803">
        <v>0</v>
      </c>
      <c r="W360" s="803">
        <v>0</v>
      </c>
      <c r="X360" s="858">
        <f>SUMIF('Summary-E'!O$4:O$50,D360,'Summary-E'!Q$4:Q$50)</f>
        <v>0</v>
      </c>
      <c r="Y360" s="310">
        <f>ROUND((R360+S360/'Summary-E'!$M$63)*X360,2)</f>
        <v>0</v>
      </c>
      <c r="Z360" s="858">
        <f t="shared" si="346"/>
        <v>1.05</v>
      </c>
      <c r="AA360" s="813">
        <f t="shared" ref="AA360:AA367" si="372">ROUND(Y360*Z360,2)</f>
        <v>0</v>
      </c>
      <c r="AB360" s="447">
        <f t="shared" ref="AB360:AB367" si="373">$AB$3</f>
        <v>0.05</v>
      </c>
      <c r="AC360" s="310">
        <f t="shared" si="363"/>
        <v>0</v>
      </c>
      <c r="AD360" s="717">
        <f>ROUND(AC360*'[1]Summary E&amp;M'!$R$94,2)</f>
        <v>0</v>
      </c>
      <c r="AE360" s="826">
        <f t="shared" si="364"/>
        <v>0</v>
      </c>
      <c r="AF360" s="826">
        <f t="shared" si="365"/>
        <v>0</v>
      </c>
      <c r="AG360" s="731"/>
      <c r="AH360" s="732"/>
      <c r="AI360" s="519">
        <f t="shared" ref="AI360:AI367" si="374">$U360</f>
        <v>0</v>
      </c>
      <c r="AJ360" s="519">
        <f t="shared" ref="AJ360:AJ367" si="375">$V360</f>
        <v>0</v>
      </c>
      <c r="AK360" s="519">
        <f t="shared" ref="AK360:AK367" si="376">$W360</f>
        <v>0</v>
      </c>
      <c r="AL360" s="520">
        <f t="shared" si="367"/>
        <v>0</v>
      </c>
      <c r="AM360" s="520">
        <f t="shared" si="368"/>
        <v>0</v>
      </c>
      <c r="AN360" s="520">
        <f t="shared" si="369"/>
        <v>0</v>
      </c>
      <c r="AO360" s="520">
        <f t="shared" si="370"/>
        <v>0</v>
      </c>
      <c r="AP360" s="719"/>
      <c r="AQ360" s="719"/>
      <c r="AR360" s="719"/>
      <c r="AS360" s="719"/>
      <c r="AT360" s="719"/>
    </row>
    <row r="361" spans="1:46" s="555" customFormat="1" ht="22.5" customHeight="1">
      <c r="A361" s="451"/>
      <c r="B361" s="1002" t="s">
        <v>773</v>
      </c>
      <c r="C361" s="1003" t="s">
        <v>668</v>
      </c>
      <c r="D361" s="1004"/>
      <c r="E361" s="525"/>
      <c r="F361" s="1315"/>
      <c r="G361" s="527"/>
      <c r="H361" s="528"/>
      <c r="I361" s="961"/>
      <c r="J361" s="309"/>
      <c r="K361" s="1175"/>
      <c r="L361" s="530">
        <f t="shared" si="371"/>
        <v>0</v>
      </c>
      <c r="M361" s="530">
        <f t="shared" si="366"/>
        <v>0</v>
      </c>
      <c r="N361" s="309"/>
      <c r="O361" s="778"/>
      <c r="P361" s="777"/>
      <c r="Q361" s="777"/>
      <c r="R361" s="751"/>
      <c r="S361" s="752"/>
      <c r="T361" s="792"/>
      <c r="U361" s="803">
        <v>0</v>
      </c>
      <c r="V361" s="803">
        <v>0</v>
      </c>
      <c r="W361" s="803">
        <v>0</v>
      </c>
      <c r="X361" s="858">
        <f>SUMIF('Summary-E'!O$4:O$50,D361,'Summary-E'!Q$4:Q$50)</f>
        <v>0</v>
      </c>
      <c r="Y361" s="310">
        <f>ROUND((R361+S361/'Summary-E'!$M$63)*X361,2)</f>
        <v>0</v>
      </c>
      <c r="Z361" s="858">
        <f t="shared" si="346"/>
        <v>1.05</v>
      </c>
      <c r="AA361" s="813">
        <f t="shared" si="372"/>
        <v>0</v>
      </c>
      <c r="AB361" s="447">
        <f t="shared" si="373"/>
        <v>0.05</v>
      </c>
      <c r="AC361" s="310">
        <f t="shared" si="363"/>
        <v>0</v>
      </c>
      <c r="AD361" s="717">
        <f>ROUND(AC361*'[1]Summary E&amp;M'!$R$94,2)</f>
        <v>0</v>
      </c>
      <c r="AE361" s="826">
        <f t="shared" si="364"/>
        <v>0</v>
      </c>
      <c r="AF361" s="826">
        <f t="shared" si="365"/>
        <v>0</v>
      </c>
      <c r="AG361" s="731"/>
      <c r="AH361" s="732"/>
      <c r="AI361" s="519">
        <f t="shared" si="374"/>
        <v>0</v>
      </c>
      <c r="AJ361" s="519">
        <f t="shared" si="375"/>
        <v>0</v>
      </c>
      <c r="AK361" s="519">
        <f t="shared" si="376"/>
        <v>0</v>
      </c>
      <c r="AL361" s="520">
        <f t="shared" si="367"/>
        <v>0</v>
      </c>
      <c r="AM361" s="520">
        <f t="shared" si="368"/>
        <v>0</v>
      </c>
      <c r="AN361" s="520">
        <f t="shared" si="369"/>
        <v>0</v>
      </c>
      <c r="AO361" s="520">
        <f t="shared" si="370"/>
        <v>0</v>
      </c>
      <c r="AP361" s="719"/>
      <c r="AQ361" s="719"/>
      <c r="AR361" s="719"/>
      <c r="AS361" s="719"/>
      <c r="AT361" s="719"/>
    </row>
    <row r="362" spans="1:46" s="555" customFormat="1" ht="33" customHeight="1">
      <c r="A362" s="451"/>
      <c r="B362" s="1006" t="s">
        <v>774</v>
      </c>
      <c r="C362" s="1003" t="s">
        <v>668</v>
      </c>
      <c r="D362" s="1004"/>
      <c r="E362" s="525"/>
      <c r="F362" s="1315"/>
      <c r="G362" s="527"/>
      <c r="H362" s="528"/>
      <c r="I362" s="961"/>
      <c r="J362" s="309"/>
      <c r="K362" s="1175"/>
      <c r="L362" s="530">
        <f>ROUND(AD362,2)</f>
        <v>0</v>
      </c>
      <c r="M362" s="530">
        <f t="shared" si="366"/>
        <v>0</v>
      </c>
      <c r="N362" s="309"/>
      <c r="O362" s="778"/>
      <c r="P362" s="777"/>
      <c r="Q362" s="777"/>
      <c r="R362" s="751"/>
      <c r="S362" s="752"/>
      <c r="T362" s="792"/>
      <c r="U362" s="803">
        <v>0</v>
      </c>
      <c r="V362" s="803">
        <v>0</v>
      </c>
      <c r="W362" s="803">
        <v>0</v>
      </c>
      <c r="X362" s="858">
        <f>SUMIF('Summary-E'!O$4:O$50,D362,'Summary-E'!Q$4:Q$50)</f>
        <v>0</v>
      </c>
      <c r="Y362" s="310">
        <f>ROUND((R362+S362/'Summary-E'!$M$63)*X362,2)</f>
        <v>0</v>
      </c>
      <c r="Z362" s="858">
        <f t="shared" si="346"/>
        <v>1.05</v>
      </c>
      <c r="AA362" s="813">
        <f>ROUND(Y362*Z362,2)</f>
        <v>0</v>
      </c>
      <c r="AB362" s="447">
        <f t="shared" si="373"/>
        <v>0.05</v>
      </c>
      <c r="AC362" s="310">
        <f t="shared" si="363"/>
        <v>0</v>
      </c>
      <c r="AD362" s="717">
        <f>ROUND(AC362*'[1]Summary E&amp;M'!$R$94,2)</f>
        <v>0</v>
      </c>
      <c r="AE362" s="826">
        <f>ROUND($K362*$Y362,2)</f>
        <v>0</v>
      </c>
      <c r="AF362" s="826">
        <f>ROUND($K362*$AC362,2)</f>
        <v>0</v>
      </c>
      <c r="AG362" s="731"/>
      <c r="AH362" s="732"/>
      <c r="AI362" s="519">
        <f>$U362</f>
        <v>0</v>
      </c>
      <c r="AJ362" s="519">
        <f>$V362</f>
        <v>0</v>
      </c>
      <c r="AK362" s="519">
        <f>$W362</f>
        <v>0</v>
      </c>
      <c r="AL362" s="520">
        <f t="shared" si="367"/>
        <v>0</v>
      </c>
      <c r="AM362" s="520">
        <f t="shared" si="368"/>
        <v>0</v>
      </c>
      <c r="AN362" s="520">
        <f t="shared" si="369"/>
        <v>0</v>
      </c>
      <c r="AO362" s="520">
        <f t="shared" si="370"/>
        <v>0</v>
      </c>
      <c r="AP362" s="719"/>
      <c r="AQ362" s="719"/>
      <c r="AR362" s="719"/>
      <c r="AS362" s="719"/>
      <c r="AT362" s="719"/>
    </row>
    <row r="363" spans="1:46" s="555" customFormat="1" ht="22.5" customHeight="1">
      <c r="A363" s="451"/>
      <c r="B363" s="1006" t="s">
        <v>775</v>
      </c>
      <c r="C363" s="1003"/>
      <c r="D363" s="1004"/>
      <c r="E363" s="525"/>
      <c r="F363" s="1315"/>
      <c r="G363" s="527"/>
      <c r="H363" s="528"/>
      <c r="I363" s="961"/>
      <c r="J363" s="309"/>
      <c r="K363" s="1175"/>
      <c r="L363" s="530">
        <f>ROUND(AD363,2)</f>
        <v>0</v>
      </c>
      <c r="M363" s="530">
        <f t="shared" si="366"/>
        <v>0</v>
      </c>
      <c r="N363" s="309"/>
      <c r="O363" s="778"/>
      <c r="P363" s="777"/>
      <c r="Q363" s="777"/>
      <c r="R363" s="751"/>
      <c r="S363" s="752"/>
      <c r="T363" s="792"/>
      <c r="U363" s="803">
        <v>0</v>
      </c>
      <c r="V363" s="803">
        <v>0</v>
      </c>
      <c r="W363" s="803">
        <v>0</v>
      </c>
      <c r="X363" s="858">
        <f>SUMIF('Summary-E'!O$4:O$50,D363,'Summary-E'!Q$4:Q$50)</f>
        <v>0</v>
      </c>
      <c r="Y363" s="310">
        <f>ROUND((R363+S363/'Summary-E'!$M$63)*X363,2)</f>
        <v>0</v>
      </c>
      <c r="Z363" s="858">
        <f t="shared" si="346"/>
        <v>1.05</v>
      </c>
      <c r="AA363" s="813">
        <f>ROUND(Y363*Z363,2)</f>
        <v>0</v>
      </c>
      <c r="AB363" s="447">
        <f t="shared" si="373"/>
        <v>0.05</v>
      </c>
      <c r="AC363" s="310">
        <f t="shared" si="363"/>
        <v>0</v>
      </c>
      <c r="AD363" s="717">
        <f>ROUND(AC363*'[1]Summary E&amp;M'!$R$94,2)</f>
        <v>0</v>
      </c>
      <c r="AE363" s="826">
        <f>ROUND($K363*$Y363,2)</f>
        <v>0</v>
      </c>
      <c r="AF363" s="826">
        <f>ROUND($K363*$AC363,2)</f>
        <v>0</v>
      </c>
      <c r="AG363" s="731"/>
      <c r="AH363" s="732"/>
      <c r="AI363" s="519">
        <f>$U363</f>
        <v>0</v>
      </c>
      <c r="AJ363" s="519">
        <f>$V363</f>
        <v>0</v>
      </c>
      <c r="AK363" s="519">
        <f>$W363</f>
        <v>0</v>
      </c>
      <c r="AL363" s="520">
        <f t="shared" si="367"/>
        <v>0</v>
      </c>
      <c r="AM363" s="520">
        <f t="shared" si="368"/>
        <v>0</v>
      </c>
      <c r="AN363" s="520">
        <f t="shared" si="369"/>
        <v>0</v>
      </c>
      <c r="AO363" s="520">
        <f t="shared" si="370"/>
        <v>0</v>
      </c>
      <c r="AP363" s="719"/>
      <c r="AQ363" s="719"/>
      <c r="AR363" s="719"/>
      <c r="AS363" s="719"/>
      <c r="AT363" s="719"/>
    </row>
    <row r="364" spans="1:46" s="555" customFormat="1" ht="22.5" customHeight="1">
      <c r="A364" s="451"/>
      <c r="B364" s="1002" t="s">
        <v>777</v>
      </c>
      <c r="C364" s="1003"/>
      <c r="D364" s="524" t="s">
        <v>139</v>
      </c>
      <c r="E364" s="525" t="s">
        <v>322</v>
      </c>
      <c r="F364" s="1315">
        <f>K364</f>
        <v>1</v>
      </c>
      <c r="G364" s="527">
        <f>ROUND(AA364,2)</f>
        <v>1037.3499999999999</v>
      </c>
      <c r="H364" s="528">
        <f>ROUND(F364*G364,2)</f>
        <v>1037.3499999999999</v>
      </c>
      <c r="I364" s="961"/>
      <c r="J364" s="309"/>
      <c r="K364" s="1175">
        <v>1</v>
      </c>
      <c r="L364" s="530">
        <f>ROUND(AD364,2)</f>
        <v>35.44</v>
      </c>
      <c r="M364" s="530">
        <f t="shared" si="366"/>
        <v>35.44</v>
      </c>
      <c r="N364" s="309"/>
      <c r="O364" s="778">
        <v>183</v>
      </c>
      <c r="P364" s="777">
        <v>0.3</v>
      </c>
      <c r="Q364" s="777"/>
      <c r="R364" s="751">
        <f>ROUND(SUM(AE356:AE356)*P364,2)</f>
        <v>1018.5</v>
      </c>
      <c r="S364" s="752"/>
      <c r="T364" s="792">
        <v>27</v>
      </c>
      <c r="U364" s="803">
        <v>0</v>
      </c>
      <c r="V364" s="803">
        <v>0</v>
      </c>
      <c r="W364" s="803">
        <v>0</v>
      </c>
      <c r="X364" s="858">
        <f>SUMIF('Summary-E'!O$4:O$50,D364,'Summary-E'!Q$4:Q$50)</f>
        <v>0.97</v>
      </c>
      <c r="Y364" s="310">
        <f>ROUND((R364+S364/'Summary-E'!$M$63)*X364,2)</f>
        <v>987.95</v>
      </c>
      <c r="Z364" s="858">
        <f t="shared" si="346"/>
        <v>1.05</v>
      </c>
      <c r="AA364" s="813">
        <f>ROUND(Y364*Z364,2)</f>
        <v>1037.3499999999999</v>
      </c>
      <c r="AB364" s="447">
        <f t="shared" si="373"/>
        <v>0.05</v>
      </c>
      <c r="AC364" s="310">
        <f t="shared" si="363"/>
        <v>28.35</v>
      </c>
      <c r="AD364" s="717">
        <f>ROUND(AC364*'[1]Summary E&amp;M'!$R$94,2)</f>
        <v>35.44</v>
      </c>
      <c r="AE364" s="826">
        <f>ROUND($K364*$Y364,2)</f>
        <v>987.95</v>
      </c>
      <c r="AF364" s="826">
        <f>ROUND($K364*$AC364,2)</f>
        <v>28.35</v>
      </c>
      <c r="AG364" s="731"/>
      <c r="AH364" s="732"/>
      <c r="AI364" s="519">
        <f>$U364</f>
        <v>0</v>
      </c>
      <c r="AJ364" s="519">
        <f>$V364</f>
        <v>0</v>
      </c>
      <c r="AK364" s="519">
        <f>$W364</f>
        <v>0</v>
      </c>
      <c r="AL364" s="520">
        <f t="shared" si="367"/>
        <v>0</v>
      </c>
      <c r="AM364" s="520">
        <f t="shared" si="368"/>
        <v>0</v>
      </c>
      <c r="AN364" s="520">
        <f t="shared" si="369"/>
        <v>0</v>
      </c>
      <c r="AO364" s="520">
        <f t="shared" si="370"/>
        <v>0</v>
      </c>
      <c r="AP364" s="719"/>
      <c r="AQ364" s="719"/>
      <c r="AR364" s="719"/>
      <c r="AS364" s="719"/>
      <c r="AT364" s="719"/>
    </row>
    <row r="365" spans="1:46" s="555" customFormat="1" ht="22.5" customHeight="1">
      <c r="A365" s="451"/>
      <c r="B365" s="1002" t="s">
        <v>771</v>
      </c>
      <c r="C365" s="1003"/>
      <c r="D365" s="1004"/>
      <c r="E365" s="525" t="s">
        <v>319</v>
      </c>
      <c r="F365" s="1315">
        <f>K365</f>
        <v>1</v>
      </c>
      <c r="G365" s="1007" t="s">
        <v>750</v>
      </c>
      <c r="H365" s="1008"/>
      <c r="I365" s="420" t="s">
        <v>810</v>
      </c>
      <c r="J365" s="309"/>
      <c r="K365" s="1175">
        <v>1</v>
      </c>
      <c r="L365" s="530">
        <f t="shared" si="371"/>
        <v>0</v>
      </c>
      <c r="M365" s="530">
        <f t="shared" si="366"/>
        <v>0</v>
      </c>
      <c r="N365" s="309"/>
      <c r="O365" s="778">
        <v>183</v>
      </c>
      <c r="P365" s="777"/>
      <c r="Q365" s="777"/>
      <c r="R365" s="751"/>
      <c r="S365" s="752"/>
      <c r="T365" s="792"/>
      <c r="U365" s="803">
        <v>0</v>
      </c>
      <c r="V365" s="803">
        <v>0</v>
      </c>
      <c r="W365" s="803">
        <v>0</v>
      </c>
      <c r="X365" s="858">
        <f>SUMIF('Summary-E'!O$4:O$50,D365,'Summary-E'!Q$4:Q$50)</f>
        <v>0</v>
      </c>
      <c r="Y365" s="310">
        <f>ROUND((R365+S365/'Summary-E'!$M$63)*X365,2)</f>
        <v>0</v>
      </c>
      <c r="Z365" s="858">
        <f t="shared" si="346"/>
        <v>1.05</v>
      </c>
      <c r="AA365" s="813">
        <f t="shared" si="372"/>
        <v>0</v>
      </c>
      <c r="AB365" s="447">
        <f t="shared" si="373"/>
        <v>0.05</v>
      </c>
      <c r="AC365" s="310">
        <f t="shared" si="363"/>
        <v>0</v>
      </c>
      <c r="AD365" s="717">
        <f>ROUND(AC365*'[1]Summary E&amp;M'!$R$94,2)</f>
        <v>0</v>
      </c>
      <c r="AE365" s="826">
        <f t="shared" si="364"/>
        <v>0</v>
      </c>
      <c r="AF365" s="826">
        <f t="shared" si="365"/>
        <v>0</v>
      </c>
      <c r="AG365" s="731"/>
      <c r="AH365" s="732"/>
      <c r="AI365" s="519">
        <f t="shared" si="374"/>
        <v>0</v>
      </c>
      <c r="AJ365" s="519">
        <f t="shared" si="375"/>
        <v>0</v>
      </c>
      <c r="AK365" s="519">
        <f t="shared" si="376"/>
        <v>0</v>
      </c>
      <c r="AL365" s="520">
        <f t="shared" si="367"/>
        <v>0</v>
      </c>
      <c r="AM365" s="520">
        <f t="shared" si="368"/>
        <v>0</v>
      </c>
      <c r="AN365" s="520">
        <f t="shared" si="369"/>
        <v>0</v>
      </c>
      <c r="AO365" s="520">
        <f t="shared" si="370"/>
        <v>0</v>
      </c>
      <c r="AP365" s="719"/>
      <c r="AQ365" s="719"/>
      <c r="AR365" s="719"/>
      <c r="AS365" s="719"/>
      <c r="AT365" s="719"/>
    </row>
    <row r="366" spans="1:46" s="555" customFormat="1" ht="22.5" customHeight="1">
      <c r="A366" s="451"/>
      <c r="B366" s="1002" t="s">
        <v>764</v>
      </c>
      <c r="C366" s="1003"/>
      <c r="D366" s="524" t="s">
        <v>139</v>
      </c>
      <c r="E366" s="525" t="s">
        <v>319</v>
      </c>
      <c r="F366" s="1315">
        <f>K366</f>
        <v>1</v>
      </c>
      <c r="G366" s="527">
        <f>ROUNDUP(AA366,2)</f>
        <v>518.66999999999996</v>
      </c>
      <c r="H366" s="528">
        <f>ROUND(F366*G366,2)</f>
        <v>518.66999999999996</v>
      </c>
      <c r="I366" s="961"/>
      <c r="J366" s="309"/>
      <c r="K366" s="1175">
        <v>1</v>
      </c>
      <c r="L366" s="530">
        <f t="shared" si="371"/>
        <v>133.68</v>
      </c>
      <c r="M366" s="530">
        <f t="shared" si="366"/>
        <v>133.68</v>
      </c>
      <c r="N366" s="309"/>
      <c r="O366" s="778">
        <v>183</v>
      </c>
      <c r="P366" s="777">
        <v>0.15</v>
      </c>
      <c r="Q366" s="777"/>
      <c r="R366" s="751">
        <f>ROUND(SUM(AE356:AE356)*P366,2)</f>
        <v>509.25</v>
      </c>
      <c r="S366" s="752"/>
      <c r="T366" s="792">
        <f>R366*0.2</f>
        <v>101.85000000000001</v>
      </c>
      <c r="U366" s="803">
        <v>0</v>
      </c>
      <c r="V366" s="803">
        <v>0</v>
      </c>
      <c r="W366" s="803">
        <v>0</v>
      </c>
      <c r="X366" s="858">
        <f>SUMIF('Summary-E'!O$4:O$50,D366,'Summary-E'!Q$4:Q$50)</f>
        <v>0.97</v>
      </c>
      <c r="Y366" s="310">
        <f>ROUND((R366+S366/'Summary-E'!$M$63)*X366,2)</f>
        <v>493.97</v>
      </c>
      <c r="Z366" s="858">
        <f t="shared" si="346"/>
        <v>1.05</v>
      </c>
      <c r="AA366" s="813">
        <f t="shared" si="372"/>
        <v>518.66999999999996</v>
      </c>
      <c r="AB366" s="447">
        <f t="shared" si="373"/>
        <v>0.05</v>
      </c>
      <c r="AC366" s="310">
        <f t="shared" si="363"/>
        <v>106.94</v>
      </c>
      <c r="AD366" s="717">
        <f>ROUND(AC366*'[1]Summary E&amp;M'!$R$94,2)</f>
        <v>133.68</v>
      </c>
      <c r="AE366" s="826">
        <f t="shared" si="364"/>
        <v>493.97</v>
      </c>
      <c r="AF366" s="826">
        <f t="shared" si="365"/>
        <v>106.94</v>
      </c>
      <c r="AG366" s="731"/>
      <c r="AH366" s="732"/>
      <c r="AI366" s="519">
        <f t="shared" si="374"/>
        <v>0</v>
      </c>
      <c r="AJ366" s="519">
        <f t="shared" si="375"/>
        <v>0</v>
      </c>
      <c r="AK366" s="519">
        <f t="shared" si="376"/>
        <v>0</v>
      </c>
      <c r="AL366" s="520">
        <f t="shared" si="367"/>
        <v>0</v>
      </c>
      <c r="AM366" s="520">
        <f t="shared" si="368"/>
        <v>0</v>
      </c>
      <c r="AN366" s="520">
        <f t="shared" si="369"/>
        <v>0</v>
      </c>
      <c r="AO366" s="520">
        <f t="shared" si="370"/>
        <v>0</v>
      </c>
      <c r="AP366" s="719"/>
      <c r="AQ366" s="719"/>
      <c r="AR366" s="719"/>
      <c r="AS366" s="719"/>
      <c r="AT366" s="719"/>
    </row>
    <row r="367" spans="1:46" s="555" customFormat="1" ht="22.5" customHeight="1">
      <c r="A367" s="451"/>
      <c r="B367" s="1002" t="s">
        <v>765</v>
      </c>
      <c r="C367" s="1003"/>
      <c r="D367" s="1203" t="s">
        <v>1121</v>
      </c>
      <c r="E367" s="525" t="s">
        <v>319</v>
      </c>
      <c r="F367" s="1315">
        <f>K367</f>
        <v>1</v>
      </c>
      <c r="G367" s="527">
        <f>ROUNDUP(AA367,2)</f>
        <v>509.25</v>
      </c>
      <c r="H367" s="528">
        <f>ROUND(F367*G367,2)</f>
        <v>509.25</v>
      </c>
      <c r="I367" s="961"/>
      <c r="J367" s="309"/>
      <c r="K367" s="1175">
        <v>1</v>
      </c>
      <c r="L367" s="530">
        <f t="shared" si="371"/>
        <v>131.25</v>
      </c>
      <c r="M367" s="530">
        <f t="shared" si="366"/>
        <v>131.25</v>
      </c>
      <c r="N367" s="309"/>
      <c r="O367" s="778">
        <v>183</v>
      </c>
      <c r="P367" s="777"/>
      <c r="Q367" s="777"/>
      <c r="R367" s="751">
        <v>500</v>
      </c>
      <c r="S367" s="752"/>
      <c r="T367" s="792">
        <f>R367*0.2</f>
        <v>100</v>
      </c>
      <c r="U367" s="803">
        <v>0</v>
      </c>
      <c r="V367" s="803">
        <v>0</v>
      </c>
      <c r="W367" s="803">
        <v>0</v>
      </c>
      <c r="X367" s="858">
        <f>SUMIF('Summary-E'!O$4:O$50,D367,'Summary-E'!Q$4:Q$50)</f>
        <v>0.97</v>
      </c>
      <c r="Y367" s="310">
        <f>ROUND((R367+S367/'Summary-E'!$M$63)*X367,2)</f>
        <v>485</v>
      </c>
      <c r="Z367" s="858">
        <f t="shared" si="346"/>
        <v>1.05</v>
      </c>
      <c r="AA367" s="813">
        <f t="shared" si="372"/>
        <v>509.25</v>
      </c>
      <c r="AB367" s="447">
        <f t="shared" si="373"/>
        <v>0.05</v>
      </c>
      <c r="AC367" s="310">
        <f t="shared" si="363"/>
        <v>105</v>
      </c>
      <c r="AD367" s="717">
        <f>ROUND(AC367*'[1]Summary E&amp;M'!$R$94,2)</f>
        <v>131.25</v>
      </c>
      <c r="AE367" s="826">
        <f t="shared" si="364"/>
        <v>485</v>
      </c>
      <c r="AF367" s="826">
        <f t="shared" si="365"/>
        <v>105</v>
      </c>
      <c r="AG367" s="731"/>
      <c r="AH367" s="732"/>
      <c r="AI367" s="519">
        <f t="shared" si="374"/>
        <v>0</v>
      </c>
      <c r="AJ367" s="519">
        <f t="shared" si="375"/>
        <v>0</v>
      </c>
      <c r="AK367" s="519">
        <f t="shared" si="376"/>
        <v>0</v>
      </c>
      <c r="AL367" s="520">
        <f t="shared" si="367"/>
        <v>0</v>
      </c>
      <c r="AM367" s="520">
        <f t="shared" si="368"/>
        <v>0</v>
      </c>
      <c r="AN367" s="520">
        <f t="shared" si="369"/>
        <v>0</v>
      </c>
      <c r="AO367" s="520">
        <f t="shared" si="370"/>
        <v>0</v>
      </c>
      <c r="AP367" s="719"/>
      <c r="AQ367" s="719"/>
      <c r="AR367" s="719"/>
      <c r="AS367" s="719"/>
      <c r="AT367" s="719"/>
    </row>
    <row r="368" spans="1:46" s="555" customFormat="1" ht="22.5" customHeight="1">
      <c r="A368" s="451"/>
      <c r="B368" s="1002"/>
      <c r="C368" s="1003"/>
      <c r="D368" s="1004"/>
      <c r="E368" s="525"/>
      <c r="F368" s="1314"/>
      <c r="G368" s="527"/>
      <c r="H368" s="528"/>
      <c r="I368" s="961"/>
      <c r="J368" s="309"/>
      <c r="K368" s="1175"/>
      <c r="L368" s="530"/>
      <c r="M368" s="530"/>
      <c r="N368" s="309"/>
      <c r="O368" s="778"/>
      <c r="P368" s="777"/>
      <c r="Q368" s="777"/>
      <c r="R368" s="751"/>
      <c r="S368" s="752"/>
      <c r="T368" s="792"/>
      <c r="U368" s="803"/>
      <c r="V368" s="803"/>
      <c r="W368" s="803"/>
      <c r="X368" s="858">
        <f>SUMIF('Summary-E'!O$4:O$50,D368,'Summary-E'!Q$4:Q$50)</f>
        <v>0</v>
      </c>
      <c r="Y368" s="310">
        <f>ROUND((R368+S368/'Summary-E'!$M$63)*X368,2)</f>
        <v>0</v>
      </c>
      <c r="Z368" s="858">
        <f t="shared" si="346"/>
        <v>1.05</v>
      </c>
      <c r="AA368" s="813"/>
      <c r="AB368" s="447"/>
      <c r="AC368" s="310">
        <f t="shared" si="363"/>
        <v>0</v>
      </c>
      <c r="AD368" s="717">
        <f>ROUND(AC368*'[1]Summary E&amp;M'!$R$94,2)</f>
        <v>0</v>
      </c>
      <c r="AE368" s="826">
        <f t="shared" si="364"/>
        <v>0</v>
      </c>
      <c r="AF368" s="826">
        <f t="shared" si="365"/>
        <v>0</v>
      </c>
      <c r="AG368" s="731"/>
      <c r="AH368" s="732"/>
      <c r="AI368" s="519"/>
      <c r="AJ368" s="519"/>
      <c r="AK368" s="519"/>
      <c r="AL368" s="520"/>
      <c r="AM368" s="520"/>
      <c r="AN368" s="520"/>
      <c r="AO368" s="520"/>
      <c r="AP368" s="719"/>
      <c r="AQ368" s="719"/>
      <c r="AR368" s="719"/>
      <c r="AS368" s="719"/>
      <c r="AT368" s="719"/>
    </row>
    <row r="369" spans="1:47" s="555" customFormat="1" ht="22.5" customHeight="1">
      <c r="A369" s="451"/>
      <c r="B369" s="531" t="s">
        <v>766</v>
      </c>
      <c r="C369" s="523" t="s">
        <v>1100</v>
      </c>
      <c r="D369" s="1201" t="s">
        <v>197</v>
      </c>
      <c r="E369" s="525" t="s">
        <v>321</v>
      </c>
      <c r="F369" s="1314">
        <f>ROUND(K369*'Summary-E'!$K$61,0)</f>
        <v>16</v>
      </c>
      <c r="G369" s="527">
        <f t="shared" ref="G369:G375" si="377">ROUNDUP(AA369,2)</f>
        <v>94.9</v>
      </c>
      <c r="H369" s="528">
        <f t="shared" ref="H369:H375" si="378">ROUND(F369*G369,2)</f>
        <v>1518.4</v>
      </c>
      <c r="I369" s="961"/>
      <c r="J369" s="649"/>
      <c r="K369" s="1175">
        <v>15</v>
      </c>
      <c r="L369" s="530">
        <f>ROUND(AD369,2)</f>
        <v>42</v>
      </c>
      <c r="M369" s="530">
        <f t="shared" ref="M369:M376" si="379">ROUND(L369*F369,2)</f>
        <v>672</v>
      </c>
      <c r="N369" s="309"/>
      <c r="O369" s="778">
        <v>131</v>
      </c>
      <c r="P369" s="777"/>
      <c r="Q369" s="777"/>
      <c r="R369" s="1096"/>
      <c r="S369" s="1098">
        <f>20*93990</f>
        <v>1879800</v>
      </c>
      <c r="T369" s="1099">
        <v>32</v>
      </c>
      <c r="U369" s="803">
        <v>0</v>
      </c>
      <c r="V369" s="803">
        <v>0</v>
      </c>
      <c r="W369" s="803">
        <v>0</v>
      </c>
      <c r="X369" s="858">
        <v>1</v>
      </c>
      <c r="Y369" s="310">
        <f>ROUND((R369+S369/'Summary-E'!$M$63)*X369,2)</f>
        <v>90.38</v>
      </c>
      <c r="Z369" s="858">
        <f t="shared" si="346"/>
        <v>1.05</v>
      </c>
      <c r="AA369" s="813">
        <f>ROUND(Y369*Z369,2)</f>
        <v>94.9</v>
      </c>
      <c r="AB369" s="447">
        <f>$AB$3</f>
        <v>0.05</v>
      </c>
      <c r="AC369" s="310">
        <f t="shared" si="363"/>
        <v>33.6</v>
      </c>
      <c r="AD369" s="717">
        <f>ROUND(AC369*'[1]Summary E&amp;M'!$R$94,2)</f>
        <v>42</v>
      </c>
      <c r="AE369" s="826">
        <f t="shared" si="364"/>
        <v>1355.7</v>
      </c>
      <c r="AF369" s="826">
        <f t="shared" si="365"/>
        <v>504</v>
      </c>
      <c r="AG369" s="731">
        <v>11285.12</v>
      </c>
      <c r="AH369" s="732">
        <v>782.04</v>
      </c>
      <c r="AI369" s="519">
        <f t="shared" ref="AI369:AI376" si="380">$U369</f>
        <v>0</v>
      </c>
      <c r="AJ369" s="519">
        <f t="shared" ref="AJ369:AJ376" si="381">$V369</f>
        <v>0</v>
      </c>
      <c r="AK369" s="519">
        <f t="shared" ref="AK369:AK376" si="382">$W369</f>
        <v>0</v>
      </c>
      <c r="AL369" s="520">
        <f t="shared" ref="AL369:AL376" si="383">ROUND(Y369*AI369+((Y369*(1+AI369))*AJ369)+((Y369*AI369+((Y369*(1+AI369))*AJ369))*AK369),2)</f>
        <v>0</v>
      </c>
      <c r="AM369" s="520">
        <f t="shared" ref="AM369:AM376" si="384">AL369*$F369</f>
        <v>0</v>
      </c>
      <c r="AN369" s="520">
        <f t="shared" ref="AN369:AN376" si="385">ROUND(AL369*Z369,2)</f>
        <v>0</v>
      </c>
      <c r="AO369" s="520">
        <f t="shared" ref="AO369:AO376" si="386">AN369*$F369</f>
        <v>0</v>
      </c>
      <c r="AP369" s="719"/>
      <c r="AQ369" s="719"/>
      <c r="AR369" s="719"/>
      <c r="AS369" s="719"/>
      <c r="AT369" s="719"/>
    </row>
    <row r="370" spans="1:47" s="555" customFormat="1" ht="22.5" customHeight="1">
      <c r="A370" s="451"/>
      <c r="B370" s="531" t="s">
        <v>767</v>
      </c>
      <c r="C370" s="523" t="s">
        <v>1100</v>
      </c>
      <c r="D370" s="1201" t="s">
        <v>197</v>
      </c>
      <c r="E370" s="525" t="s">
        <v>321</v>
      </c>
      <c r="F370" s="1314">
        <f>ROUND(K370*'Summary-E'!$K$61,0)</f>
        <v>38</v>
      </c>
      <c r="G370" s="527">
        <f t="shared" si="377"/>
        <v>94.9</v>
      </c>
      <c r="H370" s="528">
        <f t="shared" si="378"/>
        <v>3606.2</v>
      </c>
      <c r="I370" s="961"/>
      <c r="J370" s="649"/>
      <c r="K370" s="1175">
        <v>36</v>
      </c>
      <c r="L370" s="530">
        <f>ROUND(AD370,2)</f>
        <v>52.5</v>
      </c>
      <c r="M370" s="530">
        <f t="shared" si="379"/>
        <v>1995</v>
      </c>
      <c r="N370" s="309"/>
      <c r="O370" s="778">
        <v>131</v>
      </c>
      <c r="P370" s="777"/>
      <c r="Q370" s="777"/>
      <c r="R370" s="1096"/>
      <c r="S370" s="1098">
        <f>20*93990</f>
        <v>1879800</v>
      </c>
      <c r="T370" s="1099">
        <v>40</v>
      </c>
      <c r="U370" s="803">
        <v>0</v>
      </c>
      <c r="V370" s="803">
        <v>0</v>
      </c>
      <c r="W370" s="803">
        <v>0</v>
      </c>
      <c r="X370" s="858">
        <v>1</v>
      </c>
      <c r="Y370" s="310">
        <f>ROUND((R370+S370/'Summary-E'!$M$63)*X370,2)</f>
        <v>90.38</v>
      </c>
      <c r="Z370" s="858">
        <f t="shared" si="346"/>
        <v>1.05</v>
      </c>
      <c r="AA370" s="813">
        <f>ROUND(Y370*Z370,2)</f>
        <v>94.9</v>
      </c>
      <c r="AB370" s="447">
        <f>$AB$3</f>
        <v>0.05</v>
      </c>
      <c r="AC370" s="310">
        <f t="shared" si="363"/>
        <v>42</v>
      </c>
      <c r="AD370" s="717">
        <f>ROUND(AC370*'[1]Summary E&amp;M'!$R$94,2)</f>
        <v>52.5</v>
      </c>
      <c r="AE370" s="826">
        <f t="shared" si="364"/>
        <v>3253.68</v>
      </c>
      <c r="AF370" s="826">
        <f t="shared" si="365"/>
        <v>1512</v>
      </c>
      <c r="AG370" s="731">
        <v>10076</v>
      </c>
      <c r="AH370" s="732">
        <v>698.25</v>
      </c>
      <c r="AI370" s="519">
        <f t="shared" si="380"/>
        <v>0</v>
      </c>
      <c r="AJ370" s="519">
        <f t="shared" si="381"/>
        <v>0</v>
      </c>
      <c r="AK370" s="519">
        <f t="shared" si="382"/>
        <v>0</v>
      </c>
      <c r="AL370" s="520">
        <f t="shared" si="383"/>
        <v>0</v>
      </c>
      <c r="AM370" s="520">
        <f t="shared" si="384"/>
        <v>0</v>
      </c>
      <c r="AN370" s="520">
        <f t="shared" si="385"/>
        <v>0</v>
      </c>
      <c r="AO370" s="520">
        <f t="shared" si="386"/>
        <v>0</v>
      </c>
      <c r="AP370" s="719"/>
      <c r="AQ370" s="719"/>
      <c r="AR370" s="719"/>
      <c r="AS370" s="719"/>
      <c r="AT370" s="719"/>
    </row>
    <row r="371" spans="1:47" s="555" customFormat="1" ht="22.5" customHeight="1">
      <c r="A371" s="451"/>
      <c r="B371" s="1152" t="s">
        <v>768</v>
      </c>
      <c r="C371" s="523" t="s">
        <v>808</v>
      </c>
      <c r="D371" s="1201" t="s">
        <v>197</v>
      </c>
      <c r="E371" s="525" t="s">
        <v>321</v>
      </c>
      <c r="F371" s="1314">
        <f>ROUND(K371*'Summary-E'!$K$61,0)</f>
        <v>61</v>
      </c>
      <c r="G371" s="527">
        <f t="shared" si="377"/>
        <v>15.9</v>
      </c>
      <c r="H371" s="528">
        <f t="shared" si="378"/>
        <v>969.9</v>
      </c>
      <c r="I371" s="961"/>
      <c r="J371" s="649"/>
      <c r="K371" s="1175">
        <v>58</v>
      </c>
      <c r="L371" s="530">
        <f t="shared" ref="L371:L376" si="387">ROUND(AD371,2)</f>
        <v>2.2400000000000002</v>
      </c>
      <c r="M371" s="530">
        <f t="shared" si="379"/>
        <v>136.63999999999999</v>
      </c>
      <c r="N371" s="309"/>
      <c r="O371" s="778">
        <v>131</v>
      </c>
      <c r="P371" s="777"/>
      <c r="Q371" s="777"/>
      <c r="R371" s="1096"/>
      <c r="S371" s="1098">
        <v>314940</v>
      </c>
      <c r="T371" s="1099">
        <v>1.7</v>
      </c>
      <c r="U371" s="803">
        <v>0</v>
      </c>
      <c r="V371" s="803">
        <v>0</v>
      </c>
      <c r="W371" s="803">
        <v>0</v>
      </c>
      <c r="X371" s="858">
        <v>1</v>
      </c>
      <c r="Y371" s="310">
        <f>ROUND((R371+S371/'Summary-E'!$M$63)*X371,2)</f>
        <v>15.14</v>
      </c>
      <c r="Z371" s="858">
        <f t="shared" si="346"/>
        <v>1.05</v>
      </c>
      <c r="AA371" s="813">
        <f t="shared" ref="AA371:AA376" si="388">ROUND(Y371*Z371,2)</f>
        <v>15.9</v>
      </c>
      <c r="AB371" s="447">
        <f t="shared" ref="AB371:AB376" si="389">$AB$3</f>
        <v>0.05</v>
      </c>
      <c r="AC371" s="310">
        <f t="shared" si="363"/>
        <v>1.79</v>
      </c>
      <c r="AD371" s="717">
        <f>ROUND(AC371*'[1]Summary E&amp;M'!$R$94,2)</f>
        <v>2.2400000000000002</v>
      </c>
      <c r="AE371" s="826">
        <f t="shared" si="364"/>
        <v>878.12</v>
      </c>
      <c r="AF371" s="826">
        <f t="shared" si="365"/>
        <v>103.82</v>
      </c>
      <c r="AG371" s="731"/>
      <c r="AH371" s="732"/>
      <c r="AI371" s="519">
        <f t="shared" si="380"/>
        <v>0</v>
      </c>
      <c r="AJ371" s="519">
        <f t="shared" si="381"/>
        <v>0</v>
      </c>
      <c r="AK371" s="519">
        <f t="shared" si="382"/>
        <v>0</v>
      </c>
      <c r="AL371" s="520">
        <f t="shared" si="383"/>
        <v>0</v>
      </c>
      <c r="AM371" s="520">
        <f t="shared" si="384"/>
        <v>0</v>
      </c>
      <c r="AN371" s="520">
        <f t="shared" si="385"/>
        <v>0</v>
      </c>
      <c r="AO371" s="520">
        <f t="shared" si="386"/>
        <v>0</v>
      </c>
      <c r="AP371" s="719"/>
      <c r="AQ371" s="719"/>
      <c r="AR371" s="719"/>
      <c r="AS371" s="719"/>
      <c r="AT371" s="719"/>
    </row>
    <row r="372" spans="1:47" s="555" customFormat="1" ht="22.5" customHeight="1">
      <c r="A372" s="451"/>
      <c r="B372" s="531" t="s">
        <v>769</v>
      </c>
      <c r="C372" s="523"/>
      <c r="D372" s="524" t="s">
        <v>690</v>
      </c>
      <c r="E372" s="525" t="s">
        <v>322</v>
      </c>
      <c r="F372" s="1314">
        <f>ROUND(K372*'Summary-E'!$K$61,0)</f>
        <v>1</v>
      </c>
      <c r="G372" s="527">
        <f t="shared" si="377"/>
        <v>805.22</v>
      </c>
      <c r="H372" s="528">
        <f t="shared" si="378"/>
        <v>805.22</v>
      </c>
      <c r="I372" s="961"/>
      <c r="J372" s="649"/>
      <c r="K372" s="1175">
        <v>1</v>
      </c>
      <c r="L372" s="530">
        <f t="shared" si="387"/>
        <v>207.54</v>
      </c>
      <c r="M372" s="530">
        <f t="shared" si="379"/>
        <v>207.54</v>
      </c>
      <c r="N372" s="309"/>
      <c r="O372" s="778" t="s">
        <v>690</v>
      </c>
      <c r="P372" s="777">
        <v>0.2</v>
      </c>
      <c r="Q372" s="777"/>
      <c r="R372" s="1096">
        <f>3953*P372</f>
        <v>790.6</v>
      </c>
      <c r="S372" s="1100"/>
      <c r="T372" s="1099">
        <f>R372*0.2</f>
        <v>158.12</v>
      </c>
      <c r="U372" s="803">
        <v>0</v>
      </c>
      <c r="V372" s="803">
        <v>0</v>
      </c>
      <c r="W372" s="803">
        <v>0</v>
      </c>
      <c r="X372" s="858">
        <f>SUMIF('Summary-E'!O$4:O$50,D372,'Summary-E'!Q$4:Q$50)</f>
        <v>0.97</v>
      </c>
      <c r="Y372" s="310">
        <f>ROUND((R372+S372/'Summary-E'!$M$63)*X372,2)</f>
        <v>766.88</v>
      </c>
      <c r="Z372" s="858">
        <f t="shared" si="346"/>
        <v>1.05</v>
      </c>
      <c r="AA372" s="813">
        <f t="shared" si="388"/>
        <v>805.22</v>
      </c>
      <c r="AB372" s="447">
        <f t="shared" si="389"/>
        <v>0.05</v>
      </c>
      <c r="AC372" s="310">
        <f t="shared" si="363"/>
        <v>166.03</v>
      </c>
      <c r="AD372" s="717">
        <f>ROUND(AC372*'[1]Summary E&amp;M'!$R$94,2)</f>
        <v>207.54</v>
      </c>
      <c r="AE372" s="826">
        <f t="shared" si="364"/>
        <v>766.88</v>
      </c>
      <c r="AF372" s="826">
        <f t="shared" si="365"/>
        <v>166.03</v>
      </c>
      <c r="AG372" s="731">
        <v>1283.3499999999999</v>
      </c>
      <c r="AH372" s="732">
        <v>476.2</v>
      </c>
      <c r="AI372" s="519">
        <f t="shared" si="380"/>
        <v>0</v>
      </c>
      <c r="AJ372" s="519">
        <f t="shared" si="381"/>
        <v>0</v>
      </c>
      <c r="AK372" s="519">
        <f t="shared" si="382"/>
        <v>0</v>
      </c>
      <c r="AL372" s="520">
        <f t="shared" si="383"/>
        <v>0</v>
      </c>
      <c r="AM372" s="520">
        <f t="shared" si="384"/>
        <v>0</v>
      </c>
      <c r="AN372" s="520">
        <f t="shared" si="385"/>
        <v>0</v>
      </c>
      <c r="AO372" s="520">
        <f t="shared" si="386"/>
        <v>0</v>
      </c>
      <c r="AP372" s="719"/>
      <c r="AQ372" s="719"/>
      <c r="AR372" s="719"/>
      <c r="AS372" s="719"/>
      <c r="AT372" s="719"/>
    </row>
    <row r="373" spans="1:47" s="555" customFormat="1" ht="22.5" customHeight="1">
      <c r="A373" s="451"/>
      <c r="B373" s="531" t="s">
        <v>692</v>
      </c>
      <c r="C373" s="523" t="s">
        <v>1030</v>
      </c>
      <c r="D373" s="524">
        <v>121</v>
      </c>
      <c r="E373" s="525" t="s">
        <v>321</v>
      </c>
      <c r="F373" s="1314">
        <f>ROUND(K373*'Summary-E'!$K$61,0)</f>
        <v>56</v>
      </c>
      <c r="G373" s="527">
        <f t="shared" si="377"/>
        <v>12.12</v>
      </c>
      <c r="H373" s="528">
        <f t="shared" si="378"/>
        <v>678.72</v>
      </c>
      <c r="I373" s="961"/>
      <c r="J373" s="309"/>
      <c r="K373" s="1175">
        <v>53</v>
      </c>
      <c r="L373" s="530">
        <f t="shared" si="387"/>
        <v>4.2</v>
      </c>
      <c r="M373" s="530">
        <f t="shared" si="379"/>
        <v>235.2</v>
      </c>
      <c r="N373" s="309"/>
      <c r="O373" s="778">
        <v>121</v>
      </c>
      <c r="P373" s="777"/>
      <c r="Q373" s="777"/>
      <c r="R373" s="751"/>
      <c r="S373" s="752">
        <v>240000</v>
      </c>
      <c r="T373" s="792">
        <v>3.2</v>
      </c>
      <c r="U373" s="803">
        <v>0</v>
      </c>
      <c r="V373" s="803">
        <v>0</v>
      </c>
      <c r="W373" s="803">
        <v>0</v>
      </c>
      <c r="X373" s="858">
        <v>1</v>
      </c>
      <c r="Y373" s="310">
        <f>ROUND((R373+S373/'Summary-E'!$M$63)*X373,2)</f>
        <v>11.54</v>
      </c>
      <c r="Z373" s="858">
        <f t="shared" si="346"/>
        <v>1.05</v>
      </c>
      <c r="AA373" s="813">
        <f t="shared" si="388"/>
        <v>12.12</v>
      </c>
      <c r="AB373" s="447">
        <f t="shared" si="389"/>
        <v>0.05</v>
      </c>
      <c r="AC373" s="310">
        <f t="shared" si="363"/>
        <v>3.36</v>
      </c>
      <c r="AD373" s="717">
        <f>ROUND(AC373*'[1]Summary E&amp;M'!$R$94,2)</f>
        <v>4.2</v>
      </c>
      <c r="AE373" s="826">
        <f t="shared" si="364"/>
        <v>611.62</v>
      </c>
      <c r="AF373" s="826">
        <f t="shared" si="365"/>
        <v>178.08</v>
      </c>
      <c r="AG373" s="731"/>
      <c r="AH373" s="732"/>
      <c r="AI373" s="519">
        <f t="shared" si="380"/>
        <v>0</v>
      </c>
      <c r="AJ373" s="519">
        <f t="shared" si="381"/>
        <v>0</v>
      </c>
      <c r="AK373" s="519">
        <f t="shared" si="382"/>
        <v>0</v>
      </c>
      <c r="AL373" s="520">
        <f t="shared" si="383"/>
        <v>0</v>
      </c>
      <c r="AM373" s="520">
        <f t="shared" si="384"/>
        <v>0</v>
      </c>
      <c r="AN373" s="520">
        <f t="shared" si="385"/>
        <v>0</v>
      </c>
      <c r="AO373" s="520">
        <f t="shared" si="386"/>
        <v>0</v>
      </c>
      <c r="AP373" s="719"/>
      <c r="AQ373" s="719"/>
      <c r="AR373" s="719"/>
      <c r="AS373" s="719"/>
      <c r="AT373" s="719"/>
    </row>
    <row r="374" spans="1:47" s="555" customFormat="1" ht="22.5" customHeight="1">
      <c r="A374" s="451"/>
      <c r="B374" s="531" t="s">
        <v>685</v>
      </c>
      <c r="C374" s="523"/>
      <c r="D374" s="524">
        <v>121</v>
      </c>
      <c r="E374" s="525" t="s">
        <v>322</v>
      </c>
      <c r="F374" s="1315">
        <f>K374</f>
        <v>1</v>
      </c>
      <c r="G374" s="527">
        <f t="shared" si="377"/>
        <v>186.89</v>
      </c>
      <c r="H374" s="528">
        <f t="shared" si="378"/>
        <v>186.89</v>
      </c>
      <c r="I374" s="961"/>
      <c r="J374" s="309"/>
      <c r="K374" s="1175">
        <v>1</v>
      </c>
      <c r="L374" s="530">
        <f t="shared" si="387"/>
        <v>39.19</v>
      </c>
      <c r="M374" s="530">
        <f t="shared" si="379"/>
        <v>39.19</v>
      </c>
      <c r="N374" s="309"/>
      <c r="O374" s="778" t="s">
        <v>139</v>
      </c>
      <c r="P374" s="777">
        <v>0.3</v>
      </c>
      <c r="Q374" s="777"/>
      <c r="R374" s="751">
        <f>ROUND(SUM(AE373:AE373)*P374,2)</f>
        <v>183.49</v>
      </c>
      <c r="S374" s="761"/>
      <c r="T374" s="792">
        <v>29.856000000000002</v>
      </c>
      <c r="U374" s="803">
        <v>0</v>
      </c>
      <c r="V374" s="803">
        <v>0</v>
      </c>
      <c r="W374" s="803">
        <v>0</v>
      </c>
      <c r="X374" s="858">
        <f>SUMIF('Summary-E'!O$4:O$50,D374,'Summary-E'!Q$4:Q$50)</f>
        <v>0.97</v>
      </c>
      <c r="Y374" s="310">
        <f>ROUND((R374+S374/'Summary-E'!$M$63)*X374,2)</f>
        <v>177.99</v>
      </c>
      <c r="Z374" s="858">
        <f t="shared" si="346"/>
        <v>1.05</v>
      </c>
      <c r="AA374" s="813">
        <f t="shared" si="388"/>
        <v>186.89</v>
      </c>
      <c r="AB374" s="447">
        <f t="shared" si="389"/>
        <v>0.05</v>
      </c>
      <c r="AC374" s="310">
        <f t="shared" si="363"/>
        <v>31.35</v>
      </c>
      <c r="AD374" s="717">
        <f>ROUND(AC374*'[1]Summary E&amp;M'!$R$94,2)</f>
        <v>39.19</v>
      </c>
      <c r="AE374" s="826">
        <f t="shared" si="364"/>
        <v>177.99</v>
      </c>
      <c r="AF374" s="826">
        <f t="shared" si="365"/>
        <v>31.35</v>
      </c>
      <c r="AG374" s="731"/>
      <c r="AH374" s="732"/>
      <c r="AI374" s="519">
        <f t="shared" si="380"/>
        <v>0</v>
      </c>
      <c r="AJ374" s="519">
        <f t="shared" si="381"/>
        <v>0</v>
      </c>
      <c r="AK374" s="519">
        <f t="shared" si="382"/>
        <v>0</v>
      </c>
      <c r="AL374" s="520">
        <f t="shared" si="383"/>
        <v>0</v>
      </c>
      <c r="AM374" s="520">
        <f t="shared" si="384"/>
        <v>0</v>
      </c>
      <c r="AN374" s="520">
        <f t="shared" si="385"/>
        <v>0</v>
      </c>
      <c r="AO374" s="520">
        <f t="shared" si="386"/>
        <v>0</v>
      </c>
      <c r="AP374" s="719"/>
      <c r="AQ374" s="719"/>
      <c r="AR374" s="719"/>
      <c r="AS374" s="719"/>
      <c r="AT374" s="719"/>
    </row>
    <row r="375" spans="1:47" s="555" customFormat="1" ht="22.5" customHeight="1">
      <c r="A375" s="451"/>
      <c r="B375" s="531" t="s">
        <v>672</v>
      </c>
      <c r="C375" s="523"/>
      <c r="D375" s="524" t="s">
        <v>139</v>
      </c>
      <c r="E375" s="525" t="s">
        <v>322</v>
      </c>
      <c r="F375" s="1315">
        <f>K375</f>
        <v>1</v>
      </c>
      <c r="G375" s="527">
        <f t="shared" si="377"/>
        <v>93.44</v>
      </c>
      <c r="H375" s="528">
        <f t="shared" si="378"/>
        <v>93.44</v>
      </c>
      <c r="I375" s="961"/>
      <c r="J375" s="309"/>
      <c r="K375" s="1175">
        <v>1</v>
      </c>
      <c r="L375" s="530">
        <f t="shared" si="387"/>
        <v>29.39</v>
      </c>
      <c r="M375" s="530">
        <f t="shared" si="379"/>
        <v>29.39</v>
      </c>
      <c r="N375" s="309"/>
      <c r="O375" s="778" t="s">
        <v>130</v>
      </c>
      <c r="P375" s="777">
        <v>0.15</v>
      </c>
      <c r="Q375" s="777"/>
      <c r="R375" s="751">
        <f>ROUND(SUM(AE373:AE373)*P375,2)</f>
        <v>91.74</v>
      </c>
      <c r="S375" s="761"/>
      <c r="T375" s="792">
        <v>22.391999999999999</v>
      </c>
      <c r="U375" s="803">
        <v>0</v>
      </c>
      <c r="V375" s="803">
        <v>0</v>
      </c>
      <c r="W375" s="803">
        <v>0</v>
      </c>
      <c r="X375" s="858">
        <f>SUMIF('Summary-E'!O$4:O$50,D375,'Summary-E'!Q$4:Q$50)</f>
        <v>0.97</v>
      </c>
      <c r="Y375" s="310">
        <f>ROUND((R375+S375/'Summary-E'!$M$63)*X375,2)</f>
        <v>88.99</v>
      </c>
      <c r="Z375" s="858">
        <f t="shared" si="346"/>
        <v>1.05</v>
      </c>
      <c r="AA375" s="813">
        <f t="shared" si="388"/>
        <v>93.44</v>
      </c>
      <c r="AB375" s="447">
        <f t="shared" si="389"/>
        <v>0.05</v>
      </c>
      <c r="AC375" s="310">
        <f t="shared" si="363"/>
        <v>23.51</v>
      </c>
      <c r="AD375" s="717">
        <f>ROUND(AC375*'[1]Summary E&amp;M'!$R$94,2)</f>
        <v>29.39</v>
      </c>
      <c r="AE375" s="826">
        <f t="shared" si="364"/>
        <v>88.99</v>
      </c>
      <c r="AF375" s="826">
        <f t="shared" si="365"/>
        <v>23.51</v>
      </c>
      <c r="AG375" s="731"/>
      <c r="AH375" s="732"/>
      <c r="AI375" s="519">
        <f t="shared" si="380"/>
        <v>0</v>
      </c>
      <c r="AJ375" s="519">
        <f t="shared" si="381"/>
        <v>0</v>
      </c>
      <c r="AK375" s="519">
        <f t="shared" si="382"/>
        <v>0</v>
      </c>
      <c r="AL375" s="520">
        <f t="shared" si="383"/>
        <v>0</v>
      </c>
      <c r="AM375" s="520">
        <f t="shared" si="384"/>
        <v>0</v>
      </c>
      <c r="AN375" s="520">
        <f t="shared" si="385"/>
        <v>0</v>
      </c>
      <c r="AO375" s="520">
        <f t="shared" si="386"/>
        <v>0</v>
      </c>
      <c r="AP375" s="719"/>
      <c r="AQ375" s="719"/>
      <c r="AR375" s="719"/>
      <c r="AS375" s="719"/>
      <c r="AT375" s="719"/>
    </row>
    <row r="376" spans="1:47" s="555" customFormat="1" ht="22.5" customHeight="1">
      <c r="A376" s="451"/>
      <c r="B376" s="531" t="s">
        <v>787</v>
      </c>
      <c r="C376" s="523"/>
      <c r="D376" s="524"/>
      <c r="E376" s="525" t="s">
        <v>322</v>
      </c>
      <c r="F376" s="1315">
        <f>K376</f>
        <v>1</v>
      </c>
      <c r="G376" s="1009" t="s">
        <v>804</v>
      </c>
      <c r="H376" s="528"/>
      <c r="I376" s="961" t="s">
        <v>806</v>
      </c>
      <c r="J376" s="309"/>
      <c r="K376" s="1175">
        <v>1</v>
      </c>
      <c r="L376" s="530">
        <f t="shared" si="387"/>
        <v>0</v>
      </c>
      <c r="M376" s="530">
        <f t="shared" si="379"/>
        <v>0</v>
      </c>
      <c r="N376" s="309"/>
      <c r="O376" s="778" t="s">
        <v>683</v>
      </c>
      <c r="P376" s="777"/>
      <c r="Q376" s="777"/>
      <c r="R376" s="751"/>
      <c r="S376" s="752"/>
      <c r="T376" s="792"/>
      <c r="U376" s="803">
        <v>0</v>
      </c>
      <c r="V376" s="803">
        <v>0</v>
      </c>
      <c r="W376" s="803">
        <v>0</v>
      </c>
      <c r="X376" s="858">
        <f>SUMIF('Summary-E'!O$4:O$50,D376,'Summary-E'!Q$4:Q$50)</f>
        <v>0</v>
      </c>
      <c r="Y376" s="310">
        <f>ROUND((R376+S376/'Summary-E'!$M$63)*X376,2)</f>
        <v>0</v>
      </c>
      <c r="Z376" s="858">
        <f t="shared" si="346"/>
        <v>1.05</v>
      </c>
      <c r="AA376" s="813">
        <f t="shared" si="388"/>
        <v>0</v>
      </c>
      <c r="AB376" s="447">
        <f t="shared" si="389"/>
        <v>0.05</v>
      </c>
      <c r="AC376" s="310">
        <f t="shared" si="363"/>
        <v>0</v>
      </c>
      <c r="AD376" s="717">
        <f>ROUND(AC376*'[1]Summary E&amp;M'!$R$94,2)</f>
        <v>0</v>
      </c>
      <c r="AE376" s="826">
        <f t="shared" si="364"/>
        <v>0</v>
      </c>
      <c r="AF376" s="826">
        <f t="shared" si="365"/>
        <v>0</v>
      </c>
      <c r="AG376" s="731"/>
      <c r="AH376" s="732"/>
      <c r="AI376" s="519">
        <f t="shared" si="380"/>
        <v>0</v>
      </c>
      <c r="AJ376" s="519">
        <f t="shared" si="381"/>
        <v>0</v>
      </c>
      <c r="AK376" s="519">
        <f t="shared" si="382"/>
        <v>0</v>
      </c>
      <c r="AL376" s="520">
        <f t="shared" si="383"/>
        <v>0</v>
      </c>
      <c r="AM376" s="520">
        <f t="shared" si="384"/>
        <v>0</v>
      </c>
      <c r="AN376" s="520">
        <f t="shared" si="385"/>
        <v>0</v>
      </c>
      <c r="AO376" s="520">
        <f t="shared" si="386"/>
        <v>0</v>
      </c>
      <c r="AP376" s="719"/>
      <c r="AQ376" s="719"/>
      <c r="AR376" s="719"/>
      <c r="AS376" s="719"/>
      <c r="AT376" s="719"/>
    </row>
    <row r="377" spans="1:47" s="555" customFormat="1" ht="22.5" customHeight="1">
      <c r="A377" s="451"/>
      <c r="B377" s="531"/>
      <c r="C377" s="523"/>
      <c r="D377" s="524"/>
      <c r="E377" s="525"/>
      <c r="F377" s="1314"/>
      <c r="G377" s="528"/>
      <c r="H377" s="528"/>
      <c r="I377" s="961"/>
      <c r="J377" s="309"/>
      <c r="K377" s="1175"/>
      <c r="L377" s="530"/>
      <c r="M377" s="530"/>
      <c r="N377" s="309"/>
      <c r="O377" s="778"/>
      <c r="P377" s="777"/>
      <c r="Q377" s="777"/>
      <c r="R377" s="751"/>
      <c r="S377" s="752"/>
      <c r="T377" s="792"/>
      <c r="U377" s="803"/>
      <c r="V377" s="803"/>
      <c r="W377" s="803"/>
      <c r="X377" s="858">
        <f>SUMIF('Summary-E'!O$4:O$50,D377,'Summary-E'!Q$4:Q$50)</f>
        <v>0</v>
      </c>
      <c r="Y377" s="310">
        <f>ROUND((R377+S377/'Summary-E'!$M$63)*X377,2)</f>
        <v>0</v>
      </c>
      <c r="Z377" s="858">
        <f t="shared" si="346"/>
        <v>1.05</v>
      </c>
      <c r="AA377" s="813"/>
      <c r="AB377" s="447"/>
      <c r="AC377" s="310">
        <f t="shared" si="363"/>
        <v>0</v>
      </c>
      <c r="AD377" s="717">
        <f>ROUND(AC377*'[1]Summary E&amp;M'!$R$94,2)</f>
        <v>0</v>
      </c>
      <c r="AE377" s="826">
        <f t="shared" si="364"/>
        <v>0</v>
      </c>
      <c r="AF377" s="826">
        <f t="shared" si="365"/>
        <v>0</v>
      </c>
      <c r="AG377" s="731"/>
      <c r="AH377" s="732"/>
      <c r="AI377" s="519"/>
      <c r="AJ377" s="519"/>
      <c r="AK377" s="519"/>
      <c r="AL377" s="520"/>
      <c r="AM377" s="520"/>
      <c r="AN377" s="520"/>
      <c r="AO377" s="520"/>
      <c r="AP377" s="719"/>
      <c r="AQ377" s="719"/>
      <c r="AR377" s="719"/>
      <c r="AS377" s="719"/>
      <c r="AT377" s="719"/>
    </row>
    <row r="378" spans="1:47" s="555" customFormat="1" ht="22.5" customHeight="1">
      <c r="A378" s="451"/>
      <c r="B378" s="531" t="s">
        <v>324</v>
      </c>
      <c r="C378" s="523"/>
      <c r="D378" s="524">
        <v>210</v>
      </c>
      <c r="E378" s="525" t="s">
        <v>319</v>
      </c>
      <c r="F378" s="1315">
        <f>K378</f>
        <v>1</v>
      </c>
      <c r="G378" s="528">
        <f>M383</f>
        <v>5479.08</v>
      </c>
      <c r="H378" s="527">
        <f>ROUND(F378*G378,2)</f>
        <v>5479.08</v>
      </c>
      <c r="I378" s="961"/>
      <c r="J378" s="309"/>
      <c r="K378" s="1175">
        <v>1</v>
      </c>
      <c r="L378" s="530">
        <f>ROUND(AD378,2)</f>
        <v>0</v>
      </c>
      <c r="M378" s="530">
        <f>ROUND(L378*F378,2)</f>
        <v>0</v>
      </c>
      <c r="N378" s="309"/>
      <c r="O378" s="778">
        <v>210</v>
      </c>
      <c r="P378" s="777"/>
      <c r="Q378" s="777"/>
      <c r="R378" s="751"/>
      <c r="S378" s="752"/>
      <c r="T378" s="792"/>
      <c r="U378" s="803">
        <v>0</v>
      </c>
      <c r="V378" s="803">
        <v>0</v>
      </c>
      <c r="W378" s="803">
        <v>0</v>
      </c>
      <c r="X378" s="858">
        <f>SUMIF('Summary-E'!O$4:O$50,D378,'Summary-E'!Q$4:Q$50)</f>
        <v>0.05</v>
      </c>
      <c r="Y378" s="310">
        <f>ROUND((R378+S378/'Summary-E'!$M$63)*X378,2)</f>
        <v>0</v>
      </c>
      <c r="Z378" s="858">
        <f t="shared" si="346"/>
        <v>1.05</v>
      </c>
      <c r="AA378" s="813">
        <f>ROUND(Y378*Z378,2)</f>
        <v>0</v>
      </c>
      <c r="AB378" s="447">
        <f>$AB$3</f>
        <v>0.05</v>
      </c>
      <c r="AC378" s="310">
        <f t="shared" si="363"/>
        <v>0</v>
      </c>
      <c r="AD378" s="717">
        <f>ROUND(AC378*'[1]Summary E&amp;M'!$R$94,2)</f>
        <v>0</v>
      </c>
      <c r="AE378" s="826">
        <f t="shared" si="364"/>
        <v>0</v>
      </c>
      <c r="AF378" s="826">
        <f t="shared" si="365"/>
        <v>0</v>
      </c>
      <c r="AG378" s="731"/>
      <c r="AH378" s="732"/>
      <c r="AI378" s="519">
        <f>$U378</f>
        <v>0</v>
      </c>
      <c r="AJ378" s="519">
        <f>$V378</f>
        <v>0</v>
      </c>
      <c r="AK378" s="519">
        <f>$W378</f>
        <v>0</v>
      </c>
      <c r="AL378" s="520">
        <f>ROUND(Y378*AI378+((Y378*(1+AI378))*AJ378)+((Y378*AI378+((Y378*(1+AI378))*AJ378))*AK378),2)</f>
        <v>0</v>
      </c>
      <c r="AM378" s="520">
        <f>AL378*$F378</f>
        <v>0</v>
      </c>
      <c r="AN378" s="520">
        <f>ROUND(AL378*Z378,2)</f>
        <v>0</v>
      </c>
      <c r="AO378" s="520">
        <f>AN378*$F378</f>
        <v>0</v>
      </c>
      <c r="AP378" s="719"/>
      <c r="AQ378" s="719"/>
      <c r="AR378" s="719"/>
      <c r="AS378" s="719"/>
      <c r="AT378" s="719"/>
    </row>
    <row r="379" spans="1:47" s="555" customFormat="1" ht="22.5" customHeight="1">
      <c r="A379" s="451"/>
      <c r="B379" s="531" t="s">
        <v>327</v>
      </c>
      <c r="C379" s="523"/>
      <c r="D379" s="1203" t="s">
        <v>134</v>
      </c>
      <c r="E379" s="525" t="s">
        <v>319</v>
      </c>
      <c r="F379" s="1315">
        <f>K379</f>
        <v>1</v>
      </c>
      <c r="G379" s="527">
        <f>ROUNDUP(AA379,2)</f>
        <v>445.7</v>
      </c>
      <c r="H379" s="527">
        <f>ROUND(F379*G379,2)</f>
        <v>445.7</v>
      </c>
      <c r="I379" s="961"/>
      <c r="J379" s="309"/>
      <c r="K379" s="1175">
        <v>1</v>
      </c>
      <c r="L379" s="530">
        <f>ROUND(AD379,2)</f>
        <v>0</v>
      </c>
      <c r="M379" s="530">
        <f>ROUND(L379*F379,2)</f>
        <v>0</v>
      </c>
      <c r="N379" s="309"/>
      <c r="O379" s="778" t="s">
        <v>140</v>
      </c>
      <c r="P379" s="777">
        <v>0.1</v>
      </c>
      <c r="Q379" s="777"/>
      <c r="R379" s="751">
        <v>437.61</v>
      </c>
      <c r="S379" s="752"/>
      <c r="T379" s="792"/>
      <c r="U379" s="803">
        <v>0</v>
      </c>
      <c r="V379" s="803">
        <v>0</v>
      </c>
      <c r="W379" s="803">
        <v>0</v>
      </c>
      <c r="X379" s="858">
        <f>SUMIF('Summary-E'!O$4:O$50,D379,'Summary-E'!Q$4:Q$50)</f>
        <v>0.97</v>
      </c>
      <c r="Y379" s="310">
        <f>ROUND((R379+S379/'Summary-E'!$M$63)*X379,2)</f>
        <v>424.48</v>
      </c>
      <c r="Z379" s="858">
        <f t="shared" si="346"/>
        <v>1.05</v>
      </c>
      <c r="AA379" s="813">
        <f>ROUND(Y379*Z379,2)</f>
        <v>445.7</v>
      </c>
      <c r="AB379" s="447">
        <f>$AB$3</f>
        <v>0.05</v>
      </c>
      <c r="AC379" s="310">
        <f t="shared" si="363"/>
        <v>0</v>
      </c>
      <c r="AD379" s="717">
        <f>ROUND(AC379*'[1]Summary E&amp;M'!$R$94,2)</f>
        <v>0</v>
      </c>
      <c r="AE379" s="826">
        <f t="shared" si="364"/>
        <v>424.48</v>
      </c>
      <c r="AF379" s="826">
        <f t="shared" si="365"/>
        <v>0</v>
      </c>
      <c r="AG379" s="731"/>
      <c r="AH379" s="732"/>
      <c r="AI379" s="519">
        <f>$U379</f>
        <v>0</v>
      </c>
      <c r="AJ379" s="519">
        <f>$V379</f>
        <v>0</v>
      </c>
      <c r="AK379" s="519">
        <f>$W379</f>
        <v>0</v>
      </c>
      <c r="AL379" s="520">
        <f>ROUND(Y379*AI379+((Y379*(1+AI379))*AJ379)+((Y379*AI379+((Y379*(1+AI379))*AJ379))*AK379),2)</f>
        <v>0</v>
      </c>
      <c r="AM379" s="520">
        <f>AL379*$F379</f>
        <v>0</v>
      </c>
      <c r="AN379" s="520">
        <f>ROUND(AL379*Z379,2)</f>
        <v>0</v>
      </c>
      <c r="AO379" s="520">
        <f>AN379*$F379</f>
        <v>0</v>
      </c>
      <c r="AP379" s="719"/>
      <c r="AQ379" s="719"/>
      <c r="AR379" s="719"/>
      <c r="AS379" s="719"/>
      <c r="AT379" s="719"/>
    </row>
    <row r="380" spans="1:47" s="555" customFormat="1" ht="22.5" customHeight="1">
      <c r="A380" s="451"/>
      <c r="B380" s="531" t="s">
        <v>401</v>
      </c>
      <c r="C380" s="523"/>
      <c r="D380" s="524">
        <v>159</v>
      </c>
      <c r="E380" s="525" t="s">
        <v>322</v>
      </c>
      <c r="F380" s="1315">
        <f>K380</f>
        <v>1</v>
      </c>
      <c r="G380" s="527">
        <f>ROUNDUP(AA380,2)</f>
        <v>178.63</v>
      </c>
      <c r="H380" s="528">
        <f>ROUND(F380*G380,2)</f>
        <v>178.63</v>
      </c>
      <c r="I380" s="961"/>
      <c r="J380" s="309"/>
      <c r="K380" s="1175">
        <v>1</v>
      </c>
      <c r="L380" s="530">
        <f>ROUND(AD380,2)</f>
        <v>0</v>
      </c>
      <c r="M380" s="530">
        <f>ROUND(L380*F380,2)</f>
        <v>0</v>
      </c>
      <c r="N380" s="309"/>
      <c r="O380" s="778">
        <v>159</v>
      </c>
      <c r="P380" s="782">
        <v>5.0000000000000001E-3</v>
      </c>
      <c r="Q380" s="777"/>
      <c r="R380" s="751">
        <f>ROUND(SUM(AE373:AE379,AG372,AE371,AG369:AG370,AE344:AE368)*P380,2)</f>
        <v>175.38</v>
      </c>
      <c r="S380" s="752"/>
      <c r="T380" s="792"/>
      <c r="U380" s="803">
        <v>0</v>
      </c>
      <c r="V380" s="803">
        <v>0</v>
      </c>
      <c r="W380" s="803">
        <v>0</v>
      </c>
      <c r="X380" s="858">
        <f>SUMIF('Summary-E'!O$4:O$50,D380,'Summary-E'!Q$4:Q$50)</f>
        <v>0.97</v>
      </c>
      <c r="Y380" s="310">
        <f>ROUND((R380+S380/'Summary-E'!$M$63)*X380,2)</f>
        <v>170.12</v>
      </c>
      <c r="Z380" s="858">
        <f t="shared" si="346"/>
        <v>1.05</v>
      </c>
      <c r="AA380" s="813">
        <f>ROUND(Y380*Z380,2)</f>
        <v>178.63</v>
      </c>
      <c r="AB380" s="447">
        <f>$AB$3</f>
        <v>0.05</v>
      </c>
      <c r="AC380" s="310">
        <f t="shared" si="363"/>
        <v>0</v>
      </c>
      <c r="AD380" s="717">
        <f>ROUND(AC380*'[1]Summary E&amp;M'!$R$94,2)</f>
        <v>0</v>
      </c>
      <c r="AE380" s="826">
        <f t="shared" si="364"/>
        <v>170.12</v>
      </c>
      <c r="AF380" s="826">
        <f t="shared" si="365"/>
        <v>0</v>
      </c>
      <c r="AG380" s="731"/>
      <c r="AH380" s="732"/>
      <c r="AI380" s="519">
        <f>$U380</f>
        <v>0</v>
      </c>
      <c r="AJ380" s="519">
        <f>$V380</f>
        <v>0</v>
      </c>
      <c r="AK380" s="519">
        <f>$W380</f>
        <v>0</v>
      </c>
      <c r="AL380" s="520">
        <f>ROUND(Y380*AI380+((Y380*(1+AI380))*AJ380)+((Y380*AI380+((Y380*(1+AI380))*AJ380))*AK380),2)</f>
        <v>0</v>
      </c>
      <c r="AM380" s="520">
        <f>AL380*$F380</f>
        <v>0</v>
      </c>
      <c r="AN380" s="520">
        <f>ROUND(AL380*Z380,2)</f>
        <v>0</v>
      </c>
      <c r="AO380" s="520">
        <f>AN380*$F380</f>
        <v>0</v>
      </c>
      <c r="AP380" s="719"/>
      <c r="AQ380" s="719"/>
      <c r="AR380" s="719"/>
      <c r="AS380" s="719"/>
      <c r="AT380" s="719"/>
    </row>
    <row r="381" spans="1:47" s="555" customFormat="1" ht="22.5" customHeight="1">
      <c r="A381" s="451"/>
      <c r="B381" s="531" t="s">
        <v>634</v>
      </c>
      <c r="C381" s="523"/>
      <c r="D381" s="524" t="s">
        <v>523</v>
      </c>
      <c r="E381" s="525" t="s">
        <v>322</v>
      </c>
      <c r="F381" s="1315">
        <f>K381</f>
        <v>1</v>
      </c>
      <c r="G381" s="527">
        <f>ROUNDUP(AA381,2)</f>
        <v>354.1</v>
      </c>
      <c r="H381" s="528">
        <f>ROUND(F381*G381,2)</f>
        <v>354.1</v>
      </c>
      <c r="I381" s="961"/>
      <c r="J381" s="309"/>
      <c r="K381" s="1175">
        <v>1</v>
      </c>
      <c r="L381" s="530">
        <f>ROUND(AD381,2)</f>
        <v>0</v>
      </c>
      <c r="M381" s="530">
        <f>ROUND(L381*F381,2)</f>
        <v>0</v>
      </c>
      <c r="N381" s="309"/>
      <c r="O381" s="778" t="s">
        <v>523</v>
      </c>
      <c r="P381" s="782">
        <v>0.02</v>
      </c>
      <c r="Q381" s="777"/>
      <c r="R381" s="751">
        <f>ROUND(SUM(AE345:AE375)*P381,2)</f>
        <v>347.67</v>
      </c>
      <c r="S381" s="752"/>
      <c r="T381" s="792"/>
      <c r="U381" s="803">
        <v>0</v>
      </c>
      <c r="V381" s="803">
        <v>0</v>
      </c>
      <c r="W381" s="803">
        <v>0</v>
      </c>
      <c r="X381" s="858">
        <f>SUMIF('Summary-E'!O$4:O$50,D381,'Summary-E'!Q$4:Q$50)</f>
        <v>0.97</v>
      </c>
      <c r="Y381" s="310">
        <f>ROUND((R381+S381/'Summary-E'!$M$63)*X381,2)</f>
        <v>337.24</v>
      </c>
      <c r="Z381" s="858">
        <f t="shared" si="346"/>
        <v>1.05</v>
      </c>
      <c r="AA381" s="813">
        <f>ROUND(Y381*Z381,2)</f>
        <v>354.1</v>
      </c>
      <c r="AB381" s="447">
        <f>$AB$3</f>
        <v>0.05</v>
      </c>
      <c r="AC381" s="310">
        <f t="shared" si="363"/>
        <v>0</v>
      </c>
      <c r="AD381" s="717">
        <f>ROUND(AC381*'[1]Summary E&amp;M'!$R$94,2)</f>
        <v>0</v>
      </c>
      <c r="AE381" s="826">
        <f t="shared" si="364"/>
        <v>337.24</v>
      </c>
      <c r="AF381" s="826">
        <f t="shared" si="365"/>
        <v>0</v>
      </c>
      <c r="AG381" s="731"/>
      <c r="AH381" s="732"/>
      <c r="AI381" s="519">
        <f>$U381</f>
        <v>0</v>
      </c>
      <c r="AJ381" s="519">
        <f>$V381</f>
        <v>0</v>
      </c>
      <c r="AK381" s="519">
        <f>$W381</f>
        <v>0</v>
      </c>
      <c r="AL381" s="520">
        <f>ROUND(Y381*AI381+((Y381*(1+AI381))*AJ381)+((Y381*AI381+((Y381*(1+AI381))*AJ381))*AK381),2)</f>
        <v>0</v>
      </c>
      <c r="AM381" s="520">
        <f>AL381*$F381</f>
        <v>0</v>
      </c>
      <c r="AN381" s="520">
        <f>ROUND(AL381*Z381,2)</f>
        <v>0</v>
      </c>
      <c r="AO381" s="520">
        <f>AN381*$F381</f>
        <v>0</v>
      </c>
      <c r="AP381" s="719"/>
      <c r="AQ381" s="719"/>
      <c r="AR381" s="719"/>
      <c r="AS381" s="719"/>
      <c r="AT381" s="719"/>
    </row>
    <row r="382" spans="1:47" s="555" customFormat="1" ht="22.5" customHeight="1">
      <c r="A382" s="451"/>
      <c r="B382" s="531"/>
      <c r="C382" s="523"/>
      <c r="D382" s="524"/>
      <c r="E382" s="525"/>
      <c r="F382" s="1314"/>
      <c r="G382" s="527"/>
      <c r="H382" s="528"/>
      <c r="I382" s="529"/>
      <c r="J382" s="309"/>
      <c r="K382" s="1175"/>
      <c r="L382" s="530">
        <f>ROUND(AD382,2)</f>
        <v>0</v>
      </c>
      <c r="M382" s="530">
        <f>ROUND(L382*F382,2)</f>
        <v>0</v>
      </c>
      <c r="N382" s="309"/>
      <c r="O382" s="778"/>
      <c r="P382" s="777"/>
      <c r="Q382" s="777"/>
      <c r="R382" s="751"/>
      <c r="S382" s="752"/>
      <c r="T382" s="792"/>
      <c r="U382" s="803">
        <v>0</v>
      </c>
      <c r="V382" s="803">
        <v>0</v>
      </c>
      <c r="W382" s="803">
        <v>0</v>
      </c>
      <c r="X382" s="858">
        <f>SUMIF('Summary-E'!O$4:O$50,D382,'Summary-E'!Q$4:Q$50)</f>
        <v>0</v>
      </c>
      <c r="Y382" s="310">
        <f>ROUND((R382+S382/'Summary-E'!$M$63)*X382,2)</f>
        <v>0</v>
      </c>
      <c r="Z382" s="858">
        <f t="shared" si="346"/>
        <v>1.05</v>
      </c>
      <c r="AA382" s="813">
        <f>ROUND(Y382*Z382,2)</f>
        <v>0</v>
      </c>
      <c r="AB382" s="447">
        <f>$AB$3</f>
        <v>0.05</v>
      </c>
      <c r="AC382" s="310">
        <f t="shared" si="363"/>
        <v>0</v>
      </c>
      <c r="AD382" s="717">
        <f>ROUND(AC382*'[1]Summary E&amp;M'!$R$94,2)</f>
        <v>0</v>
      </c>
      <c r="AE382" s="826">
        <f t="shared" si="364"/>
        <v>0</v>
      </c>
      <c r="AF382" s="826">
        <f t="shared" si="365"/>
        <v>0</v>
      </c>
      <c r="AG382" s="731"/>
      <c r="AH382" s="732"/>
      <c r="AI382" s="519">
        <f>$U382</f>
        <v>0</v>
      </c>
      <c r="AJ382" s="519">
        <f>$V382</f>
        <v>0</v>
      </c>
      <c r="AK382" s="519">
        <f>$W382</f>
        <v>0</v>
      </c>
      <c r="AL382" s="520">
        <f>ROUND(Y382*AI382+((Y382*(1+AI382))*AJ382)+((Y382*AI382+((Y382*(1+AI382))*AJ382))*AK382),2)</f>
        <v>0</v>
      </c>
      <c r="AM382" s="520">
        <f>AL382*$F382</f>
        <v>0</v>
      </c>
      <c r="AN382" s="520">
        <f>ROUND(AL382*Z382,2)</f>
        <v>0</v>
      </c>
      <c r="AO382" s="520">
        <f>AN382*$F382</f>
        <v>0</v>
      </c>
      <c r="AP382" s="719"/>
      <c r="AQ382" s="719"/>
      <c r="AR382" s="719"/>
      <c r="AS382" s="719"/>
      <c r="AT382" s="719"/>
    </row>
    <row r="383" spans="1:47" s="711" customFormat="1" ht="22.5" customHeight="1">
      <c r="A383" s="973"/>
      <c r="B383" s="974" t="s">
        <v>428</v>
      </c>
      <c r="C383" s="975"/>
      <c r="D383" s="976"/>
      <c r="E383" s="973"/>
      <c r="F383" s="1317"/>
      <c r="G383" s="971"/>
      <c r="H383" s="977">
        <f>SUBTOTAL(9,H344:H382)</f>
        <v>25079.450000000004</v>
      </c>
      <c r="I383" s="978"/>
      <c r="J383" s="551"/>
      <c r="K383" s="1177"/>
      <c r="L383" s="550"/>
      <c r="M383" s="1051">
        <f>SUBTOTAL(9,M344:M382)</f>
        <v>5479.08</v>
      </c>
      <c r="N383" s="549"/>
      <c r="O383" s="779"/>
      <c r="P383" s="780"/>
      <c r="Q383" s="780"/>
      <c r="R383" s="837"/>
      <c r="S383" s="837"/>
      <c r="T383" s="838"/>
      <c r="U383" s="803">
        <v>0</v>
      </c>
      <c r="V383" s="803">
        <v>0</v>
      </c>
      <c r="W383" s="803">
        <v>0</v>
      </c>
      <c r="X383" s="858">
        <f>SUMIF('Summary-E'!O$4:O$50,D383,'Summary-E'!Q$4:Q$50)</f>
        <v>0</v>
      </c>
      <c r="Y383" s="310">
        <f>ROUND((R383+S383/'Summary-E'!$M$63)*X383,2)</f>
        <v>0</v>
      </c>
      <c r="Z383" s="858">
        <f t="shared" si="346"/>
        <v>1.05</v>
      </c>
      <c r="AA383" s="816"/>
      <c r="AB383" s="552"/>
      <c r="AC383" s="310">
        <f t="shared" si="363"/>
        <v>0</v>
      </c>
      <c r="AD383" s="717">
        <f>ROUND(AC383*'[1]Summary E&amp;M'!$R$94,2)</f>
        <v>0</v>
      </c>
      <c r="AE383" s="828">
        <f>SUBTOTAL(9,AE344:AE382)</f>
        <v>18315.450000000004</v>
      </c>
      <c r="AF383" s="828">
        <f>SUBTOTAL(9,AF344:AF382)</f>
        <v>4250.0800000000008</v>
      </c>
      <c r="AG383" s="733"/>
      <c r="AH383" s="734"/>
      <c r="AI383" s="713"/>
      <c r="AJ383" s="713"/>
      <c r="AK383" s="713"/>
      <c r="AL383" s="713"/>
      <c r="AM383" s="712">
        <f>SUBTOTAL(9,AM344:AM382)</f>
        <v>0</v>
      </c>
      <c r="AN383" s="713"/>
      <c r="AO383" s="712">
        <f>SUBTOTAL(9,AO344:AO382)</f>
        <v>0</v>
      </c>
      <c r="AP383" s="722"/>
      <c r="AQ383" s="722"/>
      <c r="AR383" s="722"/>
      <c r="AS383" s="722"/>
      <c r="AT383" s="722"/>
    </row>
    <row r="384" spans="1:47" s="555" customFormat="1" ht="22.5" customHeight="1">
      <c r="A384" s="545"/>
      <c r="B384" s="543"/>
      <c r="C384" s="563"/>
      <c r="D384" s="546"/>
      <c r="E384" s="545"/>
      <c r="F384" s="1320"/>
      <c r="G384" s="547"/>
      <c r="H384" s="564"/>
      <c r="I384" s="565"/>
      <c r="J384" s="551"/>
      <c r="K384" s="1181"/>
      <c r="L384" s="550"/>
      <c r="M384" s="550"/>
      <c r="N384" s="549"/>
      <c r="O384" s="776"/>
      <c r="P384" s="777"/>
      <c r="Q384" s="777"/>
      <c r="R384" s="751"/>
      <c r="S384" s="752"/>
      <c r="T384" s="792"/>
      <c r="U384" s="803"/>
      <c r="V384" s="803"/>
      <c r="W384" s="803"/>
      <c r="X384" s="858">
        <f>SUMIF('Summary-E'!O$4:O$50,D384,'Summary-E'!Q$4:Q$50)</f>
        <v>0</v>
      </c>
      <c r="Y384" s="310">
        <f>ROUND((R384+S384/'Summary-E'!$M$63)*X384,2)</f>
        <v>0</v>
      </c>
      <c r="Z384" s="858">
        <f t="shared" si="346"/>
        <v>1.05</v>
      </c>
      <c r="AA384" s="816"/>
      <c r="AB384" s="552"/>
      <c r="AC384" s="310">
        <f t="shared" si="363"/>
        <v>0</v>
      </c>
      <c r="AD384" s="717">
        <f>ROUND(AC384*'[1]Summary E&amp;M'!$R$94,2)</f>
        <v>0</v>
      </c>
      <c r="AE384" s="834"/>
      <c r="AF384" s="834"/>
      <c r="AG384" s="618"/>
      <c r="AH384" s="736"/>
      <c r="AI384" s="724"/>
      <c r="AJ384" s="552"/>
      <c r="AK384" s="552"/>
      <c r="AL384" s="552"/>
      <c r="AM384" s="552"/>
      <c r="AN384" s="553"/>
      <c r="AO384" s="552"/>
      <c r="AP384" s="553"/>
      <c r="AQ384" s="719"/>
      <c r="AR384" s="719"/>
      <c r="AS384" s="719"/>
      <c r="AT384" s="719"/>
      <c r="AU384" s="643"/>
    </row>
    <row r="385" spans="1:46" s="555" customFormat="1" ht="22.5" customHeight="1">
      <c r="A385" s="620" t="s">
        <v>412</v>
      </c>
      <c r="B385" s="522" t="s">
        <v>402</v>
      </c>
      <c r="C385" s="566"/>
      <c r="D385" s="525"/>
      <c r="E385" s="524"/>
      <c r="F385" s="1314"/>
      <c r="G385" s="527"/>
      <c r="H385" s="527"/>
      <c r="I385" s="567"/>
      <c r="J385" s="309"/>
      <c r="K385" s="1149"/>
      <c r="L385" s="530"/>
      <c r="M385" s="530"/>
      <c r="N385" s="309"/>
      <c r="O385" s="776"/>
      <c r="P385" s="777"/>
      <c r="Q385" s="777"/>
      <c r="R385" s="751"/>
      <c r="S385" s="752"/>
      <c r="T385" s="792"/>
      <c r="U385" s="803">
        <v>0</v>
      </c>
      <c r="V385" s="803">
        <v>0</v>
      </c>
      <c r="W385" s="803">
        <v>0</v>
      </c>
      <c r="X385" s="858">
        <f>SUMIF('Summary-E'!O$4:O$50,D385,'Summary-E'!Q$4:Q$50)</f>
        <v>0</v>
      </c>
      <c r="Y385" s="310">
        <f>ROUND((R385+S385/'Summary-E'!$M$63)*X385,2)</f>
        <v>0</v>
      </c>
      <c r="Z385" s="858">
        <f t="shared" si="346"/>
        <v>1.05</v>
      </c>
      <c r="AA385" s="816"/>
      <c r="AB385" s="552"/>
      <c r="AC385" s="310">
        <f t="shared" si="363"/>
        <v>0</v>
      </c>
      <c r="AD385" s="717">
        <f>ROUND(AC385*'[1]Summary E&amp;M'!$R$94,2)</f>
        <v>0</v>
      </c>
      <c r="AE385" s="825">
        <f t="shared" ref="AE385:AE420" si="390">ROUND($K385*$Y385,2)</f>
        <v>0</v>
      </c>
      <c r="AF385" s="825">
        <f t="shared" ref="AF385:AF420" si="391">ROUND($K385*$AC385,2)</f>
        <v>0</v>
      </c>
      <c r="AG385" s="743"/>
      <c r="AH385" s="737"/>
      <c r="AI385" s="552"/>
      <c r="AJ385" s="552"/>
      <c r="AK385" s="552"/>
      <c r="AL385" s="552"/>
      <c r="AM385" s="552"/>
      <c r="AN385" s="552"/>
      <c r="AO385" s="552"/>
      <c r="AP385" s="552"/>
      <c r="AQ385" s="552"/>
      <c r="AR385" s="552"/>
      <c r="AS385" s="552"/>
      <c r="AT385" s="552"/>
    </row>
    <row r="386" spans="1:46" s="555" customFormat="1" ht="22.5" customHeight="1">
      <c r="A386" s="451"/>
      <c r="B386" s="1231" t="s">
        <v>1031</v>
      </c>
      <c r="C386" s="1232"/>
      <c r="D386" s="1201">
        <v>161</v>
      </c>
      <c r="E386" s="1233" t="s">
        <v>319</v>
      </c>
      <c r="F386" s="1370">
        <f t="shared" ref="F386:F398" si="392">K386</f>
        <v>1413</v>
      </c>
      <c r="G386" s="1360">
        <f t="shared" ref="G386:G409" si="393">ROUNDUP(AA386,2)</f>
        <v>15.38</v>
      </c>
      <c r="H386" s="1359">
        <f t="shared" ref="H386:H409" si="394">ROUND(F386*G386,2)</f>
        <v>21731.94</v>
      </c>
      <c r="I386" s="1358" t="s">
        <v>1331</v>
      </c>
      <c r="J386" s="309"/>
      <c r="K386" s="1149">
        <v>1413</v>
      </c>
      <c r="L386" s="530">
        <f t="shared" ref="L386:L409" si="395">ROUND(AD386,2)</f>
        <v>4.5999999999999996</v>
      </c>
      <c r="M386" s="530">
        <f t="shared" ref="M386:M409" si="396">ROUND(L386*F386,2)</f>
        <v>6499.8</v>
      </c>
      <c r="N386" s="309"/>
      <c r="O386" s="776">
        <v>161</v>
      </c>
      <c r="P386" s="777"/>
      <c r="Q386" s="777"/>
      <c r="R386" s="751"/>
      <c r="S386" s="752">
        <f>244700+60000</f>
        <v>304700</v>
      </c>
      <c r="T386" s="792">
        <v>3.5</v>
      </c>
      <c r="U386" s="803">
        <v>0</v>
      </c>
      <c r="V386" s="803">
        <v>0</v>
      </c>
      <c r="W386" s="803">
        <v>0</v>
      </c>
      <c r="X386" s="858">
        <v>1</v>
      </c>
      <c r="Y386" s="310">
        <f>ROUND((R386+S386/'[7]Summary E&amp;M'!$M$104)*X386,2)</f>
        <v>14.65</v>
      </c>
      <c r="Z386" s="858">
        <f t="shared" si="346"/>
        <v>1.05</v>
      </c>
      <c r="AA386" s="813">
        <f t="shared" ref="AA386:AA409" si="397">ROUND(Y386*Z386,2)</f>
        <v>15.38</v>
      </c>
      <c r="AB386" s="447">
        <f t="shared" ref="AB386:AB409" si="398">$AB$3</f>
        <v>0.05</v>
      </c>
      <c r="AC386" s="310">
        <f t="shared" si="363"/>
        <v>3.68</v>
      </c>
      <c r="AD386" s="717">
        <f>ROUND(AC386*'[8]Summary E&amp;M'!$R$94,2)</f>
        <v>4.5999999999999996</v>
      </c>
      <c r="AE386" s="825">
        <f t="shared" si="390"/>
        <v>20700.45</v>
      </c>
      <c r="AF386" s="825">
        <f t="shared" si="391"/>
        <v>5199.84</v>
      </c>
      <c r="AG386" s="743"/>
      <c r="AH386" s="728"/>
      <c r="AI386" s="519">
        <f t="shared" ref="AI386:AI409" si="399">$U386</f>
        <v>0</v>
      </c>
      <c r="AJ386" s="519">
        <f t="shared" ref="AJ386:AJ409" si="400">$V386</f>
        <v>0</v>
      </c>
      <c r="AK386" s="519">
        <f t="shared" ref="AK386:AK409" si="401">$W386</f>
        <v>0</v>
      </c>
      <c r="AL386" s="520">
        <f t="shared" ref="AL386:AL401" si="402">ROUND(Y386*AI386+((Y386*(1+AI386))*AJ386)+((Y386*AI386+((Y386*(1+AI386))*AJ386))*AK386),2)</f>
        <v>0</v>
      </c>
      <c r="AM386" s="520">
        <f t="shared" ref="AM386:AM401" si="403">AL386*$F386</f>
        <v>0</v>
      </c>
      <c r="AN386" s="520">
        <f t="shared" ref="AN386:AN401" si="404">ROUND(AL386*Z386,2)</f>
        <v>0</v>
      </c>
      <c r="AO386" s="520">
        <f t="shared" ref="AO386:AO401" si="405">AN386*$F386</f>
        <v>0</v>
      </c>
      <c r="AP386" s="552"/>
      <c r="AQ386" s="552"/>
      <c r="AR386" s="552"/>
      <c r="AS386" s="552"/>
      <c r="AT386" s="552"/>
    </row>
    <row r="387" spans="1:46" s="555" customFormat="1" ht="22.5" customHeight="1">
      <c r="A387" s="451"/>
      <c r="B387" s="1247" t="s">
        <v>1220</v>
      </c>
      <c r="C387" s="1232"/>
      <c r="D387" s="1201">
        <v>161</v>
      </c>
      <c r="E387" s="1233" t="s">
        <v>319</v>
      </c>
      <c r="F387" s="1370">
        <f t="shared" ref="F387" si="406">K387</f>
        <v>62</v>
      </c>
      <c r="G387" s="1360">
        <f t="shared" ref="G387" si="407">ROUNDUP(AA387,2)</f>
        <v>25.99</v>
      </c>
      <c r="H387" s="1359">
        <f t="shared" ref="H387" si="408">ROUND(F387*G387,2)</f>
        <v>1611.38</v>
      </c>
      <c r="I387" s="1358" t="s">
        <v>1331</v>
      </c>
      <c r="J387" s="309"/>
      <c r="K387" s="1149">
        <v>62</v>
      </c>
      <c r="L387" s="530">
        <f t="shared" ref="L387" si="409">ROUND(AD387,2)</f>
        <v>4.5999999999999996</v>
      </c>
      <c r="M387" s="530">
        <f t="shared" ref="M387" si="410">ROUND(L387*F387,2)</f>
        <v>285.2</v>
      </c>
      <c r="N387" s="309"/>
      <c r="O387" s="776">
        <v>161</v>
      </c>
      <c r="P387" s="777"/>
      <c r="Q387" s="777"/>
      <c r="R387" s="751"/>
      <c r="S387" s="752">
        <f>244700+240000+30000</f>
        <v>514700</v>
      </c>
      <c r="T387" s="792">
        <v>3.5</v>
      </c>
      <c r="U387" s="803">
        <v>0</v>
      </c>
      <c r="V387" s="803">
        <v>0</v>
      </c>
      <c r="W387" s="803">
        <v>0</v>
      </c>
      <c r="X387" s="858">
        <v>1</v>
      </c>
      <c r="Y387" s="310">
        <f>ROUND((R387+S387/'[7]Summary E&amp;M'!$M$104)*X387,2)</f>
        <v>24.75</v>
      </c>
      <c r="Z387" s="858">
        <f t="shared" si="346"/>
        <v>1.05</v>
      </c>
      <c r="AA387" s="813">
        <f t="shared" ref="AA387" si="411">ROUND(Y387*Z387,2)</f>
        <v>25.99</v>
      </c>
      <c r="AB387" s="447">
        <f t="shared" si="398"/>
        <v>0.05</v>
      </c>
      <c r="AC387" s="310">
        <f t="shared" ref="AC387" si="412">ROUND((T387*(1+AB387)),2)</f>
        <v>3.68</v>
      </c>
      <c r="AD387" s="717">
        <f>ROUND(AC387*'[8]Summary E&amp;M'!$R$94,2)</f>
        <v>4.5999999999999996</v>
      </c>
      <c r="AE387" s="825">
        <f t="shared" si="390"/>
        <v>1534.5</v>
      </c>
      <c r="AF387" s="825">
        <f t="shared" si="391"/>
        <v>228.16</v>
      </c>
      <c r="AG387" s="743"/>
      <c r="AH387" s="728"/>
      <c r="AI387" s="519">
        <f t="shared" si="399"/>
        <v>0</v>
      </c>
      <c r="AJ387" s="519">
        <f t="shared" si="400"/>
        <v>0</v>
      </c>
      <c r="AK387" s="519">
        <f t="shared" si="401"/>
        <v>0</v>
      </c>
      <c r="AL387" s="520">
        <f t="shared" ref="AL387" si="413">ROUND(Y387*AI387+((Y387*(1+AI387))*AJ387)+((Y387*AI387+((Y387*(1+AI387))*AJ387))*AK387),2)</f>
        <v>0</v>
      </c>
      <c r="AM387" s="520">
        <f t="shared" ref="AM387" si="414">AL387*$F387</f>
        <v>0</v>
      </c>
      <c r="AN387" s="520">
        <f t="shared" ref="AN387" si="415">ROUND(AL387*Z387,2)</f>
        <v>0</v>
      </c>
      <c r="AO387" s="520">
        <f t="shared" ref="AO387" si="416">AN387*$F387</f>
        <v>0</v>
      </c>
      <c r="AP387" s="552"/>
      <c r="AQ387" s="552"/>
      <c r="AR387" s="552"/>
      <c r="AS387" s="552"/>
      <c r="AT387" s="552"/>
    </row>
    <row r="388" spans="1:46" s="555" customFormat="1" ht="22.5" customHeight="1">
      <c r="A388" s="620"/>
      <c r="B388" s="1231" t="s">
        <v>1032</v>
      </c>
      <c r="C388" s="1232"/>
      <c r="D388" s="1201">
        <v>161</v>
      </c>
      <c r="E388" s="1233" t="s">
        <v>319</v>
      </c>
      <c r="F388" s="1370">
        <f t="shared" si="392"/>
        <v>63</v>
      </c>
      <c r="G388" s="1234">
        <f t="shared" si="393"/>
        <v>14.37</v>
      </c>
      <c r="H388" s="527">
        <f t="shared" si="394"/>
        <v>905.31</v>
      </c>
      <c r="I388" s="1235"/>
      <c r="J388" s="309"/>
      <c r="K388" s="1149">
        <v>63</v>
      </c>
      <c r="L388" s="530">
        <f t="shared" si="395"/>
        <v>4.5999999999999996</v>
      </c>
      <c r="M388" s="530">
        <f t="shared" si="396"/>
        <v>289.8</v>
      </c>
      <c r="N388" s="309"/>
      <c r="O388" s="776">
        <v>161</v>
      </c>
      <c r="P388" s="777"/>
      <c r="Q388" s="777"/>
      <c r="R388" s="751"/>
      <c r="S388" s="752">
        <v>284800</v>
      </c>
      <c r="T388" s="792">
        <v>3.5</v>
      </c>
      <c r="U388" s="803">
        <v>0</v>
      </c>
      <c r="V388" s="803">
        <v>0</v>
      </c>
      <c r="W388" s="803">
        <v>0</v>
      </c>
      <c r="X388" s="858">
        <v>1</v>
      </c>
      <c r="Y388" s="310">
        <f>ROUND((R388+S388/'[7]Summary E&amp;M'!$M$104)*X388,2)</f>
        <v>13.69</v>
      </c>
      <c r="Z388" s="858">
        <f t="shared" si="346"/>
        <v>1.05</v>
      </c>
      <c r="AA388" s="813">
        <f t="shared" si="397"/>
        <v>14.37</v>
      </c>
      <c r="AB388" s="447">
        <f t="shared" si="398"/>
        <v>0.05</v>
      </c>
      <c r="AC388" s="310">
        <f t="shared" si="363"/>
        <v>3.68</v>
      </c>
      <c r="AD388" s="717">
        <f>ROUND(AC388*'[8]Summary E&amp;M'!$R$94,2)</f>
        <v>4.5999999999999996</v>
      </c>
      <c r="AE388" s="825">
        <f t="shared" si="390"/>
        <v>862.47</v>
      </c>
      <c r="AF388" s="825">
        <f t="shared" si="391"/>
        <v>231.84</v>
      </c>
      <c r="AG388" s="743"/>
      <c r="AH388" s="728"/>
      <c r="AI388" s="519">
        <f t="shared" si="399"/>
        <v>0</v>
      </c>
      <c r="AJ388" s="519">
        <f t="shared" si="400"/>
        <v>0</v>
      </c>
      <c r="AK388" s="519">
        <f t="shared" si="401"/>
        <v>0</v>
      </c>
      <c r="AL388" s="520">
        <f t="shared" si="402"/>
        <v>0</v>
      </c>
      <c r="AM388" s="520">
        <f t="shared" si="403"/>
        <v>0</v>
      </c>
      <c r="AN388" s="520">
        <f t="shared" si="404"/>
        <v>0</v>
      </c>
      <c r="AO388" s="520">
        <f t="shared" si="405"/>
        <v>0</v>
      </c>
      <c r="AP388" s="552"/>
      <c r="AQ388" s="552"/>
      <c r="AR388" s="552"/>
      <c r="AS388" s="552"/>
      <c r="AT388" s="552"/>
    </row>
    <row r="389" spans="1:46" s="555" customFormat="1" ht="22.5" customHeight="1">
      <c r="A389" s="620"/>
      <c r="B389" s="1231" t="s">
        <v>1033</v>
      </c>
      <c r="C389" s="1232"/>
      <c r="D389" s="1201">
        <v>161</v>
      </c>
      <c r="E389" s="1233" t="s">
        <v>319</v>
      </c>
      <c r="F389" s="1370">
        <f t="shared" si="392"/>
        <v>30</v>
      </c>
      <c r="G389" s="1234">
        <f t="shared" si="393"/>
        <v>63.18</v>
      </c>
      <c r="H389" s="527">
        <f t="shared" si="394"/>
        <v>1895.4</v>
      </c>
      <c r="I389" s="1235"/>
      <c r="J389" s="309"/>
      <c r="K389" s="1149">
        <v>30</v>
      </c>
      <c r="L389" s="530">
        <f t="shared" si="395"/>
        <v>5.25</v>
      </c>
      <c r="M389" s="530">
        <f t="shared" si="396"/>
        <v>157.5</v>
      </c>
      <c r="N389" s="309"/>
      <c r="O389" s="776">
        <v>161</v>
      </c>
      <c r="P389" s="777"/>
      <c r="Q389" s="777"/>
      <c r="R389" s="751"/>
      <c r="S389" s="752">
        <v>1251600</v>
      </c>
      <c r="T389" s="792">
        <v>4</v>
      </c>
      <c r="U389" s="803">
        <v>0</v>
      </c>
      <c r="V389" s="803">
        <v>0</v>
      </c>
      <c r="W389" s="803">
        <v>0</v>
      </c>
      <c r="X389" s="858">
        <v>1</v>
      </c>
      <c r="Y389" s="310">
        <f>ROUND((R389+S389/'[7]Summary E&amp;M'!$M$104)*X389,2)</f>
        <v>60.17</v>
      </c>
      <c r="Z389" s="858">
        <f t="shared" ref="Z389:Z452" si="417">$Z$4</f>
        <v>1.05</v>
      </c>
      <c r="AA389" s="813">
        <f t="shared" si="397"/>
        <v>63.18</v>
      </c>
      <c r="AB389" s="447">
        <f t="shared" si="398"/>
        <v>0.05</v>
      </c>
      <c r="AC389" s="310">
        <f t="shared" si="363"/>
        <v>4.2</v>
      </c>
      <c r="AD389" s="717">
        <f>ROUND(AC389*'[8]Summary E&amp;M'!$R$94,2)</f>
        <v>5.25</v>
      </c>
      <c r="AE389" s="825">
        <f t="shared" si="390"/>
        <v>1805.1</v>
      </c>
      <c r="AF389" s="825">
        <f t="shared" si="391"/>
        <v>126</v>
      </c>
      <c r="AG389" s="743"/>
      <c r="AH389" s="728"/>
      <c r="AI389" s="519">
        <f t="shared" si="399"/>
        <v>0</v>
      </c>
      <c r="AJ389" s="519">
        <f t="shared" si="400"/>
        <v>0</v>
      </c>
      <c r="AK389" s="519">
        <f t="shared" si="401"/>
        <v>0</v>
      </c>
      <c r="AL389" s="520">
        <f t="shared" si="402"/>
        <v>0</v>
      </c>
      <c r="AM389" s="520">
        <f t="shared" si="403"/>
        <v>0</v>
      </c>
      <c r="AN389" s="520">
        <f t="shared" si="404"/>
        <v>0</v>
      </c>
      <c r="AO389" s="520">
        <f t="shared" si="405"/>
        <v>0</v>
      </c>
      <c r="AP389" s="552"/>
      <c r="AQ389" s="552"/>
      <c r="AR389" s="552"/>
      <c r="AS389" s="552"/>
      <c r="AT389" s="552"/>
    </row>
    <row r="390" spans="1:46" s="555" customFormat="1" ht="22.5" customHeight="1">
      <c r="A390" s="620"/>
      <c r="B390" s="1231" t="s">
        <v>1034</v>
      </c>
      <c r="C390" s="1232"/>
      <c r="D390" s="1201">
        <v>161</v>
      </c>
      <c r="E390" s="1233" t="s">
        <v>319</v>
      </c>
      <c r="F390" s="1324">
        <f t="shared" si="392"/>
        <v>103</v>
      </c>
      <c r="G390" s="1234">
        <f t="shared" si="393"/>
        <v>19.53</v>
      </c>
      <c r="H390" s="527">
        <f t="shared" si="394"/>
        <v>2011.59</v>
      </c>
      <c r="I390" s="1235"/>
      <c r="J390" s="309"/>
      <c r="K390" s="1149">
        <v>103</v>
      </c>
      <c r="L390" s="530">
        <f t="shared" si="395"/>
        <v>4.5999999999999996</v>
      </c>
      <c r="M390" s="530">
        <f t="shared" si="396"/>
        <v>473.8</v>
      </c>
      <c r="N390" s="309"/>
      <c r="O390" s="776">
        <v>161</v>
      </c>
      <c r="P390" s="777"/>
      <c r="Q390" s="777"/>
      <c r="R390" s="751"/>
      <c r="S390" s="752">
        <v>386900</v>
      </c>
      <c r="T390" s="792">
        <v>3.5</v>
      </c>
      <c r="U390" s="803">
        <v>0</v>
      </c>
      <c r="V390" s="803">
        <v>0</v>
      </c>
      <c r="W390" s="803">
        <v>0</v>
      </c>
      <c r="X390" s="858">
        <v>1</v>
      </c>
      <c r="Y390" s="310">
        <f>ROUND((R390+S390/'[7]Summary E&amp;M'!$M$104)*X390,2)</f>
        <v>18.600000000000001</v>
      </c>
      <c r="Z390" s="858">
        <f t="shared" si="417"/>
        <v>1.05</v>
      </c>
      <c r="AA390" s="813">
        <f t="shared" si="397"/>
        <v>19.53</v>
      </c>
      <c r="AB390" s="447">
        <f t="shared" si="398"/>
        <v>0.05</v>
      </c>
      <c r="AC390" s="310">
        <f t="shared" si="363"/>
        <v>3.68</v>
      </c>
      <c r="AD390" s="717">
        <f>ROUND(AC390*'[8]Summary E&amp;M'!$R$94,2)</f>
        <v>4.5999999999999996</v>
      </c>
      <c r="AE390" s="825">
        <f t="shared" si="390"/>
        <v>1915.8</v>
      </c>
      <c r="AF390" s="825">
        <f t="shared" si="391"/>
        <v>379.04</v>
      </c>
      <c r="AG390" s="743"/>
      <c r="AH390" s="728"/>
      <c r="AI390" s="519">
        <f t="shared" si="399"/>
        <v>0</v>
      </c>
      <c r="AJ390" s="519">
        <f t="shared" si="400"/>
        <v>0</v>
      </c>
      <c r="AK390" s="519">
        <f t="shared" si="401"/>
        <v>0</v>
      </c>
      <c r="AL390" s="520">
        <f t="shared" si="402"/>
        <v>0</v>
      </c>
      <c r="AM390" s="520">
        <f t="shared" si="403"/>
        <v>0</v>
      </c>
      <c r="AN390" s="520">
        <f t="shared" si="404"/>
        <v>0</v>
      </c>
      <c r="AO390" s="520">
        <f t="shared" si="405"/>
        <v>0</v>
      </c>
      <c r="AP390" s="552"/>
      <c r="AQ390" s="552"/>
      <c r="AR390" s="552"/>
      <c r="AS390" s="552"/>
      <c r="AT390" s="552"/>
    </row>
    <row r="391" spans="1:46" s="555" customFormat="1" ht="22.5" customHeight="1">
      <c r="A391" s="620"/>
      <c r="B391" s="1236" t="s">
        <v>423</v>
      </c>
      <c r="C391" s="1232"/>
      <c r="D391" s="1201">
        <v>161</v>
      </c>
      <c r="E391" s="1233" t="s">
        <v>319</v>
      </c>
      <c r="F391" s="1324">
        <f t="shared" si="392"/>
        <v>34</v>
      </c>
      <c r="G391" s="1234">
        <f t="shared" si="393"/>
        <v>37.11</v>
      </c>
      <c r="H391" s="527">
        <f t="shared" si="394"/>
        <v>1261.74</v>
      </c>
      <c r="I391" s="1235"/>
      <c r="J391" s="309"/>
      <c r="K391" s="1149">
        <v>34</v>
      </c>
      <c r="L391" s="530">
        <f t="shared" si="395"/>
        <v>4.5999999999999996</v>
      </c>
      <c r="M391" s="530">
        <f t="shared" si="396"/>
        <v>156.4</v>
      </c>
      <c r="N391" s="309"/>
      <c r="O391" s="776">
        <v>161</v>
      </c>
      <c r="P391" s="777"/>
      <c r="Q391" s="777"/>
      <c r="R391" s="751"/>
      <c r="S391" s="752">
        <v>735000</v>
      </c>
      <c r="T391" s="792">
        <v>3.5</v>
      </c>
      <c r="U391" s="803">
        <v>0</v>
      </c>
      <c r="V391" s="803">
        <v>0</v>
      </c>
      <c r="W391" s="803">
        <v>0</v>
      </c>
      <c r="X391" s="858">
        <v>1</v>
      </c>
      <c r="Y391" s="310">
        <f>ROUND((R391+S391/'[7]Summary E&amp;M'!$M$104)*X391,2)</f>
        <v>35.340000000000003</v>
      </c>
      <c r="Z391" s="858">
        <f t="shared" si="417"/>
        <v>1.05</v>
      </c>
      <c r="AA391" s="813">
        <f t="shared" si="397"/>
        <v>37.11</v>
      </c>
      <c r="AB391" s="447">
        <f t="shared" si="398"/>
        <v>0.05</v>
      </c>
      <c r="AC391" s="310">
        <f t="shared" si="363"/>
        <v>3.68</v>
      </c>
      <c r="AD391" s="717">
        <f>ROUND(AC391*'[8]Summary E&amp;M'!$R$94,2)</f>
        <v>4.5999999999999996</v>
      </c>
      <c r="AE391" s="825">
        <f t="shared" si="390"/>
        <v>1201.56</v>
      </c>
      <c r="AF391" s="825">
        <f t="shared" si="391"/>
        <v>125.12</v>
      </c>
      <c r="AG391" s="743"/>
      <c r="AH391" s="728"/>
      <c r="AI391" s="519">
        <f t="shared" si="399"/>
        <v>0</v>
      </c>
      <c r="AJ391" s="519">
        <f t="shared" si="400"/>
        <v>0</v>
      </c>
      <c r="AK391" s="519">
        <f t="shared" si="401"/>
        <v>0</v>
      </c>
      <c r="AL391" s="520">
        <f t="shared" si="402"/>
        <v>0</v>
      </c>
      <c r="AM391" s="520">
        <f t="shared" si="403"/>
        <v>0</v>
      </c>
      <c r="AN391" s="520">
        <f t="shared" si="404"/>
        <v>0</v>
      </c>
      <c r="AO391" s="520">
        <f t="shared" si="405"/>
        <v>0</v>
      </c>
      <c r="AP391" s="552"/>
      <c r="AQ391" s="552"/>
      <c r="AR391" s="552"/>
      <c r="AS391" s="552"/>
      <c r="AT391" s="552"/>
    </row>
    <row r="392" spans="1:46" s="555" customFormat="1" ht="22.5" customHeight="1">
      <c r="A392" s="620"/>
      <c r="B392" s="531" t="s">
        <v>424</v>
      </c>
      <c r="C392" s="566"/>
      <c r="D392" s="1201">
        <v>161</v>
      </c>
      <c r="E392" s="524" t="s">
        <v>319</v>
      </c>
      <c r="F392" s="1322">
        <f t="shared" si="392"/>
        <v>13</v>
      </c>
      <c r="G392" s="527">
        <f t="shared" si="393"/>
        <v>39.229999999999997</v>
      </c>
      <c r="H392" s="527">
        <f t="shared" si="394"/>
        <v>509.99</v>
      </c>
      <c r="I392" s="567"/>
      <c r="J392" s="309"/>
      <c r="K392" s="1149">
        <v>13</v>
      </c>
      <c r="L392" s="530">
        <f t="shared" si="395"/>
        <v>4.5999999999999996</v>
      </c>
      <c r="M392" s="530">
        <f t="shared" si="396"/>
        <v>59.8</v>
      </c>
      <c r="N392" s="309"/>
      <c r="O392" s="776">
        <v>161</v>
      </c>
      <c r="P392" s="777"/>
      <c r="Q392" s="777"/>
      <c r="R392" s="751"/>
      <c r="S392" s="752">
        <v>777000</v>
      </c>
      <c r="T392" s="792">
        <v>3.5</v>
      </c>
      <c r="U392" s="803">
        <v>0</v>
      </c>
      <c r="V392" s="803">
        <v>0</v>
      </c>
      <c r="W392" s="803">
        <v>0</v>
      </c>
      <c r="X392" s="858">
        <v>1</v>
      </c>
      <c r="Y392" s="310">
        <f>ROUND((R392+S392/'[7]Summary E&amp;M'!$M$104)*X392,2)</f>
        <v>37.36</v>
      </c>
      <c r="Z392" s="858">
        <f t="shared" si="417"/>
        <v>1.05</v>
      </c>
      <c r="AA392" s="813">
        <f t="shared" si="397"/>
        <v>39.229999999999997</v>
      </c>
      <c r="AB392" s="447">
        <f t="shared" si="398"/>
        <v>0.05</v>
      </c>
      <c r="AC392" s="310">
        <f t="shared" si="363"/>
        <v>3.68</v>
      </c>
      <c r="AD392" s="717">
        <f>ROUND(AC392*'[8]Summary E&amp;M'!$R$94,2)</f>
        <v>4.5999999999999996</v>
      </c>
      <c r="AE392" s="825">
        <f t="shared" si="390"/>
        <v>485.68</v>
      </c>
      <c r="AF392" s="825">
        <f t="shared" si="391"/>
        <v>47.84</v>
      </c>
      <c r="AG392" s="743"/>
      <c r="AH392" s="728"/>
      <c r="AI392" s="519">
        <f t="shared" si="399"/>
        <v>0</v>
      </c>
      <c r="AJ392" s="519">
        <f t="shared" si="400"/>
        <v>0</v>
      </c>
      <c r="AK392" s="519">
        <f t="shared" si="401"/>
        <v>0</v>
      </c>
      <c r="AL392" s="520">
        <f t="shared" si="402"/>
        <v>0</v>
      </c>
      <c r="AM392" s="520">
        <f t="shared" si="403"/>
        <v>0</v>
      </c>
      <c r="AN392" s="520">
        <f t="shared" si="404"/>
        <v>0</v>
      </c>
      <c r="AO392" s="520">
        <f t="shared" si="405"/>
        <v>0</v>
      </c>
      <c r="AP392" s="552"/>
      <c r="AQ392" s="552"/>
      <c r="AR392" s="552"/>
      <c r="AS392" s="552"/>
      <c r="AT392" s="552"/>
    </row>
    <row r="393" spans="1:46" s="555" customFormat="1" ht="22.5" customHeight="1">
      <c r="A393" s="620"/>
      <c r="B393" s="531" t="s">
        <v>1053</v>
      </c>
      <c r="C393" s="566"/>
      <c r="D393" s="1201">
        <v>161</v>
      </c>
      <c r="E393" s="524" t="s">
        <v>319</v>
      </c>
      <c r="F393" s="1371">
        <f t="shared" si="392"/>
        <v>5</v>
      </c>
      <c r="G393" s="527">
        <f t="shared" si="393"/>
        <v>22.46</v>
      </c>
      <c r="H393" s="527">
        <f t="shared" si="394"/>
        <v>112.3</v>
      </c>
      <c r="I393" s="567"/>
      <c r="J393" s="309"/>
      <c r="K393" s="1149">
        <v>5</v>
      </c>
      <c r="L393" s="530">
        <f t="shared" si="395"/>
        <v>4.5999999999999996</v>
      </c>
      <c r="M393" s="530">
        <f t="shared" si="396"/>
        <v>23</v>
      </c>
      <c r="N393" s="309"/>
      <c r="O393" s="776">
        <v>161</v>
      </c>
      <c r="P393" s="777"/>
      <c r="Q393" s="777"/>
      <c r="R393" s="751"/>
      <c r="S393" s="752">
        <v>445000</v>
      </c>
      <c r="T393" s="792">
        <v>3.5</v>
      </c>
      <c r="U393" s="803">
        <v>0</v>
      </c>
      <c r="V393" s="803">
        <v>0</v>
      </c>
      <c r="W393" s="803">
        <v>0</v>
      </c>
      <c r="X393" s="858">
        <v>1</v>
      </c>
      <c r="Y393" s="310">
        <f>ROUND((R393+S393/'[7]Summary E&amp;M'!$M$104)*X393,2)</f>
        <v>21.39</v>
      </c>
      <c r="Z393" s="858">
        <f t="shared" si="417"/>
        <v>1.05</v>
      </c>
      <c r="AA393" s="813">
        <f t="shared" si="397"/>
        <v>22.46</v>
      </c>
      <c r="AB393" s="447">
        <f t="shared" si="398"/>
        <v>0.05</v>
      </c>
      <c r="AC393" s="310">
        <f t="shared" si="363"/>
        <v>3.68</v>
      </c>
      <c r="AD393" s="717">
        <f>ROUND(AC393*'[8]Summary E&amp;M'!$R$94,2)</f>
        <v>4.5999999999999996</v>
      </c>
      <c r="AE393" s="825">
        <f t="shared" si="390"/>
        <v>106.95</v>
      </c>
      <c r="AF393" s="825">
        <f t="shared" si="391"/>
        <v>18.399999999999999</v>
      </c>
      <c r="AG393" s="743"/>
      <c r="AH393" s="728"/>
      <c r="AI393" s="519">
        <f t="shared" si="399"/>
        <v>0</v>
      </c>
      <c r="AJ393" s="519">
        <f t="shared" si="400"/>
        <v>0</v>
      </c>
      <c r="AK393" s="519">
        <f t="shared" si="401"/>
        <v>0</v>
      </c>
      <c r="AL393" s="520">
        <f t="shared" si="402"/>
        <v>0</v>
      </c>
      <c r="AM393" s="520">
        <f t="shared" si="403"/>
        <v>0</v>
      </c>
      <c r="AN393" s="520">
        <f t="shared" si="404"/>
        <v>0</v>
      </c>
      <c r="AO393" s="520">
        <f t="shared" si="405"/>
        <v>0</v>
      </c>
      <c r="AP393" s="552"/>
      <c r="AQ393" s="552"/>
      <c r="AR393" s="552"/>
      <c r="AS393" s="552"/>
      <c r="AT393" s="552"/>
    </row>
    <row r="394" spans="1:46" s="555" customFormat="1" ht="22.5" customHeight="1">
      <c r="A394" s="620"/>
      <c r="B394" s="531" t="s">
        <v>628</v>
      </c>
      <c r="C394" s="566"/>
      <c r="D394" s="1202" t="s">
        <v>1127</v>
      </c>
      <c r="E394" s="524" t="s">
        <v>436</v>
      </c>
      <c r="F394" s="1322">
        <f t="shared" si="392"/>
        <v>22</v>
      </c>
      <c r="G394" s="527">
        <f t="shared" si="393"/>
        <v>1.43</v>
      </c>
      <c r="H394" s="527">
        <f t="shared" si="394"/>
        <v>31.46</v>
      </c>
      <c r="I394" s="567"/>
      <c r="J394" s="309"/>
      <c r="K394" s="1149">
        <v>22</v>
      </c>
      <c r="L394" s="530">
        <f t="shared" si="395"/>
        <v>2.63</v>
      </c>
      <c r="M394" s="530">
        <f t="shared" si="396"/>
        <v>57.86</v>
      </c>
      <c r="N394" s="309"/>
      <c r="O394" s="776" t="s">
        <v>129</v>
      </c>
      <c r="P394" s="777"/>
      <c r="Q394" s="777"/>
      <c r="R394" s="751"/>
      <c r="S394" s="752">
        <v>29200</v>
      </c>
      <c r="T394" s="792">
        <v>2</v>
      </c>
      <c r="U394" s="803">
        <v>0</v>
      </c>
      <c r="V394" s="803">
        <v>0</v>
      </c>
      <c r="W394" s="803">
        <v>0</v>
      </c>
      <c r="X394" s="858">
        <f>SUMIF('Summary-E'!O$4:O$50,D394,'Summary-E'!Q$4:Q$50)</f>
        <v>0.97</v>
      </c>
      <c r="Y394" s="310">
        <f>ROUND((R394+S394/'[7]Summary E&amp;M'!$M$104)*X394,2)</f>
        <v>1.36</v>
      </c>
      <c r="Z394" s="858">
        <f t="shared" si="417"/>
        <v>1.05</v>
      </c>
      <c r="AA394" s="813">
        <f t="shared" si="397"/>
        <v>1.43</v>
      </c>
      <c r="AB394" s="447">
        <f t="shared" si="398"/>
        <v>0.05</v>
      </c>
      <c r="AC394" s="310">
        <f t="shared" si="363"/>
        <v>2.1</v>
      </c>
      <c r="AD394" s="717">
        <f>ROUND(AC394*'[8]Summary E&amp;M'!$R$94,2)</f>
        <v>2.63</v>
      </c>
      <c r="AE394" s="825">
        <f t="shared" si="390"/>
        <v>29.92</v>
      </c>
      <c r="AF394" s="825">
        <f t="shared" si="391"/>
        <v>46.2</v>
      </c>
      <c r="AG394" s="743"/>
      <c r="AH394" s="728"/>
      <c r="AI394" s="519">
        <f t="shared" si="399"/>
        <v>0</v>
      </c>
      <c r="AJ394" s="519">
        <f t="shared" si="400"/>
        <v>0</v>
      </c>
      <c r="AK394" s="519">
        <f t="shared" si="401"/>
        <v>0</v>
      </c>
      <c r="AL394" s="520">
        <f t="shared" si="402"/>
        <v>0</v>
      </c>
      <c r="AM394" s="520">
        <f t="shared" si="403"/>
        <v>0</v>
      </c>
      <c r="AN394" s="520">
        <f t="shared" si="404"/>
        <v>0</v>
      </c>
      <c r="AO394" s="520">
        <f t="shared" si="405"/>
        <v>0</v>
      </c>
      <c r="AP394" s="552"/>
      <c r="AQ394" s="552"/>
      <c r="AR394" s="552"/>
      <c r="AS394" s="552"/>
      <c r="AT394" s="552"/>
    </row>
    <row r="395" spans="1:46" s="555" customFormat="1" ht="22.5" customHeight="1">
      <c r="A395" s="620"/>
      <c r="B395" s="531" t="s">
        <v>629</v>
      </c>
      <c r="C395" s="566"/>
      <c r="D395" s="1202" t="s">
        <v>1127</v>
      </c>
      <c r="E395" s="524" t="s">
        <v>436</v>
      </c>
      <c r="F395" s="1322">
        <f t="shared" si="392"/>
        <v>6</v>
      </c>
      <c r="G395" s="527">
        <f t="shared" si="393"/>
        <v>2.09</v>
      </c>
      <c r="H395" s="527">
        <f t="shared" si="394"/>
        <v>12.54</v>
      </c>
      <c r="I395" s="567"/>
      <c r="J395" s="309"/>
      <c r="K395" s="1149">
        <v>6</v>
      </c>
      <c r="L395" s="530">
        <f t="shared" si="395"/>
        <v>3.94</v>
      </c>
      <c r="M395" s="530">
        <f t="shared" si="396"/>
        <v>23.64</v>
      </c>
      <c r="N395" s="309"/>
      <c r="O395" s="776" t="s">
        <v>129</v>
      </c>
      <c r="P395" s="777"/>
      <c r="Q395" s="777"/>
      <c r="R395" s="751"/>
      <c r="S395" s="752">
        <f>37000+5600</f>
        <v>42600</v>
      </c>
      <c r="T395" s="792">
        <v>3</v>
      </c>
      <c r="U395" s="803">
        <v>0</v>
      </c>
      <c r="V395" s="803">
        <v>0</v>
      </c>
      <c r="W395" s="803">
        <v>0</v>
      </c>
      <c r="X395" s="858">
        <f>SUMIF('Summary-E'!O$4:O$50,D395,'Summary-E'!Q$4:Q$50)</f>
        <v>0.97</v>
      </c>
      <c r="Y395" s="310">
        <f>ROUND((R395+S395/'[7]Summary E&amp;M'!$M$104)*X395,2)</f>
        <v>1.99</v>
      </c>
      <c r="Z395" s="858">
        <f t="shared" si="417"/>
        <v>1.05</v>
      </c>
      <c r="AA395" s="813">
        <f t="shared" si="397"/>
        <v>2.09</v>
      </c>
      <c r="AB395" s="447">
        <f t="shared" si="398"/>
        <v>0.05</v>
      </c>
      <c r="AC395" s="310">
        <f t="shared" si="363"/>
        <v>3.15</v>
      </c>
      <c r="AD395" s="717">
        <f>ROUND(AC395*'[8]Summary E&amp;M'!$R$94,2)</f>
        <v>3.94</v>
      </c>
      <c r="AE395" s="825">
        <f t="shared" si="390"/>
        <v>11.94</v>
      </c>
      <c r="AF395" s="825">
        <f t="shared" si="391"/>
        <v>18.899999999999999</v>
      </c>
      <c r="AG395" s="743"/>
      <c r="AH395" s="728"/>
      <c r="AI395" s="519">
        <f t="shared" si="399"/>
        <v>0</v>
      </c>
      <c r="AJ395" s="519">
        <f t="shared" si="400"/>
        <v>0</v>
      </c>
      <c r="AK395" s="519">
        <f t="shared" si="401"/>
        <v>0</v>
      </c>
      <c r="AL395" s="520">
        <f t="shared" si="402"/>
        <v>0</v>
      </c>
      <c r="AM395" s="520">
        <f t="shared" si="403"/>
        <v>0</v>
      </c>
      <c r="AN395" s="520">
        <f t="shared" si="404"/>
        <v>0</v>
      </c>
      <c r="AO395" s="520">
        <f t="shared" si="405"/>
        <v>0</v>
      </c>
      <c r="AP395" s="552"/>
      <c r="AQ395" s="552"/>
      <c r="AR395" s="552"/>
      <c r="AS395" s="552"/>
      <c r="AT395" s="552"/>
    </row>
    <row r="396" spans="1:46" s="555" customFormat="1" ht="22.5" customHeight="1">
      <c r="A396" s="620"/>
      <c r="B396" s="531" t="s">
        <v>1010</v>
      </c>
      <c r="C396" s="566"/>
      <c r="D396" s="1202" t="s">
        <v>1127</v>
      </c>
      <c r="E396" s="524" t="s">
        <v>436</v>
      </c>
      <c r="F396" s="1322">
        <f>K396</f>
        <v>4</v>
      </c>
      <c r="G396" s="527">
        <f t="shared" si="393"/>
        <v>18.28</v>
      </c>
      <c r="H396" s="527">
        <f>ROUND(F396*G396,2)</f>
        <v>73.12</v>
      </c>
      <c r="I396" s="567">
        <f>G396-G394</f>
        <v>16.850000000000001</v>
      </c>
      <c r="J396" s="309"/>
      <c r="K396" s="1175">
        <v>4</v>
      </c>
      <c r="L396" s="530">
        <f>ROUND(AD396,2)</f>
        <v>3.94</v>
      </c>
      <c r="M396" s="530">
        <f t="shared" si="396"/>
        <v>15.76</v>
      </c>
      <c r="N396" s="309"/>
      <c r="O396" s="776" t="s">
        <v>129</v>
      </c>
      <c r="P396" s="777"/>
      <c r="Q396" s="777"/>
      <c r="R396" s="751"/>
      <c r="S396" s="752">
        <f>153300+220000</f>
        <v>373300</v>
      </c>
      <c r="T396" s="792">
        <v>3</v>
      </c>
      <c r="U396" s="803">
        <v>0</v>
      </c>
      <c r="V396" s="803">
        <v>0</v>
      </c>
      <c r="W396" s="803">
        <v>0</v>
      </c>
      <c r="X396" s="858">
        <f>SUMIF('Summary-E'!O$4:O$50,D396,'Summary-E'!Q$4:Q$50)</f>
        <v>0.97</v>
      </c>
      <c r="Y396" s="310">
        <f>ROUND((R396+S396/'[7]Summary E&amp;M'!$M$104)*X396,2)</f>
        <v>17.41</v>
      </c>
      <c r="Z396" s="858">
        <f t="shared" si="417"/>
        <v>1.05</v>
      </c>
      <c r="AA396" s="813">
        <f>ROUND(Y396*Z396,2)</f>
        <v>18.28</v>
      </c>
      <c r="AB396" s="447">
        <f t="shared" si="398"/>
        <v>0.05</v>
      </c>
      <c r="AC396" s="310">
        <f t="shared" si="363"/>
        <v>3.15</v>
      </c>
      <c r="AD396" s="717">
        <f>ROUND(AC396*'[9]Summary E&amp;M'!$R$94,2)</f>
        <v>3.94</v>
      </c>
      <c r="AE396" s="989">
        <f t="shared" si="390"/>
        <v>69.64</v>
      </c>
      <c r="AF396" s="989">
        <f t="shared" si="391"/>
        <v>12.6</v>
      </c>
      <c r="AG396" s="990"/>
      <c r="AH396" s="728"/>
      <c r="AI396" s="519">
        <f t="shared" si="399"/>
        <v>0</v>
      </c>
      <c r="AJ396" s="519">
        <f t="shared" si="400"/>
        <v>0</v>
      </c>
      <c r="AK396" s="519">
        <f t="shared" si="401"/>
        <v>0</v>
      </c>
      <c r="AL396" s="520">
        <f t="shared" si="402"/>
        <v>0</v>
      </c>
      <c r="AM396" s="520">
        <f t="shared" si="403"/>
        <v>0</v>
      </c>
      <c r="AN396" s="520">
        <f t="shared" si="404"/>
        <v>0</v>
      </c>
      <c r="AO396" s="520">
        <f t="shared" si="405"/>
        <v>0</v>
      </c>
      <c r="AP396" s="552"/>
      <c r="AQ396" s="552"/>
      <c r="AR396" s="552"/>
      <c r="AS396" s="552"/>
      <c r="AT396" s="552"/>
    </row>
    <row r="397" spans="1:46" s="555" customFormat="1" ht="22.5" customHeight="1">
      <c r="A397" s="620"/>
      <c r="B397" s="531" t="s">
        <v>1054</v>
      </c>
      <c r="C397" s="566"/>
      <c r="D397" s="1202" t="s">
        <v>1127</v>
      </c>
      <c r="E397" s="524" t="s">
        <v>319</v>
      </c>
      <c r="F397" s="1322">
        <f>K397</f>
        <v>10</v>
      </c>
      <c r="G397" s="527">
        <f t="shared" si="393"/>
        <v>11.11</v>
      </c>
      <c r="H397" s="527">
        <f>ROUND(F397*G397,2)</f>
        <v>111.1</v>
      </c>
      <c r="I397" s="567"/>
      <c r="J397" s="309"/>
      <c r="K397" s="1149">
        <v>10</v>
      </c>
      <c r="L397" s="530">
        <f>ROUND(AD397,2)</f>
        <v>13.13</v>
      </c>
      <c r="M397" s="530">
        <f t="shared" si="396"/>
        <v>131.30000000000001</v>
      </c>
      <c r="N397" s="309"/>
      <c r="O397" s="776" t="s">
        <v>129</v>
      </c>
      <c r="P397" s="777"/>
      <c r="Q397" s="777"/>
      <c r="R397" s="751"/>
      <c r="S397" s="752">
        <v>220000</v>
      </c>
      <c r="T397" s="792">
        <v>10</v>
      </c>
      <c r="U397" s="803">
        <v>0</v>
      </c>
      <c r="V397" s="803">
        <v>0</v>
      </c>
      <c r="W397" s="803">
        <v>0</v>
      </c>
      <c r="X397" s="858">
        <v>1</v>
      </c>
      <c r="Y397" s="310">
        <f>ROUND((R397+S397/'[7]Summary E&amp;M'!$M$104)*X397,2)</f>
        <v>10.58</v>
      </c>
      <c r="Z397" s="858">
        <f t="shared" si="417"/>
        <v>1.05</v>
      </c>
      <c r="AA397" s="813">
        <f>ROUND(Y397*Z397,2)</f>
        <v>11.11</v>
      </c>
      <c r="AB397" s="447">
        <f t="shared" si="398"/>
        <v>0.05</v>
      </c>
      <c r="AC397" s="310">
        <f t="shared" si="363"/>
        <v>10.5</v>
      </c>
      <c r="AD397" s="717">
        <f>ROUND(AC397*'[8]Summary E&amp;M'!$R$94,2)</f>
        <v>13.13</v>
      </c>
      <c r="AE397" s="825">
        <f t="shared" si="390"/>
        <v>105.8</v>
      </c>
      <c r="AF397" s="825">
        <f t="shared" si="391"/>
        <v>105</v>
      </c>
      <c r="AG397" s="743"/>
      <c r="AH397" s="728"/>
      <c r="AI397" s="519">
        <f t="shared" si="399"/>
        <v>0</v>
      </c>
      <c r="AJ397" s="519">
        <f t="shared" si="400"/>
        <v>0</v>
      </c>
      <c r="AK397" s="519">
        <f t="shared" si="401"/>
        <v>0</v>
      </c>
      <c r="AL397" s="520">
        <f t="shared" si="402"/>
        <v>0</v>
      </c>
      <c r="AM397" s="520">
        <f t="shared" si="403"/>
        <v>0</v>
      </c>
      <c r="AN397" s="520">
        <f t="shared" si="404"/>
        <v>0</v>
      </c>
      <c r="AO397" s="520">
        <f t="shared" si="405"/>
        <v>0</v>
      </c>
      <c r="AP397" s="552"/>
      <c r="AQ397" s="552"/>
      <c r="AR397" s="552"/>
      <c r="AS397" s="552"/>
      <c r="AT397" s="552"/>
    </row>
    <row r="398" spans="1:46" s="555" customFormat="1" ht="22.5" customHeight="1">
      <c r="A398" s="620"/>
      <c r="B398" s="531" t="s">
        <v>1011</v>
      </c>
      <c r="C398" s="566" t="s">
        <v>336</v>
      </c>
      <c r="D398" s="1202" t="s">
        <v>1127</v>
      </c>
      <c r="E398" s="524" t="s">
        <v>319</v>
      </c>
      <c r="F398" s="1322">
        <f t="shared" si="392"/>
        <v>34</v>
      </c>
      <c r="G398" s="527">
        <f t="shared" si="393"/>
        <v>2.48</v>
      </c>
      <c r="H398" s="527">
        <f t="shared" si="394"/>
        <v>84.32</v>
      </c>
      <c r="I398" s="567"/>
      <c r="J398" s="309"/>
      <c r="K398" s="1149">
        <f>K391</f>
        <v>34</v>
      </c>
      <c r="L398" s="530">
        <f t="shared" si="395"/>
        <v>4.5999999999999996</v>
      </c>
      <c r="M398" s="530">
        <f t="shared" si="396"/>
        <v>156.4</v>
      </c>
      <c r="N398" s="309"/>
      <c r="O398" s="776" t="s">
        <v>129</v>
      </c>
      <c r="P398" s="777"/>
      <c r="Q398" s="777"/>
      <c r="R398" s="751"/>
      <c r="S398" s="752">
        <v>49000</v>
      </c>
      <c r="T398" s="792">
        <v>3.5</v>
      </c>
      <c r="U398" s="803">
        <v>0</v>
      </c>
      <c r="V398" s="803">
        <v>0</v>
      </c>
      <c r="W398" s="803">
        <v>0</v>
      </c>
      <c r="X398" s="858">
        <v>1</v>
      </c>
      <c r="Y398" s="310">
        <f>ROUND((R398+S398/'[7]Summary E&amp;M'!$M$104)*X398,2)</f>
        <v>2.36</v>
      </c>
      <c r="Z398" s="858">
        <f t="shared" si="417"/>
        <v>1.05</v>
      </c>
      <c r="AA398" s="813">
        <f t="shared" si="397"/>
        <v>2.48</v>
      </c>
      <c r="AB398" s="447">
        <f t="shared" si="398"/>
        <v>0.05</v>
      </c>
      <c r="AC398" s="310">
        <f t="shared" si="363"/>
        <v>3.68</v>
      </c>
      <c r="AD398" s="717">
        <f>ROUND(AC398*'[8]Summary E&amp;M'!$R$94,2)</f>
        <v>4.5999999999999996</v>
      </c>
      <c r="AE398" s="825">
        <f t="shared" si="390"/>
        <v>80.239999999999995</v>
      </c>
      <c r="AF398" s="825">
        <f t="shared" si="391"/>
        <v>125.12</v>
      </c>
      <c r="AG398" s="743"/>
      <c r="AH398" s="728"/>
      <c r="AI398" s="519">
        <f t="shared" si="399"/>
        <v>0</v>
      </c>
      <c r="AJ398" s="519">
        <f t="shared" si="400"/>
        <v>0</v>
      </c>
      <c r="AK398" s="519">
        <f t="shared" si="401"/>
        <v>0</v>
      </c>
      <c r="AL398" s="520">
        <f t="shared" si="402"/>
        <v>0</v>
      </c>
      <c r="AM398" s="520">
        <f t="shared" si="403"/>
        <v>0</v>
      </c>
      <c r="AN398" s="520">
        <f t="shared" si="404"/>
        <v>0</v>
      </c>
      <c r="AO398" s="520">
        <f t="shared" si="405"/>
        <v>0</v>
      </c>
      <c r="AP398" s="552"/>
      <c r="AQ398" s="552"/>
      <c r="AR398" s="552"/>
      <c r="AS398" s="552"/>
      <c r="AT398" s="552"/>
    </row>
    <row r="399" spans="1:46" s="555" customFormat="1" ht="22.5" customHeight="1">
      <c r="A399" s="451"/>
      <c r="B399" s="531" t="s">
        <v>734</v>
      </c>
      <c r="C399" s="566" t="s">
        <v>786</v>
      </c>
      <c r="D399" s="525">
        <v>121</v>
      </c>
      <c r="E399" s="524" t="s">
        <v>321</v>
      </c>
      <c r="F399" s="1314">
        <f>ROUND(K399*'Summary-E'!$K$61,0)</f>
        <v>263</v>
      </c>
      <c r="G399" s="527">
        <f t="shared" si="393"/>
        <v>13.63</v>
      </c>
      <c r="H399" s="527">
        <f>ROUND(F399*G399,2)</f>
        <v>3584.69</v>
      </c>
      <c r="I399" s="567"/>
      <c r="J399" s="309"/>
      <c r="K399" s="1149">
        <v>250</v>
      </c>
      <c r="L399" s="530">
        <f>ROUND(AD399,2)</f>
        <v>3.68</v>
      </c>
      <c r="M399" s="530">
        <f t="shared" si="396"/>
        <v>967.84</v>
      </c>
      <c r="N399" s="309"/>
      <c r="O399" s="776">
        <v>121</v>
      </c>
      <c r="P399" s="777"/>
      <c r="Q399" s="777"/>
      <c r="R399" s="751"/>
      <c r="S399" s="752">
        <v>270000</v>
      </c>
      <c r="T399" s="792">
        <v>2.8</v>
      </c>
      <c r="U399" s="803">
        <v>0</v>
      </c>
      <c r="V399" s="803">
        <v>0</v>
      </c>
      <c r="W399" s="803">
        <v>0</v>
      </c>
      <c r="X399" s="858">
        <v>1</v>
      </c>
      <c r="Y399" s="310">
        <f>ROUND((R399+S399/'[7]Summary E&amp;M'!$M$104)*X399,2)</f>
        <v>12.98</v>
      </c>
      <c r="Z399" s="858">
        <f t="shared" si="417"/>
        <v>1.05</v>
      </c>
      <c r="AA399" s="813">
        <f>ROUND(Y399*Z399,2)</f>
        <v>13.63</v>
      </c>
      <c r="AB399" s="447">
        <f t="shared" si="398"/>
        <v>0.05</v>
      </c>
      <c r="AC399" s="310">
        <f t="shared" si="363"/>
        <v>2.94</v>
      </c>
      <c r="AD399" s="717">
        <f>ROUND(AC399*'[8]Summary E&amp;M'!$R$94,2)</f>
        <v>3.68</v>
      </c>
      <c r="AE399" s="825">
        <f t="shared" si="390"/>
        <v>3245</v>
      </c>
      <c r="AF399" s="825">
        <f t="shared" si="391"/>
        <v>735</v>
      </c>
      <c r="AG399" s="743"/>
      <c r="AH399" s="728"/>
      <c r="AI399" s="519">
        <f t="shared" si="399"/>
        <v>0</v>
      </c>
      <c r="AJ399" s="519">
        <f t="shared" si="400"/>
        <v>0</v>
      </c>
      <c r="AK399" s="519">
        <f t="shared" si="401"/>
        <v>0</v>
      </c>
      <c r="AL399" s="520">
        <f t="shared" si="402"/>
        <v>0</v>
      </c>
      <c r="AM399" s="520">
        <f t="shared" si="403"/>
        <v>0</v>
      </c>
      <c r="AN399" s="520">
        <f t="shared" si="404"/>
        <v>0</v>
      </c>
      <c r="AO399" s="520">
        <f t="shared" si="405"/>
        <v>0</v>
      </c>
      <c r="AP399" s="552"/>
      <c r="AQ399" s="552"/>
      <c r="AR399" s="552"/>
      <c r="AS399" s="552"/>
      <c r="AT399" s="552"/>
    </row>
    <row r="400" spans="1:46" s="555" customFormat="1" ht="22.5" customHeight="1">
      <c r="A400" s="451"/>
      <c r="B400" s="531" t="s">
        <v>734</v>
      </c>
      <c r="C400" s="566" t="s">
        <v>790</v>
      </c>
      <c r="D400" s="525">
        <v>121</v>
      </c>
      <c r="E400" s="524" t="s">
        <v>321</v>
      </c>
      <c r="F400" s="1314">
        <f>ROUND(K400*'Summary-E'!$K$61,0)</f>
        <v>231</v>
      </c>
      <c r="G400" s="527">
        <f t="shared" si="393"/>
        <v>5.81</v>
      </c>
      <c r="H400" s="527">
        <f>ROUND(F400*G400,2)</f>
        <v>1342.11</v>
      </c>
      <c r="I400" s="567"/>
      <c r="J400" s="309"/>
      <c r="K400" s="1149">
        <f>50+30+140</f>
        <v>220</v>
      </c>
      <c r="L400" s="530">
        <f>ROUND(AD400,2)</f>
        <v>1.58</v>
      </c>
      <c r="M400" s="530">
        <f t="shared" si="396"/>
        <v>364.98</v>
      </c>
      <c r="N400" s="309"/>
      <c r="O400" s="776">
        <v>121</v>
      </c>
      <c r="P400" s="777"/>
      <c r="Q400" s="777"/>
      <c r="R400" s="751"/>
      <c r="S400" s="752">
        <v>115000</v>
      </c>
      <c r="T400" s="792">
        <v>1.2</v>
      </c>
      <c r="U400" s="803">
        <v>0</v>
      </c>
      <c r="V400" s="803">
        <v>0</v>
      </c>
      <c r="W400" s="803">
        <v>0</v>
      </c>
      <c r="X400" s="858">
        <v>1</v>
      </c>
      <c r="Y400" s="310">
        <f>ROUND((R400+S400/'[7]Summary E&amp;M'!$M$104)*X400,2)</f>
        <v>5.53</v>
      </c>
      <c r="Z400" s="858">
        <f t="shared" si="417"/>
        <v>1.05</v>
      </c>
      <c r="AA400" s="813">
        <f>ROUND(Y400*Z400,2)</f>
        <v>5.81</v>
      </c>
      <c r="AB400" s="447">
        <f t="shared" si="398"/>
        <v>0.05</v>
      </c>
      <c r="AC400" s="310">
        <f t="shared" si="363"/>
        <v>1.26</v>
      </c>
      <c r="AD400" s="717">
        <f>ROUND(AC400*'[8]Summary E&amp;M'!$R$94,2)</f>
        <v>1.58</v>
      </c>
      <c r="AE400" s="825">
        <f t="shared" si="390"/>
        <v>1216.5999999999999</v>
      </c>
      <c r="AF400" s="825">
        <f t="shared" si="391"/>
        <v>277.2</v>
      </c>
      <c r="AG400" s="743"/>
      <c r="AH400" s="728"/>
      <c r="AI400" s="519">
        <f t="shared" si="399"/>
        <v>0</v>
      </c>
      <c r="AJ400" s="519">
        <f t="shared" si="400"/>
        <v>0</v>
      </c>
      <c r="AK400" s="519">
        <f t="shared" si="401"/>
        <v>0</v>
      </c>
      <c r="AL400" s="520">
        <f t="shared" si="402"/>
        <v>0</v>
      </c>
      <c r="AM400" s="520">
        <f t="shared" si="403"/>
        <v>0</v>
      </c>
      <c r="AN400" s="520">
        <f t="shared" si="404"/>
        <v>0</v>
      </c>
      <c r="AO400" s="520">
        <f t="shared" si="405"/>
        <v>0</v>
      </c>
      <c r="AP400" s="552"/>
      <c r="AQ400" s="552"/>
      <c r="AR400" s="552"/>
      <c r="AS400" s="552"/>
      <c r="AT400" s="552"/>
    </row>
    <row r="401" spans="1:46" s="555" customFormat="1" ht="22.5" customHeight="1">
      <c r="A401" s="451"/>
      <c r="B401" s="531" t="s">
        <v>734</v>
      </c>
      <c r="C401" s="566" t="s">
        <v>337</v>
      </c>
      <c r="D401" s="525">
        <v>121</v>
      </c>
      <c r="E401" s="524" t="s">
        <v>321</v>
      </c>
      <c r="F401" s="1314">
        <f>ROUND(K401*'Summary-E'!$K$61,0)</f>
        <v>3247</v>
      </c>
      <c r="G401" s="527">
        <f t="shared" si="393"/>
        <v>4.29</v>
      </c>
      <c r="H401" s="527">
        <f t="shared" si="394"/>
        <v>13929.63</v>
      </c>
      <c r="I401" s="567"/>
      <c r="J401" s="309"/>
      <c r="K401" s="1149">
        <f>32*6+2800+100</f>
        <v>3092</v>
      </c>
      <c r="L401" s="530">
        <f t="shared" si="395"/>
        <v>1.05</v>
      </c>
      <c r="M401" s="530">
        <f t="shared" si="396"/>
        <v>3409.35</v>
      </c>
      <c r="N401" s="309"/>
      <c r="O401" s="776">
        <v>121</v>
      </c>
      <c r="P401" s="777"/>
      <c r="Q401" s="777"/>
      <c r="R401" s="751"/>
      <c r="S401" s="752">
        <v>85000</v>
      </c>
      <c r="T401" s="792">
        <v>0.8</v>
      </c>
      <c r="U401" s="803">
        <v>0</v>
      </c>
      <c r="V401" s="803">
        <v>0</v>
      </c>
      <c r="W401" s="803">
        <v>0</v>
      </c>
      <c r="X401" s="858">
        <v>1</v>
      </c>
      <c r="Y401" s="310">
        <f>ROUND((R401+S401/'[7]Summary E&amp;M'!$M$104)*X401,2)</f>
        <v>4.09</v>
      </c>
      <c r="Z401" s="858">
        <f t="shared" si="417"/>
        <v>1.05</v>
      </c>
      <c r="AA401" s="813">
        <f t="shared" si="397"/>
        <v>4.29</v>
      </c>
      <c r="AB401" s="447">
        <f t="shared" si="398"/>
        <v>0.05</v>
      </c>
      <c r="AC401" s="310">
        <f t="shared" si="363"/>
        <v>0.84</v>
      </c>
      <c r="AD401" s="717">
        <f>ROUND(AC401*'[8]Summary E&amp;M'!$R$94,2)</f>
        <v>1.05</v>
      </c>
      <c r="AE401" s="825">
        <f t="shared" si="390"/>
        <v>12646.28</v>
      </c>
      <c r="AF401" s="825">
        <f t="shared" si="391"/>
        <v>2597.2800000000002</v>
      </c>
      <c r="AG401" s="743"/>
      <c r="AH401" s="728"/>
      <c r="AI401" s="519">
        <f t="shared" si="399"/>
        <v>0</v>
      </c>
      <c r="AJ401" s="519">
        <f t="shared" si="400"/>
        <v>0</v>
      </c>
      <c r="AK401" s="519">
        <f t="shared" si="401"/>
        <v>0</v>
      </c>
      <c r="AL401" s="520">
        <f t="shared" si="402"/>
        <v>0</v>
      </c>
      <c r="AM401" s="520">
        <f t="shared" si="403"/>
        <v>0</v>
      </c>
      <c r="AN401" s="520">
        <f t="shared" si="404"/>
        <v>0</v>
      </c>
      <c r="AO401" s="520">
        <f t="shared" si="405"/>
        <v>0</v>
      </c>
      <c r="AP401" s="552"/>
      <c r="AQ401" s="552"/>
      <c r="AR401" s="552"/>
      <c r="AS401" s="552"/>
      <c r="AT401" s="552"/>
    </row>
    <row r="402" spans="1:46" s="555" customFormat="1" ht="22.5" customHeight="1">
      <c r="A402" s="620"/>
      <c r="B402" s="531" t="s">
        <v>403</v>
      </c>
      <c r="C402" s="566" t="s">
        <v>329</v>
      </c>
      <c r="D402" s="1202" t="s">
        <v>1111</v>
      </c>
      <c r="E402" s="524" t="s">
        <v>321</v>
      </c>
      <c r="F402" s="1314">
        <f>ROUND(K402*'Summary-E'!$K$61,0)</f>
        <v>1743</v>
      </c>
      <c r="G402" s="527">
        <f t="shared" si="393"/>
        <v>0.61</v>
      </c>
      <c r="H402" s="527">
        <f t="shared" si="394"/>
        <v>1063.23</v>
      </c>
      <c r="I402" s="567"/>
      <c r="J402" s="309"/>
      <c r="K402" s="1175">
        <v>1660</v>
      </c>
      <c r="L402" s="530">
        <f t="shared" si="395"/>
        <v>0.4</v>
      </c>
      <c r="M402" s="530">
        <f t="shared" si="396"/>
        <v>697.2</v>
      </c>
      <c r="N402" s="309"/>
      <c r="O402" s="776" t="s">
        <v>131</v>
      </c>
      <c r="P402" s="777"/>
      <c r="Q402" s="777"/>
      <c r="R402" s="751"/>
      <c r="S402" s="752">
        <v>12000</v>
      </c>
      <c r="T402" s="792">
        <v>0.3</v>
      </c>
      <c r="U402" s="803">
        <v>0</v>
      </c>
      <c r="V402" s="803">
        <v>0</v>
      </c>
      <c r="W402" s="803">
        <v>0</v>
      </c>
      <c r="X402" s="858">
        <v>1</v>
      </c>
      <c r="Y402" s="310">
        <f>ROUND((R402+S402/'[7]Summary E&amp;M'!$M$104)*X402,2)</f>
        <v>0.57999999999999996</v>
      </c>
      <c r="Z402" s="858">
        <f t="shared" si="417"/>
        <v>1.05</v>
      </c>
      <c r="AA402" s="813">
        <f t="shared" si="397"/>
        <v>0.61</v>
      </c>
      <c r="AB402" s="447">
        <f t="shared" si="398"/>
        <v>0.05</v>
      </c>
      <c r="AC402" s="310">
        <f t="shared" si="363"/>
        <v>0.32</v>
      </c>
      <c r="AD402" s="717">
        <f>ROUND(AC402*'[8]Summary E&amp;M'!$R$94,2)</f>
        <v>0.4</v>
      </c>
      <c r="AE402" s="825">
        <f t="shared" si="390"/>
        <v>962.8</v>
      </c>
      <c r="AF402" s="825">
        <f t="shared" si="391"/>
        <v>531.20000000000005</v>
      </c>
      <c r="AG402" s="743"/>
      <c r="AH402" s="728"/>
      <c r="AI402" s="519">
        <f t="shared" si="399"/>
        <v>0</v>
      </c>
      <c r="AJ402" s="519">
        <f t="shared" si="400"/>
        <v>0</v>
      </c>
      <c r="AK402" s="519">
        <f t="shared" si="401"/>
        <v>0</v>
      </c>
      <c r="AL402" s="520">
        <f t="shared" ref="AL402:AL409" si="418">ROUND(Y402*AI402+((Y402*(1+AI402))*AJ402)+((Y402*AI402+((Y402*(1+AI402))*AJ402))*AK402),2)</f>
        <v>0</v>
      </c>
      <c r="AM402" s="520">
        <f t="shared" ref="AM402:AM409" si="419">AL402*$F402</f>
        <v>0</v>
      </c>
      <c r="AN402" s="520">
        <f t="shared" ref="AN402:AN409" si="420">ROUND(AL402*Z402,2)</f>
        <v>0</v>
      </c>
      <c r="AO402" s="520">
        <f t="shared" ref="AO402:AO409" si="421">AN402*$F402</f>
        <v>0</v>
      </c>
      <c r="AP402" s="552"/>
      <c r="AQ402" s="552"/>
      <c r="AR402" s="552"/>
      <c r="AS402" s="552"/>
      <c r="AT402" s="552"/>
    </row>
    <row r="403" spans="1:46" s="555" customFormat="1" ht="22.5" customHeight="1">
      <c r="A403" s="620"/>
      <c r="B403" s="531" t="s">
        <v>994</v>
      </c>
      <c r="C403" s="566" t="s">
        <v>434</v>
      </c>
      <c r="D403" s="1202" t="s">
        <v>1113</v>
      </c>
      <c r="E403" s="524" t="s">
        <v>321</v>
      </c>
      <c r="F403" s="1314">
        <f>ROUND(K403*'Summary-E'!$K$61,0)</f>
        <v>169</v>
      </c>
      <c r="G403" s="527">
        <f t="shared" si="393"/>
        <v>0.23</v>
      </c>
      <c r="H403" s="527">
        <f t="shared" si="394"/>
        <v>38.869999999999997</v>
      </c>
      <c r="I403" s="567"/>
      <c r="J403" s="309"/>
      <c r="K403" s="1149">
        <v>161</v>
      </c>
      <c r="L403" s="530">
        <f t="shared" si="395"/>
        <v>0.79</v>
      </c>
      <c r="M403" s="530">
        <f t="shared" si="396"/>
        <v>133.51</v>
      </c>
      <c r="N403" s="309"/>
      <c r="O403" s="776" t="s">
        <v>131</v>
      </c>
      <c r="P403" s="777"/>
      <c r="Q403" s="777"/>
      <c r="R403" s="751"/>
      <c r="S403" s="752">
        <v>4600</v>
      </c>
      <c r="T403" s="792">
        <v>0.6</v>
      </c>
      <c r="U403" s="803">
        <v>0</v>
      </c>
      <c r="V403" s="803">
        <v>0</v>
      </c>
      <c r="W403" s="803">
        <v>0</v>
      </c>
      <c r="X403" s="858">
        <v>1</v>
      </c>
      <c r="Y403" s="310">
        <f>ROUND((R403+S403/'[7]Summary E&amp;M'!$M$104)*X403,2)</f>
        <v>0.22</v>
      </c>
      <c r="Z403" s="858">
        <f t="shared" si="417"/>
        <v>1.05</v>
      </c>
      <c r="AA403" s="813">
        <f t="shared" si="397"/>
        <v>0.23</v>
      </c>
      <c r="AB403" s="447">
        <f t="shared" si="398"/>
        <v>0.05</v>
      </c>
      <c r="AC403" s="310">
        <f t="shared" si="363"/>
        <v>0.63</v>
      </c>
      <c r="AD403" s="717">
        <f>ROUND(AC403*'[8]Summary E&amp;M'!$R$94,2)</f>
        <v>0.79</v>
      </c>
      <c r="AE403" s="825">
        <f t="shared" si="390"/>
        <v>35.42</v>
      </c>
      <c r="AF403" s="825">
        <f t="shared" si="391"/>
        <v>101.43</v>
      </c>
      <c r="AG403" s="743"/>
      <c r="AH403" s="728"/>
      <c r="AI403" s="519">
        <f t="shared" si="399"/>
        <v>0</v>
      </c>
      <c r="AJ403" s="519">
        <f t="shared" si="400"/>
        <v>0</v>
      </c>
      <c r="AK403" s="519">
        <f t="shared" si="401"/>
        <v>0</v>
      </c>
      <c r="AL403" s="520">
        <f t="shared" si="418"/>
        <v>0</v>
      </c>
      <c r="AM403" s="520">
        <f t="shared" si="419"/>
        <v>0</v>
      </c>
      <c r="AN403" s="520">
        <f t="shared" si="420"/>
        <v>0</v>
      </c>
      <c r="AO403" s="520">
        <f t="shared" si="421"/>
        <v>0</v>
      </c>
      <c r="AP403" s="552"/>
      <c r="AQ403" s="552"/>
      <c r="AR403" s="552"/>
      <c r="AS403" s="552"/>
      <c r="AT403" s="552"/>
    </row>
    <row r="404" spans="1:46" s="555" customFormat="1" ht="22.5" customHeight="1">
      <c r="A404" s="570"/>
      <c r="B404" s="568" t="s">
        <v>333</v>
      </c>
      <c r="C404" s="569"/>
      <c r="D404" s="1202" t="s">
        <v>1113</v>
      </c>
      <c r="E404" s="571" t="s">
        <v>322</v>
      </c>
      <c r="F404" s="1322">
        <f>K404</f>
        <v>1</v>
      </c>
      <c r="G404" s="527">
        <f t="shared" si="393"/>
        <v>5532.32</v>
      </c>
      <c r="H404" s="527">
        <f t="shared" si="394"/>
        <v>5532.32</v>
      </c>
      <c r="I404" s="567"/>
      <c r="J404" s="309"/>
      <c r="K404" s="1149">
        <v>1</v>
      </c>
      <c r="L404" s="530">
        <f t="shared" si="395"/>
        <v>855.51</v>
      </c>
      <c r="M404" s="530">
        <f t="shared" si="396"/>
        <v>855.51</v>
      </c>
      <c r="N404" s="309"/>
      <c r="O404" s="776" t="s">
        <v>683</v>
      </c>
      <c r="P404" s="777">
        <v>0.3</v>
      </c>
      <c r="Q404" s="777"/>
      <c r="R404" s="751">
        <f>ROUND(SUM(AE399:AE403)*P404,2)</f>
        <v>5431.83</v>
      </c>
      <c r="S404" s="752"/>
      <c r="T404" s="792">
        <f>ROUND(R404*12%,2)</f>
        <v>651.82000000000005</v>
      </c>
      <c r="U404" s="803">
        <v>0</v>
      </c>
      <c r="V404" s="803">
        <v>0</v>
      </c>
      <c r="W404" s="803">
        <v>0</v>
      </c>
      <c r="X404" s="858">
        <f>SUMIF('Summary-E'!O$4:O$50,D404,'Summary-E'!Q$4:Q$50)</f>
        <v>0.97</v>
      </c>
      <c r="Y404" s="310">
        <f>ROUND((R404+S404/'[7]Summary E&amp;M'!$M$104)*X404,2)</f>
        <v>5268.88</v>
      </c>
      <c r="Z404" s="858">
        <f t="shared" si="417"/>
        <v>1.05</v>
      </c>
      <c r="AA404" s="813">
        <f t="shared" si="397"/>
        <v>5532.32</v>
      </c>
      <c r="AB404" s="447">
        <f t="shared" si="398"/>
        <v>0.05</v>
      </c>
      <c r="AC404" s="310">
        <f t="shared" si="363"/>
        <v>684.41</v>
      </c>
      <c r="AD404" s="717">
        <f>ROUND(AC404*'[8]Summary E&amp;M'!$R$94,2)</f>
        <v>855.51</v>
      </c>
      <c r="AE404" s="825">
        <f t="shared" si="390"/>
        <v>5268.88</v>
      </c>
      <c r="AF404" s="825">
        <f t="shared" si="391"/>
        <v>684.41</v>
      </c>
      <c r="AG404" s="743"/>
      <c r="AH404" s="728"/>
      <c r="AI404" s="519">
        <f t="shared" si="399"/>
        <v>0</v>
      </c>
      <c r="AJ404" s="519">
        <f t="shared" si="400"/>
        <v>0</v>
      </c>
      <c r="AK404" s="519">
        <f t="shared" si="401"/>
        <v>0</v>
      </c>
      <c r="AL404" s="520">
        <f t="shared" si="418"/>
        <v>0</v>
      </c>
      <c r="AM404" s="520">
        <f t="shared" si="419"/>
        <v>0</v>
      </c>
      <c r="AN404" s="520">
        <f t="shared" si="420"/>
        <v>0</v>
      </c>
      <c r="AO404" s="520">
        <f t="shared" si="421"/>
        <v>0</v>
      </c>
      <c r="AP404" s="552"/>
      <c r="AQ404" s="552"/>
      <c r="AR404" s="552"/>
      <c r="AS404" s="552"/>
      <c r="AT404" s="552"/>
    </row>
    <row r="405" spans="1:46" s="555" customFormat="1" ht="22.5" customHeight="1">
      <c r="A405" s="451"/>
      <c r="B405" s="531" t="s">
        <v>334</v>
      </c>
      <c r="C405" s="566"/>
      <c r="D405" s="525" t="s">
        <v>139</v>
      </c>
      <c r="E405" s="524" t="s">
        <v>322</v>
      </c>
      <c r="F405" s="1322">
        <f>K405</f>
        <v>1</v>
      </c>
      <c r="G405" s="527">
        <f t="shared" si="393"/>
        <v>2766.16</v>
      </c>
      <c r="H405" s="527">
        <f t="shared" si="394"/>
        <v>2766.16</v>
      </c>
      <c r="I405" s="567"/>
      <c r="J405" s="309"/>
      <c r="K405" s="1149">
        <v>1</v>
      </c>
      <c r="L405" s="530">
        <f t="shared" si="395"/>
        <v>427.76</v>
      </c>
      <c r="M405" s="530">
        <f t="shared" si="396"/>
        <v>427.76</v>
      </c>
      <c r="N405" s="309"/>
      <c r="O405" s="776" t="s">
        <v>130</v>
      </c>
      <c r="P405" s="777">
        <v>0.15</v>
      </c>
      <c r="Q405" s="777"/>
      <c r="R405" s="751">
        <f>ROUND(SUM(AE399:AE403)*P405,2)</f>
        <v>2715.92</v>
      </c>
      <c r="S405" s="752"/>
      <c r="T405" s="792">
        <f>ROUND(R405*12%,2)</f>
        <v>325.91000000000003</v>
      </c>
      <c r="U405" s="803">
        <v>0</v>
      </c>
      <c r="V405" s="803">
        <v>0</v>
      </c>
      <c r="W405" s="803">
        <v>0</v>
      </c>
      <c r="X405" s="858">
        <f>SUMIF('Summary-E'!O$4:O$50,D405,'Summary-E'!Q$4:Q$50)</f>
        <v>0.97</v>
      </c>
      <c r="Y405" s="310">
        <f>ROUND((R405+S405/'[7]Summary E&amp;M'!$M$104)*X405,2)</f>
        <v>2634.44</v>
      </c>
      <c r="Z405" s="858">
        <f t="shared" si="417"/>
        <v>1.05</v>
      </c>
      <c r="AA405" s="813">
        <f t="shared" si="397"/>
        <v>2766.16</v>
      </c>
      <c r="AB405" s="447">
        <f t="shared" si="398"/>
        <v>0.05</v>
      </c>
      <c r="AC405" s="310">
        <f t="shared" si="363"/>
        <v>342.21</v>
      </c>
      <c r="AD405" s="717">
        <f>ROUND(AC405*'[8]Summary E&amp;M'!$R$94,2)</f>
        <v>427.76</v>
      </c>
      <c r="AE405" s="825">
        <f t="shared" si="390"/>
        <v>2634.44</v>
      </c>
      <c r="AF405" s="825">
        <f t="shared" si="391"/>
        <v>342.21</v>
      </c>
      <c r="AG405" s="743"/>
      <c r="AH405" s="728"/>
      <c r="AI405" s="519">
        <f t="shared" si="399"/>
        <v>0</v>
      </c>
      <c r="AJ405" s="519">
        <f t="shared" si="400"/>
        <v>0</v>
      </c>
      <c r="AK405" s="519">
        <f t="shared" si="401"/>
        <v>0</v>
      </c>
      <c r="AL405" s="520">
        <f t="shared" si="418"/>
        <v>0</v>
      </c>
      <c r="AM405" s="520">
        <f t="shared" si="419"/>
        <v>0</v>
      </c>
      <c r="AN405" s="520">
        <f t="shared" si="420"/>
        <v>0</v>
      </c>
      <c r="AO405" s="520">
        <f t="shared" si="421"/>
        <v>0</v>
      </c>
      <c r="AP405" s="552"/>
      <c r="AQ405" s="552"/>
      <c r="AR405" s="552"/>
      <c r="AS405" s="552"/>
      <c r="AT405" s="552"/>
    </row>
    <row r="406" spans="1:46" s="555" customFormat="1" ht="22.5" customHeight="1">
      <c r="A406" s="451"/>
      <c r="B406" s="531" t="s">
        <v>332</v>
      </c>
      <c r="C406" s="566" t="s">
        <v>433</v>
      </c>
      <c r="D406" s="525">
        <v>131</v>
      </c>
      <c r="E406" s="524" t="s">
        <v>321</v>
      </c>
      <c r="F406" s="1314">
        <f>ROUND(K406*'Summary-E'!$K$61,0)</f>
        <v>1418</v>
      </c>
      <c r="G406" s="527">
        <f t="shared" si="393"/>
        <v>1.47</v>
      </c>
      <c r="H406" s="527">
        <f t="shared" si="394"/>
        <v>2084.46</v>
      </c>
      <c r="I406" s="567"/>
      <c r="J406" s="309"/>
      <c r="K406" s="1149">
        <v>1350</v>
      </c>
      <c r="L406" s="530">
        <f t="shared" si="395"/>
        <v>0.4</v>
      </c>
      <c r="M406" s="530">
        <f t="shared" si="396"/>
        <v>567.20000000000005</v>
      </c>
      <c r="N406" s="309"/>
      <c r="O406" s="776">
        <v>131</v>
      </c>
      <c r="P406" s="777"/>
      <c r="Q406" s="777"/>
      <c r="R406" s="751"/>
      <c r="S406" s="752">
        <v>29140</v>
      </c>
      <c r="T406" s="792">
        <v>0.3</v>
      </c>
      <c r="U406" s="803">
        <v>0</v>
      </c>
      <c r="V406" s="803">
        <v>0</v>
      </c>
      <c r="W406" s="803">
        <v>0</v>
      </c>
      <c r="X406" s="858">
        <v>1</v>
      </c>
      <c r="Y406" s="310">
        <f>ROUND((R406+S406/'[7]Summary E&amp;M'!$M$104)*X406,2)</f>
        <v>1.4</v>
      </c>
      <c r="Z406" s="858">
        <f t="shared" si="417"/>
        <v>1.05</v>
      </c>
      <c r="AA406" s="813">
        <f t="shared" si="397"/>
        <v>1.47</v>
      </c>
      <c r="AB406" s="447">
        <f t="shared" si="398"/>
        <v>0.05</v>
      </c>
      <c r="AC406" s="310">
        <f t="shared" si="363"/>
        <v>0.32</v>
      </c>
      <c r="AD406" s="717">
        <f>ROUND(AC406*'[8]Summary E&amp;M'!$R$94,2)</f>
        <v>0.4</v>
      </c>
      <c r="AE406" s="825">
        <f t="shared" si="390"/>
        <v>1890</v>
      </c>
      <c r="AF406" s="825">
        <f t="shared" si="391"/>
        <v>432</v>
      </c>
      <c r="AG406" s="743"/>
      <c r="AH406" s="728"/>
      <c r="AI406" s="519">
        <f t="shared" si="399"/>
        <v>0</v>
      </c>
      <c r="AJ406" s="519">
        <f t="shared" si="400"/>
        <v>0</v>
      </c>
      <c r="AK406" s="519">
        <f t="shared" si="401"/>
        <v>0</v>
      </c>
      <c r="AL406" s="520">
        <f t="shared" si="418"/>
        <v>0</v>
      </c>
      <c r="AM406" s="520">
        <f t="shared" si="419"/>
        <v>0</v>
      </c>
      <c r="AN406" s="520">
        <f t="shared" si="420"/>
        <v>0</v>
      </c>
      <c r="AO406" s="520">
        <f t="shared" si="421"/>
        <v>0</v>
      </c>
      <c r="AP406" s="552"/>
      <c r="AQ406" s="552"/>
      <c r="AR406" s="552"/>
      <c r="AS406" s="552"/>
      <c r="AT406" s="552"/>
    </row>
    <row r="407" spans="1:46" s="555" customFormat="1" ht="22.5" customHeight="1">
      <c r="A407" s="451"/>
      <c r="B407" s="531" t="s">
        <v>332</v>
      </c>
      <c r="C407" s="566" t="s">
        <v>736</v>
      </c>
      <c r="D407" s="525">
        <v>131</v>
      </c>
      <c r="E407" s="524" t="s">
        <v>321</v>
      </c>
      <c r="F407" s="1314">
        <f>ROUND(K407*'Summary-E'!$K$61,0)</f>
        <v>7875</v>
      </c>
      <c r="G407" s="527">
        <f t="shared" si="393"/>
        <v>0.95</v>
      </c>
      <c r="H407" s="527">
        <f t="shared" si="394"/>
        <v>7481.25</v>
      </c>
      <c r="I407" s="567"/>
      <c r="J407" s="309"/>
      <c r="K407" s="1149">
        <v>7500</v>
      </c>
      <c r="L407" s="530">
        <f t="shared" si="395"/>
        <v>0.14000000000000001</v>
      </c>
      <c r="M407" s="530">
        <f t="shared" si="396"/>
        <v>1102.5</v>
      </c>
      <c r="N407" s="309"/>
      <c r="O407" s="776">
        <v>131</v>
      </c>
      <c r="P407" s="777"/>
      <c r="Q407" s="777"/>
      <c r="R407" s="751"/>
      <c r="S407" s="752">
        <v>18680</v>
      </c>
      <c r="T407" s="792">
        <v>0.1</v>
      </c>
      <c r="U407" s="803">
        <v>0</v>
      </c>
      <c r="V407" s="803">
        <v>0</v>
      </c>
      <c r="W407" s="803">
        <v>0</v>
      </c>
      <c r="X407" s="858">
        <v>1</v>
      </c>
      <c r="Y407" s="310">
        <f>ROUND((R407+S407/'[7]Summary E&amp;M'!$M$104)*X407,2)</f>
        <v>0.9</v>
      </c>
      <c r="Z407" s="858">
        <f t="shared" si="417"/>
        <v>1.05</v>
      </c>
      <c r="AA407" s="813">
        <f t="shared" si="397"/>
        <v>0.95</v>
      </c>
      <c r="AB407" s="447">
        <f t="shared" si="398"/>
        <v>0.05</v>
      </c>
      <c r="AC407" s="310">
        <f t="shared" si="363"/>
        <v>0.11</v>
      </c>
      <c r="AD407" s="717">
        <f>ROUND(AC407*'[8]Summary E&amp;M'!$R$94,2)</f>
        <v>0.14000000000000001</v>
      </c>
      <c r="AE407" s="825">
        <f t="shared" si="390"/>
        <v>6750</v>
      </c>
      <c r="AF407" s="825">
        <f t="shared" si="391"/>
        <v>825</v>
      </c>
      <c r="AG407" s="743"/>
      <c r="AH407" s="728"/>
      <c r="AI407" s="519">
        <f t="shared" si="399"/>
        <v>0</v>
      </c>
      <c r="AJ407" s="519">
        <f t="shared" si="400"/>
        <v>0</v>
      </c>
      <c r="AK407" s="519">
        <f t="shared" si="401"/>
        <v>0</v>
      </c>
      <c r="AL407" s="520">
        <f t="shared" si="418"/>
        <v>0</v>
      </c>
      <c r="AM407" s="520">
        <f t="shared" si="419"/>
        <v>0</v>
      </c>
      <c r="AN407" s="520">
        <f t="shared" si="420"/>
        <v>0</v>
      </c>
      <c r="AO407" s="520">
        <f t="shared" si="421"/>
        <v>0</v>
      </c>
      <c r="AP407" s="552"/>
      <c r="AQ407" s="552"/>
      <c r="AR407" s="552"/>
      <c r="AS407" s="552"/>
      <c r="AT407" s="552"/>
    </row>
    <row r="408" spans="1:46" s="555" customFormat="1" ht="22.5" customHeight="1">
      <c r="A408" s="451"/>
      <c r="B408" s="531" t="s">
        <v>332</v>
      </c>
      <c r="C408" s="566" t="s">
        <v>714</v>
      </c>
      <c r="D408" s="525">
        <v>131</v>
      </c>
      <c r="E408" s="524" t="s">
        <v>321</v>
      </c>
      <c r="F408" s="1314">
        <f>ROUND(K408*'Summary-E'!$K$61,0)</f>
        <v>8672</v>
      </c>
      <c r="G408" s="527">
        <f t="shared" si="393"/>
        <v>0.78</v>
      </c>
      <c r="H408" s="527">
        <f t="shared" si="394"/>
        <v>6764.16</v>
      </c>
      <c r="I408" s="567"/>
      <c r="J408" s="309"/>
      <c r="K408" s="1149">
        <f>6500+1759</f>
        <v>8259</v>
      </c>
      <c r="L408" s="530">
        <f t="shared" si="395"/>
        <v>0.14000000000000001</v>
      </c>
      <c r="M408" s="530">
        <f t="shared" si="396"/>
        <v>1214.08</v>
      </c>
      <c r="N408" s="309"/>
      <c r="O408" s="776">
        <v>131</v>
      </c>
      <c r="P408" s="777"/>
      <c r="Q408" s="777"/>
      <c r="R408" s="751"/>
      <c r="S408" s="752">
        <f>3*5140</f>
        <v>15420</v>
      </c>
      <c r="T408" s="792">
        <v>0.1</v>
      </c>
      <c r="U408" s="803">
        <v>0</v>
      </c>
      <c r="V408" s="803">
        <v>0</v>
      </c>
      <c r="W408" s="803">
        <v>0</v>
      </c>
      <c r="X408" s="858">
        <v>1</v>
      </c>
      <c r="Y408" s="310">
        <f>ROUND((R408+S408/'[7]Summary E&amp;M'!$M$104)*X408,2)</f>
        <v>0.74</v>
      </c>
      <c r="Z408" s="858">
        <f t="shared" si="417"/>
        <v>1.05</v>
      </c>
      <c r="AA408" s="813">
        <f t="shared" si="397"/>
        <v>0.78</v>
      </c>
      <c r="AB408" s="447">
        <f t="shared" si="398"/>
        <v>0.05</v>
      </c>
      <c r="AC408" s="310">
        <f t="shared" si="363"/>
        <v>0.11</v>
      </c>
      <c r="AD408" s="717">
        <f>ROUND(AC408*'[8]Summary E&amp;M'!$R$94,2)</f>
        <v>0.14000000000000001</v>
      </c>
      <c r="AE408" s="825">
        <f t="shared" si="390"/>
        <v>6111.66</v>
      </c>
      <c r="AF408" s="825">
        <f t="shared" si="391"/>
        <v>908.49</v>
      </c>
      <c r="AG408" s="743"/>
      <c r="AH408" s="728"/>
      <c r="AI408" s="519">
        <f t="shared" si="399"/>
        <v>0</v>
      </c>
      <c r="AJ408" s="519">
        <f t="shared" si="400"/>
        <v>0</v>
      </c>
      <c r="AK408" s="519">
        <f t="shared" si="401"/>
        <v>0</v>
      </c>
      <c r="AL408" s="520">
        <f t="shared" si="418"/>
        <v>0</v>
      </c>
      <c r="AM408" s="520">
        <f t="shared" si="419"/>
        <v>0</v>
      </c>
      <c r="AN408" s="520">
        <f t="shared" si="420"/>
        <v>0</v>
      </c>
      <c r="AO408" s="520">
        <f t="shared" si="421"/>
        <v>0</v>
      </c>
      <c r="AP408" s="552"/>
      <c r="AQ408" s="552"/>
      <c r="AR408" s="552"/>
      <c r="AS408" s="552"/>
      <c r="AT408" s="552"/>
    </row>
    <row r="409" spans="1:46" s="555" customFormat="1" ht="22.5" customHeight="1">
      <c r="A409" s="570"/>
      <c r="B409" s="531" t="s">
        <v>122</v>
      </c>
      <c r="C409" s="569"/>
      <c r="D409" s="525" t="s">
        <v>690</v>
      </c>
      <c r="E409" s="571" t="s">
        <v>322</v>
      </c>
      <c r="F409" s="1322">
        <f>K409</f>
        <v>1</v>
      </c>
      <c r="G409" s="527">
        <f t="shared" si="393"/>
        <v>1419.2</v>
      </c>
      <c r="H409" s="527">
        <f t="shared" si="394"/>
        <v>1419.2</v>
      </c>
      <c r="I409" s="567"/>
      <c r="J409" s="309"/>
      <c r="K409" s="1149">
        <v>1</v>
      </c>
      <c r="L409" s="530">
        <f t="shared" si="395"/>
        <v>182.89</v>
      </c>
      <c r="M409" s="530">
        <f t="shared" si="396"/>
        <v>182.89</v>
      </c>
      <c r="N409" s="309"/>
      <c r="O409" s="778" t="s">
        <v>690</v>
      </c>
      <c r="P409" s="777">
        <v>0.02</v>
      </c>
      <c r="Q409" s="777"/>
      <c r="R409" s="751">
        <f>ROUND(SUM(AE386:AE408)*P409,2)</f>
        <v>1393.42</v>
      </c>
      <c r="S409" s="752"/>
      <c r="T409" s="792">
        <f>ROUND(R409*10%,2)</f>
        <v>139.34</v>
      </c>
      <c r="U409" s="803">
        <v>0</v>
      </c>
      <c r="V409" s="803">
        <v>0</v>
      </c>
      <c r="W409" s="803">
        <v>0</v>
      </c>
      <c r="X409" s="858">
        <f>SUMIF('Summary-E'!O$4:O$50,D409,'Summary-E'!Q$4:Q$50)</f>
        <v>0.97</v>
      </c>
      <c r="Y409" s="310">
        <f>ROUND((R409+S409/'[7]Summary E&amp;M'!$M$104)*X409,2)</f>
        <v>1351.62</v>
      </c>
      <c r="Z409" s="858">
        <f t="shared" si="417"/>
        <v>1.05</v>
      </c>
      <c r="AA409" s="813">
        <f t="shared" si="397"/>
        <v>1419.2</v>
      </c>
      <c r="AB409" s="447">
        <f t="shared" si="398"/>
        <v>0.05</v>
      </c>
      <c r="AC409" s="310">
        <f t="shared" si="363"/>
        <v>146.31</v>
      </c>
      <c r="AD409" s="717">
        <f>ROUND(AC409*'[8]Summary E&amp;M'!$R$94,2)</f>
        <v>182.89</v>
      </c>
      <c r="AE409" s="825">
        <f t="shared" si="390"/>
        <v>1351.62</v>
      </c>
      <c r="AF409" s="825">
        <f t="shared" si="391"/>
        <v>146.31</v>
      </c>
      <c r="AG409" s="743"/>
      <c r="AH409" s="728"/>
      <c r="AI409" s="519">
        <f t="shared" si="399"/>
        <v>0</v>
      </c>
      <c r="AJ409" s="519">
        <f t="shared" si="400"/>
        <v>0</v>
      </c>
      <c r="AK409" s="519">
        <f t="shared" si="401"/>
        <v>0</v>
      </c>
      <c r="AL409" s="520">
        <f t="shared" si="418"/>
        <v>0</v>
      </c>
      <c r="AM409" s="520">
        <f t="shared" si="419"/>
        <v>0</v>
      </c>
      <c r="AN409" s="520">
        <f t="shared" si="420"/>
        <v>0</v>
      </c>
      <c r="AO409" s="520">
        <f t="shared" si="421"/>
        <v>0</v>
      </c>
      <c r="AP409" s="552"/>
      <c r="AQ409" s="552"/>
      <c r="AR409" s="552"/>
      <c r="AS409" s="552"/>
      <c r="AT409" s="552"/>
    </row>
    <row r="410" spans="1:46" s="555" customFormat="1" ht="22.5" customHeight="1">
      <c r="A410" s="451"/>
      <c r="B410" s="531"/>
      <c r="C410" s="566"/>
      <c r="D410" s="525"/>
      <c r="E410" s="524"/>
      <c r="F410" s="1314"/>
      <c r="G410" s="527"/>
      <c r="H410" s="527"/>
      <c r="I410" s="567"/>
      <c r="J410" s="309"/>
      <c r="K410" s="1149"/>
      <c r="L410" s="530"/>
      <c r="M410" s="530"/>
      <c r="N410" s="309"/>
      <c r="O410" s="776"/>
      <c r="P410" s="777"/>
      <c r="Q410" s="777"/>
      <c r="R410" s="751"/>
      <c r="S410" s="752"/>
      <c r="T410" s="792"/>
      <c r="U410" s="803"/>
      <c r="V410" s="803"/>
      <c r="W410" s="803"/>
      <c r="X410" s="858">
        <f>SUMIF('Summary-E'!O$4:O$50,D410,'Summary-E'!Q$4:Q$50)</f>
        <v>0</v>
      </c>
      <c r="Y410" s="310">
        <f>ROUND((R410+S410/'[7]Summary E&amp;M'!$M$104)*X410,2)</f>
        <v>0</v>
      </c>
      <c r="Z410" s="858">
        <f t="shared" si="417"/>
        <v>1.05</v>
      </c>
      <c r="AA410" s="813"/>
      <c r="AB410" s="447"/>
      <c r="AC410" s="310">
        <f t="shared" si="363"/>
        <v>0</v>
      </c>
      <c r="AD410" s="717">
        <f>ROUND(AC410*'[8]Summary E&amp;M'!$R$94,2)</f>
        <v>0</v>
      </c>
      <c r="AE410" s="825">
        <f t="shared" si="390"/>
        <v>0</v>
      </c>
      <c r="AF410" s="825">
        <f t="shared" si="391"/>
        <v>0</v>
      </c>
      <c r="AG410" s="743"/>
      <c r="AH410" s="728"/>
      <c r="AI410" s="519"/>
      <c r="AJ410" s="519"/>
      <c r="AK410" s="519"/>
      <c r="AL410" s="520"/>
      <c r="AM410" s="520"/>
      <c r="AN410" s="520"/>
      <c r="AO410" s="520"/>
      <c r="AP410" s="552"/>
      <c r="AQ410" s="552"/>
      <c r="AR410" s="552"/>
      <c r="AS410" s="552"/>
      <c r="AT410" s="552"/>
    </row>
    <row r="411" spans="1:46" s="555" customFormat="1" ht="22.5" customHeight="1">
      <c r="A411" s="620"/>
      <c r="B411" s="522" t="s">
        <v>142</v>
      </c>
      <c r="C411" s="572"/>
      <c r="D411" s="1080"/>
      <c r="E411" s="1081"/>
      <c r="F411" s="1325"/>
      <c r="G411" s="527"/>
      <c r="H411" s="527"/>
      <c r="I411" s="567"/>
      <c r="J411" s="309"/>
      <c r="K411" s="1149"/>
      <c r="L411" s="530"/>
      <c r="M411" s="530"/>
      <c r="N411" s="309"/>
      <c r="O411" s="778"/>
      <c r="P411" s="777"/>
      <c r="Q411" s="777"/>
      <c r="R411" s="751"/>
      <c r="S411" s="752"/>
      <c r="T411" s="792"/>
      <c r="U411" s="803"/>
      <c r="V411" s="803"/>
      <c r="W411" s="803"/>
      <c r="X411" s="858">
        <f>SUMIF('Summary-E'!O$4:O$50,D411,'Summary-E'!Q$4:Q$50)</f>
        <v>0</v>
      </c>
      <c r="Y411" s="310">
        <f>ROUND((R411+S411/'[7]Summary E&amp;M'!$M$104)*X411,2)</f>
        <v>0</v>
      </c>
      <c r="Z411" s="858">
        <f t="shared" si="417"/>
        <v>1.05</v>
      </c>
      <c r="AA411" s="813"/>
      <c r="AB411" s="447"/>
      <c r="AC411" s="310">
        <f t="shared" si="363"/>
        <v>0</v>
      </c>
      <c r="AD411" s="717">
        <f>ROUND(AC411*'[8]Summary E&amp;M'!$R$94,2)</f>
        <v>0</v>
      </c>
      <c r="AE411" s="825">
        <f t="shared" si="390"/>
        <v>0</v>
      </c>
      <c r="AF411" s="825">
        <f t="shared" si="391"/>
        <v>0</v>
      </c>
      <c r="AG411" s="743"/>
      <c r="AH411" s="728"/>
      <c r="AI411" s="519"/>
      <c r="AJ411" s="519"/>
      <c r="AK411" s="519"/>
      <c r="AL411" s="520"/>
      <c r="AM411" s="520"/>
      <c r="AN411" s="520"/>
      <c r="AO411" s="520"/>
      <c r="AP411" s="552"/>
      <c r="AQ411" s="552"/>
      <c r="AR411" s="552"/>
      <c r="AS411" s="552"/>
      <c r="AT411" s="552"/>
    </row>
    <row r="412" spans="1:46" s="555" customFormat="1" ht="22.5" customHeight="1">
      <c r="A412" s="620"/>
      <c r="B412" s="531" t="s">
        <v>1012</v>
      </c>
      <c r="C412" s="566" t="s">
        <v>127</v>
      </c>
      <c r="D412" s="1202" t="s">
        <v>1127</v>
      </c>
      <c r="E412" s="524" t="s">
        <v>319</v>
      </c>
      <c r="F412" s="1322">
        <f>K412</f>
        <v>95</v>
      </c>
      <c r="G412" s="527">
        <f t="shared" ref="G412:G418" si="422">ROUNDUP(AA412,2)</f>
        <v>3.84</v>
      </c>
      <c r="H412" s="527">
        <f t="shared" ref="H412:H418" si="423">ROUND(F412*G412,2)</f>
        <v>364.8</v>
      </c>
      <c r="I412" s="567"/>
      <c r="J412" s="309"/>
      <c r="K412" s="1149">
        <v>95</v>
      </c>
      <c r="L412" s="530">
        <f t="shared" ref="L412:L419" si="424">ROUND(AD412,2)</f>
        <v>3.94</v>
      </c>
      <c r="M412" s="530">
        <f t="shared" ref="M412:M419" si="425">ROUND(L412*F412,2)</f>
        <v>374.3</v>
      </c>
      <c r="N412" s="309"/>
      <c r="O412" s="778" t="s">
        <v>129</v>
      </c>
      <c r="P412" s="777"/>
      <c r="Q412" s="777"/>
      <c r="R412" s="751"/>
      <c r="S412" s="752">
        <v>76090</v>
      </c>
      <c r="T412" s="792">
        <v>3</v>
      </c>
      <c r="U412" s="803">
        <v>0</v>
      </c>
      <c r="V412" s="803">
        <v>0</v>
      </c>
      <c r="W412" s="803">
        <v>0</v>
      </c>
      <c r="X412" s="858">
        <v>1</v>
      </c>
      <c r="Y412" s="310">
        <f>ROUND((R412+S412/'[7]Summary E&amp;M'!$M$104)*X412,2)</f>
        <v>3.66</v>
      </c>
      <c r="Z412" s="858">
        <f t="shared" si="417"/>
        <v>1.05</v>
      </c>
      <c r="AA412" s="813">
        <f t="shared" ref="AA412:AA418" si="426">ROUND(Y412*Z412,2)</f>
        <v>3.84</v>
      </c>
      <c r="AB412" s="447">
        <f t="shared" ref="AB412:AB418" si="427">$AB$3</f>
        <v>0.05</v>
      </c>
      <c r="AC412" s="310">
        <f t="shared" si="363"/>
        <v>3.15</v>
      </c>
      <c r="AD412" s="717">
        <f>ROUND(AC412*'[8]Summary E&amp;M'!$R$94,2)</f>
        <v>3.94</v>
      </c>
      <c r="AE412" s="825">
        <f t="shared" si="390"/>
        <v>347.7</v>
      </c>
      <c r="AF412" s="825">
        <f t="shared" si="391"/>
        <v>299.25</v>
      </c>
      <c r="AG412" s="743"/>
      <c r="AH412" s="728"/>
      <c r="AI412" s="519">
        <f t="shared" ref="AI412:AI418" si="428">$U412</f>
        <v>0</v>
      </c>
      <c r="AJ412" s="519">
        <f t="shared" ref="AJ412:AJ418" si="429">$V412</f>
        <v>0</v>
      </c>
      <c r="AK412" s="519">
        <f t="shared" ref="AK412:AK418" si="430">$W412</f>
        <v>0</v>
      </c>
      <c r="AL412" s="520">
        <f>ROUND(Y412*AI412+((Y412*(1+AI412))*AJ412)+((Y412*AI412+((Y412*(1+AI412))*AJ412))*AK412),2)</f>
        <v>0</v>
      </c>
      <c r="AM412" s="520">
        <f>AL412*$F412</f>
        <v>0</v>
      </c>
      <c r="AN412" s="520">
        <f>ROUND(AL412*Z412,2)</f>
        <v>0</v>
      </c>
      <c r="AO412" s="520">
        <f>AN412*$F412</f>
        <v>0</v>
      </c>
      <c r="AP412" s="552"/>
      <c r="AQ412" s="552"/>
      <c r="AR412" s="552"/>
      <c r="AS412" s="552"/>
      <c r="AT412" s="552"/>
    </row>
    <row r="413" spans="1:46" s="555" customFormat="1" ht="22.5" customHeight="1">
      <c r="A413" s="620"/>
      <c r="B413" s="531" t="s">
        <v>403</v>
      </c>
      <c r="C413" s="566" t="s">
        <v>329</v>
      </c>
      <c r="D413" s="1202" t="s">
        <v>1111</v>
      </c>
      <c r="E413" s="524" t="s">
        <v>321</v>
      </c>
      <c r="F413" s="1314">
        <f>ROUND(K413*'Summary-E'!$K$61,0)</f>
        <v>1743</v>
      </c>
      <c r="G413" s="527">
        <f t="shared" si="422"/>
        <v>0.61</v>
      </c>
      <c r="H413" s="527">
        <f t="shared" si="423"/>
        <v>1063.23</v>
      </c>
      <c r="I413" s="567"/>
      <c r="J413" s="309"/>
      <c r="K413" s="1175">
        <v>1660</v>
      </c>
      <c r="L413" s="530">
        <f t="shared" si="424"/>
        <v>0.4</v>
      </c>
      <c r="M413" s="530">
        <f t="shared" si="425"/>
        <v>697.2</v>
      </c>
      <c r="N413" s="309"/>
      <c r="O413" s="776" t="s">
        <v>131</v>
      </c>
      <c r="P413" s="777"/>
      <c r="Q413" s="777"/>
      <c r="R413" s="751"/>
      <c r="S413" s="752">
        <v>12000</v>
      </c>
      <c r="T413" s="792">
        <v>0.3</v>
      </c>
      <c r="U413" s="803">
        <v>0</v>
      </c>
      <c r="V413" s="803">
        <v>0</v>
      </c>
      <c r="W413" s="803">
        <v>0</v>
      </c>
      <c r="X413" s="858">
        <v>1</v>
      </c>
      <c r="Y413" s="310">
        <f>ROUND((R413+S413/'[7]Summary E&amp;M'!$M$104)*X413,2)</f>
        <v>0.57999999999999996</v>
      </c>
      <c r="Z413" s="858">
        <f t="shared" si="417"/>
        <v>1.05</v>
      </c>
      <c r="AA413" s="813">
        <f t="shared" si="426"/>
        <v>0.61</v>
      </c>
      <c r="AB413" s="447">
        <f t="shared" si="427"/>
        <v>0.05</v>
      </c>
      <c r="AC413" s="310">
        <f t="shared" ref="AC413" si="431">ROUND((T413*(1+AB413)),2)</f>
        <v>0.32</v>
      </c>
      <c r="AD413" s="717">
        <f>ROUND(AC413*'[8]Summary E&amp;M'!$R$94,2)</f>
        <v>0.4</v>
      </c>
      <c r="AE413" s="825">
        <f t="shared" si="390"/>
        <v>962.8</v>
      </c>
      <c r="AF413" s="825">
        <f t="shared" si="391"/>
        <v>531.20000000000005</v>
      </c>
      <c r="AG413" s="743"/>
      <c r="AH413" s="728"/>
      <c r="AI413" s="519">
        <f t="shared" si="428"/>
        <v>0</v>
      </c>
      <c r="AJ413" s="519">
        <f t="shared" si="429"/>
        <v>0</v>
      </c>
      <c r="AK413" s="519">
        <f t="shared" si="430"/>
        <v>0</v>
      </c>
      <c r="AL413" s="520">
        <f t="shared" ref="AL413" si="432">ROUND(Y413*AI413+((Y413*(1+AI413))*AJ413)+((Y413*AI413+((Y413*(1+AI413))*AJ413))*AK413),2)</f>
        <v>0</v>
      </c>
      <c r="AM413" s="520">
        <f t="shared" ref="AM413" si="433">AL413*$F413</f>
        <v>0</v>
      </c>
      <c r="AN413" s="520">
        <f t="shared" ref="AN413" si="434">ROUND(AL413*Z413,2)</f>
        <v>0</v>
      </c>
      <c r="AO413" s="520">
        <f t="shared" ref="AO413" si="435">AN413*$F413</f>
        <v>0</v>
      </c>
      <c r="AP413" s="552"/>
      <c r="AQ413" s="552"/>
      <c r="AR413" s="552"/>
      <c r="AS413" s="552"/>
      <c r="AT413" s="552"/>
    </row>
    <row r="414" spans="1:46" s="555" customFormat="1" ht="22.5" customHeight="1">
      <c r="A414" s="570"/>
      <c r="B414" s="568" t="s">
        <v>333</v>
      </c>
      <c r="C414" s="569"/>
      <c r="D414" s="1202" t="s">
        <v>1113</v>
      </c>
      <c r="E414" s="571" t="s">
        <v>322</v>
      </c>
      <c r="F414" s="1322">
        <f>K414</f>
        <v>1</v>
      </c>
      <c r="G414" s="527">
        <f t="shared" si="422"/>
        <v>294.18</v>
      </c>
      <c r="H414" s="527">
        <f t="shared" si="423"/>
        <v>294.18</v>
      </c>
      <c r="I414" s="567"/>
      <c r="J414" s="309"/>
      <c r="K414" s="1149">
        <v>1</v>
      </c>
      <c r="L414" s="530">
        <f t="shared" si="424"/>
        <v>37.9</v>
      </c>
      <c r="M414" s="530">
        <f t="shared" si="425"/>
        <v>37.9</v>
      </c>
      <c r="N414" s="309"/>
      <c r="O414" s="778" t="s">
        <v>683</v>
      </c>
      <c r="P414" s="777">
        <v>0.3</v>
      </c>
      <c r="Q414" s="777"/>
      <c r="R414" s="751">
        <f>ROUND(SUM(AE413:AE413)*P414,2)</f>
        <v>288.83999999999997</v>
      </c>
      <c r="S414" s="752"/>
      <c r="T414" s="792">
        <f>ROUND(R414*10%,2)</f>
        <v>28.88</v>
      </c>
      <c r="U414" s="803">
        <v>0</v>
      </c>
      <c r="V414" s="803">
        <v>0</v>
      </c>
      <c r="W414" s="803">
        <v>0</v>
      </c>
      <c r="X414" s="858">
        <f>SUMIF('Summary-E'!O$4:O$50,D414,'Summary-E'!Q$4:Q$50)</f>
        <v>0.97</v>
      </c>
      <c r="Y414" s="310">
        <f>ROUND((R414+S414/'[7]Summary E&amp;M'!$M$104)*X414,2)</f>
        <v>280.17</v>
      </c>
      <c r="Z414" s="858">
        <f t="shared" si="417"/>
        <v>1.05</v>
      </c>
      <c r="AA414" s="813">
        <f t="shared" si="426"/>
        <v>294.18</v>
      </c>
      <c r="AB414" s="447">
        <f t="shared" si="427"/>
        <v>0.05</v>
      </c>
      <c r="AC414" s="310">
        <f t="shared" si="363"/>
        <v>30.32</v>
      </c>
      <c r="AD414" s="717">
        <f>ROUND(AC414*'[8]Summary E&amp;M'!$R$94,2)</f>
        <v>37.9</v>
      </c>
      <c r="AE414" s="825">
        <f t="shared" si="390"/>
        <v>280.17</v>
      </c>
      <c r="AF414" s="825">
        <f t="shared" si="391"/>
        <v>30.32</v>
      </c>
      <c r="AG414" s="743"/>
      <c r="AH414" s="728"/>
      <c r="AI414" s="519">
        <f t="shared" si="428"/>
        <v>0</v>
      </c>
      <c r="AJ414" s="519">
        <f t="shared" si="429"/>
        <v>0</v>
      </c>
      <c r="AK414" s="519">
        <f t="shared" si="430"/>
        <v>0</v>
      </c>
      <c r="AL414" s="520">
        <f t="shared" ref="AL414:AL418" si="436">ROUND(Y414*AI414+((Y414*(1+AI414))*AJ414)+((Y414*AI414+((Y414*(1+AI414))*AJ414))*AK414),2)</f>
        <v>0</v>
      </c>
      <c r="AM414" s="520">
        <f t="shared" ref="AM414:AM418" si="437">AL414*$F414</f>
        <v>0</v>
      </c>
      <c r="AN414" s="520">
        <f t="shared" ref="AN414:AN418" si="438">ROUND(AL414*Z414,2)</f>
        <v>0</v>
      </c>
      <c r="AO414" s="520">
        <f t="shared" ref="AO414:AO418" si="439">AN414*$F414</f>
        <v>0</v>
      </c>
      <c r="AP414" s="552"/>
      <c r="AQ414" s="552"/>
      <c r="AR414" s="552"/>
      <c r="AS414" s="552"/>
      <c r="AT414" s="552"/>
    </row>
    <row r="415" spans="1:46" s="555" customFormat="1" ht="22.5" customHeight="1">
      <c r="A415" s="451"/>
      <c r="B415" s="531" t="s">
        <v>334</v>
      </c>
      <c r="C415" s="566"/>
      <c r="D415" s="525" t="s">
        <v>139</v>
      </c>
      <c r="E415" s="524" t="s">
        <v>322</v>
      </c>
      <c r="F415" s="1322">
        <f>K415</f>
        <v>1</v>
      </c>
      <c r="G415" s="527">
        <f t="shared" si="422"/>
        <v>147.09</v>
      </c>
      <c r="H415" s="527">
        <f t="shared" si="423"/>
        <v>147.09</v>
      </c>
      <c r="I415" s="567"/>
      <c r="J415" s="309"/>
      <c r="K415" s="1149">
        <v>1</v>
      </c>
      <c r="L415" s="530">
        <f t="shared" si="424"/>
        <v>18.95</v>
      </c>
      <c r="M415" s="530">
        <f t="shared" si="425"/>
        <v>18.95</v>
      </c>
      <c r="N415" s="309"/>
      <c r="O415" s="778" t="s">
        <v>130</v>
      </c>
      <c r="P415" s="777">
        <v>0.15</v>
      </c>
      <c r="Q415" s="777"/>
      <c r="R415" s="751">
        <f>ROUND(SUM(AE413:AE413)*P415,2)</f>
        <v>144.41999999999999</v>
      </c>
      <c r="S415" s="752"/>
      <c r="T415" s="792">
        <f>ROUND(R415*10%,2)</f>
        <v>14.44</v>
      </c>
      <c r="U415" s="803">
        <v>0</v>
      </c>
      <c r="V415" s="803">
        <v>0</v>
      </c>
      <c r="W415" s="803">
        <v>0</v>
      </c>
      <c r="X415" s="858">
        <f>SUMIF('Summary-E'!O$4:O$50,D415,'Summary-E'!Q$4:Q$50)</f>
        <v>0.97</v>
      </c>
      <c r="Y415" s="310">
        <f>ROUND((R415+S415/'[7]Summary E&amp;M'!$M$104)*X415,2)</f>
        <v>140.09</v>
      </c>
      <c r="Z415" s="858">
        <f t="shared" si="417"/>
        <v>1.05</v>
      </c>
      <c r="AA415" s="813">
        <f t="shared" si="426"/>
        <v>147.09</v>
      </c>
      <c r="AB415" s="447">
        <f t="shared" si="427"/>
        <v>0.05</v>
      </c>
      <c r="AC415" s="310">
        <f t="shared" si="363"/>
        <v>15.16</v>
      </c>
      <c r="AD415" s="717">
        <f>ROUND(AC415*'[8]Summary E&amp;M'!$R$94,2)</f>
        <v>18.95</v>
      </c>
      <c r="AE415" s="825">
        <f t="shared" si="390"/>
        <v>140.09</v>
      </c>
      <c r="AF415" s="825">
        <f t="shared" si="391"/>
        <v>15.16</v>
      </c>
      <c r="AG415" s="743"/>
      <c r="AH415" s="728"/>
      <c r="AI415" s="519">
        <f t="shared" si="428"/>
        <v>0</v>
      </c>
      <c r="AJ415" s="519">
        <f t="shared" si="429"/>
        <v>0</v>
      </c>
      <c r="AK415" s="519">
        <f t="shared" si="430"/>
        <v>0</v>
      </c>
      <c r="AL415" s="520">
        <f t="shared" si="436"/>
        <v>0</v>
      </c>
      <c r="AM415" s="520">
        <f t="shared" si="437"/>
        <v>0</v>
      </c>
      <c r="AN415" s="520">
        <f t="shared" si="438"/>
        <v>0</v>
      </c>
      <c r="AO415" s="520">
        <f t="shared" si="439"/>
        <v>0</v>
      </c>
      <c r="AP415" s="552"/>
      <c r="AQ415" s="552"/>
      <c r="AR415" s="552"/>
      <c r="AS415" s="552"/>
      <c r="AT415" s="552"/>
    </row>
    <row r="416" spans="1:46" s="555" customFormat="1" ht="22.5" customHeight="1">
      <c r="A416" s="451"/>
      <c r="B416" s="531" t="s">
        <v>332</v>
      </c>
      <c r="C416" s="566" t="s">
        <v>1229</v>
      </c>
      <c r="D416" s="525">
        <v>131</v>
      </c>
      <c r="E416" s="524" t="s">
        <v>321</v>
      </c>
      <c r="F416" s="1314">
        <f>ROUND(K416*'Summary-E'!$K$61,0)</f>
        <v>2993</v>
      </c>
      <c r="G416" s="527">
        <f t="shared" si="422"/>
        <v>1.1100000000000001</v>
      </c>
      <c r="H416" s="527">
        <f t="shared" si="423"/>
        <v>3322.23</v>
      </c>
      <c r="I416" s="567"/>
      <c r="J416" s="309"/>
      <c r="K416" s="1149">
        <f>K412*30</f>
        <v>2850</v>
      </c>
      <c r="L416" s="530">
        <f t="shared" si="424"/>
        <v>0.26</v>
      </c>
      <c r="M416" s="530">
        <f t="shared" si="425"/>
        <v>778.18</v>
      </c>
      <c r="N416" s="309"/>
      <c r="O416" s="778">
        <v>131</v>
      </c>
      <c r="P416" s="777"/>
      <c r="Q416" s="777"/>
      <c r="R416" s="751"/>
      <c r="S416" s="752">
        <f>3*7600</f>
        <v>22800</v>
      </c>
      <c r="T416" s="792">
        <v>0.2</v>
      </c>
      <c r="U416" s="803">
        <v>0</v>
      </c>
      <c r="V416" s="803">
        <v>0</v>
      </c>
      <c r="W416" s="803">
        <v>0</v>
      </c>
      <c r="X416" s="858">
        <f>SUMIF('Summary-E'!O$4:O$50,D416,'Summary-E'!Q$4:Q$50)</f>
        <v>0.97</v>
      </c>
      <c r="Y416" s="310">
        <f>ROUND((R416+S416/'[7]Summary E&amp;M'!$M$104)*X416,2)</f>
        <v>1.06</v>
      </c>
      <c r="Z416" s="858">
        <f t="shared" si="417"/>
        <v>1.05</v>
      </c>
      <c r="AA416" s="813">
        <f t="shared" si="426"/>
        <v>1.1100000000000001</v>
      </c>
      <c r="AB416" s="447">
        <f t="shared" si="427"/>
        <v>0.05</v>
      </c>
      <c r="AC416" s="310">
        <f t="shared" si="363"/>
        <v>0.21</v>
      </c>
      <c r="AD416" s="717">
        <f>ROUND(AC416*'[8]Summary E&amp;M'!$R$94,2)</f>
        <v>0.26</v>
      </c>
      <c r="AE416" s="825">
        <f t="shared" si="390"/>
        <v>3021</v>
      </c>
      <c r="AF416" s="825">
        <f t="shared" si="391"/>
        <v>598.5</v>
      </c>
      <c r="AG416" s="743"/>
      <c r="AH416" s="728"/>
      <c r="AI416" s="519">
        <f t="shared" si="428"/>
        <v>0</v>
      </c>
      <c r="AJ416" s="519">
        <f t="shared" si="429"/>
        <v>0</v>
      </c>
      <c r="AK416" s="519">
        <f t="shared" si="430"/>
        <v>0</v>
      </c>
      <c r="AL416" s="520">
        <f t="shared" si="436"/>
        <v>0</v>
      </c>
      <c r="AM416" s="520">
        <f t="shared" si="437"/>
        <v>0</v>
      </c>
      <c r="AN416" s="520">
        <f t="shared" si="438"/>
        <v>0</v>
      </c>
      <c r="AO416" s="520">
        <f t="shared" si="439"/>
        <v>0</v>
      </c>
      <c r="AP416" s="552"/>
      <c r="AQ416" s="552"/>
      <c r="AR416" s="552"/>
      <c r="AS416" s="552"/>
      <c r="AT416" s="552"/>
    </row>
    <row r="417" spans="1:47" s="555" customFormat="1" ht="22.5" customHeight="1">
      <c r="A417" s="570"/>
      <c r="B417" s="531" t="s">
        <v>122</v>
      </c>
      <c r="C417" s="569"/>
      <c r="D417" s="525" t="s">
        <v>690</v>
      </c>
      <c r="E417" s="571" t="s">
        <v>322</v>
      </c>
      <c r="F417" s="1322">
        <f>K417</f>
        <v>1</v>
      </c>
      <c r="G417" s="527">
        <f t="shared" si="422"/>
        <v>92.31</v>
      </c>
      <c r="H417" s="527">
        <f t="shared" si="423"/>
        <v>92.31</v>
      </c>
      <c r="I417" s="567"/>
      <c r="J417" s="309"/>
      <c r="K417" s="1149">
        <v>1</v>
      </c>
      <c r="L417" s="530">
        <f t="shared" si="424"/>
        <v>11.89</v>
      </c>
      <c r="M417" s="530">
        <f t="shared" si="425"/>
        <v>11.89</v>
      </c>
      <c r="N417" s="309"/>
      <c r="O417" s="778" t="s">
        <v>690</v>
      </c>
      <c r="P417" s="777">
        <v>0.03</v>
      </c>
      <c r="Q417" s="777"/>
      <c r="R417" s="751">
        <f>ROUND(SUM(AE416:AE416)*P417,2)</f>
        <v>90.63</v>
      </c>
      <c r="S417" s="752"/>
      <c r="T417" s="792">
        <f>ROUND(R417*10%,2)</f>
        <v>9.06</v>
      </c>
      <c r="U417" s="803">
        <v>0</v>
      </c>
      <c r="V417" s="803">
        <v>0</v>
      </c>
      <c r="W417" s="803">
        <v>0</v>
      </c>
      <c r="X417" s="858">
        <f>SUMIF('Summary-E'!O$4:O$50,D417,'Summary-E'!Q$4:Q$50)</f>
        <v>0.97</v>
      </c>
      <c r="Y417" s="310">
        <f>ROUND((R417+S417/'[7]Summary E&amp;M'!$M$104)*X417,2)</f>
        <v>87.91</v>
      </c>
      <c r="Z417" s="858">
        <f t="shared" si="417"/>
        <v>1.05</v>
      </c>
      <c r="AA417" s="813">
        <f t="shared" si="426"/>
        <v>92.31</v>
      </c>
      <c r="AB417" s="447">
        <f t="shared" si="427"/>
        <v>0.05</v>
      </c>
      <c r="AC417" s="310">
        <f t="shared" si="363"/>
        <v>9.51</v>
      </c>
      <c r="AD417" s="717">
        <f>ROUND(AC417*'[8]Summary E&amp;M'!$R$94,2)</f>
        <v>11.89</v>
      </c>
      <c r="AE417" s="825">
        <f t="shared" si="390"/>
        <v>87.91</v>
      </c>
      <c r="AF417" s="825">
        <f t="shared" si="391"/>
        <v>9.51</v>
      </c>
      <c r="AG417" s="743"/>
      <c r="AH417" s="728"/>
      <c r="AI417" s="519">
        <f t="shared" si="428"/>
        <v>0</v>
      </c>
      <c r="AJ417" s="519">
        <f t="shared" si="429"/>
        <v>0</v>
      </c>
      <c r="AK417" s="519">
        <f t="shared" si="430"/>
        <v>0</v>
      </c>
      <c r="AL417" s="520">
        <f t="shared" si="436"/>
        <v>0</v>
      </c>
      <c r="AM417" s="520">
        <f t="shared" si="437"/>
        <v>0</v>
      </c>
      <c r="AN417" s="520">
        <f t="shared" si="438"/>
        <v>0</v>
      </c>
      <c r="AO417" s="520">
        <f t="shared" si="439"/>
        <v>0</v>
      </c>
      <c r="AP417" s="552"/>
      <c r="AQ417" s="552"/>
      <c r="AR417" s="552"/>
      <c r="AS417" s="552"/>
      <c r="AT417" s="552"/>
    </row>
    <row r="418" spans="1:47" s="555" customFormat="1" ht="22.5" customHeight="1">
      <c r="A418" s="570"/>
      <c r="B418" s="568" t="s">
        <v>401</v>
      </c>
      <c r="C418" s="569"/>
      <c r="D418" s="570">
        <v>159</v>
      </c>
      <c r="E418" s="571" t="s">
        <v>322</v>
      </c>
      <c r="F418" s="1322">
        <f>K418</f>
        <v>1</v>
      </c>
      <c r="G418" s="527">
        <f t="shared" si="422"/>
        <v>246.46</v>
      </c>
      <c r="H418" s="527">
        <f t="shared" si="423"/>
        <v>246.46</v>
      </c>
      <c r="I418" s="567"/>
      <c r="J418" s="309"/>
      <c r="K418" s="1149">
        <v>1</v>
      </c>
      <c r="L418" s="530">
        <f t="shared" si="424"/>
        <v>47.64</v>
      </c>
      <c r="M418" s="530">
        <f t="shared" si="425"/>
        <v>47.64</v>
      </c>
      <c r="N418" s="309"/>
      <c r="O418" s="778">
        <v>159</v>
      </c>
      <c r="P418" s="777">
        <v>0.05</v>
      </c>
      <c r="Q418" s="777"/>
      <c r="R418" s="751">
        <f>ROUND(SUM(AE411:AE417)*P418,2)</f>
        <v>241.98</v>
      </c>
      <c r="S418" s="752"/>
      <c r="T418" s="792">
        <f>R418*0.15</f>
        <v>36.296999999999997</v>
      </c>
      <c r="U418" s="803">
        <v>0</v>
      </c>
      <c r="V418" s="803">
        <v>0</v>
      </c>
      <c r="W418" s="803">
        <v>0</v>
      </c>
      <c r="X418" s="858">
        <f>SUMIF('Summary-E'!O$4:O$50,D418,'Summary-E'!Q$4:Q$50)</f>
        <v>0.97</v>
      </c>
      <c r="Y418" s="310">
        <f>ROUND((R418+S418/'[7]Summary E&amp;M'!$M$104)*X418,2)</f>
        <v>234.72</v>
      </c>
      <c r="Z418" s="858">
        <f t="shared" si="417"/>
        <v>1.05</v>
      </c>
      <c r="AA418" s="813">
        <f t="shared" si="426"/>
        <v>246.46</v>
      </c>
      <c r="AB418" s="447">
        <f t="shared" si="427"/>
        <v>0.05</v>
      </c>
      <c r="AC418" s="310">
        <f t="shared" si="363"/>
        <v>38.11</v>
      </c>
      <c r="AD418" s="717">
        <f>ROUND(AC418*'[8]Summary E&amp;M'!$R$94,2)</f>
        <v>47.64</v>
      </c>
      <c r="AE418" s="825">
        <f t="shared" si="390"/>
        <v>234.72</v>
      </c>
      <c r="AF418" s="825">
        <f t="shared" si="391"/>
        <v>38.11</v>
      </c>
      <c r="AG418" s="743"/>
      <c r="AH418" s="728"/>
      <c r="AI418" s="519">
        <f t="shared" si="428"/>
        <v>0</v>
      </c>
      <c r="AJ418" s="519">
        <f t="shared" si="429"/>
        <v>0</v>
      </c>
      <c r="AK418" s="519">
        <f t="shared" si="430"/>
        <v>0</v>
      </c>
      <c r="AL418" s="520">
        <f t="shared" si="436"/>
        <v>0</v>
      </c>
      <c r="AM418" s="520">
        <f t="shared" si="437"/>
        <v>0</v>
      </c>
      <c r="AN418" s="520">
        <f t="shared" si="438"/>
        <v>0</v>
      </c>
      <c r="AO418" s="520">
        <f t="shared" si="439"/>
        <v>0</v>
      </c>
      <c r="AP418" s="552"/>
      <c r="AQ418" s="552"/>
      <c r="AR418" s="552"/>
      <c r="AS418" s="552"/>
      <c r="AT418" s="552"/>
    </row>
    <row r="419" spans="1:47" s="555" customFormat="1" ht="22.5" customHeight="1">
      <c r="A419" s="620"/>
      <c r="B419" s="522"/>
      <c r="C419" s="566"/>
      <c r="D419" s="525"/>
      <c r="E419" s="524"/>
      <c r="F419" s="1314"/>
      <c r="G419" s="527"/>
      <c r="H419" s="527"/>
      <c r="I419" s="567"/>
      <c r="J419" s="309"/>
      <c r="K419" s="1149"/>
      <c r="L419" s="530">
        <f t="shared" si="424"/>
        <v>0</v>
      </c>
      <c r="M419" s="530">
        <f t="shared" si="425"/>
        <v>0</v>
      </c>
      <c r="N419" s="309"/>
      <c r="O419" s="778"/>
      <c r="P419" s="777"/>
      <c r="Q419" s="777"/>
      <c r="R419" s="751"/>
      <c r="S419" s="752"/>
      <c r="T419" s="792"/>
      <c r="U419" s="803"/>
      <c r="V419" s="803"/>
      <c r="W419" s="803"/>
      <c r="X419" s="858">
        <f>SUMIF('Summary-E'!O$4:O$50,D419,'Summary-E'!Q$4:Q$50)</f>
        <v>0</v>
      </c>
      <c r="Y419" s="310">
        <f>ROUND((R419+S419/'Summary-E'!$M$63)*X419,2)</f>
        <v>0</v>
      </c>
      <c r="Z419" s="858">
        <f t="shared" si="417"/>
        <v>1.05</v>
      </c>
      <c r="AA419" s="813"/>
      <c r="AB419" s="447"/>
      <c r="AC419" s="310">
        <f t="shared" si="363"/>
        <v>0</v>
      </c>
      <c r="AD419" s="717">
        <f>ROUND(AC419*'[1]Summary E&amp;M'!$R$94,2)</f>
        <v>0</v>
      </c>
      <c r="AE419" s="825">
        <f t="shared" si="390"/>
        <v>0</v>
      </c>
      <c r="AF419" s="825">
        <f t="shared" si="391"/>
        <v>0</v>
      </c>
      <c r="AG419" s="743"/>
      <c r="AH419" s="728"/>
      <c r="AI419" s="519"/>
      <c r="AJ419" s="519"/>
      <c r="AK419" s="519"/>
      <c r="AL419" s="520"/>
      <c r="AM419" s="520"/>
      <c r="AN419" s="520"/>
      <c r="AO419" s="520"/>
      <c r="AP419" s="552"/>
      <c r="AQ419" s="552"/>
      <c r="AR419" s="552"/>
      <c r="AS419" s="552"/>
      <c r="AT419" s="552"/>
    </row>
    <row r="420" spans="1:47" s="555" customFormat="1" ht="22.5" customHeight="1">
      <c r="A420" s="570"/>
      <c r="B420" s="568" t="s">
        <v>324</v>
      </c>
      <c r="C420" s="569"/>
      <c r="D420" s="525">
        <v>210</v>
      </c>
      <c r="E420" s="571" t="s">
        <v>319</v>
      </c>
      <c r="F420" s="1322">
        <f>K420</f>
        <v>1</v>
      </c>
      <c r="G420" s="527">
        <f>M422</f>
        <v>20219.140000000003</v>
      </c>
      <c r="H420" s="527">
        <f>ROUND(F420*G420,2)</f>
        <v>20219.14</v>
      </c>
      <c r="I420" s="567"/>
      <c r="J420" s="309"/>
      <c r="K420" s="1149">
        <v>1</v>
      </c>
      <c r="L420" s="530"/>
      <c r="M420" s="530"/>
      <c r="N420" s="309"/>
      <c r="O420" s="778">
        <v>210</v>
      </c>
      <c r="P420" s="777"/>
      <c r="Q420" s="777"/>
      <c r="R420" s="751"/>
      <c r="S420" s="752"/>
      <c r="T420" s="796"/>
      <c r="U420" s="803">
        <v>0</v>
      </c>
      <c r="V420" s="803">
        <v>0</v>
      </c>
      <c r="W420" s="803">
        <v>0</v>
      </c>
      <c r="X420" s="858">
        <f>SUMIF('Summary-E'!O$4:O$50,D420,'Summary-E'!Q$4:Q$50)</f>
        <v>0.05</v>
      </c>
      <c r="Y420" s="310">
        <f>ROUND((R420+S420/'Summary-E'!$M$63)*X420,2)</f>
        <v>0</v>
      </c>
      <c r="Z420" s="858">
        <f t="shared" si="417"/>
        <v>1.05</v>
      </c>
      <c r="AA420" s="813">
        <f>ROUND(Y420*Z420,2)</f>
        <v>0</v>
      </c>
      <c r="AB420" s="447">
        <f>$AB$3</f>
        <v>0.05</v>
      </c>
      <c r="AC420" s="310">
        <f t="shared" si="363"/>
        <v>0</v>
      </c>
      <c r="AD420" s="717">
        <f>ROUND(AC420*'[1]Summary E&amp;M'!$R$94,2)</f>
        <v>0</v>
      </c>
      <c r="AE420" s="825">
        <f t="shared" si="390"/>
        <v>0</v>
      </c>
      <c r="AF420" s="825">
        <f t="shared" si="391"/>
        <v>0</v>
      </c>
      <c r="AG420" s="743"/>
      <c r="AH420" s="728"/>
      <c r="AI420" s="519">
        <f>$U420</f>
        <v>0</v>
      </c>
      <c r="AJ420" s="519">
        <f>$V420</f>
        <v>0</v>
      </c>
      <c r="AK420" s="519">
        <f>$W420</f>
        <v>0</v>
      </c>
      <c r="AL420" s="520">
        <f>ROUND(Y420*AI420+((Y420*(1+AI420))*AJ420)+((Y420*AI420+((Y420*(1+AI420))*AJ420))*AK420),2)</f>
        <v>0</v>
      </c>
      <c r="AM420" s="520">
        <f>AL420*$F420</f>
        <v>0</v>
      </c>
      <c r="AN420" s="520">
        <f>ROUND(AL420*Z420,2)</f>
        <v>0</v>
      </c>
      <c r="AO420" s="520">
        <f>AN420*$F420</f>
        <v>0</v>
      </c>
      <c r="AP420" s="552"/>
      <c r="AQ420" s="552"/>
      <c r="AR420" s="552"/>
      <c r="AS420" s="552"/>
      <c r="AT420" s="552"/>
    </row>
    <row r="421" spans="1:47" s="555" customFormat="1" ht="22.5" customHeight="1">
      <c r="A421" s="616"/>
      <c r="B421" s="573"/>
      <c r="C421" s="574"/>
      <c r="D421" s="1205"/>
      <c r="E421" s="576"/>
      <c r="F421" s="1326"/>
      <c r="G421" s="577"/>
      <c r="H421" s="577"/>
      <c r="I421" s="578"/>
      <c r="J421" s="549"/>
      <c r="K421" s="1183"/>
      <c r="L421" s="550"/>
      <c r="M421" s="550"/>
      <c r="N421" s="549"/>
      <c r="O421" s="778"/>
      <c r="P421" s="777"/>
      <c r="Q421" s="777"/>
      <c r="R421" s="751"/>
      <c r="S421" s="752"/>
      <c r="T421" s="792"/>
      <c r="U421" s="803"/>
      <c r="V421" s="803"/>
      <c r="W421" s="803"/>
      <c r="X421" s="858">
        <f>SUMIF('Summary-E'!O$4:O$50,D421,'Summary-E'!Q$4:Q$50)</f>
        <v>0</v>
      </c>
      <c r="Y421" s="310">
        <f>ROUND((R421+S421/'Summary-E'!$M$63)*X421,2)</f>
        <v>0</v>
      </c>
      <c r="Z421" s="858">
        <f t="shared" si="417"/>
        <v>1.05</v>
      </c>
      <c r="AA421" s="816"/>
      <c r="AB421" s="552"/>
      <c r="AC421" s="310">
        <f t="shared" si="363"/>
        <v>0</v>
      </c>
      <c r="AD421" s="717">
        <f>ROUND(AC421*'[1]Summary E&amp;M'!$R$94,2)</f>
        <v>0</v>
      </c>
      <c r="AE421" s="835"/>
      <c r="AF421" s="835"/>
      <c r="AG421" s="738"/>
      <c r="AH421" s="737"/>
      <c r="AI421" s="552"/>
      <c r="AJ421" s="552"/>
      <c r="AK421" s="552"/>
      <c r="AL421" s="552"/>
      <c r="AM421" s="552"/>
      <c r="AN421" s="552"/>
      <c r="AO421" s="552"/>
      <c r="AP421" s="552"/>
      <c r="AQ421" s="552"/>
      <c r="AR421" s="552"/>
      <c r="AS421" s="552"/>
      <c r="AT421" s="552"/>
    </row>
    <row r="422" spans="1:47" s="711" customFormat="1" ht="22.5" customHeight="1">
      <c r="A422" s="973"/>
      <c r="B422" s="974" t="s">
        <v>429</v>
      </c>
      <c r="C422" s="979"/>
      <c r="D422" s="980"/>
      <c r="E422" s="976"/>
      <c r="F422" s="1317"/>
      <c r="G422" s="971"/>
      <c r="H422" s="971">
        <f>SUBTOTAL(9,H385:H421)</f>
        <v>102107.70999999999</v>
      </c>
      <c r="I422" s="981"/>
      <c r="J422" s="549"/>
      <c r="K422" s="1184"/>
      <c r="L422" s="550"/>
      <c r="M422" s="1051">
        <f>SUBTOTAL(9,M385:M420)</f>
        <v>20219.140000000003</v>
      </c>
      <c r="N422" s="549"/>
      <c r="O422" s="784"/>
      <c r="P422" s="780"/>
      <c r="Q422" s="780"/>
      <c r="R422" s="751"/>
      <c r="S422" s="752"/>
      <c r="T422" s="792"/>
      <c r="U422" s="803">
        <v>0</v>
      </c>
      <c r="V422" s="803">
        <v>0</v>
      </c>
      <c r="W422" s="803">
        <v>0</v>
      </c>
      <c r="X422" s="858">
        <f>SUMIF('Summary-E'!O$4:O$50,D422,'Summary-E'!Q$4:Q$50)</f>
        <v>0</v>
      </c>
      <c r="Y422" s="310">
        <f>ROUND((R422+S422/'Summary-E'!$M$63)*X422,2)</f>
        <v>0</v>
      </c>
      <c r="Z422" s="858">
        <f t="shared" si="417"/>
        <v>1.05</v>
      </c>
      <c r="AA422" s="816"/>
      <c r="AB422" s="552"/>
      <c r="AC422" s="310">
        <f t="shared" si="363"/>
        <v>0</v>
      </c>
      <c r="AD422" s="717">
        <f>ROUND(AC422*'[1]Summary E&amp;M'!$R$94,2)</f>
        <v>0</v>
      </c>
      <c r="AE422" s="823">
        <f>SUBTOTAL(9,AE385:AE421)</f>
        <v>76097.14</v>
      </c>
      <c r="AF422" s="823">
        <f>SUBTOTAL(9,AF385:AF421)</f>
        <v>15766.64</v>
      </c>
      <c r="AG422" s="614"/>
      <c r="AH422" s="730"/>
      <c r="AI422" s="713"/>
      <c r="AJ422" s="713"/>
      <c r="AK422" s="713"/>
      <c r="AL422" s="713"/>
      <c r="AM422" s="712">
        <f>SUBTOTAL(9,AM385:AM421)</f>
        <v>0</v>
      </c>
      <c r="AN422" s="713"/>
      <c r="AO422" s="712">
        <f>SUBTOTAL(9,AO385:AO421)</f>
        <v>0</v>
      </c>
      <c r="AP422" s="713"/>
      <c r="AQ422" s="713"/>
      <c r="AR422" s="713"/>
      <c r="AS422" s="713"/>
      <c r="AT422" s="713"/>
    </row>
    <row r="423" spans="1:47" s="555" customFormat="1" ht="22.5" customHeight="1">
      <c r="A423" s="545"/>
      <c r="B423" s="543"/>
      <c r="C423" s="544"/>
      <c r="D423" s="580"/>
      <c r="E423" s="581"/>
      <c r="F423" s="1320"/>
      <c r="G423" s="547"/>
      <c r="H423" s="547"/>
      <c r="I423" s="548"/>
      <c r="J423" s="549"/>
      <c r="K423" s="1179"/>
      <c r="L423" s="550"/>
      <c r="M423" s="550"/>
      <c r="N423" s="549"/>
      <c r="O423" s="778"/>
      <c r="P423" s="777"/>
      <c r="Q423" s="777"/>
      <c r="R423" s="751"/>
      <c r="S423" s="752"/>
      <c r="T423" s="792"/>
      <c r="U423" s="803"/>
      <c r="V423" s="803"/>
      <c r="W423" s="803"/>
      <c r="X423" s="858">
        <f>SUMIF('Summary-E'!O$4:O$50,D423,'Summary-E'!Q$4:Q$50)</f>
        <v>0</v>
      </c>
      <c r="Y423" s="310">
        <f>ROUND((R423+S423/'Summary-E'!$M$63)*X423,2)</f>
        <v>0</v>
      </c>
      <c r="Z423" s="858">
        <f t="shared" si="417"/>
        <v>1.05</v>
      </c>
      <c r="AA423" s="816"/>
      <c r="AB423" s="552"/>
      <c r="AC423" s="310">
        <f t="shared" si="363"/>
        <v>0</v>
      </c>
      <c r="AD423" s="717">
        <f>ROUND(AC423*'[1]Summary E&amp;M'!$R$94,2)</f>
        <v>0</v>
      </c>
      <c r="AE423" s="832"/>
      <c r="AF423" s="832"/>
      <c r="AG423" s="614"/>
      <c r="AH423" s="737"/>
      <c r="AI423" s="552"/>
      <c r="AJ423" s="552"/>
      <c r="AK423" s="552"/>
      <c r="AL423" s="552"/>
      <c r="AM423" s="553"/>
      <c r="AN423" s="552"/>
      <c r="AO423" s="553"/>
      <c r="AP423" s="552"/>
      <c r="AQ423" s="552"/>
      <c r="AR423" s="552"/>
      <c r="AS423" s="552"/>
      <c r="AT423" s="552"/>
    </row>
    <row r="424" spans="1:47" s="555" customFormat="1" ht="22.5" customHeight="1">
      <c r="A424" s="620" t="s">
        <v>413</v>
      </c>
      <c r="B424" s="1474" t="s">
        <v>735</v>
      </c>
      <c r="C424" s="1475"/>
      <c r="D424" s="450"/>
      <c r="E424" s="524"/>
      <c r="F424" s="1314"/>
      <c r="G424" s="527"/>
      <c r="H424" s="527"/>
      <c r="I424" s="567"/>
      <c r="J424" s="309"/>
      <c r="K424" s="1149"/>
      <c r="L424" s="530"/>
      <c r="M424" s="530"/>
      <c r="N424" s="309"/>
      <c r="O424" s="778"/>
      <c r="P424" s="777"/>
      <c r="Q424" s="777"/>
      <c r="R424" s="751"/>
      <c r="S424" s="752"/>
      <c r="T424" s="792"/>
      <c r="U424" s="803">
        <v>0</v>
      </c>
      <c r="V424" s="803">
        <v>0</v>
      </c>
      <c r="W424" s="803">
        <v>0</v>
      </c>
      <c r="X424" s="858">
        <f>SUMIF('Summary-E'!O$4:O$50,D424,'Summary-E'!Q$4:Q$50)</f>
        <v>0</v>
      </c>
      <c r="Y424" s="310">
        <f>ROUND((R424+S424/'Summary-E'!$M$63)*X424,2)</f>
        <v>0</v>
      </c>
      <c r="Z424" s="858">
        <f t="shared" si="417"/>
        <v>1.05</v>
      </c>
      <c r="AA424" s="816"/>
      <c r="AB424" s="552"/>
      <c r="AC424" s="310">
        <f t="shared" si="363"/>
        <v>0</v>
      </c>
      <c r="AD424" s="717">
        <f>ROUND(AC424*'[1]Summary E&amp;M'!$R$94,2)</f>
        <v>0</v>
      </c>
      <c r="AE424" s="825">
        <f t="shared" ref="AE424:AE448" si="440">ROUND($K424*$Y424,2)</f>
        <v>0</v>
      </c>
      <c r="AF424" s="825">
        <f t="shared" ref="AF424:AF448" si="441">ROUND($K424*$AC424,2)</f>
        <v>0</v>
      </c>
      <c r="AG424" s="743"/>
      <c r="AH424" s="737"/>
      <c r="AI424" s="552"/>
      <c r="AJ424" s="552"/>
      <c r="AK424" s="552"/>
      <c r="AL424" s="552"/>
      <c r="AM424" s="552"/>
      <c r="AN424" s="552"/>
      <c r="AO424" s="552"/>
      <c r="AP424" s="552"/>
      <c r="AQ424" s="552"/>
      <c r="AR424" s="552"/>
      <c r="AS424" s="552"/>
      <c r="AT424" s="552"/>
    </row>
    <row r="425" spans="1:47" s="555" customFormat="1" ht="22.5" customHeight="1">
      <c r="A425" s="620"/>
      <c r="B425" s="531" t="s">
        <v>697</v>
      </c>
      <c r="C425" s="523" t="s">
        <v>747</v>
      </c>
      <c r="D425" s="1240" t="s">
        <v>154</v>
      </c>
      <c r="E425" s="525" t="s">
        <v>319</v>
      </c>
      <c r="F425" s="1315">
        <f t="shared" ref="F425:F430" si="442">K425</f>
        <v>81</v>
      </c>
      <c r="G425" s="527">
        <f t="shared" ref="G425:G438" si="443">ROUNDUP(AA425,2)</f>
        <v>37.799999999999997</v>
      </c>
      <c r="H425" s="528">
        <f t="shared" ref="H425:H431" si="444">ROUND(F425*G425,2)</f>
        <v>3061.8</v>
      </c>
      <c r="I425" s="529"/>
      <c r="J425" s="309"/>
      <c r="K425" s="1175">
        <v>81</v>
      </c>
      <c r="L425" s="530">
        <f>ROUND(AD425,2)</f>
        <v>4.2</v>
      </c>
      <c r="M425" s="530">
        <f t="shared" ref="M425:M438" si="445">ROUND(L425*F425,2)</f>
        <v>340.2</v>
      </c>
      <c r="N425" s="309"/>
      <c r="O425" s="778" t="s">
        <v>154</v>
      </c>
      <c r="P425" s="777"/>
      <c r="Q425" s="777"/>
      <c r="R425" s="751">
        <v>36</v>
      </c>
      <c r="S425" s="752"/>
      <c r="T425" s="792">
        <v>4</v>
      </c>
      <c r="U425" s="803">
        <v>0</v>
      </c>
      <c r="V425" s="803">
        <v>0</v>
      </c>
      <c r="W425" s="803">
        <v>0</v>
      </c>
      <c r="X425" s="858">
        <v>1</v>
      </c>
      <c r="Y425" s="310">
        <f>ROUND((R425+S425/'[10]Summary E&amp;M (Origin)'!$M$102)*X425,2)</f>
        <v>36</v>
      </c>
      <c r="Z425" s="858">
        <f t="shared" si="417"/>
        <v>1.05</v>
      </c>
      <c r="AA425" s="813">
        <f>ROUND(Y425*Z425,2)</f>
        <v>37.799999999999997</v>
      </c>
      <c r="AB425" s="447">
        <f t="shared" ref="AB425:AB438" si="446">$AB$3</f>
        <v>0.05</v>
      </c>
      <c r="AC425" s="310">
        <f t="shared" si="363"/>
        <v>4.2</v>
      </c>
      <c r="AD425" s="717">
        <f t="shared" ref="AD425:AD438" si="447">ROUND(AC425*1,2)</f>
        <v>4.2</v>
      </c>
      <c r="AE425" s="826">
        <f t="shared" si="440"/>
        <v>2916</v>
      </c>
      <c r="AF425" s="826">
        <f t="shared" si="441"/>
        <v>340.2</v>
      </c>
      <c r="AG425" s="744"/>
      <c r="AH425" s="728"/>
      <c r="AI425" s="519">
        <f t="shared" ref="AI425:AI434" si="448">$U425</f>
        <v>0</v>
      </c>
      <c r="AJ425" s="519">
        <f t="shared" ref="AJ425:AJ434" si="449">$V425</f>
        <v>0</v>
      </c>
      <c r="AK425" s="519">
        <f t="shared" ref="AK425:AK434" si="450">$W425</f>
        <v>0</v>
      </c>
      <c r="AL425" s="520">
        <f t="shared" ref="AL425:AL430" si="451">ROUND(Y425*AI425+((Y425*(1+AI425))*AJ425)+((Y425*AI425+((Y425*(1+AI425))*AJ425))*AK425),2)</f>
        <v>0</v>
      </c>
      <c r="AM425" s="520">
        <f t="shared" ref="AM425:AM430" si="452">AL425*$F425</f>
        <v>0</v>
      </c>
      <c r="AN425" s="520">
        <f t="shared" ref="AN425:AN430" si="453">ROUND(AL425*Z425,2)</f>
        <v>0</v>
      </c>
      <c r="AO425" s="520">
        <f t="shared" ref="AO425:AO430" si="454">AN425*$F425</f>
        <v>0</v>
      </c>
      <c r="AP425" s="719"/>
      <c r="AQ425" s="719"/>
      <c r="AR425" s="719"/>
      <c r="AS425" s="719"/>
      <c r="AT425" s="719"/>
    </row>
    <row r="426" spans="1:47" s="555" customFormat="1" ht="22.5" customHeight="1">
      <c r="A426" s="620"/>
      <c r="B426" s="531" t="s">
        <v>1013</v>
      </c>
      <c r="C426" s="523" t="s">
        <v>779</v>
      </c>
      <c r="D426" s="1240" t="s">
        <v>154</v>
      </c>
      <c r="E426" s="525" t="s">
        <v>319</v>
      </c>
      <c r="F426" s="1315">
        <f t="shared" si="442"/>
        <v>4</v>
      </c>
      <c r="G426" s="527">
        <f>ROUNDUP(AA426,2)</f>
        <v>384.3</v>
      </c>
      <c r="H426" s="528">
        <f t="shared" si="444"/>
        <v>1537.2</v>
      </c>
      <c r="I426" s="529"/>
      <c r="J426" s="309"/>
      <c r="K426" s="1175">
        <v>4</v>
      </c>
      <c r="L426" s="530">
        <f>ROUND(AD426,2)</f>
        <v>6.3</v>
      </c>
      <c r="M426" s="530">
        <f t="shared" si="445"/>
        <v>25.2</v>
      </c>
      <c r="N426" s="309"/>
      <c r="O426" s="778" t="s">
        <v>154</v>
      </c>
      <c r="P426" s="777"/>
      <c r="Q426" s="777"/>
      <c r="R426" s="751">
        <v>366</v>
      </c>
      <c r="S426" s="752"/>
      <c r="T426" s="792">
        <v>6</v>
      </c>
      <c r="U426" s="803">
        <v>0</v>
      </c>
      <c r="V426" s="803">
        <v>0</v>
      </c>
      <c r="W426" s="803">
        <v>0</v>
      </c>
      <c r="X426" s="858">
        <v>1</v>
      </c>
      <c r="Y426" s="310">
        <f>ROUND((R426+S426/'[10]Summary E&amp;M (Origin)'!$M$102)*X426,2)</f>
        <v>366</v>
      </c>
      <c r="Z426" s="858">
        <f t="shared" si="417"/>
        <v>1.05</v>
      </c>
      <c r="AA426" s="813">
        <f>ROUND(Y426*Z426,2)</f>
        <v>384.3</v>
      </c>
      <c r="AB426" s="447">
        <f t="shared" si="446"/>
        <v>0.05</v>
      </c>
      <c r="AC426" s="310">
        <f>ROUND((T426*(1+AB426)),2)</f>
        <v>6.3</v>
      </c>
      <c r="AD426" s="717">
        <f t="shared" si="447"/>
        <v>6.3</v>
      </c>
      <c r="AE426" s="826">
        <f t="shared" si="440"/>
        <v>1464</v>
      </c>
      <c r="AF426" s="826">
        <f t="shared" si="441"/>
        <v>25.2</v>
      </c>
      <c r="AG426" s="744"/>
      <c r="AH426" s="728"/>
      <c r="AI426" s="519">
        <f t="shared" si="448"/>
        <v>0</v>
      </c>
      <c r="AJ426" s="519">
        <f t="shared" si="449"/>
        <v>0</v>
      </c>
      <c r="AK426" s="519">
        <f t="shared" si="450"/>
        <v>0</v>
      </c>
      <c r="AL426" s="520">
        <f t="shared" si="451"/>
        <v>0</v>
      </c>
      <c r="AM426" s="520">
        <f t="shared" si="452"/>
        <v>0</v>
      </c>
      <c r="AN426" s="520">
        <f t="shared" si="453"/>
        <v>0</v>
      </c>
      <c r="AO426" s="520">
        <f t="shared" si="454"/>
        <v>0</v>
      </c>
      <c r="AP426" s="719"/>
      <c r="AQ426" s="719"/>
      <c r="AR426" s="719"/>
      <c r="AS426" s="719"/>
      <c r="AT426" s="719"/>
    </row>
    <row r="427" spans="1:47" s="555" customFormat="1" ht="22.5" customHeight="1">
      <c r="A427" s="620"/>
      <c r="B427" s="531" t="s">
        <v>1014</v>
      </c>
      <c r="C427" s="523" t="s">
        <v>698</v>
      </c>
      <c r="D427" s="1240" t="s">
        <v>154</v>
      </c>
      <c r="E427" s="525" t="s">
        <v>319</v>
      </c>
      <c r="F427" s="1315">
        <f t="shared" si="442"/>
        <v>8</v>
      </c>
      <c r="G427" s="527">
        <f t="shared" si="443"/>
        <v>35.700000000000003</v>
      </c>
      <c r="H427" s="528">
        <f t="shared" si="444"/>
        <v>285.60000000000002</v>
      </c>
      <c r="I427" s="529"/>
      <c r="J427" s="309"/>
      <c r="K427" s="1175">
        <v>8</v>
      </c>
      <c r="L427" s="530">
        <f t="shared" ref="L427:L434" si="455">ROUND(AD427,2)</f>
        <v>4.2</v>
      </c>
      <c r="M427" s="530">
        <f t="shared" si="445"/>
        <v>33.6</v>
      </c>
      <c r="N427" s="309"/>
      <c r="O427" s="778" t="s">
        <v>154</v>
      </c>
      <c r="P427" s="777"/>
      <c r="Q427" s="777"/>
      <c r="R427" s="751">
        <v>34</v>
      </c>
      <c r="S427" s="752"/>
      <c r="T427" s="792">
        <v>4</v>
      </c>
      <c r="U427" s="803">
        <v>0</v>
      </c>
      <c r="V427" s="803">
        <v>0</v>
      </c>
      <c r="W427" s="803">
        <v>0</v>
      </c>
      <c r="X427" s="858">
        <v>1</v>
      </c>
      <c r="Y427" s="310">
        <f>ROUND((R427+S427/'[10]Summary E&amp;M (Origin)'!$M$102)*X427,2)</f>
        <v>34</v>
      </c>
      <c r="Z427" s="858">
        <f t="shared" si="417"/>
        <v>1.05</v>
      </c>
      <c r="AA427" s="813">
        <f t="shared" ref="AA427:AA434" si="456">ROUND(Y427*Z427,2)</f>
        <v>35.700000000000003</v>
      </c>
      <c r="AB427" s="447">
        <f t="shared" si="446"/>
        <v>0.05</v>
      </c>
      <c r="AC427" s="310">
        <f t="shared" si="363"/>
        <v>4.2</v>
      </c>
      <c r="AD427" s="717">
        <f t="shared" si="447"/>
        <v>4.2</v>
      </c>
      <c r="AE427" s="826">
        <f t="shared" si="440"/>
        <v>272</v>
      </c>
      <c r="AF427" s="826">
        <f t="shared" si="441"/>
        <v>33.6</v>
      </c>
      <c r="AG427" s="744"/>
      <c r="AH427" s="728"/>
      <c r="AI427" s="519">
        <f t="shared" si="448"/>
        <v>0</v>
      </c>
      <c r="AJ427" s="519">
        <f t="shared" si="449"/>
        <v>0</v>
      </c>
      <c r="AK427" s="519">
        <f t="shared" si="450"/>
        <v>0</v>
      </c>
      <c r="AL427" s="520">
        <f t="shared" si="451"/>
        <v>0</v>
      </c>
      <c r="AM427" s="520">
        <f t="shared" si="452"/>
        <v>0</v>
      </c>
      <c r="AN427" s="520">
        <f t="shared" si="453"/>
        <v>0</v>
      </c>
      <c r="AO427" s="520">
        <f t="shared" si="454"/>
        <v>0</v>
      </c>
      <c r="AP427" s="719"/>
      <c r="AQ427" s="719"/>
      <c r="AR427" s="719"/>
      <c r="AS427" s="719"/>
      <c r="AT427" s="719"/>
    </row>
    <row r="428" spans="1:47" s="555" customFormat="1" ht="22.5" customHeight="1">
      <c r="A428" s="620"/>
      <c r="B428" s="531" t="s">
        <v>699</v>
      </c>
      <c r="C428" s="523" t="s">
        <v>336</v>
      </c>
      <c r="D428" s="1239" t="s">
        <v>129</v>
      </c>
      <c r="E428" s="525" t="s">
        <v>319</v>
      </c>
      <c r="F428" s="1315">
        <f t="shared" si="442"/>
        <v>6</v>
      </c>
      <c r="G428" s="527">
        <f t="shared" si="443"/>
        <v>7.88</v>
      </c>
      <c r="H428" s="528">
        <f t="shared" si="444"/>
        <v>47.28</v>
      </c>
      <c r="I428" s="529"/>
      <c r="J428" s="309"/>
      <c r="K428" s="1175">
        <v>6</v>
      </c>
      <c r="L428" s="530">
        <f t="shared" si="455"/>
        <v>3.68</v>
      </c>
      <c r="M428" s="530">
        <f t="shared" si="445"/>
        <v>22.08</v>
      </c>
      <c r="N428" s="309"/>
      <c r="O428" s="778" t="s">
        <v>129</v>
      </c>
      <c r="P428" s="777"/>
      <c r="Q428" s="777"/>
      <c r="R428" s="751">
        <v>7.5</v>
      </c>
      <c r="S428" s="752"/>
      <c r="T428" s="783">
        <v>3.5</v>
      </c>
      <c r="U428" s="803">
        <v>0</v>
      </c>
      <c r="V428" s="803">
        <v>0</v>
      </c>
      <c r="W428" s="803">
        <v>0</v>
      </c>
      <c r="X428" s="858">
        <v>1</v>
      </c>
      <c r="Y428" s="310">
        <f>ROUND((R428+S428/'[10]Summary E&amp;M (Origin)'!$M$102)*X428,2)</f>
        <v>7.5</v>
      </c>
      <c r="Z428" s="858">
        <f t="shared" si="417"/>
        <v>1.05</v>
      </c>
      <c r="AA428" s="813">
        <f t="shared" si="456"/>
        <v>7.88</v>
      </c>
      <c r="AB428" s="447">
        <f t="shared" si="446"/>
        <v>0.05</v>
      </c>
      <c r="AC428" s="310">
        <f t="shared" si="363"/>
        <v>3.68</v>
      </c>
      <c r="AD428" s="717">
        <f t="shared" si="447"/>
        <v>3.68</v>
      </c>
      <c r="AE428" s="826">
        <f t="shared" si="440"/>
        <v>45</v>
      </c>
      <c r="AF428" s="826">
        <f t="shared" si="441"/>
        <v>22.08</v>
      </c>
      <c r="AG428" s="744"/>
      <c r="AH428" s="728"/>
      <c r="AI428" s="519">
        <f t="shared" si="448"/>
        <v>0</v>
      </c>
      <c r="AJ428" s="519">
        <f t="shared" si="449"/>
        <v>0</v>
      </c>
      <c r="AK428" s="519">
        <f t="shared" si="450"/>
        <v>0</v>
      </c>
      <c r="AL428" s="520">
        <f t="shared" si="451"/>
        <v>0</v>
      </c>
      <c r="AM428" s="520">
        <f t="shared" si="452"/>
        <v>0</v>
      </c>
      <c r="AN428" s="520">
        <f t="shared" si="453"/>
        <v>0</v>
      </c>
      <c r="AO428" s="520">
        <f t="shared" si="454"/>
        <v>0</v>
      </c>
      <c r="AP428" s="719"/>
      <c r="AQ428" s="719"/>
      <c r="AR428" s="719"/>
      <c r="AS428" s="719"/>
      <c r="AT428" s="719"/>
    </row>
    <row r="429" spans="1:47" s="555" customFormat="1" ht="22.5" customHeight="1">
      <c r="A429" s="620"/>
      <c r="B429" s="531" t="s">
        <v>715</v>
      </c>
      <c r="C429" s="523" t="s">
        <v>182</v>
      </c>
      <c r="D429" s="1239" t="s">
        <v>129</v>
      </c>
      <c r="E429" s="525" t="s">
        <v>319</v>
      </c>
      <c r="F429" s="1315">
        <f t="shared" si="442"/>
        <v>18</v>
      </c>
      <c r="G429" s="527">
        <f t="shared" si="443"/>
        <v>26.25</v>
      </c>
      <c r="H429" s="528">
        <f t="shared" si="444"/>
        <v>472.5</v>
      </c>
      <c r="I429" s="529"/>
      <c r="J429" s="309"/>
      <c r="K429" s="1175">
        <v>18</v>
      </c>
      <c r="L429" s="530">
        <f t="shared" si="455"/>
        <v>3.68</v>
      </c>
      <c r="M429" s="530">
        <f t="shared" si="445"/>
        <v>66.239999999999995</v>
      </c>
      <c r="N429" s="309"/>
      <c r="O429" s="778" t="s">
        <v>129</v>
      </c>
      <c r="P429" s="777"/>
      <c r="Q429" s="777"/>
      <c r="R429" s="751">
        <v>25</v>
      </c>
      <c r="S429" s="752"/>
      <c r="T429" s="783">
        <v>3.5</v>
      </c>
      <c r="U429" s="803">
        <v>0</v>
      </c>
      <c r="V429" s="803">
        <v>0</v>
      </c>
      <c r="W429" s="803">
        <v>0</v>
      </c>
      <c r="X429" s="858">
        <v>1</v>
      </c>
      <c r="Y429" s="310">
        <f>ROUND((R429+S429/'[10]Summary E&amp;M (Origin)'!$M$102)*X429,2)</f>
        <v>25</v>
      </c>
      <c r="Z429" s="858">
        <f t="shared" si="417"/>
        <v>1.05</v>
      </c>
      <c r="AA429" s="813">
        <f t="shared" si="456"/>
        <v>26.25</v>
      </c>
      <c r="AB429" s="447">
        <f t="shared" si="446"/>
        <v>0.05</v>
      </c>
      <c r="AC429" s="310">
        <f t="shared" si="363"/>
        <v>3.68</v>
      </c>
      <c r="AD429" s="717">
        <f t="shared" si="447"/>
        <v>3.68</v>
      </c>
      <c r="AE429" s="826">
        <f t="shared" si="440"/>
        <v>450</v>
      </c>
      <c r="AF429" s="826">
        <f t="shared" si="441"/>
        <v>66.239999999999995</v>
      </c>
      <c r="AG429" s="744"/>
      <c r="AH429" s="728"/>
      <c r="AI429" s="519">
        <f t="shared" si="448"/>
        <v>0</v>
      </c>
      <c r="AJ429" s="519">
        <f t="shared" si="449"/>
        <v>0</v>
      </c>
      <c r="AK429" s="519">
        <f t="shared" si="450"/>
        <v>0</v>
      </c>
      <c r="AL429" s="520">
        <f t="shared" si="451"/>
        <v>0</v>
      </c>
      <c r="AM429" s="520">
        <f t="shared" si="452"/>
        <v>0</v>
      </c>
      <c r="AN429" s="520">
        <f t="shared" si="453"/>
        <v>0</v>
      </c>
      <c r="AO429" s="520">
        <f t="shared" si="454"/>
        <v>0</v>
      </c>
      <c r="AP429" s="719"/>
      <c r="AQ429" s="719"/>
      <c r="AR429" s="719"/>
      <c r="AS429" s="719"/>
      <c r="AT429" s="719"/>
    </row>
    <row r="430" spans="1:47" s="555" customFormat="1" ht="22.5" customHeight="1">
      <c r="A430" s="620"/>
      <c r="B430" s="531" t="s">
        <v>1015</v>
      </c>
      <c r="C430" s="523" t="s">
        <v>182</v>
      </c>
      <c r="D430" s="1239" t="s">
        <v>129</v>
      </c>
      <c r="E430" s="525" t="s">
        <v>319</v>
      </c>
      <c r="F430" s="1315">
        <f t="shared" si="442"/>
        <v>9</v>
      </c>
      <c r="G430" s="527">
        <f>ROUNDUP(AA430,2)</f>
        <v>131.25</v>
      </c>
      <c r="H430" s="528">
        <f t="shared" si="444"/>
        <v>1181.25</v>
      </c>
      <c r="I430" s="529"/>
      <c r="J430" s="309"/>
      <c r="K430" s="1175">
        <v>9</v>
      </c>
      <c r="L430" s="530">
        <f>ROUND(AD430,2)</f>
        <v>3.68</v>
      </c>
      <c r="M430" s="530">
        <f t="shared" si="445"/>
        <v>33.119999999999997</v>
      </c>
      <c r="N430" s="309"/>
      <c r="O430" s="778" t="s">
        <v>129</v>
      </c>
      <c r="P430" s="777"/>
      <c r="Q430" s="777"/>
      <c r="R430" s="751">
        <v>125</v>
      </c>
      <c r="S430" s="752"/>
      <c r="T430" s="783">
        <v>3.5</v>
      </c>
      <c r="U430" s="803">
        <v>0</v>
      </c>
      <c r="V430" s="803">
        <v>0</v>
      </c>
      <c r="W430" s="803">
        <v>0</v>
      </c>
      <c r="X430" s="858">
        <v>1</v>
      </c>
      <c r="Y430" s="310">
        <f>ROUND((R430+S430/'[10]Summary E&amp;M (Origin)'!$M$102)*X430,2)</f>
        <v>125</v>
      </c>
      <c r="Z430" s="858">
        <f t="shared" si="417"/>
        <v>1.05</v>
      </c>
      <c r="AA430" s="813">
        <f>ROUND(Y430*Z430,2)</f>
        <v>131.25</v>
      </c>
      <c r="AB430" s="447">
        <f t="shared" si="446"/>
        <v>0.05</v>
      </c>
      <c r="AC430" s="310">
        <f>ROUND((T430*(1+AB430)),2)</f>
        <v>3.68</v>
      </c>
      <c r="AD430" s="717">
        <f t="shared" si="447"/>
        <v>3.68</v>
      </c>
      <c r="AE430" s="826">
        <f t="shared" si="440"/>
        <v>1125</v>
      </c>
      <c r="AF430" s="826">
        <f t="shared" si="441"/>
        <v>33.119999999999997</v>
      </c>
      <c r="AG430" s="744"/>
      <c r="AH430" s="728"/>
      <c r="AI430" s="519">
        <f t="shared" si="448"/>
        <v>0</v>
      </c>
      <c r="AJ430" s="519">
        <f t="shared" si="449"/>
        <v>0</v>
      </c>
      <c r="AK430" s="519">
        <f t="shared" si="450"/>
        <v>0</v>
      </c>
      <c r="AL430" s="520">
        <f t="shared" si="451"/>
        <v>0</v>
      </c>
      <c r="AM430" s="520">
        <f t="shared" si="452"/>
        <v>0</v>
      </c>
      <c r="AN430" s="520">
        <f t="shared" si="453"/>
        <v>0</v>
      </c>
      <c r="AO430" s="520">
        <f t="shared" si="454"/>
        <v>0</v>
      </c>
      <c r="AP430" s="719"/>
      <c r="AQ430" s="719"/>
      <c r="AR430" s="719"/>
      <c r="AS430" s="719"/>
      <c r="AT430" s="719"/>
    </row>
    <row r="431" spans="1:47" s="555" customFormat="1" ht="22.5" customHeight="1">
      <c r="A431" s="451"/>
      <c r="B431" s="531" t="s">
        <v>1016</v>
      </c>
      <c r="C431" s="523" t="s">
        <v>786</v>
      </c>
      <c r="D431" s="525">
        <v>121</v>
      </c>
      <c r="E431" s="525" t="s">
        <v>321</v>
      </c>
      <c r="F431" s="1314">
        <f>ROUND(K431*'[6]Summary E&amp;M'!$K$91,0)</f>
        <v>252</v>
      </c>
      <c r="G431" s="527">
        <f t="shared" si="443"/>
        <v>13.63</v>
      </c>
      <c r="H431" s="528">
        <f t="shared" si="444"/>
        <v>3434.76</v>
      </c>
      <c r="I431" s="529"/>
      <c r="J431" s="309"/>
      <c r="K431" s="1175">
        <v>240</v>
      </c>
      <c r="L431" s="530">
        <f>ROUND(AD431,2)</f>
        <v>1.26</v>
      </c>
      <c r="M431" s="530">
        <f t="shared" si="445"/>
        <v>317.52</v>
      </c>
      <c r="N431" s="309"/>
      <c r="O431" s="778">
        <v>121</v>
      </c>
      <c r="P431" s="777"/>
      <c r="Q431" s="777"/>
      <c r="R431" s="751"/>
      <c r="S431" s="752">
        <v>270000</v>
      </c>
      <c r="T431" s="792">
        <v>1.2</v>
      </c>
      <c r="U431" s="803">
        <v>0</v>
      </c>
      <c r="V431" s="803">
        <v>0</v>
      </c>
      <c r="W431" s="803">
        <v>0</v>
      </c>
      <c r="X431" s="858">
        <v>1</v>
      </c>
      <c r="Y431" s="310">
        <f>ROUND((R431+S431/'[10]Summary E&amp;M (Origin)'!$M$102)*X431,2)</f>
        <v>12.98</v>
      </c>
      <c r="Z431" s="858">
        <f t="shared" si="417"/>
        <v>1.05</v>
      </c>
      <c r="AA431" s="813">
        <f>ROUND(Y431*Z431,2)</f>
        <v>13.63</v>
      </c>
      <c r="AB431" s="447">
        <f t="shared" si="446"/>
        <v>0.05</v>
      </c>
      <c r="AC431" s="310">
        <f t="shared" si="363"/>
        <v>1.26</v>
      </c>
      <c r="AD431" s="717">
        <f t="shared" si="447"/>
        <v>1.26</v>
      </c>
      <c r="AE431" s="826">
        <f t="shared" si="440"/>
        <v>3115.2</v>
      </c>
      <c r="AF431" s="826">
        <f t="shared" si="441"/>
        <v>302.39999999999998</v>
      </c>
      <c r="AG431" s="744"/>
      <c r="AH431" s="732"/>
      <c r="AI431" s="723"/>
      <c r="AJ431" s="519">
        <f>$U431</f>
        <v>0</v>
      </c>
      <c r="AK431" s="519">
        <f>$V431</f>
        <v>0</v>
      </c>
      <c r="AL431" s="519">
        <f>$W431</f>
        <v>0</v>
      </c>
      <c r="AM431" s="520">
        <f>ROUND(Y431*AJ431+((Y431*(1+AJ431))*AK431)+((Y431*AJ431+((Y431*(1+AJ431))*AK431))*AL431),2)</f>
        <v>0</v>
      </c>
      <c r="AN431" s="520">
        <f>AM431*$F431</f>
        <v>0</v>
      </c>
      <c r="AO431" s="520">
        <f>ROUND(AM431*Z431,2)</f>
        <v>0</v>
      </c>
      <c r="AP431" s="520">
        <f>AO431*$F431</f>
        <v>0</v>
      </c>
      <c r="AQ431" s="719"/>
      <c r="AR431" s="719"/>
      <c r="AS431" s="719"/>
      <c r="AT431" s="719"/>
      <c r="AU431" s="643"/>
    </row>
    <row r="432" spans="1:47" s="555" customFormat="1" ht="22.5" customHeight="1">
      <c r="A432" s="451"/>
      <c r="B432" s="531" t="s">
        <v>1017</v>
      </c>
      <c r="C432" s="523" t="s">
        <v>786</v>
      </c>
      <c r="D432" s="525">
        <v>121</v>
      </c>
      <c r="E432" s="524" t="s">
        <v>321</v>
      </c>
      <c r="F432" s="1314">
        <f>ROUND(K432*'[6]Summary E&amp;M'!$K$91,0)</f>
        <v>36</v>
      </c>
      <c r="G432" s="527">
        <f t="shared" si="443"/>
        <v>20.190000000000001</v>
      </c>
      <c r="H432" s="528">
        <f>F432*G432</f>
        <v>726.84</v>
      </c>
      <c r="I432" s="567"/>
      <c r="J432" s="582"/>
      <c r="K432" s="1149">
        <v>34</v>
      </c>
      <c r="L432" s="530">
        <f t="shared" si="455"/>
        <v>3.68</v>
      </c>
      <c r="M432" s="530">
        <f t="shared" si="445"/>
        <v>132.47999999999999</v>
      </c>
      <c r="N432" s="1053"/>
      <c r="O432" s="776" t="s">
        <v>131</v>
      </c>
      <c r="P432" s="777"/>
      <c r="Q432" s="777"/>
      <c r="R432" s="751"/>
      <c r="S432" s="752">
        <v>400000</v>
      </c>
      <c r="T432" s="792">
        <v>3.5</v>
      </c>
      <c r="U432" s="803">
        <v>0</v>
      </c>
      <c r="V432" s="803">
        <v>0</v>
      </c>
      <c r="W432" s="803">
        <v>0</v>
      </c>
      <c r="X432" s="858">
        <v>1</v>
      </c>
      <c r="Y432" s="310">
        <f>ROUND((R432+S432/'[10]Summary E&amp;M (Origin)'!$M$102)*X432,2)</f>
        <v>19.23</v>
      </c>
      <c r="Z432" s="858">
        <f t="shared" si="417"/>
        <v>1.05</v>
      </c>
      <c r="AA432" s="813">
        <f t="shared" si="456"/>
        <v>20.190000000000001</v>
      </c>
      <c r="AB432" s="447">
        <f t="shared" si="446"/>
        <v>0.05</v>
      </c>
      <c r="AC432" s="310">
        <f t="shared" si="363"/>
        <v>3.68</v>
      </c>
      <c r="AD432" s="717">
        <f t="shared" si="447"/>
        <v>3.68</v>
      </c>
      <c r="AE432" s="825">
        <f t="shared" si="440"/>
        <v>653.82000000000005</v>
      </c>
      <c r="AF432" s="825">
        <f t="shared" si="441"/>
        <v>125.12</v>
      </c>
      <c r="AG432" s="743"/>
      <c r="AH432" s="728"/>
      <c r="AI432" s="519">
        <f t="shared" si="448"/>
        <v>0</v>
      </c>
      <c r="AJ432" s="519">
        <f t="shared" si="449"/>
        <v>0</v>
      </c>
      <c r="AK432" s="519">
        <f t="shared" si="450"/>
        <v>0</v>
      </c>
      <c r="AL432" s="520">
        <f>ROUND(Y432*AI432+((Y432*(1+AI432))*AJ432)+((Y432*AI432+((Y432*(1+AI432))*AJ432))*AK432),2)</f>
        <v>0</v>
      </c>
      <c r="AM432" s="520">
        <f>AL432*$F432</f>
        <v>0</v>
      </c>
      <c r="AN432" s="520">
        <f>ROUND(AL432*Z432,2)</f>
        <v>0</v>
      </c>
      <c r="AO432" s="520">
        <f>AN432*$F432</f>
        <v>0</v>
      </c>
      <c r="AP432" s="552"/>
      <c r="AQ432" s="552"/>
      <c r="AR432" s="552"/>
      <c r="AS432" s="552"/>
      <c r="AT432" s="552"/>
    </row>
    <row r="433" spans="1:47" s="555" customFormat="1" ht="22.5" customHeight="1">
      <c r="A433" s="620"/>
      <c r="B433" s="531" t="s">
        <v>403</v>
      </c>
      <c r="C433" s="566" t="s">
        <v>794</v>
      </c>
      <c r="D433" s="1202" t="s">
        <v>1111</v>
      </c>
      <c r="E433" s="524" t="s">
        <v>321</v>
      </c>
      <c r="F433" s="1314">
        <f>ROUND(K433*'Summary-E'!$K$61,0)</f>
        <v>1743</v>
      </c>
      <c r="G433" s="527">
        <f>ROUNDUP(AA433,2)</f>
        <v>1.21</v>
      </c>
      <c r="H433" s="527">
        <f>ROUND(F433*G433,2)</f>
        <v>2109.0300000000002</v>
      </c>
      <c r="I433" s="567"/>
      <c r="J433" s="309"/>
      <c r="K433" s="1175">
        <v>1660</v>
      </c>
      <c r="L433" s="530">
        <f>ROUND(AD433,2)</f>
        <v>0.4</v>
      </c>
      <c r="M433" s="530">
        <f>ROUND(L433*F433,2)</f>
        <v>697.2</v>
      </c>
      <c r="N433" s="309"/>
      <c r="O433" s="776" t="s">
        <v>131</v>
      </c>
      <c r="P433" s="777"/>
      <c r="Q433" s="777"/>
      <c r="R433" s="751"/>
      <c r="S433" s="752">
        <v>24000</v>
      </c>
      <c r="T433" s="792">
        <v>0.3</v>
      </c>
      <c r="U433" s="803">
        <v>0</v>
      </c>
      <c r="V433" s="803">
        <v>0</v>
      </c>
      <c r="W433" s="803">
        <v>0</v>
      </c>
      <c r="X433" s="858">
        <v>1</v>
      </c>
      <c r="Y433" s="310">
        <f>ROUND((R433+S433/'[7]Summary E&amp;M'!$M$104)*X433,2)</f>
        <v>1.1499999999999999</v>
      </c>
      <c r="Z433" s="858">
        <f t="shared" si="417"/>
        <v>1.05</v>
      </c>
      <c r="AA433" s="813">
        <f>ROUND(Y433*Z433,2)</f>
        <v>1.21</v>
      </c>
      <c r="AB433" s="447">
        <f t="shared" si="446"/>
        <v>0.05</v>
      </c>
      <c r="AC433" s="310">
        <f>ROUND((T433*(1+AB433)),2)</f>
        <v>0.32</v>
      </c>
      <c r="AD433" s="717">
        <f>ROUND(AC433*'[8]Summary E&amp;M'!$R$94,2)</f>
        <v>0.4</v>
      </c>
      <c r="AE433" s="825">
        <f>ROUND($K433*$Y433,2)</f>
        <v>1909</v>
      </c>
      <c r="AF433" s="825">
        <f>ROUND($K433*$AC433,2)</f>
        <v>531.20000000000005</v>
      </c>
      <c r="AG433" s="743"/>
      <c r="AH433" s="728"/>
      <c r="AI433" s="519">
        <f>$U433</f>
        <v>0</v>
      </c>
      <c r="AJ433" s="519">
        <f>$V433</f>
        <v>0</v>
      </c>
      <c r="AK433" s="519">
        <f>$W433</f>
        <v>0</v>
      </c>
      <c r="AL433" s="520">
        <f>ROUND(Y433*AI433+((Y433*(1+AI433))*AJ433)+((Y433*AI433+((Y433*(1+AI433))*AJ433))*AK433),2)</f>
        <v>0</v>
      </c>
      <c r="AM433" s="520">
        <f>AL433*$F433</f>
        <v>0</v>
      </c>
      <c r="AN433" s="520">
        <f>ROUND(AL433*Z433,2)</f>
        <v>0</v>
      </c>
      <c r="AO433" s="520">
        <f>AN433*$F433</f>
        <v>0</v>
      </c>
      <c r="AP433" s="552"/>
      <c r="AQ433" s="552"/>
      <c r="AR433" s="552"/>
      <c r="AS433" s="552"/>
      <c r="AT433" s="552"/>
    </row>
    <row r="434" spans="1:47" s="555" customFormat="1" ht="22.5" customHeight="1">
      <c r="A434" s="620"/>
      <c r="B434" s="531" t="s">
        <v>403</v>
      </c>
      <c r="C434" s="566" t="s">
        <v>329</v>
      </c>
      <c r="D434" s="1202" t="s">
        <v>1111</v>
      </c>
      <c r="E434" s="524" t="s">
        <v>321</v>
      </c>
      <c r="F434" s="1314">
        <f>ROUND(K434*'Summary-E'!$K$61,0)</f>
        <v>1743</v>
      </c>
      <c r="G434" s="527">
        <f t="shared" si="443"/>
        <v>0.61</v>
      </c>
      <c r="H434" s="527">
        <f t="shared" ref="H434" si="457">ROUND(F434*G434,2)</f>
        <v>1063.23</v>
      </c>
      <c r="I434" s="567"/>
      <c r="J434" s="309"/>
      <c r="K434" s="1175">
        <v>1660</v>
      </c>
      <c r="L434" s="530">
        <f t="shared" si="455"/>
        <v>0.4</v>
      </c>
      <c r="M434" s="530">
        <f t="shared" si="445"/>
        <v>697.2</v>
      </c>
      <c r="N434" s="309"/>
      <c r="O434" s="776" t="s">
        <v>131</v>
      </c>
      <c r="P434" s="777"/>
      <c r="Q434" s="777"/>
      <c r="R434" s="751"/>
      <c r="S434" s="752">
        <v>12000</v>
      </c>
      <c r="T434" s="792">
        <v>0.3</v>
      </c>
      <c r="U434" s="803">
        <v>0</v>
      </c>
      <c r="V434" s="803">
        <v>0</v>
      </c>
      <c r="W434" s="803">
        <v>0</v>
      </c>
      <c r="X434" s="858">
        <v>1</v>
      </c>
      <c r="Y434" s="310">
        <f>ROUND((R434+S434/'[7]Summary E&amp;M'!$M$104)*X434,2)</f>
        <v>0.57999999999999996</v>
      </c>
      <c r="Z434" s="858">
        <f t="shared" si="417"/>
        <v>1.05</v>
      </c>
      <c r="AA434" s="813">
        <f t="shared" si="456"/>
        <v>0.61</v>
      </c>
      <c r="AB434" s="447">
        <f t="shared" si="446"/>
        <v>0.05</v>
      </c>
      <c r="AC434" s="310">
        <f t="shared" si="363"/>
        <v>0.32</v>
      </c>
      <c r="AD434" s="717">
        <f>ROUND(AC434*'[8]Summary E&amp;M'!$R$94,2)</f>
        <v>0.4</v>
      </c>
      <c r="AE434" s="825">
        <f t="shared" si="440"/>
        <v>962.8</v>
      </c>
      <c r="AF434" s="825">
        <f t="shared" si="441"/>
        <v>531.20000000000005</v>
      </c>
      <c r="AG434" s="743"/>
      <c r="AH434" s="728"/>
      <c r="AI434" s="519">
        <f t="shared" si="448"/>
        <v>0</v>
      </c>
      <c r="AJ434" s="519">
        <f t="shared" si="449"/>
        <v>0</v>
      </c>
      <c r="AK434" s="519">
        <f t="shared" si="450"/>
        <v>0</v>
      </c>
      <c r="AL434" s="520">
        <f t="shared" ref="AL434" si="458">ROUND(Y434*AI434+((Y434*(1+AI434))*AJ434)+((Y434*AI434+((Y434*(1+AI434))*AJ434))*AK434),2)</f>
        <v>0</v>
      </c>
      <c r="AM434" s="520">
        <f t="shared" ref="AM434" si="459">AL434*$F434</f>
        <v>0</v>
      </c>
      <c r="AN434" s="520">
        <f t="shared" ref="AN434" si="460">ROUND(AL434*Z434,2)</f>
        <v>0</v>
      </c>
      <c r="AO434" s="520">
        <f t="shared" ref="AO434" si="461">AN434*$F434</f>
        <v>0</v>
      </c>
      <c r="AP434" s="552"/>
      <c r="AQ434" s="552"/>
      <c r="AR434" s="552"/>
      <c r="AS434" s="552"/>
      <c r="AT434" s="552"/>
    </row>
    <row r="435" spans="1:47" s="555" customFormat="1" ht="22.5" customHeight="1">
      <c r="A435" s="451"/>
      <c r="B435" s="531" t="s">
        <v>1270</v>
      </c>
      <c r="C435" s="523" t="s">
        <v>794</v>
      </c>
      <c r="D435" s="1239" t="s">
        <v>1113</v>
      </c>
      <c r="E435" s="525" t="s">
        <v>321</v>
      </c>
      <c r="F435" s="1314">
        <f>ROUND(K435*'[6]Summary E&amp;M'!$K$91,0)</f>
        <v>53</v>
      </c>
      <c r="G435" s="527">
        <f t="shared" si="443"/>
        <v>0.63</v>
      </c>
      <c r="H435" s="528">
        <f t="shared" ref="H435:H438" si="462">ROUND(F435*G435,2)</f>
        <v>33.39</v>
      </c>
      <c r="I435" s="529"/>
      <c r="J435" s="309"/>
      <c r="K435" s="1175">
        <v>50</v>
      </c>
      <c r="L435" s="530">
        <f>ROUND(AD435,2)</f>
        <v>0.63</v>
      </c>
      <c r="M435" s="530">
        <f t="shared" si="445"/>
        <v>33.39</v>
      </c>
      <c r="N435" s="309"/>
      <c r="O435" s="778" t="s">
        <v>131</v>
      </c>
      <c r="P435" s="777"/>
      <c r="Q435" s="777"/>
      <c r="R435" s="751"/>
      <c r="S435" s="752">
        <v>12500</v>
      </c>
      <c r="T435" s="792">
        <v>0.6</v>
      </c>
      <c r="U435" s="803">
        <v>0</v>
      </c>
      <c r="V435" s="803">
        <v>0</v>
      </c>
      <c r="W435" s="803">
        <v>0</v>
      </c>
      <c r="X435" s="858">
        <v>1</v>
      </c>
      <c r="Y435" s="310">
        <f>ROUND((R435+S435/'[10]Summary E&amp;M (Origin)'!$M$102)*X435,2)</f>
        <v>0.6</v>
      </c>
      <c r="Z435" s="858">
        <f t="shared" si="417"/>
        <v>1.05</v>
      </c>
      <c r="AA435" s="813">
        <f>ROUND(Y435*Z435,2)</f>
        <v>0.63</v>
      </c>
      <c r="AB435" s="447">
        <f t="shared" si="446"/>
        <v>0.05</v>
      </c>
      <c r="AC435" s="310">
        <f t="shared" si="363"/>
        <v>0.63</v>
      </c>
      <c r="AD435" s="717">
        <f t="shared" si="447"/>
        <v>0.63</v>
      </c>
      <c r="AE435" s="826">
        <f t="shared" si="440"/>
        <v>30</v>
      </c>
      <c r="AF435" s="826">
        <f t="shared" si="441"/>
        <v>31.5</v>
      </c>
      <c r="AG435" s="744"/>
      <c r="AH435" s="732"/>
      <c r="AI435" s="723"/>
      <c r="AJ435" s="519">
        <f>$U435</f>
        <v>0</v>
      </c>
      <c r="AK435" s="519">
        <f>$V435</f>
        <v>0</v>
      </c>
      <c r="AL435" s="519">
        <f>$W435</f>
        <v>0</v>
      </c>
      <c r="AM435" s="520">
        <f>ROUND(Y435*AJ435+((Y435*(1+AJ435))*AK435)+((Y435*AJ435+((Y435*(1+AJ435))*AK435))*AL435),2)</f>
        <v>0</v>
      </c>
      <c r="AN435" s="520">
        <f>AM435*$F435</f>
        <v>0</v>
      </c>
      <c r="AO435" s="520">
        <f>ROUND(AM435*Z435,2)</f>
        <v>0</v>
      </c>
      <c r="AP435" s="520">
        <f>AO435*$F435</f>
        <v>0</v>
      </c>
      <c r="AQ435" s="719"/>
      <c r="AR435" s="719"/>
      <c r="AS435" s="719"/>
      <c r="AT435" s="719"/>
      <c r="AU435" s="643"/>
    </row>
    <row r="436" spans="1:47" s="555" customFormat="1" ht="22.5" customHeight="1">
      <c r="A436" s="451"/>
      <c r="B436" s="531" t="s">
        <v>1270</v>
      </c>
      <c r="C436" s="523" t="s">
        <v>329</v>
      </c>
      <c r="D436" s="1239" t="s">
        <v>1113</v>
      </c>
      <c r="E436" s="525" t="s">
        <v>321</v>
      </c>
      <c r="F436" s="1314">
        <f>ROUND(K436*'[6]Summary E&amp;M'!$K$91,0)</f>
        <v>63</v>
      </c>
      <c r="G436" s="527">
        <f t="shared" si="443"/>
        <v>0.23</v>
      </c>
      <c r="H436" s="528">
        <f t="shared" si="462"/>
        <v>14.49</v>
      </c>
      <c r="I436" s="529"/>
      <c r="J436" s="309"/>
      <c r="K436" s="1175">
        <v>60</v>
      </c>
      <c r="L436" s="530">
        <f>ROUND(AD436,2)</f>
        <v>0.95</v>
      </c>
      <c r="M436" s="530">
        <f t="shared" si="445"/>
        <v>59.85</v>
      </c>
      <c r="N436" s="309"/>
      <c r="O436" s="778" t="s">
        <v>131</v>
      </c>
      <c r="P436" s="777"/>
      <c r="Q436" s="777"/>
      <c r="R436" s="751"/>
      <c r="S436" s="752">
        <v>4600</v>
      </c>
      <c r="T436" s="792">
        <v>0.9</v>
      </c>
      <c r="U436" s="803">
        <v>0</v>
      </c>
      <c r="V436" s="803">
        <v>0</v>
      </c>
      <c r="W436" s="803">
        <v>0</v>
      </c>
      <c r="X436" s="858">
        <v>1</v>
      </c>
      <c r="Y436" s="310">
        <f>ROUND((R436+S436/'[10]Summary E&amp;M (Origin)'!$M$102)*X436,2)</f>
        <v>0.22</v>
      </c>
      <c r="Z436" s="858">
        <f t="shared" si="417"/>
        <v>1.05</v>
      </c>
      <c r="AA436" s="813">
        <f>ROUND(Y436*Z436,2)</f>
        <v>0.23</v>
      </c>
      <c r="AB436" s="447">
        <f t="shared" si="446"/>
        <v>0.05</v>
      </c>
      <c r="AC436" s="310">
        <f t="shared" si="363"/>
        <v>0.95</v>
      </c>
      <c r="AD436" s="717">
        <f t="shared" si="447"/>
        <v>0.95</v>
      </c>
      <c r="AE436" s="826">
        <f t="shared" si="440"/>
        <v>13.2</v>
      </c>
      <c r="AF436" s="826">
        <f t="shared" si="441"/>
        <v>57</v>
      </c>
      <c r="AG436" s="744"/>
      <c r="AH436" s="732"/>
      <c r="AI436" s="723"/>
      <c r="AJ436" s="519">
        <f>$U436</f>
        <v>0</v>
      </c>
      <c r="AK436" s="519">
        <f>$V436</f>
        <v>0</v>
      </c>
      <c r="AL436" s="519">
        <f>$W436</f>
        <v>0</v>
      </c>
      <c r="AM436" s="520">
        <f>ROUND(Y436*AJ436+((Y436*(1+AJ436))*AK436)+((Y436*AJ436+((Y436*(1+AJ436))*AK436))*AL436),2)</f>
        <v>0</v>
      </c>
      <c r="AN436" s="520">
        <f>AM436*$F436</f>
        <v>0</v>
      </c>
      <c r="AO436" s="520">
        <f>ROUND(AM436*Z436,2)</f>
        <v>0</v>
      </c>
      <c r="AP436" s="520">
        <f>AO436*$F436</f>
        <v>0</v>
      </c>
      <c r="AQ436" s="719"/>
      <c r="AR436" s="719"/>
      <c r="AS436" s="719"/>
      <c r="AT436" s="719"/>
      <c r="AU436" s="643"/>
    </row>
    <row r="437" spans="1:47" s="555" customFormat="1" ht="22.5" customHeight="1">
      <c r="A437" s="620"/>
      <c r="B437" s="568" t="s">
        <v>333</v>
      </c>
      <c r="C437" s="1062"/>
      <c r="D437" s="1239" t="s">
        <v>1113</v>
      </c>
      <c r="E437" s="570" t="s">
        <v>322</v>
      </c>
      <c r="F437" s="1315">
        <f>K437</f>
        <v>1</v>
      </c>
      <c r="G437" s="527">
        <f t="shared" si="443"/>
        <v>680.77</v>
      </c>
      <c r="H437" s="528">
        <f t="shared" si="462"/>
        <v>680.77</v>
      </c>
      <c r="I437" s="529"/>
      <c r="J437" s="309"/>
      <c r="K437" s="1175">
        <v>1</v>
      </c>
      <c r="L437" s="530">
        <f>ROUND(AD437,2)</f>
        <v>140.36000000000001</v>
      </c>
      <c r="M437" s="530">
        <f t="shared" si="445"/>
        <v>140.36000000000001</v>
      </c>
      <c r="N437" s="309"/>
      <c r="O437" s="778" t="s">
        <v>683</v>
      </c>
      <c r="P437" s="1241">
        <v>0.1</v>
      </c>
      <c r="Q437" s="777"/>
      <c r="R437" s="751">
        <f>ROUND(SUM(AE431:AE436)*P437,2)</f>
        <v>668.4</v>
      </c>
      <c r="S437" s="752"/>
      <c r="T437" s="792">
        <f>R437*0.2</f>
        <v>133.68</v>
      </c>
      <c r="U437" s="803">
        <v>0</v>
      </c>
      <c r="V437" s="803">
        <v>0</v>
      </c>
      <c r="W437" s="803">
        <v>0</v>
      </c>
      <c r="X437" s="858">
        <f>SUMIF('Summary-E'!O$4:O$50,D437,'Summary-E'!Q$4:Q$50)</f>
        <v>0.97</v>
      </c>
      <c r="Y437" s="310">
        <f>ROUND((R437+S437/'[10]Summary E&amp;M (Origin)'!$M$102)*X437,2)</f>
        <v>648.35</v>
      </c>
      <c r="Z437" s="858">
        <f t="shared" si="417"/>
        <v>1.05</v>
      </c>
      <c r="AA437" s="813">
        <f>ROUND(Y437*Z437,2)</f>
        <v>680.77</v>
      </c>
      <c r="AB437" s="447">
        <f t="shared" si="446"/>
        <v>0.05</v>
      </c>
      <c r="AC437" s="310">
        <f t="shared" si="363"/>
        <v>140.36000000000001</v>
      </c>
      <c r="AD437" s="717">
        <f t="shared" si="447"/>
        <v>140.36000000000001</v>
      </c>
      <c r="AE437" s="826">
        <f t="shared" si="440"/>
        <v>648.35</v>
      </c>
      <c r="AF437" s="826">
        <f t="shared" si="441"/>
        <v>140.36000000000001</v>
      </c>
      <c r="AG437" s="744"/>
      <c r="AH437" s="728"/>
      <c r="AI437" s="519">
        <f>$U437</f>
        <v>0</v>
      </c>
      <c r="AJ437" s="519">
        <f>$V437</f>
        <v>0</v>
      </c>
      <c r="AK437" s="519">
        <f>$W437</f>
        <v>0</v>
      </c>
      <c r="AL437" s="520">
        <f>ROUND(Y437*AI437+((Y437*(1+AI437))*AJ437)+((Y437*AI437+((Y437*(1+AI437))*AJ437))*AK437),2)</f>
        <v>0</v>
      </c>
      <c r="AM437" s="520">
        <f>AL437*$F437</f>
        <v>0</v>
      </c>
      <c r="AN437" s="520">
        <f>ROUND(AL437*Z437,2)</f>
        <v>0</v>
      </c>
      <c r="AO437" s="520">
        <f>AN437*$F437</f>
        <v>0</v>
      </c>
      <c r="AP437" s="719"/>
      <c r="AQ437" s="719"/>
      <c r="AR437" s="719"/>
      <c r="AS437" s="719"/>
      <c r="AT437" s="719"/>
    </row>
    <row r="438" spans="1:47" s="555" customFormat="1" ht="22.5" customHeight="1">
      <c r="A438" s="620"/>
      <c r="B438" s="531" t="s">
        <v>334</v>
      </c>
      <c r="C438" s="523"/>
      <c r="D438" s="525" t="s">
        <v>139</v>
      </c>
      <c r="E438" s="525" t="s">
        <v>322</v>
      </c>
      <c r="F438" s="1315">
        <f>K438</f>
        <v>1</v>
      </c>
      <c r="G438" s="527">
        <f t="shared" si="443"/>
        <v>340.38</v>
      </c>
      <c r="H438" s="528">
        <f t="shared" si="462"/>
        <v>340.38</v>
      </c>
      <c r="I438" s="529"/>
      <c r="J438" s="309"/>
      <c r="K438" s="1175">
        <v>1</v>
      </c>
      <c r="L438" s="530">
        <f>ROUND(AD438,2)</f>
        <v>105.27</v>
      </c>
      <c r="M438" s="530">
        <f t="shared" si="445"/>
        <v>105.27</v>
      </c>
      <c r="N438" s="309"/>
      <c r="O438" s="778" t="s">
        <v>130</v>
      </c>
      <c r="P438" s="1241">
        <v>0.05</v>
      </c>
      <c r="Q438" s="777"/>
      <c r="R438" s="751">
        <f>ROUND(SUM(AE431:AE436)*P438,2)</f>
        <v>334.2</v>
      </c>
      <c r="S438" s="752"/>
      <c r="T438" s="792">
        <f>R438*0.3</f>
        <v>100.25999999999999</v>
      </c>
      <c r="U438" s="803">
        <v>0</v>
      </c>
      <c r="V438" s="803">
        <v>0</v>
      </c>
      <c r="W438" s="803">
        <v>0</v>
      </c>
      <c r="X438" s="858">
        <f>SUMIF('Summary-E'!O$4:O$50,D438,'Summary-E'!Q$4:Q$50)</f>
        <v>0.97</v>
      </c>
      <c r="Y438" s="310">
        <f>ROUND((R438+S438/'[10]Summary E&amp;M (Origin)'!$M$102)*X438,2)</f>
        <v>324.17</v>
      </c>
      <c r="Z438" s="858">
        <f t="shared" si="417"/>
        <v>1.05</v>
      </c>
      <c r="AA438" s="813">
        <f>ROUND(Y438*Z438,2)</f>
        <v>340.38</v>
      </c>
      <c r="AB438" s="447">
        <f t="shared" si="446"/>
        <v>0.05</v>
      </c>
      <c r="AC438" s="310">
        <f t="shared" si="363"/>
        <v>105.27</v>
      </c>
      <c r="AD438" s="717">
        <f t="shared" si="447"/>
        <v>105.27</v>
      </c>
      <c r="AE438" s="826">
        <f t="shared" si="440"/>
        <v>324.17</v>
      </c>
      <c r="AF438" s="826">
        <f t="shared" si="441"/>
        <v>105.27</v>
      </c>
      <c r="AG438" s="744"/>
      <c r="AH438" s="728"/>
      <c r="AI438" s="519">
        <f>$U438</f>
        <v>0</v>
      </c>
      <c r="AJ438" s="519">
        <f>$V438</f>
        <v>0</v>
      </c>
      <c r="AK438" s="519">
        <f>$W438</f>
        <v>0</v>
      </c>
      <c r="AL438" s="520">
        <f>ROUND(Y438*AI438+((Y438*(1+AI438))*AJ438)+((Y438*AI438+((Y438*(1+AI438))*AJ438))*AK438),2)</f>
        <v>0</v>
      </c>
      <c r="AM438" s="520">
        <f>AL438*$F438</f>
        <v>0</v>
      </c>
      <c r="AN438" s="520">
        <f>ROUND(AL438*Z438,2)</f>
        <v>0</v>
      </c>
      <c r="AO438" s="520">
        <f>AN438*$F438</f>
        <v>0</v>
      </c>
      <c r="AP438" s="719"/>
      <c r="AQ438" s="719"/>
      <c r="AR438" s="719"/>
      <c r="AS438" s="719"/>
      <c r="AT438" s="719"/>
    </row>
    <row r="439" spans="1:47" ht="22.5" customHeight="1">
      <c r="A439" s="1221"/>
      <c r="B439" s="265" t="s">
        <v>691</v>
      </c>
      <c r="C439" s="1161" t="s">
        <v>1265</v>
      </c>
      <c r="D439" s="1239" t="s">
        <v>1125</v>
      </c>
      <c r="E439" s="525" t="s">
        <v>321</v>
      </c>
      <c r="F439" s="1314">
        <f>ROUND(K439*'[1]Summary E&amp;M'!$K$98,0)</f>
        <v>84</v>
      </c>
      <c r="G439" s="527">
        <f>ROUNDUP(AA439,2)</f>
        <v>20.04</v>
      </c>
      <c r="H439" s="528">
        <f t="shared" ref="H439:H446" si="463">ROUND(F439*G439,2)</f>
        <v>1683.36</v>
      </c>
      <c r="I439" s="529"/>
      <c r="J439" s="903"/>
      <c r="K439" s="1175">
        <v>80</v>
      </c>
      <c r="L439" s="1104">
        <f>ROUND(AD439,2)</f>
        <v>3.99</v>
      </c>
      <c r="M439" s="1104">
        <f t="shared" ref="M439:M447" si="464">ROUND(L439*F439,2)</f>
        <v>335.16</v>
      </c>
      <c r="N439" s="903"/>
      <c r="O439" s="1105">
        <v>131</v>
      </c>
      <c r="P439" s="1106"/>
      <c r="Q439" s="1106"/>
      <c r="R439" s="1222"/>
      <c r="S439" s="1223">
        <f>352221+44822</f>
        <v>397043</v>
      </c>
      <c r="T439" s="1224">
        <v>3.8</v>
      </c>
      <c r="U439" s="1107">
        <v>0</v>
      </c>
      <c r="V439" s="1107">
        <v>0</v>
      </c>
      <c r="W439" s="1107">
        <v>0</v>
      </c>
      <c r="X439" s="858">
        <v>1</v>
      </c>
      <c r="Y439" s="1108">
        <f>ROUND((R439+S439/'[5]Summary E&amp;M (Origin)'!$M$102)*X439,2)</f>
        <v>19.09</v>
      </c>
      <c r="Z439" s="858">
        <f t="shared" si="417"/>
        <v>1.05</v>
      </c>
      <c r="AA439" s="1109">
        <f>ROUND(Y439*Z439,2)</f>
        <v>20.04</v>
      </c>
      <c r="AB439" s="1110">
        <f t="shared" ref="AB439:AB446" si="465">$AB$3</f>
        <v>0.05</v>
      </c>
      <c r="AC439" s="1108">
        <f>ROUND((T439*(1+AB439)),2)</f>
        <v>3.99</v>
      </c>
      <c r="AD439" s="1111">
        <f>ROUND(AC439*1,2)</f>
        <v>3.99</v>
      </c>
      <c r="AE439" s="1112">
        <f t="shared" si="440"/>
        <v>1527.2</v>
      </c>
      <c r="AF439" s="1112">
        <f t="shared" si="441"/>
        <v>319.2</v>
      </c>
      <c r="AG439" s="1113"/>
      <c r="AH439" s="1114"/>
      <c r="AI439" s="1115">
        <f t="shared" ref="AI439:AI446" si="466">$U439</f>
        <v>0</v>
      </c>
      <c r="AJ439" s="1115">
        <f t="shared" ref="AJ439:AJ446" si="467">$V439</f>
        <v>0</v>
      </c>
      <c r="AK439" s="1115">
        <f t="shared" ref="AK439:AK446" si="468">$W439</f>
        <v>0</v>
      </c>
      <c r="AL439" s="1116">
        <f>ROUND(Y439*AI439+((Y439*(1+AI439))*AJ439)+((Y439*AI439+((Y439*(1+AI439))*AJ439))*AK439),2)</f>
        <v>0</v>
      </c>
      <c r="AM439" s="1116">
        <f>AL439*$F439</f>
        <v>0</v>
      </c>
      <c r="AN439" s="1116">
        <f>ROUND(AL439*Z439,2)</f>
        <v>0</v>
      </c>
      <c r="AO439" s="1116">
        <f>AN439*$F439</f>
        <v>0</v>
      </c>
      <c r="AP439" s="1117"/>
      <c r="AQ439" s="1117"/>
      <c r="AR439" s="1117"/>
      <c r="AS439" s="1117"/>
      <c r="AT439" s="1117"/>
    </row>
    <row r="440" spans="1:47" s="555" customFormat="1" ht="22.5" customHeight="1">
      <c r="A440" s="620"/>
      <c r="B440" s="265" t="s">
        <v>691</v>
      </c>
      <c r="C440" s="1161" t="s">
        <v>1266</v>
      </c>
      <c r="D440" s="525">
        <v>131</v>
      </c>
      <c r="E440" s="525" t="s">
        <v>321</v>
      </c>
      <c r="F440" s="1314">
        <f>ROUND(K440*'Summary-E'!$K$61,0)</f>
        <v>863</v>
      </c>
      <c r="G440" s="527">
        <f t="shared" ref="G440:G446" si="469">ROUNDUP(AA440,2)</f>
        <v>4.96</v>
      </c>
      <c r="H440" s="528">
        <f t="shared" si="463"/>
        <v>4280.4799999999996</v>
      </c>
      <c r="I440" s="529"/>
      <c r="J440" s="309"/>
      <c r="K440" s="1175">
        <v>822</v>
      </c>
      <c r="L440" s="530">
        <f t="shared" ref="L440:L447" si="470">ROUND(AD440,2)</f>
        <v>1.05</v>
      </c>
      <c r="M440" s="530">
        <f t="shared" si="464"/>
        <v>906.15</v>
      </c>
      <c r="N440" s="309"/>
      <c r="O440" s="778">
        <v>131</v>
      </c>
      <c r="P440" s="777"/>
      <c r="Q440" s="777"/>
      <c r="R440" s="751"/>
      <c r="S440" s="752">
        <f>80590+17640</f>
        <v>98230</v>
      </c>
      <c r="T440" s="792">
        <v>0.8</v>
      </c>
      <c r="U440" s="803">
        <v>0</v>
      </c>
      <c r="V440" s="803">
        <v>0</v>
      </c>
      <c r="W440" s="803">
        <v>0</v>
      </c>
      <c r="X440" s="858">
        <v>1</v>
      </c>
      <c r="Y440" s="310">
        <f>ROUND((R440+S440/'Summary-E'!$M$63)*X440,2)</f>
        <v>4.72</v>
      </c>
      <c r="Z440" s="858">
        <f t="shared" si="417"/>
        <v>1.05</v>
      </c>
      <c r="AA440" s="813">
        <f t="shared" ref="AA440:AA446" si="471">ROUND(Y440*Z440,2)</f>
        <v>4.96</v>
      </c>
      <c r="AB440" s="447">
        <f t="shared" si="465"/>
        <v>0.05</v>
      </c>
      <c r="AC440" s="310">
        <f t="shared" si="363"/>
        <v>0.84</v>
      </c>
      <c r="AD440" s="717">
        <f>ROUND(AC440*'[6]Summary E&amp;M'!$R$94,2)</f>
        <v>1.05</v>
      </c>
      <c r="AE440" s="826">
        <f t="shared" si="440"/>
        <v>3879.84</v>
      </c>
      <c r="AF440" s="826">
        <f t="shared" si="441"/>
        <v>690.48</v>
      </c>
      <c r="AG440" s="744"/>
      <c r="AH440" s="728"/>
      <c r="AI440" s="519">
        <f t="shared" si="466"/>
        <v>0</v>
      </c>
      <c r="AJ440" s="519">
        <f t="shared" si="467"/>
        <v>0</v>
      </c>
      <c r="AK440" s="519">
        <f t="shared" si="468"/>
        <v>0</v>
      </c>
      <c r="AL440" s="520">
        <f t="shared" ref="AL440:AL446" si="472">ROUND(Y440*AI440+((Y440*(1+AI440))*AJ440)+((Y440*AI440+((Y440*(1+AI440))*AJ440))*AK440),2)</f>
        <v>0</v>
      </c>
      <c r="AM440" s="520">
        <f t="shared" ref="AM440:AM446" si="473">AL440*$F440</f>
        <v>0</v>
      </c>
      <c r="AN440" s="520">
        <f t="shared" ref="AN440:AN446" si="474">ROUND(AL440*Z440,2)</f>
        <v>0</v>
      </c>
      <c r="AO440" s="520">
        <f t="shared" ref="AO440:AO446" si="475">AN440*$F440</f>
        <v>0</v>
      </c>
      <c r="AP440" s="719"/>
      <c r="AQ440" s="719"/>
      <c r="AR440" s="719"/>
      <c r="AS440" s="719"/>
      <c r="AT440" s="719"/>
    </row>
    <row r="441" spans="1:47" s="555" customFormat="1" ht="22.5" customHeight="1">
      <c r="A441" s="620"/>
      <c r="B441" s="265" t="s">
        <v>691</v>
      </c>
      <c r="C441" s="1161" t="s">
        <v>1267</v>
      </c>
      <c r="D441" s="525">
        <v>131</v>
      </c>
      <c r="E441" s="525" t="s">
        <v>321</v>
      </c>
      <c r="F441" s="1314">
        <f>ROUND(K441*'Summary-E'!$K$61,0)</f>
        <v>56</v>
      </c>
      <c r="G441" s="527">
        <f t="shared" si="469"/>
        <v>3.2</v>
      </c>
      <c r="H441" s="528">
        <f t="shared" si="463"/>
        <v>179.2</v>
      </c>
      <c r="I441" s="529"/>
      <c r="J441" s="309"/>
      <c r="K441" s="526">
        <v>53</v>
      </c>
      <c r="L441" s="530">
        <f t="shared" si="470"/>
        <v>0.66</v>
      </c>
      <c r="M441" s="530">
        <f t="shared" si="464"/>
        <v>36.96</v>
      </c>
      <c r="N441" s="309"/>
      <c r="O441" s="778">
        <v>131</v>
      </c>
      <c r="P441" s="777"/>
      <c r="Q441" s="777"/>
      <c r="R441" s="751"/>
      <c r="S441" s="752">
        <f>52410+11100</f>
        <v>63510</v>
      </c>
      <c r="T441" s="792">
        <v>0.5</v>
      </c>
      <c r="U441" s="803">
        <v>0</v>
      </c>
      <c r="V441" s="803">
        <v>0</v>
      </c>
      <c r="W441" s="803">
        <v>0</v>
      </c>
      <c r="X441" s="858">
        <v>1</v>
      </c>
      <c r="Y441" s="310">
        <f>ROUND((R441+S441/'Summary-E'!$M$63)*X441,2)</f>
        <v>3.05</v>
      </c>
      <c r="Z441" s="858">
        <f t="shared" si="417"/>
        <v>1.05</v>
      </c>
      <c r="AA441" s="813">
        <f t="shared" si="471"/>
        <v>3.2</v>
      </c>
      <c r="AB441" s="447">
        <f t="shared" si="465"/>
        <v>0.05</v>
      </c>
      <c r="AC441" s="310">
        <f t="shared" si="363"/>
        <v>0.53</v>
      </c>
      <c r="AD441" s="717">
        <f>ROUND(AC441*'[6]Summary E&amp;M'!$R$94,2)</f>
        <v>0.66</v>
      </c>
      <c r="AE441" s="826">
        <f t="shared" si="440"/>
        <v>161.65</v>
      </c>
      <c r="AF441" s="826">
        <f t="shared" si="441"/>
        <v>28.09</v>
      </c>
      <c r="AG441" s="744"/>
      <c r="AH441" s="728"/>
      <c r="AI441" s="519">
        <f t="shared" si="466"/>
        <v>0</v>
      </c>
      <c r="AJ441" s="519">
        <f t="shared" si="467"/>
        <v>0</v>
      </c>
      <c r="AK441" s="519">
        <f t="shared" si="468"/>
        <v>0</v>
      </c>
      <c r="AL441" s="520">
        <f t="shared" si="472"/>
        <v>0</v>
      </c>
      <c r="AM441" s="520">
        <f t="shared" si="473"/>
        <v>0</v>
      </c>
      <c r="AN441" s="520">
        <f t="shared" si="474"/>
        <v>0</v>
      </c>
      <c r="AO441" s="520">
        <f t="shared" si="475"/>
        <v>0</v>
      </c>
      <c r="AP441" s="719"/>
      <c r="AQ441" s="719"/>
      <c r="AR441" s="719"/>
      <c r="AS441" s="719"/>
      <c r="AT441" s="719"/>
    </row>
    <row r="442" spans="1:47" s="555" customFormat="1" ht="22.5" customHeight="1">
      <c r="A442" s="620"/>
      <c r="B442" s="265" t="s">
        <v>691</v>
      </c>
      <c r="C442" s="1161" t="s">
        <v>1268</v>
      </c>
      <c r="D442" s="525">
        <v>131</v>
      </c>
      <c r="E442" s="525" t="s">
        <v>321</v>
      </c>
      <c r="F442" s="1314">
        <f>ROUND(K442*'Summary-E'!$K$61,0)</f>
        <v>56</v>
      </c>
      <c r="G442" s="527">
        <f t="shared" si="469"/>
        <v>2.2599999999999998</v>
      </c>
      <c r="H442" s="528">
        <f>ROUND(F442*G442,2)</f>
        <v>126.56</v>
      </c>
      <c r="I442" s="529"/>
      <c r="J442" s="309"/>
      <c r="K442" s="1175">
        <v>53</v>
      </c>
      <c r="L442" s="530">
        <f>ROUND(AD442,2)</f>
        <v>0.2</v>
      </c>
      <c r="M442" s="530">
        <f t="shared" si="464"/>
        <v>11.2</v>
      </c>
      <c r="N442" s="309"/>
      <c r="O442" s="778">
        <v>131</v>
      </c>
      <c r="P442" s="777"/>
      <c r="Q442" s="777"/>
      <c r="R442" s="751"/>
      <c r="S442" s="752">
        <f>37100+7600</f>
        <v>44700</v>
      </c>
      <c r="T442" s="792">
        <v>0.15</v>
      </c>
      <c r="U442" s="803">
        <v>0</v>
      </c>
      <c r="V442" s="803">
        <v>0</v>
      </c>
      <c r="W442" s="803">
        <v>0</v>
      </c>
      <c r="X442" s="858">
        <v>1</v>
      </c>
      <c r="Y442" s="310">
        <f>ROUND((R442+S442/'Summary-E'!$M$63)*X442,2)</f>
        <v>2.15</v>
      </c>
      <c r="Z442" s="858">
        <f t="shared" si="417"/>
        <v>1.05</v>
      </c>
      <c r="AA442" s="813">
        <f>ROUND(Y442*Z442,2)</f>
        <v>2.2599999999999998</v>
      </c>
      <c r="AB442" s="447">
        <f t="shared" si="465"/>
        <v>0.05</v>
      </c>
      <c r="AC442" s="310">
        <f t="shared" si="363"/>
        <v>0.16</v>
      </c>
      <c r="AD442" s="717">
        <f>ROUND(AC442*'[6]Summary E&amp;M'!$R$94,2)</f>
        <v>0.2</v>
      </c>
      <c r="AE442" s="826">
        <f t="shared" si="440"/>
        <v>113.95</v>
      </c>
      <c r="AF442" s="826">
        <f t="shared" si="441"/>
        <v>8.48</v>
      </c>
      <c r="AG442" s="744"/>
      <c r="AH442" s="728"/>
      <c r="AI442" s="519">
        <f t="shared" si="466"/>
        <v>0</v>
      </c>
      <c r="AJ442" s="519">
        <f t="shared" si="467"/>
        <v>0</v>
      </c>
      <c r="AK442" s="519">
        <f t="shared" si="468"/>
        <v>0</v>
      </c>
      <c r="AL442" s="520">
        <f t="shared" si="472"/>
        <v>0</v>
      </c>
      <c r="AM442" s="520">
        <f t="shared" si="473"/>
        <v>0</v>
      </c>
      <c r="AN442" s="520">
        <f t="shared" si="474"/>
        <v>0</v>
      </c>
      <c r="AO442" s="520">
        <f t="shared" si="475"/>
        <v>0</v>
      </c>
      <c r="AP442" s="719"/>
      <c r="AQ442" s="719"/>
      <c r="AR442" s="719"/>
      <c r="AS442" s="719"/>
      <c r="AT442" s="719"/>
    </row>
    <row r="443" spans="1:47" s="555" customFormat="1" ht="22.5" customHeight="1">
      <c r="A443" s="620"/>
      <c r="B443" s="265" t="s">
        <v>691</v>
      </c>
      <c r="C443" s="566" t="s">
        <v>1269</v>
      </c>
      <c r="D443" s="525">
        <v>131</v>
      </c>
      <c r="E443" s="525" t="s">
        <v>321</v>
      </c>
      <c r="F443" s="1314">
        <f>ROUND(K443*'Summary-E'!$K$61,0)</f>
        <v>4032</v>
      </c>
      <c r="G443" s="527">
        <f t="shared" si="469"/>
        <v>1.43</v>
      </c>
      <c r="H443" s="528">
        <f>ROUND(F443*G443,2)</f>
        <v>5765.76</v>
      </c>
      <c r="I443" s="529"/>
      <c r="J443" s="309"/>
      <c r="K443" s="1175">
        <v>3840</v>
      </c>
      <c r="L443" s="530">
        <f>ROUND(AD443,2)</f>
        <v>0.14000000000000001</v>
      </c>
      <c r="M443" s="530">
        <f t="shared" si="464"/>
        <v>564.48</v>
      </c>
      <c r="N443" s="309"/>
      <c r="O443" s="778">
        <v>131</v>
      </c>
      <c r="P443" s="777"/>
      <c r="Q443" s="777"/>
      <c r="R443" s="751"/>
      <c r="S443" s="752">
        <f>23540+4700</f>
        <v>28240</v>
      </c>
      <c r="T443" s="792">
        <v>0.1</v>
      </c>
      <c r="U443" s="803">
        <v>0</v>
      </c>
      <c r="V443" s="803">
        <v>0</v>
      </c>
      <c r="W443" s="803">
        <v>0</v>
      </c>
      <c r="X443" s="858">
        <v>1</v>
      </c>
      <c r="Y443" s="310">
        <f>ROUND((R443+S443/'Summary-E'!$M$63)*X443,2)</f>
        <v>1.36</v>
      </c>
      <c r="Z443" s="858">
        <f t="shared" si="417"/>
        <v>1.05</v>
      </c>
      <c r="AA443" s="813">
        <f>ROUND(Y443*Z443,2)</f>
        <v>1.43</v>
      </c>
      <c r="AB443" s="447">
        <f t="shared" si="465"/>
        <v>0.05</v>
      </c>
      <c r="AC443" s="310">
        <f t="shared" si="363"/>
        <v>0.11</v>
      </c>
      <c r="AD443" s="717">
        <f>ROUND(AC443*'[6]Summary E&amp;M'!$R$94,2)</f>
        <v>0.14000000000000001</v>
      </c>
      <c r="AE443" s="826">
        <f t="shared" si="440"/>
        <v>5222.3999999999996</v>
      </c>
      <c r="AF443" s="826">
        <f t="shared" si="441"/>
        <v>422.4</v>
      </c>
      <c r="AG443" s="744"/>
      <c r="AH443" s="728"/>
      <c r="AI443" s="519">
        <f t="shared" si="466"/>
        <v>0</v>
      </c>
      <c r="AJ443" s="519">
        <f t="shared" si="467"/>
        <v>0</v>
      </c>
      <c r="AK443" s="519">
        <f t="shared" si="468"/>
        <v>0</v>
      </c>
      <c r="AL443" s="520">
        <f t="shared" si="472"/>
        <v>0</v>
      </c>
      <c r="AM443" s="520">
        <f t="shared" si="473"/>
        <v>0</v>
      </c>
      <c r="AN443" s="520">
        <f t="shared" si="474"/>
        <v>0</v>
      </c>
      <c r="AO443" s="520">
        <f t="shared" si="475"/>
        <v>0</v>
      </c>
      <c r="AP443" s="719"/>
      <c r="AQ443" s="719"/>
      <c r="AR443" s="719"/>
      <c r="AS443" s="719"/>
      <c r="AT443" s="719"/>
    </row>
    <row r="444" spans="1:47" s="555" customFormat="1" ht="22.5" customHeight="1">
      <c r="A444" s="620"/>
      <c r="B444" s="265" t="s">
        <v>691</v>
      </c>
      <c r="C444" s="566" t="s">
        <v>736</v>
      </c>
      <c r="D444" s="525">
        <v>131</v>
      </c>
      <c r="E444" s="525" t="s">
        <v>321</v>
      </c>
      <c r="F444" s="1314">
        <f>ROUND(K444*'Summary-E'!$K$61,0)</f>
        <v>1313</v>
      </c>
      <c r="G444" s="527">
        <f t="shared" si="469"/>
        <v>0.71</v>
      </c>
      <c r="H444" s="528">
        <f t="shared" si="463"/>
        <v>932.23</v>
      </c>
      <c r="I444" s="529"/>
      <c r="J444" s="309"/>
      <c r="K444" s="1175">
        <v>1250</v>
      </c>
      <c r="L444" s="530">
        <f t="shared" si="470"/>
        <v>0.14000000000000001</v>
      </c>
      <c r="M444" s="530">
        <f t="shared" si="464"/>
        <v>183.82</v>
      </c>
      <c r="N444" s="309"/>
      <c r="O444" s="778">
        <v>131</v>
      </c>
      <c r="P444" s="777"/>
      <c r="Q444" s="777"/>
      <c r="R444" s="751"/>
      <c r="S444" s="752">
        <f>3*4700</f>
        <v>14100</v>
      </c>
      <c r="T444" s="792">
        <v>0.1</v>
      </c>
      <c r="U444" s="803">
        <v>0</v>
      </c>
      <c r="V444" s="803">
        <v>0</v>
      </c>
      <c r="W444" s="803">
        <v>0</v>
      </c>
      <c r="X444" s="858">
        <v>1</v>
      </c>
      <c r="Y444" s="310">
        <f>ROUND((R444+S444/'Summary-E'!$M$63)*X444,2)</f>
        <v>0.68</v>
      </c>
      <c r="Z444" s="858">
        <f t="shared" si="417"/>
        <v>1.05</v>
      </c>
      <c r="AA444" s="813">
        <f t="shared" si="471"/>
        <v>0.71</v>
      </c>
      <c r="AB444" s="447">
        <f t="shared" si="465"/>
        <v>0.05</v>
      </c>
      <c r="AC444" s="310">
        <f t="shared" si="363"/>
        <v>0.11</v>
      </c>
      <c r="AD444" s="717">
        <f>ROUND(AC444*'[6]Summary E&amp;M'!$R$94,2)</f>
        <v>0.14000000000000001</v>
      </c>
      <c r="AE444" s="826">
        <f t="shared" si="440"/>
        <v>850</v>
      </c>
      <c r="AF444" s="826">
        <f t="shared" si="441"/>
        <v>137.5</v>
      </c>
      <c r="AG444" s="744"/>
      <c r="AH444" s="728"/>
      <c r="AI444" s="519">
        <f t="shared" si="466"/>
        <v>0</v>
      </c>
      <c r="AJ444" s="519">
        <f t="shared" si="467"/>
        <v>0</v>
      </c>
      <c r="AK444" s="519">
        <f t="shared" si="468"/>
        <v>0</v>
      </c>
      <c r="AL444" s="520">
        <f t="shared" si="472"/>
        <v>0</v>
      </c>
      <c r="AM444" s="520">
        <f t="shared" si="473"/>
        <v>0</v>
      </c>
      <c r="AN444" s="520">
        <f t="shared" si="474"/>
        <v>0</v>
      </c>
      <c r="AO444" s="520">
        <f t="shared" si="475"/>
        <v>0</v>
      </c>
      <c r="AP444" s="719"/>
      <c r="AQ444" s="719"/>
      <c r="AR444" s="719"/>
      <c r="AS444" s="719"/>
      <c r="AT444" s="719"/>
    </row>
    <row r="445" spans="1:47" s="555" customFormat="1" ht="22.5" customHeight="1">
      <c r="A445" s="570"/>
      <c r="B445" s="531" t="s">
        <v>122</v>
      </c>
      <c r="C445" s="569"/>
      <c r="D445" s="525" t="s">
        <v>690</v>
      </c>
      <c r="E445" s="571" t="s">
        <v>322</v>
      </c>
      <c r="F445" s="1322">
        <f>K445</f>
        <v>1</v>
      </c>
      <c r="G445" s="527">
        <f t="shared" si="469"/>
        <v>123.03</v>
      </c>
      <c r="H445" s="528">
        <f t="shared" si="463"/>
        <v>123.03</v>
      </c>
      <c r="I445" s="567"/>
      <c r="J445" s="309"/>
      <c r="K445" s="1149">
        <v>1</v>
      </c>
      <c r="L445" s="530">
        <f t="shared" si="470"/>
        <v>12.68</v>
      </c>
      <c r="M445" s="530">
        <f t="shared" si="464"/>
        <v>12.68</v>
      </c>
      <c r="N445" s="309"/>
      <c r="O445" s="778" t="s">
        <v>690</v>
      </c>
      <c r="P445" s="1241">
        <v>0.01</v>
      </c>
      <c r="Q445" s="777"/>
      <c r="R445" s="751">
        <f>ROUND(SUM(AE438:AE444)*P445,2)</f>
        <v>120.79</v>
      </c>
      <c r="S445" s="752"/>
      <c r="T445" s="792">
        <f>ROUND(R445*10%,2)</f>
        <v>12.08</v>
      </c>
      <c r="U445" s="803">
        <v>0</v>
      </c>
      <c r="V445" s="803">
        <v>0</v>
      </c>
      <c r="W445" s="803">
        <v>0</v>
      </c>
      <c r="X445" s="858">
        <f>SUMIF('Summary-E'!O$4:O$50,D445,'Summary-E'!Q$4:Q$50)</f>
        <v>0.97</v>
      </c>
      <c r="Y445" s="310">
        <f>ROUND((R445+S445/'[10]Summary E&amp;M (Origin)'!$M$102)*X445,2)</f>
        <v>117.17</v>
      </c>
      <c r="Z445" s="858">
        <f t="shared" si="417"/>
        <v>1.05</v>
      </c>
      <c r="AA445" s="813">
        <f t="shared" si="471"/>
        <v>123.03</v>
      </c>
      <c r="AB445" s="447">
        <f t="shared" si="465"/>
        <v>0.05</v>
      </c>
      <c r="AC445" s="310">
        <f t="shared" si="363"/>
        <v>12.68</v>
      </c>
      <c r="AD445" s="717">
        <f>ROUND(AC445*1,2)</f>
        <v>12.68</v>
      </c>
      <c r="AE445" s="825">
        <f t="shared" si="440"/>
        <v>117.17</v>
      </c>
      <c r="AF445" s="825">
        <f t="shared" si="441"/>
        <v>12.68</v>
      </c>
      <c r="AG445" s="743"/>
      <c r="AH445" s="728"/>
      <c r="AI445" s="519">
        <f t="shared" si="466"/>
        <v>0</v>
      </c>
      <c r="AJ445" s="519">
        <f t="shared" si="467"/>
        <v>0</v>
      </c>
      <c r="AK445" s="519">
        <f t="shared" si="468"/>
        <v>0</v>
      </c>
      <c r="AL445" s="520">
        <f t="shared" si="472"/>
        <v>0</v>
      </c>
      <c r="AM445" s="520">
        <f t="shared" si="473"/>
        <v>0</v>
      </c>
      <c r="AN445" s="520">
        <f t="shared" si="474"/>
        <v>0</v>
      </c>
      <c r="AO445" s="520">
        <f t="shared" si="475"/>
        <v>0</v>
      </c>
      <c r="AP445" s="552"/>
      <c r="AQ445" s="552"/>
      <c r="AR445" s="552"/>
      <c r="AS445" s="552"/>
      <c r="AT445" s="552"/>
    </row>
    <row r="446" spans="1:47" s="555" customFormat="1" ht="22.5" customHeight="1">
      <c r="A446" s="570"/>
      <c r="B446" s="568" t="s">
        <v>401</v>
      </c>
      <c r="C446" s="569"/>
      <c r="D446" s="570">
        <v>159</v>
      </c>
      <c r="E446" s="571" t="s">
        <v>322</v>
      </c>
      <c r="F446" s="1322">
        <f>K446</f>
        <v>1</v>
      </c>
      <c r="G446" s="527">
        <f t="shared" si="469"/>
        <v>262.77999999999997</v>
      </c>
      <c r="H446" s="527">
        <f t="shared" si="463"/>
        <v>262.77999999999997</v>
      </c>
      <c r="I446" s="567"/>
      <c r="J446" s="309"/>
      <c r="K446" s="1149">
        <v>1</v>
      </c>
      <c r="L446" s="530">
        <f t="shared" si="470"/>
        <v>40.64</v>
      </c>
      <c r="M446" s="530">
        <f t="shared" si="464"/>
        <v>40.64</v>
      </c>
      <c r="N446" s="309"/>
      <c r="O446" s="778">
        <v>159</v>
      </c>
      <c r="P446" s="1241">
        <v>0.01</v>
      </c>
      <c r="Q446" s="777"/>
      <c r="R446" s="751">
        <f>ROUND(SUM(AE424:AE445)*P446,2)</f>
        <v>258.01</v>
      </c>
      <c r="S446" s="752"/>
      <c r="T446" s="792">
        <f>R446*0.15</f>
        <v>38.701499999999996</v>
      </c>
      <c r="U446" s="803">
        <v>0</v>
      </c>
      <c r="V446" s="803">
        <v>0</v>
      </c>
      <c r="W446" s="803">
        <v>0</v>
      </c>
      <c r="X446" s="858">
        <f>SUMIF('Summary-E'!O$4:O$50,D446,'Summary-E'!Q$4:Q$50)</f>
        <v>0.97</v>
      </c>
      <c r="Y446" s="310">
        <f>ROUND((R446+S446/'[10]Summary E&amp;M (Origin)'!$M$102)*X446,2)</f>
        <v>250.27</v>
      </c>
      <c r="Z446" s="858">
        <f t="shared" si="417"/>
        <v>1.05</v>
      </c>
      <c r="AA446" s="813">
        <f t="shared" si="471"/>
        <v>262.77999999999997</v>
      </c>
      <c r="AB446" s="447">
        <f t="shared" si="465"/>
        <v>0.05</v>
      </c>
      <c r="AC446" s="310">
        <f t="shared" si="363"/>
        <v>40.64</v>
      </c>
      <c r="AD446" s="717">
        <f>ROUND(AC446*1,2)</f>
        <v>40.64</v>
      </c>
      <c r="AE446" s="825">
        <f t="shared" si="440"/>
        <v>250.27</v>
      </c>
      <c r="AF446" s="825">
        <f t="shared" si="441"/>
        <v>40.64</v>
      </c>
      <c r="AG446" s="743"/>
      <c r="AH446" s="728"/>
      <c r="AI446" s="519">
        <f t="shared" si="466"/>
        <v>0</v>
      </c>
      <c r="AJ446" s="519">
        <f t="shared" si="467"/>
        <v>0</v>
      </c>
      <c r="AK446" s="519">
        <f t="shared" si="468"/>
        <v>0</v>
      </c>
      <c r="AL446" s="520">
        <f t="shared" si="472"/>
        <v>0</v>
      </c>
      <c r="AM446" s="520">
        <f t="shared" si="473"/>
        <v>0</v>
      </c>
      <c r="AN446" s="520">
        <f t="shared" si="474"/>
        <v>0</v>
      </c>
      <c r="AO446" s="520">
        <f t="shared" si="475"/>
        <v>0</v>
      </c>
      <c r="AP446" s="552"/>
      <c r="AQ446" s="552"/>
      <c r="AR446" s="552"/>
      <c r="AS446" s="552"/>
      <c r="AT446" s="552"/>
    </row>
    <row r="447" spans="1:47" s="555" customFormat="1" ht="22.5" customHeight="1">
      <c r="A447" s="570"/>
      <c r="B447" s="1154"/>
      <c r="C447" s="991"/>
      <c r="D447" s="1082"/>
      <c r="E447" s="571"/>
      <c r="F447" s="1314"/>
      <c r="G447" s="527"/>
      <c r="H447" s="527"/>
      <c r="I447" s="567"/>
      <c r="J447" s="309"/>
      <c r="K447" s="1149"/>
      <c r="L447" s="530">
        <f t="shared" si="470"/>
        <v>0</v>
      </c>
      <c r="M447" s="530">
        <f t="shared" si="464"/>
        <v>0</v>
      </c>
      <c r="N447" s="309"/>
      <c r="O447" s="778"/>
      <c r="P447" s="777"/>
      <c r="Q447" s="777"/>
      <c r="R447" s="751"/>
      <c r="S447" s="752"/>
      <c r="T447" s="792"/>
      <c r="U447" s="803">
        <v>0</v>
      </c>
      <c r="V447" s="803">
        <v>0</v>
      </c>
      <c r="W447" s="803">
        <v>0</v>
      </c>
      <c r="X447" s="858">
        <f>SUMIF('Summary-E'!O$4:O$50,D447,'Summary-E'!Q$4:Q$50)</f>
        <v>0</v>
      </c>
      <c r="Y447" s="310">
        <f>ROUND((R447+S447/'Summary-E'!$M$63)*X447,2)</f>
        <v>0</v>
      </c>
      <c r="Z447" s="858">
        <f t="shared" si="417"/>
        <v>1.05</v>
      </c>
      <c r="AA447" s="813"/>
      <c r="AB447" s="447"/>
      <c r="AC447" s="310">
        <f t="shared" si="363"/>
        <v>0</v>
      </c>
      <c r="AD447" s="717">
        <f>ROUND(AC447*'[1]Summary E&amp;M'!$R$94,2)</f>
        <v>0</v>
      </c>
      <c r="AE447" s="825">
        <f t="shared" si="440"/>
        <v>0</v>
      </c>
      <c r="AF447" s="825">
        <f t="shared" si="441"/>
        <v>0</v>
      </c>
      <c r="AG447" s="743"/>
      <c r="AH447" s="728"/>
      <c r="AI447" s="519"/>
      <c r="AJ447" s="519"/>
      <c r="AK447" s="519"/>
      <c r="AL447" s="520"/>
      <c r="AM447" s="520"/>
      <c r="AN447" s="520"/>
      <c r="AO447" s="520"/>
      <c r="AP447" s="552"/>
      <c r="AQ447" s="552"/>
      <c r="AR447" s="552"/>
      <c r="AS447" s="552"/>
      <c r="AT447" s="552"/>
    </row>
    <row r="448" spans="1:47" s="555" customFormat="1" ht="22.5" customHeight="1">
      <c r="A448" s="570"/>
      <c r="B448" s="1154" t="s">
        <v>324</v>
      </c>
      <c r="C448" s="991"/>
      <c r="D448" s="525">
        <v>210</v>
      </c>
      <c r="E448" s="571" t="s">
        <v>319</v>
      </c>
      <c r="F448" s="1322">
        <f>K448</f>
        <v>1</v>
      </c>
      <c r="G448" s="527">
        <f>M450</f>
        <v>4794.8</v>
      </c>
      <c r="H448" s="527">
        <f>ROUND(F448*G448,2)</f>
        <v>4794.8</v>
      </c>
      <c r="I448" s="567"/>
      <c r="J448" s="309"/>
      <c r="K448" s="1149">
        <v>1</v>
      </c>
      <c r="L448" s="530"/>
      <c r="M448" s="530"/>
      <c r="N448" s="309"/>
      <c r="O448" s="778">
        <v>210</v>
      </c>
      <c r="P448" s="777"/>
      <c r="Q448" s="777"/>
      <c r="R448" s="751"/>
      <c r="S448" s="752"/>
      <c r="T448" s="796"/>
      <c r="U448" s="803">
        <v>0</v>
      </c>
      <c r="V448" s="803">
        <v>0</v>
      </c>
      <c r="W448" s="803">
        <v>0</v>
      </c>
      <c r="X448" s="858">
        <f>SUMIF('Summary-E'!O$4:O$50,D448,'Summary-E'!Q$4:Q$50)</f>
        <v>0.05</v>
      </c>
      <c r="Y448" s="310">
        <f>ROUND((R448+S448/'Summary-E'!$M$63)*X448,2)</f>
        <v>0</v>
      </c>
      <c r="Z448" s="858">
        <f t="shared" si="417"/>
        <v>1.05</v>
      </c>
      <c r="AA448" s="813">
        <f>ROUND(Y448*Z448,2)</f>
        <v>0</v>
      </c>
      <c r="AB448" s="447">
        <f>$AB$3</f>
        <v>0.05</v>
      </c>
      <c r="AC448" s="310">
        <f t="shared" si="363"/>
        <v>0</v>
      </c>
      <c r="AD448" s="717">
        <f>ROUND(AC448*'[1]Summary E&amp;M'!$R$94,2)</f>
        <v>0</v>
      </c>
      <c r="AE448" s="825">
        <f t="shared" si="440"/>
        <v>0</v>
      </c>
      <c r="AF448" s="825">
        <f t="shared" si="441"/>
        <v>0</v>
      </c>
      <c r="AG448" s="743"/>
      <c r="AH448" s="728"/>
      <c r="AI448" s="519">
        <f>$U448</f>
        <v>0</v>
      </c>
      <c r="AJ448" s="519">
        <f>$V448</f>
        <v>0</v>
      </c>
      <c r="AK448" s="519">
        <f>$W448</f>
        <v>0</v>
      </c>
      <c r="AL448" s="520">
        <f>ROUND(Y448*AI448+((Y448*(1+AI448))*AJ448)+((Y448*AI448+((Y448*(1+AI448))*AJ448))*AK448),2)</f>
        <v>0</v>
      </c>
      <c r="AM448" s="520">
        <f>AL448*$F448</f>
        <v>0</v>
      </c>
      <c r="AN448" s="520">
        <f>ROUND(AL448*Z448,2)</f>
        <v>0</v>
      </c>
      <c r="AO448" s="520">
        <f>AN448*$F448</f>
        <v>0</v>
      </c>
      <c r="AP448" s="552"/>
      <c r="AQ448" s="552"/>
      <c r="AR448" s="552"/>
      <c r="AS448" s="552"/>
      <c r="AT448" s="552"/>
    </row>
    <row r="449" spans="1:46" s="555" customFormat="1" ht="22.5" customHeight="1">
      <c r="A449" s="616"/>
      <c r="B449" s="573"/>
      <c r="C449" s="574"/>
      <c r="D449" s="575"/>
      <c r="E449" s="576"/>
      <c r="F449" s="1326"/>
      <c r="G449" s="577"/>
      <c r="H449" s="577"/>
      <c r="I449" s="578"/>
      <c r="J449" s="549"/>
      <c r="K449" s="1183"/>
      <c r="L449" s="550"/>
      <c r="M449" s="550"/>
      <c r="N449" s="549"/>
      <c r="O449" s="778"/>
      <c r="P449" s="777"/>
      <c r="Q449" s="777"/>
      <c r="R449" s="751"/>
      <c r="S449" s="752"/>
      <c r="T449" s="792"/>
      <c r="U449" s="803"/>
      <c r="V449" s="803"/>
      <c r="W449" s="803"/>
      <c r="X449" s="858">
        <f>SUMIF('Summary-E'!O$4:O$50,D449,'Summary-E'!Q$4:Q$50)</f>
        <v>0</v>
      </c>
      <c r="Y449" s="310">
        <f>ROUND((R449+S449/'Summary-E'!$M$63)*X449,2)</f>
        <v>0</v>
      </c>
      <c r="Z449" s="858">
        <f t="shared" si="417"/>
        <v>1.05</v>
      </c>
      <c r="AA449" s="816"/>
      <c r="AB449" s="552"/>
      <c r="AC449" s="310">
        <f t="shared" si="363"/>
        <v>0</v>
      </c>
      <c r="AD449" s="717">
        <f>ROUND(AC449*'[1]Summary E&amp;M'!$R$94,2)</f>
        <v>0</v>
      </c>
      <c r="AE449" s="835"/>
      <c r="AF449" s="825">
        <f>ROUND($F449*$AC449,2)</f>
        <v>0</v>
      </c>
      <c r="AG449" s="743"/>
      <c r="AH449" s="737"/>
      <c r="AI449" s="552"/>
      <c r="AJ449" s="552"/>
      <c r="AK449" s="552"/>
      <c r="AL449" s="552"/>
      <c r="AM449" s="552"/>
      <c r="AN449" s="552"/>
      <c r="AO449" s="552"/>
      <c r="AP449" s="552"/>
      <c r="AQ449" s="552"/>
      <c r="AR449" s="552"/>
      <c r="AS449" s="552"/>
      <c r="AT449" s="552"/>
    </row>
    <row r="450" spans="1:46" s="711" customFormat="1" ht="22.5" customHeight="1">
      <c r="A450" s="973"/>
      <c r="B450" s="974" t="s">
        <v>414</v>
      </c>
      <c r="C450" s="979"/>
      <c r="D450" s="980"/>
      <c r="E450" s="976"/>
      <c r="F450" s="1317"/>
      <c r="G450" s="971"/>
      <c r="H450" s="971">
        <f>SUBTOTAL(9,H424:H449)</f>
        <v>33136.719999999994</v>
      </c>
      <c r="I450" s="981"/>
      <c r="J450" s="549"/>
      <c r="K450" s="1184"/>
      <c r="L450" s="550"/>
      <c r="M450" s="1051">
        <f>SUBTOTAL(9,M424:M448)</f>
        <v>4794.8</v>
      </c>
      <c r="N450" s="549"/>
      <c r="O450" s="784"/>
      <c r="P450" s="780"/>
      <c r="Q450" s="780"/>
      <c r="R450" s="759"/>
      <c r="S450" s="752"/>
      <c r="T450" s="792"/>
      <c r="U450" s="803">
        <v>0</v>
      </c>
      <c r="V450" s="803">
        <v>0</v>
      </c>
      <c r="W450" s="803">
        <v>0</v>
      </c>
      <c r="X450" s="858">
        <f>SUMIF('Summary-E'!O$4:O$50,D450,'Summary-E'!Q$4:Q$50)</f>
        <v>0</v>
      </c>
      <c r="Y450" s="310">
        <f>ROUND((R450+S450/'Summary-E'!$M$63)*X450,2)</f>
        <v>0</v>
      </c>
      <c r="Z450" s="858">
        <f t="shared" si="417"/>
        <v>1.05</v>
      </c>
      <c r="AA450" s="816"/>
      <c r="AB450" s="552"/>
      <c r="AC450" s="310">
        <f t="shared" si="363"/>
        <v>0</v>
      </c>
      <c r="AD450" s="717">
        <f>ROUND(AC450*'[1]Summary E&amp;M'!$R$94,2)</f>
        <v>0</v>
      </c>
      <c r="AE450" s="823">
        <f>SUBTOTAL(9,AE424:AE449)</f>
        <v>26051.02</v>
      </c>
      <c r="AF450" s="823">
        <f>SUBTOTAL(9,AF424:AF449)</f>
        <v>4003.9599999999996</v>
      </c>
      <c r="AG450" s="614"/>
      <c r="AH450" s="730"/>
      <c r="AI450" s="713"/>
      <c r="AJ450" s="713"/>
      <c r="AK450" s="713"/>
      <c r="AL450" s="713"/>
      <c r="AM450" s="712">
        <f>SUBTOTAL(9,AM424:AM449)</f>
        <v>0</v>
      </c>
      <c r="AN450" s="713"/>
      <c r="AO450" s="712">
        <f>SUBTOTAL(9,AO424:AO449)</f>
        <v>0</v>
      </c>
      <c r="AP450" s="713"/>
      <c r="AQ450" s="713"/>
      <c r="AR450" s="713"/>
      <c r="AS450" s="713"/>
      <c r="AT450" s="713"/>
    </row>
    <row r="451" spans="1:46" s="555" customFormat="1" ht="22.5" customHeight="1">
      <c r="A451" s="619"/>
      <c r="B451" s="583"/>
      <c r="C451" s="584"/>
      <c r="D451" s="585"/>
      <c r="E451" s="581"/>
      <c r="F451" s="1327"/>
      <c r="G451" s="586"/>
      <c r="H451" s="586"/>
      <c r="I451" s="587"/>
      <c r="J451" s="549"/>
      <c r="K451" s="1185"/>
      <c r="L451" s="550"/>
      <c r="M451" s="550"/>
      <c r="N451" s="549"/>
      <c r="O451" s="776"/>
      <c r="P451" s="777"/>
      <c r="Q451" s="777"/>
      <c r="R451" s="751"/>
      <c r="S451" s="752"/>
      <c r="T451" s="792"/>
      <c r="U451" s="803"/>
      <c r="V451" s="803"/>
      <c r="W451" s="803"/>
      <c r="X451" s="858">
        <f>SUMIF('Summary-E'!O$4:O$50,D451,'Summary-E'!Q$4:Q$50)</f>
        <v>0</v>
      </c>
      <c r="Y451" s="310">
        <f>ROUND((R451+S451/'Summary-E'!$M$63)*X451,2)</f>
        <v>0</v>
      </c>
      <c r="Z451" s="858">
        <f t="shared" si="417"/>
        <v>1.05</v>
      </c>
      <c r="AA451" s="816"/>
      <c r="AB451" s="552"/>
      <c r="AC451" s="310">
        <f t="shared" si="363"/>
        <v>0</v>
      </c>
      <c r="AD451" s="717">
        <f>ROUND(AC451*'[1]Summary E&amp;M'!$R$94,2)</f>
        <v>0</v>
      </c>
      <c r="AE451" s="832"/>
      <c r="AF451" s="825">
        <f>ROUND($F451*$AC451,2)</f>
        <v>0</v>
      </c>
      <c r="AG451" s="743"/>
      <c r="AH451" s="737"/>
      <c r="AI451" s="552"/>
      <c r="AJ451" s="552"/>
      <c r="AK451" s="552"/>
      <c r="AL451" s="552"/>
      <c r="AM451" s="725"/>
      <c r="AN451" s="552"/>
      <c r="AO451" s="725"/>
      <c r="AP451" s="552"/>
      <c r="AQ451" s="552"/>
      <c r="AR451" s="552"/>
      <c r="AS451" s="552"/>
      <c r="AT451" s="552"/>
    </row>
    <row r="452" spans="1:46" s="555" customFormat="1" ht="22.5" customHeight="1">
      <c r="A452" s="620" t="s">
        <v>415</v>
      </c>
      <c r="B452" s="522" t="s">
        <v>748</v>
      </c>
      <c r="C452" s="566"/>
      <c r="D452" s="588"/>
      <c r="E452" s="524"/>
      <c r="F452" s="1314"/>
      <c r="G452" s="527"/>
      <c r="H452" s="527"/>
      <c r="I452" s="567"/>
      <c r="J452" s="309"/>
      <c r="K452" s="1149"/>
      <c r="L452" s="530"/>
      <c r="M452" s="530"/>
      <c r="N452" s="309"/>
      <c r="O452" s="776"/>
      <c r="P452" s="777"/>
      <c r="Q452" s="777"/>
      <c r="R452" s="751"/>
      <c r="S452" s="752"/>
      <c r="T452" s="792"/>
      <c r="U452" s="803">
        <v>0</v>
      </c>
      <c r="V452" s="803">
        <v>0</v>
      </c>
      <c r="W452" s="803">
        <v>0</v>
      </c>
      <c r="X452" s="858">
        <f>SUMIF('Summary-E'!O$4:O$50,D452,'Summary-E'!Q$4:Q$50)</f>
        <v>0</v>
      </c>
      <c r="Y452" s="310">
        <f>ROUND((R452+S452/'Summary-E'!$M$63)*X452,2)</f>
        <v>0</v>
      </c>
      <c r="Z452" s="858">
        <f t="shared" si="417"/>
        <v>1.05</v>
      </c>
      <c r="AA452" s="813">
        <f t="shared" ref="AA452:AA463" si="476">ROUND(Y452*Z452,2)</f>
        <v>0</v>
      </c>
      <c r="AB452" s="447">
        <f t="shared" ref="AB452:AB463" si="477">$AB$3</f>
        <v>0.05</v>
      </c>
      <c r="AC452" s="310">
        <f t="shared" si="363"/>
        <v>0</v>
      </c>
      <c r="AD452" s="717">
        <f>ROUND(AC452*'[1]Summary E&amp;M'!$R$94,2)</f>
        <v>0</v>
      </c>
      <c r="AE452" s="825">
        <f t="shared" ref="AE452:AE465" si="478">ROUND($K452*$Y452,2)</f>
        <v>0</v>
      </c>
      <c r="AF452" s="825">
        <f t="shared" ref="AF452:AF465" si="479">ROUND($K452*$AC452,2)</f>
        <v>0</v>
      </c>
      <c r="AG452" s="743"/>
      <c r="AH452" s="728"/>
      <c r="AI452" s="519">
        <f t="shared" ref="AI452:AI463" si="480">$U452</f>
        <v>0</v>
      </c>
      <c r="AJ452" s="519">
        <f t="shared" ref="AJ452:AJ463" si="481">$V452</f>
        <v>0</v>
      </c>
      <c r="AK452" s="519">
        <f t="shared" ref="AK452:AK463" si="482">$W452</f>
        <v>0</v>
      </c>
      <c r="AL452" s="520">
        <f t="shared" ref="AL452:AL459" si="483">ROUND(Y452*AI452+((Y452*(1+AI452))*AJ452)+((Y452*AI452+((Y452*(1+AI452))*AJ452))*AK452),2)</f>
        <v>0</v>
      </c>
      <c r="AM452" s="520">
        <f t="shared" ref="AM452:AM459" si="484">AL452*$F452</f>
        <v>0</v>
      </c>
      <c r="AN452" s="520">
        <f t="shared" ref="AN452:AN459" si="485">ROUND(AL452*Z452,2)</f>
        <v>0</v>
      </c>
      <c r="AO452" s="520">
        <f t="shared" ref="AO452:AO459" si="486">AN452*$F452</f>
        <v>0</v>
      </c>
      <c r="AP452" s="552"/>
      <c r="AQ452" s="552"/>
      <c r="AR452" s="552"/>
      <c r="AS452" s="552"/>
      <c r="AT452" s="552"/>
    </row>
    <row r="453" spans="1:46" s="555" customFormat="1" ht="22.5" customHeight="1">
      <c r="A453" s="451"/>
      <c r="B453" s="531" t="s">
        <v>737</v>
      </c>
      <c r="C453" s="566"/>
      <c r="D453" s="1206">
        <v>186</v>
      </c>
      <c r="E453" s="524" t="s">
        <v>436</v>
      </c>
      <c r="F453" s="1322">
        <f>K453</f>
        <v>2</v>
      </c>
      <c r="G453" s="527">
        <f t="shared" ref="G453:G461" si="487">ROUNDUP(AA453,2)</f>
        <v>58.76</v>
      </c>
      <c r="H453" s="527">
        <f>ROUND(F453*G453,2)</f>
        <v>117.52</v>
      </c>
      <c r="I453" s="567"/>
      <c r="J453" s="309"/>
      <c r="K453" s="1149">
        <v>2</v>
      </c>
      <c r="L453" s="530">
        <f t="shared" ref="L453:L464" si="488">ROUND(AD453,2)</f>
        <v>39.380000000000003</v>
      </c>
      <c r="M453" s="530">
        <f t="shared" ref="M453:M464" si="489">ROUND(L453*F453,2)</f>
        <v>78.760000000000005</v>
      </c>
      <c r="N453" s="309"/>
      <c r="O453" s="776" t="s">
        <v>683</v>
      </c>
      <c r="P453" s="777"/>
      <c r="Q453" s="777"/>
      <c r="R453" s="751"/>
      <c r="S453" s="752">
        <v>1200000</v>
      </c>
      <c r="T453" s="792">
        <v>30</v>
      </c>
      <c r="U453" s="803">
        <v>0</v>
      </c>
      <c r="V453" s="803">
        <v>0</v>
      </c>
      <c r="W453" s="803">
        <v>0</v>
      </c>
      <c r="X453" s="858">
        <f>SUMIF('Summary-E'!O$4:O$50,D453,'Summary-E'!Q$4:Q$50)</f>
        <v>0.97</v>
      </c>
      <c r="Y453" s="310">
        <f>ROUND((R453+S453/'[7]Summary E&amp;M'!$M$104)*X453,2)</f>
        <v>55.96</v>
      </c>
      <c r="Z453" s="858">
        <f t="shared" ref="Z453:Z516" si="490">$Z$4</f>
        <v>1.05</v>
      </c>
      <c r="AA453" s="813">
        <f t="shared" si="476"/>
        <v>58.76</v>
      </c>
      <c r="AB453" s="447">
        <f t="shared" si="477"/>
        <v>0.05</v>
      </c>
      <c r="AC453" s="310">
        <f t="shared" si="363"/>
        <v>31.5</v>
      </c>
      <c r="AD453" s="717">
        <f>ROUND(AC453*'[11]Summary E&amp;M'!$R$94,2)</f>
        <v>39.380000000000003</v>
      </c>
      <c r="AE453" s="825">
        <f t="shared" si="478"/>
        <v>111.92</v>
      </c>
      <c r="AF453" s="825">
        <f t="shared" si="479"/>
        <v>63</v>
      </c>
      <c r="AG453" s="743"/>
      <c r="AH453" s="728"/>
      <c r="AI453" s="519">
        <f t="shared" si="480"/>
        <v>0</v>
      </c>
      <c r="AJ453" s="519">
        <f t="shared" si="481"/>
        <v>0</v>
      </c>
      <c r="AK453" s="519">
        <f t="shared" si="482"/>
        <v>0</v>
      </c>
      <c r="AL453" s="520">
        <f t="shared" si="483"/>
        <v>0</v>
      </c>
      <c r="AM453" s="520">
        <f t="shared" si="484"/>
        <v>0</v>
      </c>
      <c r="AN453" s="520">
        <f t="shared" si="485"/>
        <v>0</v>
      </c>
      <c r="AO453" s="520">
        <f t="shared" si="486"/>
        <v>0</v>
      </c>
      <c r="AP453" s="552"/>
      <c r="AQ453" s="552"/>
      <c r="AR453" s="552"/>
      <c r="AS453" s="552"/>
      <c r="AT453" s="552"/>
    </row>
    <row r="454" spans="1:46" s="555" customFormat="1" ht="22.5" customHeight="1">
      <c r="A454" s="451"/>
      <c r="B454" s="531" t="s">
        <v>1318</v>
      </c>
      <c r="C454" s="566"/>
      <c r="D454" s="1206">
        <v>186</v>
      </c>
      <c r="E454" s="524" t="s">
        <v>436</v>
      </c>
      <c r="F454" s="1322">
        <f>K454</f>
        <v>1</v>
      </c>
      <c r="G454" s="1155" t="s">
        <v>996</v>
      </c>
      <c r="H454" s="527"/>
      <c r="I454" s="435" t="s">
        <v>997</v>
      </c>
      <c r="J454" s="309"/>
      <c r="K454" s="1149">
        <v>1</v>
      </c>
      <c r="L454" s="530">
        <f>ROUND(AD454,2)</f>
        <v>0</v>
      </c>
      <c r="M454" s="530">
        <f t="shared" si="489"/>
        <v>0</v>
      </c>
      <c r="N454" s="309"/>
      <c r="O454" s="776" t="s">
        <v>683</v>
      </c>
      <c r="P454" s="777"/>
      <c r="Q454" s="777"/>
      <c r="R454" s="751"/>
      <c r="S454" s="752"/>
      <c r="T454" s="792"/>
      <c r="U454" s="803">
        <v>0</v>
      </c>
      <c r="V454" s="803">
        <v>0</v>
      </c>
      <c r="W454" s="803">
        <v>0</v>
      </c>
      <c r="X454" s="858">
        <f>SUMIF('Summary-E'!O$4:O$50,D454,'Summary-E'!Q$4:Q$50)</f>
        <v>0.97</v>
      </c>
      <c r="Y454" s="310">
        <f>ROUND((R454+S454/'[7]Summary E&amp;M'!$M$104)*X454,2)</f>
        <v>0</v>
      </c>
      <c r="Z454" s="858">
        <f t="shared" si="490"/>
        <v>1.05</v>
      </c>
      <c r="AA454" s="813">
        <f>ROUND(Y454*Z454,2)</f>
        <v>0</v>
      </c>
      <c r="AB454" s="447">
        <f t="shared" si="477"/>
        <v>0.05</v>
      </c>
      <c r="AC454" s="310">
        <f>ROUND((T454*(1+AB454)),2)</f>
        <v>0</v>
      </c>
      <c r="AD454" s="717">
        <f>ROUND(AC454*'[11]Summary E&amp;M'!$R$94,2)</f>
        <v>0</v>
      </c>
      <c r="AE454" s="825">
        <f t="shared" si="478"/>
        <v>0</v>
      </c>
      <c r="AF454" s="825">
        <f t="shared" si="479"/>
        <v>0</v>
      </c>
      <c r="AG454" s="743"/>
      <c r="AH454" s="728"/>
      <c r="AI454" s="519">
        <f t="shared" si="480"/>
        <v>0</v>
      </c>
      <c r="AJ454" s="519">
        <f t="shared" si="481"/>
        <v>0</v>
      </c>
      <c r="AK454" s="519">
        <f t="shared" si="482"/>
        <v>0</v>
      </c>
      <c r="AL454" s="520">
        <f t="shared" si="483"/>
        <v>0</v>
      </c>
      <c r="AM454" s="520">
        <f t="shared" si="484"/>
        <v>0</v>
      </c>
      <c r="AN454" s="520">
        <f t="shared" si="485"/>
        <v>0</v>
      </c>
      <c r="AO454" s="520">
        <f t="shared" si="486"/>
        <v>0</v>
      </c>
      <c r="AP454" s="552"/>
      <c r="AQ454" s="552"/>
      <c r="AR454" s="552"/>
      <c r="AS454" s="552"/>
      <c r="AT454" s="552"/>
    </row>
    <row r="455" spans="1:46" s="555" customFormat="1" ht="22.5" customHeight="1">
      <c r="A455" s="451"/>
      <c r="B455" s="531" t="s">
        <v>621</v>
      </c>
      <c r="C455" s="566"/>
      <c r="D455" s="1206">
        <v>186</v>
      </c>
      <c r="E455" s="524" t="s">
        <v>436</v>
      </c>
      <c r="F455" s="1322">
        <f>K455</f>
        <v>14</v>
      </c>
      <c r="G455" s="527">
        <f t="shared" si="487"/>
        <v>3.42</v>
      </c>
      <c r="H455" s="527">
        <f>ROUND(F455*G455,2)</f>
        <v>47.88</v>
      </c>
      <c r="I455" s="567"/>
      <c r="J455" s="309"/>
      <c r="K455" s="1149">
        <v>14</v>
      </c>
      <c r="L455" s="530">
        <f t="shared" si="488"/>
        <v>3.94</v>
      </c>
      <c r="M455" s="530">
        <f t="shared" si="489"/>
        <v>55.16</v>
      </c>
      <c r="N455" s="309"/>
      <c r="O455" s="776" t="s">
        <v>683</v>
      </c>
      <c r="P455" s="777"/>
      <c r="Q455" s="777"/>
      <c r="R455" s="751"/>
      <c r="S455" s="752">
        <v>67800</v>
      </c>
      <c r="T455" s="792">
        <v>3</v>
      </c>
      <c r="U455" s="803">
        <v>0</v>
      </c>
      <c r="V455" s="803">
        <v>0</v>
      </c>
      <c r="W455" s="803">
        <v>0</v>
      </c>
      <c r="X455" s="858">
        <v>1</v>
      </c>
      <c r="Y455" s="310">
        <f>ROUND((R455+S455/'[7]Summary E&amp;M'!$M$104)*X455,2)</f>
        <v>3.26</v>
      </c>
      <c r="Z455" s="858">
        <f t="shared" si="490"/>
        <v>1.05</v>
      </c>
      <c r="AA455" s="813">
        <f t="shared" si="476"/>
        <v>3.42</v>
      </c>
      <c r="AB455" s="447">
        <f t="shared" si="477"/>
        <v>0.05</v>
      </c>
      <c r="AC455" s="310">
        <f t="shared" si="363"/>
        <v>3.15</v>
      </c>
      <c r="AD455" s="717">
        <f>ROUND(AC455*'[11]Summary E&amp;M'!$R$94,2)</f>
        <v>3.94</v>
      </c>
      <c r="AE455" s="825">
        <f t="shared" si="478"/>
        <v>45.64</v>
      </c>
      <c r="AF455" s="825">
        <f t="shared" si="479"/>
        <v>44.1</v>
      </c>
      <c r="AG455" s="743"/>
      <c r="AH455" s="728"/>
      <c r="AI455" s="519">
        <f t="shared" si="480"/>
        <v>0</v>
      </c>
      <c r="AJ455" s="519">
        <f t="shared" si="481"/>
        <v>0</v>
      </c>
      <c r="AK455" s="519">
        <f t="shared" si="482"/>
        <v>0</v>
      </c>
      <c r="AL455" s="520">
        <f t="shared" si="483"/>
        <v>0</v>
      </c>
      <c r="AM455" s="520">
        <f t="shared" si="484"/>
        <v>0</v>
      </c>
      <c r="AN455" s="520">
        <f t="shared" si="485"/>
        <v>0</v>
      </c>
      <c r="AO455" s="520">
        <f t="shared" si="486"/>
        <v>0</v>
      </c>
      <c r="AP455" s="552"/>
      <c r="AQ455" s="552"/>
      <c r="AR455" s="552"/>
      <c r="AS455" s="552"/>
      <c r="AT455" s="552"/>
    </row>
    <row r="456" spans="1:46" s="555" customFormat="1" ht="22.5" customHeight="1">
      <c r="A456" s="451"/>
      <c r="B456" s="531" t="s">
        <v>1273</v>
      </c>
      <c r="C456" s="566" t="s">
        <v>182</v>
      </c>
      <c r="D456" s="525">
        <v>121</v>
      </c>
      <c r="E456" s="524" t="s">
        <v>321</v>
      </c>
      <c r="F456" s="1314">
        <f>ROUND(K456*'Summary-E'!$K$61,0)</f>
        <v>545</v>
      </c>
      <c r="G456" s="527">
        <f t="shared" ref="G456" si="491">ROUNDUP(AA456,2)</f>
        <v>9.85</v>
      </c>
      <c r="H456" s="527">
        <f>F456*G456</f>
        <v>5368.25</v>
      </c>
      <c r="I456" s="567"/>
      <c r="J456" s="582"/>
      <c r="K456" s="1149">
        <v>519</v>
      </c>
      <c r="L456" s="530">
        <f t="shared" ref="L456" si="492">ROUND(AD456,2)</f>
        <v>2.1</v>
      </c>
      <c r="M456" s="530">
        <f t="shared" ref="M456" si="493">ROUND(L456*F456,2)</f>
        <v>1144.5</v>
      </c>
      <c r="N456" s="1053"/>
      <c r="O456" s="776" t="s">
        <v>131</v>
      </c>
      <c r="P456" s="777"/>
      <c r="Q456" s="777"/>
      <c r="R456" s="751"/>
      <c r="S456" s="752">
        <v>195000</v>
      </c>
      <c r="T456" s="792">
        <v>1.6</v>
      </c>
      <c r="U456" s="803">
        <v>0</v>
      </c>
      <c r="V456" s="803">
        <v>0</v>
      </c>
      <c r="W456" s="803">
        <v>0</v>
      </c>
      <c r="X456" s="858">
        <v>1</v>
      </c>
      <c r="Y456" s="310">
        <f>ROUND((R456+S456/'[7]Summary E&amp;M'!$M$104)*X456,2)</f>
        <v>9.3800000000000008</v>
      </c>
      <c r="Z456" s="858">
        <f t="shared" si="490"/>
        <v>1.05</v>
      </c>
      <c r="AA456" s="813">
        <f t="shared" ref="AA456" si="494">ROUND(Y456*Z456,2)</f>
        <v>9.85</v>
      </c>
      <c r="AB456" s="447">
        <f t="shared" si="477"/>
        <v>0.05</v>
      </c>
      <c r="AC456" s="310">
        <f t="shared" ref="AC456" si="495">ROUND((T456*(1+AB456)),2)</f>
        <v>1.68</v>
      </c>
      <c r="AD456" s="717">
        <f>ROUND(AC456*'[11]Summary E&amp;M'!$R$94,2)</f>
        <v>2.1</v>
      </c>
      <c r="AE456" s="825">
        <f t="shared" si="478"/>
        <v>4868.22</v>
      </c>
      <c r="AF456" s="825">
        <f t="shared" si="479"/>
        <v>871.92</v>
      </c>
      <c r="AG456" s="743"/>
      <c r="AH456" s="728"/>
      <c r="AI456" s="519">
        <f t="shared" si="480"/>
        <v>0</v>
      </c>
      <c r="AJ456" s="519">
        <f t="shared" si="481"/>
        <v>0</v>
      </c>
      <c r="AK456" s="519">
        <f t="shared" si="482"/>
        <v>0</v>
      </c>
      <c r="AL456" s="520">
        <f t="shared" ref="AL456" si="496">ROUND(Y456*AI456+((Y456*(1+AI456))*AJ456)+((Y456*AI456+((Y456*(1+AI456))*AJ456))*AK456),2)</f>
        <v>0</v>
      </c>
      <c r="AM456" s="520">
        <f t="shared" ref="AM456" si="497">AL456*$F456</f>
        <v>0</v>
      </c>
      <c r="AN456" s="520">
        <f t="shared" ref="AN456" si="498">ROUND(AL456*Z456,2)</f>
        <v>0</v>
      </c>
      <c r="AO456" s="520">
        <f t="shared" ref="AO456" si="499">AN456*$F456</f>
        <v>0</v>
      </c>
      <c r="AP456" s="552"/>
      <c r="AQ456" s="552"/>
      <c r="AR456" s="552"/>
      <c r="AS456" s="552"/>
      <c r="AT456" s="552"/>
    </row>
    <row r="457" spans="1:46" s="555" customFormat="1" ht="22.5" customHeight="1">
      <c r="A457" s="451"/>
      <c r="B457" s="531" t="s">
        <v>744</v>
      </c>
      <c r="C457" s="566" t="s">
        <v>182</v>
      </c>
      <c r="D457" s="525">
        <v>121</v>
      </c>
      <c r="E457" s="524" t="s">
        <v>321</v>
      </c>
      <c r="F457" s="1314">
        <f>ROUND(K457*'Summary-E'!$K$61,0)</f>
        <v>16</v>
      </c>
      <c r="G457" s="527">
        <f t="shared" si="487"/>
        <v>13.63</v>
      </c>
      <c r="H457" s="527">
        <f>F457*G457</f>
        <v>218.08</v>
      </c>
      <c r="I457" s="567"/>
      <c r="J457" s="582"/>
      <c r="K457" s="1149">
        <v>15</v>
      </c>
      <c r="L457" s="530">
        <f t="shared" si="488"/>
        <v>2.1</v>
      </c>
      <c r="M457" s="530">
        <f t="shared" si="489"/>
        <v>33.6</v>
      </c>
      <c r="N457" s="1053"/>
      <c r="O457" s="776" t="s">
        <v>131</v>
      </c>
      <c r="P457" s="777"/>
      <c r="Q457" s="777"/>
      <c r="R457" s="751"/>
      <c r="S457" s="752">
        <v>270000</v>
      </c>
      <c r="T457" s="792">
        <v>1.6</v>
      </c>
      <c r="U457" s="803">
        <v>0</v>
      </c>
      <c r="V457" s="803">
        <v>0</v>
      </c>
      <c r="W457" s="803">
        <v>0</v>
      </c>
      <c r="X457" s="858">
        <v>1</v>
      </c>
      <c r="Y457" s="310">
        <f>ROUND((R457+S457/'[7]Summary E&amp;M'!$M$104)*X457,2)</f>
        <v>12.98</v>
      </c>
      <c r="Z457" s="858">
        <f t="shared" si="490"/>
        <v>1.05</v>
      </c>
      <c r="AA457" s="813">
        <f t="shared" si="476"/>
        <v>13.63</v>
      </c>
      <c r="AB457" s="447">
        <f t="shared" si="477"/>
        <v>0.05</v>
      </c>
      <c r="AC457" s="310">
        <f t="shared" si="363"/>
        <v>1.68</v>
      </c>
      <c r="AD457" s="717">
        <f>ROUND(AC457*'[11]Summary E&amp;M'!$R$94,2)</f>
        <v>2.1</v>
      </c>
      <c r="AE457" s="825">
        <f t="shared" si="478"/>
        <v>194.7</v>
      </c>
      <c r="AF457" s="825">
        <f t="shared" si="479"/>
        <v>25.2</v>
      </c>
      <c r="AG457" s="743"/>
      <c r="AH457" s="728"/>
      <c r="AI457" s="519">
        <f t="shared" si="480"/>
        <v>0</v>
      </c>
      <c r="AJ457" s="519">
        <f t="shared" si="481"/>
        <v>0</v>
      </c>
      <c r="AK457" s="519">
        <f t="shared" si="482"/>
        <v>0</v>
      </c>
      <c r="AL457" s="520">
        <f t="shared" si="483"/>
        <v>0</v>
      </c>
      <c r="AM457" s="520">
        <f t="shared" si="484"/>
        <v>0</v>
      </c>
      <c r="AN457" s="520">
        <f t="shared" si="485"/>
        <v>0</v>
      </c>
      <c r="AO457" s="520">
        <f t="shared" si="486"/>
        <v>0</v>
      </c>
      <c r="AP457" s="552"/>
      <c r="AQ457" s="552"/>
      <c r="AR457" s="552"/>
      <c r="AS457" s="552"/>
      <c r="AT457" s="552"/>
    </row>
    <row r="458" spans="1:46" s="555" customFormat="1" ht="22.5" customHeight="1">
      <c r="A458" s="451"/>
      <c r="B458" s="531" t="s">
        <v>1272</v>
      </c>
      <c r="C458" s="566" t="s">
        <v>182</v>
      </c>
      <c r="D458" s="525">
        <v>121</v>
      </c>
      <c r="E458" s="524" t="s">
        <v>321</v>
      </c>
      <c r="F458" s="1314">
        <f>ROUND(K458*'Summary-E'!$K$61,0)</f>
        <v>71</v>
      </c>
      <c r="G458" s="527">
        <f t="shared" si="487"/>
        <v>9.14</v>
      </c>
      <c r="H458" s="527">
        <f>F458*G458</f>
        <v>648.94000000000005</v>
      </c>
      <c r="I458" s="567"/>
      <c r="J458" s="582"/>
      <c r="K458" s="1149">
        <v>68</v>
      </c>
      <c r="L458" s="530">
        <f t="shared" si="488"/>
        <v>1.58</v>
      </c>
      <c r="M458" s="530">
        <f t="shared" si="489"/>
        <v>112.18</v>
      </c>
      <c r="N458" s="1053"/>
      <c r="O458" s="776" t="s">
        <v>131</v>
      </c>
      <c r="P458" s="777"/>
      <c r="Q458" s="777"/>
      <c r="R458" s="751"/>
      <c r="S458" s="752">
        <v>181000</v>
      </c>
      <c r="T458" s="792">
        <v>1.2</v>
      </c>
      <c r="U458" s="803">
        <v>0</v>
      </c>
      <c r="V458" s="803">
        <v>0</v>
      </c>
      <c r="W458" s="803">
        <v>0</v>
      </c>
      <c r="X458" s="858">
        <v>1</v>
      </c>
      <c r="Y458" s="310">
        <f>ROUND((R458+S458/'[7]Summary E&amp;M'!$M$104)*X458,2)</f>
        <v>8.6999999999999993</v>
      </c>
      <c r="Z458" s="858">
        <f t="shared" si="490"/>
        <v>1.05</v>
      </c>
      <c r="AA458" s="813">
        <f t="shared" si="476"/>
        <v>9.14</v>
      </c>
      <c r="AB458" s="447">
        <f t="shared" si="477"/>
        <v>0.05</v>
      </c>
      <c r="AC458" s="310">
        <f t="shared" si="363"/>
        <v>1.26</v>
      </c>
      <c r="AD458" s="717">
        <f>ROUND(AC458*'[11]Summary E&amp;M'!$R$94,2)</f>
        <v>1.58</v>
      </c>
      <c r="AE458" s="825">
        <f t="shared" si="478"/>
        <v>591.6</v>
      </c>
      <c r="AF458" s="825">
        <f t="shared" si="479"/>
        <v>85.68</v>
      </c>
      <c r="AG458" s="743"/>
      <c r="AH458" s="728"/>
      <c r="AI458" s="519">
        <f t="shared" si="480"/>
        <v>0</v>
      </c>
      <c r="AJ458" s="519">
        <f t="shared" si="481"/>
        <v>0</v>
      </c>
      <c r="AK458" s="519">
        <f t="shared" si="482"/>
        <v>0</v>
      </c>
      <c r="AL458" s="520">
        <f t="shared" si="483"/>
        <v>0</v>
      </c>
      <c r="AM458" s="520">
        <f t="shared" si="484"/>
        <v>0</v>
      </c>
      <c r="AN458" s="520">
        <f t="shared" si="485"/>
        <v>0</v>
      </c>
      <c r="AO458" s="520">
        <f t="shared" si="486"/>
        <v>0</v>
      </c>
      <c r="AP458" s="552"/>
      <c r="AQ458" s="552"/>
      <c r="AR458" s="552"/>
      <c r="AS458" s="552"/>
      <c r="AT458" s="552"/>
    </row>
    <row r="459" spans="1:46" s="555" customFormat="1" ht="22.5" customHeight="1">
      <c r="A459" s="620"/>
      <c r="B459" s="531" t="s">
        <v>403</v>
      </c>
      <c r="C459" s="566" t="s">
        <v>329</v>
      </c>
      <c r="D459" s="1202" t="s">
        <v>1111</v>
      </c>
      <c r="E459" s="524" t="s">
        <v>321</v>
      </c>
      <c r="F459" s="1314">
        <f>ROUND(K459*'Summary-E'!$K$61,0)</f>
        <v>135</v>
      </c>
      <c r="G459" s="527">
        <f t="shared" si="487"/>
        <v>0.61</v>
      </c>
      <c r="H459" s="527">
        <f t="shared" ref="H459" si="500">ROUND(F459*G459,2)</f>
        <v>82.35</v>
      </c>
      <c r="I459" s="567"/>
      <c r="J459" s="309"/>
      <c r="K459" s="1175">
        <v>129</v>
      </c>
      <c r="L459" s="530">
        <f t="shared" si="488"/>
        <v>0.4</v>
      </c>
      <c r="M459" s="530">
        <f t="shared" si="489"/>
        <v>54</v>
      </c>
      <c r="N459" s="309"/>
      <c r="O459" s="776" t="s">
        <v>131</v>
      </c>
      <c r="P459" s="777"/>
      <c r="Q459" s="777"/>
      <c r="R459" s="751"/>
      <c r="S459" s="752">
        <v>12000</v>
      </c>
      <c r="T459" s="792">
        <v>0.3</v>
      </c>
      <c r="U459" s="803">
        <v>0</v>
      </c>
      <c r="V459" s="803">
        <v>0</v>
      </c>
      <c r="W459" s="803">
        <v>0</v>
      </c>
      <c r="X459" s="858">
        <v>1</v>
      </c>
      <c r="Y459" s="310">
        <f>ROUND((R459+S459/'[7]Summary E&amp;M'!$M$104)*X459,2)</f>
        <v>0.57999999999999996</v>
      </c>
      <c r="Z459" s="858">
        <f t="shared" si="490"/>
        <v>1.05</v>
      </c>
      <c r="AA459" s="813">
        <f t="shared" si="476"/>
        <v>0.61</v>
      </c>
      <c r="AB459" s="447">
        <f t="shared" si="477"/>
        <v>0.05</v>
      </c>
      <c r="AC459" s="310">
        <f t="shared" ref="AC459" si="501">ROUND((T459*(1+AB459)),2)</f>
        <v>0.32</v>
      </c>
      <c r="AD459" s="717">
        <f>ROUND(AC459*'[8]Summary E&amp;M'!$R$94,2)</f>
        <v>0.4</v>
      </c>
      <c r="AE459" s="825">
        <f t="shared" si="478"/>
        <v>74.819999999999993</v>
      </c>
      <c r="AF459" s="825">
        <f t="shared" si="479"/>
        <v>41.28</v>
      </c>
      <c r="AG459" s="743"/>
      <c r="AH459" s="728"/>
      <c r="AI459" s="519">
        <f t="shared" si="480"/>
        <v>0</v>
      </c>
      <c r="AJ459" s="519">
        <f t="shared" si="481"/>
        <v>0</v>
      </c>
      <c r="AK459" s="519">
        <f t="shared" si="482"/>
        <v>0</v>
      </c>
      <c r="AL459" s="520">
        <f t="shared" si="483"/>
        <v>0</v>
      </c>
      <c r="AM459" s="520">
        <f t="shared" si="484"/>
        <v>0</v>
      </c>
      <c r="AN459" s="520">
        <f t="shared" si="485"/>
        <v>0</v>
      </c>
      <c r="AO459" s="520">
        <f t="shared" si="486"/>
        <v>0</v>
      </c>
      <c r="AP459" s="552"/>
      <c r="AQ459" s="552"/>
      <c r="AR459" s="552"/>
      <c r="AS459" s="552"/>
      <c r="AT459" s="552"/>
    </row>
    <row r="460" spans="1:46" s="555" customFormat="1" ht="22.5" customHeight="1">
      <c r="A460" s="638"/>
      <c r="B460" s="997" t="s">
        <v>435</v>
      </c>
      <c r="C460" s="566"/>
      <c r="D460" s="1202" t="s">
        <v>1112</v>
      </c>
      <c r="E460" s="524" t="s">
        <v>322</v>
      </c>
      <c r="F460" s="1322">
        <f>K460</f>
        <v>1</v>
      </c>
      <c r="G460" s="527">
        <f t="shared" si="487"/>
        <v>263.12</v>
      </c>
      <c r="H460" s="527">
        <f>ROUND(F460*G460,2)</f>
        <v>263.12</v>
      </c>
      <c r="I460" s="589"/>
      <c r="J460" s="590"/>
      <c r="K460" s="1149">
        <v>1</v>
      </c>
      <c r="L460" s="530">
        <f t="shared" si="488"/>
        <v>33.9</v>
      </c>
      <c r="M460" s="530">
        <f t="shared" si="489"/>
        <v>33.9</v>
      </c>
      <c r="N460" s="590"/>
      <c r="O460" s="776" t="s">
        <v>139</v>
      </c>
      <c r="P460" s="777">
        <v>0.3</v>
      </c>
      <c r="Q460" s="777"/>
      <c r="R460" s="751">
        <f>ROUND((SUM(AE457:AE459))*P460,2)</f>
        <v>258.33999999999997</v>
      </c>
      <c r="S460" s="752"/>
      <c r="T460" s="792">
        <f>ROUND(R460*10%,2)</f>
        <v>25.83</v>
      </c>
      <c r="U460" s="803">
        <v>0</v>
      </c>
      <c r="V460" s="803">
        <v>0</v>
      </c>
      <c r="W460" s="803">
        <v>0</v>
      </c>
      <c r="X460" s="858">
        <f>SUMIF('Summary-E'!O$4:O$50,D460,'Summary-E'!Q$4:Q$50)</f>
        <v>0.97</v>
      </c>
      <c r="Y460" s="310">
        <f>ROUND((R460+S460/'[7]Summary E&amp;M'!$M$104)*X460,2)</f>
        <v>250.59</v>
      </c>
      <c r="Z460" s="858">
        <f t="shared" si="490"/>
        <v>1.05</v>
      </c>
      <c r="AA460" s="813">
        <f t="shared" si="476"/>
        <v>263.12</v>
      </c>
      <c r="AB460" s="447">
        <f t="shared" si="477"/>
        <v>0.05</v>
      </c>
      <c r="AC460" s="310">
        <f t="shared" ref="AC460:AC518" si="502">ROUND((T460*(1+AB460)),2)</f>
        <v>27.12</v>
      </c>
      <c r="AD460" s="717">
        <f>ROUND(AC460*'[11]Summary E&amp;M'!$R$94,2)</f>
        <v>33.9</v>
      </c>
      <c r="AE460" s="825">
        <f t="shared" si="478"/>
        <v>250.59</v>
      </c>
      <c r="AF460" s="825">
        <f t="shared" si="479"/>
        <v>27.12</v>
      </c>
      <c r="AG460" s="743"/>
      <c r="AH460" s="728"/>
      <c r="AI460" s="519">
        <f t="shared" si="480"/>
        <v>0</v>
      </c>
      <c r="AJ460" s="519">
        <f t="shared" si="481"/>
        <v>0</v>
      </c>
      <c r="AK460" s="519">
        <f t="shared" si="482"/>
        <v>0</v>
      </c>
      <c r="AL460" s="520">
        <f>ROUND(Y460*AI460+((Y460*(1+AI460))*AJ460)+((Y460*AI460+((Y460*(1+AI460))*AJ460))*AK460),2)</f>
        <v>0</v>
      </c>
      <c r="AM460" s="520">
        <f>AL460*$F460</f>
        <v>0</v>
      </c>
      <c r="AN460" s="520">
        <f>ROUND(AL460*Z460,2)</f>
        <v>0</v>
      </c>
      <c r="AO460" s="520">
        <f>AN460*$F460</f>
        <v>0</v>
      </c>
      <c r="AP460" s="552"/>
      <c r="AQ460" s="552"/>
      <c r="AR460" s="552"/>
      <c r="AS460" s="552"/>
      <c r="AT460" s="552"/>
    </row>
    <row r="461" spans="1:46" s="555" customFormat="1" ht="22.5" customHeight="1">
      <c r="A461" s="638"/>
      <c r="B461" s="997" t="s">
        <v>718</v>
      </c>
      <c r="D461" s="525" t="s">
        <v>139</v>
      </c>
      <c r="E461" s="524" t="s">
        <v>322</v>
      </c>
      <c r="F461" s="1322">
        <f>K461</f>
        <v>1</v>
      </c>
      <c r="G461" s="527">
        <f t="shared" si="487"/>
        <v>131.55000000000001</v>
      </c>
      <c r="H461" s="527">
        <f>ROUND(F461*G461,2)</f>
        <v>131.55000000000001</v>
      </c>
      <c r="I461" s="589"/>
      <c r="J461" s="590"/>
      <c r="K461" s="1149">
        <v>1</v>
      </c>
      <c r="L461" s="530">
        <f t="shared" si="488"/>
        <v>16.96</v>
      </c>
      <c r="M461" s="530">
        <f t="shared" si="489"/>
        <v>16.96</v>
      </c>
      <c r="N461" s="590"/>
      <c r="O461" s="776" t="s">
        <v>139</v>
      </c>
      <c r="P461" s="777">
        <v>0.15</v>
      </c>
      <c r="Q461" s="777"/>
      <c r="R461" s="751">
        <f>ROUND((SUM(AE457:AE459))*P461,2)</f>
        <v>129.16999999999999</v>
      </c>
      <c r="S461" s="752"/>
      <c r="T461" s="792">
        <f>ROUND(R461*10%,2)</f>
        <v>12.92</v>
      </c>
      <c r="U461" s="803">
        <v>0</v>
      </c>
      <c r="V461" s="803">
        <v>0</v>
      </c>
      <c r="W461" s="803">
        <v>0</v>
      </c>
      <c r="X461" s="858">
        <f>SUMIF('Summary-E'!O$4:O$50,D461,'Summary-E'!Q$4:Q$50)</f>
        <v>0.97</v>
      </c>
      <c r="Y461" s="310">
        <f>ROUND((R461+S461/'[7]Summary E&amp;M'!$M$104)*X461,2)</f>
        <v>125.29</v>
      </c>
      <c r="Z461" s="858">
        <f t="shared" si="490"/>
        <v>1.05</v>
      </c>
      <c r="AA461" s="813">
        <f t="shared" si="476"/>
        <v>131.55000000000001</v>
      </c>
      <c r="AB461" s="447">
        <f t="shared" si="477"/>
        <v>0.05</v>
      </c>
      <c r="AC461" s="310">
        <f t="shared" si="502"/>
        <v>13.57</v>
      </c>
      <c r="AD461" s="717">
        <f>ROUND(AC461*'[11]Summary E&amp;M'!$R$94,2)</f>
        <v>16.96</v>
      </c>
      <c r="AE461" s="825">
        <f t="shared" si="478"/>
        <v>125.29</v>
      </c>
      <c r="AF461" s="825">
        <f t="shared" si="479"/>
        <v>13.57</v>
      </c>
      <c r="AG461" s="743"/>
      <c r="AH461" s="728"/>
      <c r="AI461" s="519">
        <f t="shared" si="480"/>
        <v>0</v>
      </c>
      <c r="AJ461" s="519">
        <f t="shared" si="481"/>
        <v>0</v>
      </c>
      <c r="AK461" s="519">
        <f t="shared" si="482"/>
        <v>0</v>
      </c>
      <c r="AL461" s="520">
        <f>ROUND(Y461*AI461+((Y461*(1+AI461))*AJ461)+((Y461*AI461+((Y461*(1+AI461))*AJ461))*AK461),2)</f>
        <v>0</v>
      </c>
      <c r="AM461" s="520">
        <f>AL461*$F461</f>
        <v>0</v>
      </c>
      <c r="AN461" s="520">
        <f>ROUND(AL461*Z461,2)</f>
        <v>0</v>
      </c>
      <c r="AO461" s="520">
        <f>AN461*$F461</f>
        <v>0</v>
      </c>
      <c r="AP461" s="552"/>
      <c r="AQ461" s="552"/>
      <c r="AR461" s="552"/>
      <c r="AS461" s="552"/>
      <c r="AT461" s="552"/>
    </row>
    <row r="462" spans="1:46" s="555" customFormat="1" ht="22.5" customHeight="1">
      <c r="A462" s="570"/>
      <c r="B462" s="568" t="s">
        <v>745</v>
      </c>
      <c r="C462" s="566"/>
      <c r="D462" s="1206">
        <v>186</v>
      </c>
      <c r="E462" s="524" t="s">
        <v>322</v>
      </c>
      <c r="F462" s="1322">
        <f>K462</f>
        <v>1</v>
      </c>
      <c r="G462" s="999" t="s">
        <v>119</v>
      </c>
      <c r="H462" s="1000"/>
      <c r="I462" s="420" t="s">
        <v>137</v>
      </c>
      <c r="J462" s="309"/>
      <c r="K462" s="1175">
        <v>1</v>
      </c>
      <c r="L462" s="530">
        <f t="shared" si="488"/>
        <v>0</v>
      </c>
      <c r="M462" s="530">
        <f t="shared" si="489"/>
        <v>0</v>
      </c>
      <c r="N462" s="309"/>
      <c r="O462" s="776">
        <v>159</v>
      </c>
      <c r="P462" s="777"/>
      <c r="Q462" s="785"/>
      <c r="R462" s="751"/>
      <c r="S462" s="752"/>
      <c r="T462" s="792"/>
      <c r="U462" s="803">
        <v>0</v>
      </c>
      <c r="V462" s="803">
        <v>0</v>
      </c>
      <c r="W462" s="803">
        <v>0</v>
      </c>
      <c r="X462" s="858">
        <f>SUMIF('Summary-E'!O$4:O$50,D462,'Summary-E'!Q$4:Q$50)</f>
        <v>0.97</v>
      </c>
      <c r="Y462" s="310">
        <f>ROUND((R462+S462/'[7]Summary E&amp;M'!$M$104)*X462,2)</f>
        <v>0</v>
      </c>
      <c r="Z462" s="858">
        <f t="shared" si="490"/>
        <v>1.05</v>
      </c>
      <c r="AA462" s="813">
        <f t="shared" si="476"/>
        <v>0</v>
      </c>
      <c r="AB462" s="447">
        <f t="shared" si="477"/>
        <v>0.05</v>
      </c>
      <c r="AC462" s="310">
        <f t="shared" si="502"/>
        <v>0</v>
      </c>
      <c r="AD462" s="717">
        <f>ROUND(AC462*'[11]Summary E&amp;M'!$R$94,2)</f>
        <v>0</v>
      </c>
      <c r="AE462" s="825">
        <f t="shared" si="478"/>
        <v>0</v>
      </c>
      <c r="AF462" s="825">
        <f t="shared" si="479"/>
        <v>0</v>
      </c>
      <c r="AG462" s="743"/>
      <c r="AH462" s="728"/>
      <c r="AI462" s="519">
        <f t="shared" si="480"/>
        <v>0</v>
      </c>
      <c r="AJ462" s="519">
        <f t="shared" si="481"/>
        <v>0</v>
      </c>
      <c r="AK462" s="519">
        <f t="shared" si="482"/>
        <v>0</v>
      </c>
      <c r="AL462" s="520">
        <f>ROUND(Y462*AI462+((Y462*(1+AI462))*AJ462)+((Y462*AI462+((Y462*(1+AI462))*AJ462))*AK462),2)</f>
        <v>0</v>
      </c>
      <c r="AM462" s="520">
        <f>AL462*$F462</f>
        <v>0</v>
      </c>
      <c r="AN462" s="520">
        <f>ROUND(AL462*Z462,2)</f>
        <v>0</v>
      </c>
      <c r="AO462" s="520">
        <f>AN462*$F462</f>
        <v>0</v>
      </c>
      <c r="AP462" s="552"/>
      <c r="AQ462" s="552"/>
      <c r="AR462" s="552"/>
      <c r="AS462" s="552"/>
      <c r="AT462" s="552"/>
    </row>
    <row r="463" spans="1:46" s="555" customFormat="1" ht="22.5" customHeight="1">
      <c r="A463" s="570"/>
      <c r="B463" s="568" t="s">
        <v>401</v>
      </c>
      <c r="C463" s="569"/>
      <c r="D463" s="570">
        <v>159</v>
      </c>
      <c r="E463" s="571" t="s">
        <v>322</v>
      </c>
      <c r="F463" s="1322">
        <f>K463</f>
        <v>1</v>
      </c>
      <c r="G463" s="527">
        <f>ROUNDUP(AA463,2)</f>
        <v>318.94</v>
      </c>
      <c r="H463" s="527">
        <f>ROUND(F463*G463,2)</f>
        <v>318.94</v>
      </c>
      <c r="I463" s="567"/>
      <c r="J463" s="309"/>
      <c r="K463" s="1149">
        <v>1</v>
      </c>
      <c r="L463" s="530">
        <f t="shared" si="488"/>
        <v>41.1</v>
      </c>
      <c r="M463" s="530">
        <f t="shared" si="489"/>
        <v>41.1</v>
      </c>
      <c r="N463" s="309"/>
      <c r="O463" s="776">
        <v>159</v>
      </c>
      <c r="P463" s="777">
        <v>0.05</v>
      </c>
      <c r="Q463" s="777"/>
      <c r="R463" s="751">
        <f>ROUND((SUM(AE453:AE462))*P463,2)</f>
        <v>313.14</v>
      </c>
      <c r="S463" s="752"/>
      <c r="T463" s="792">
        <f>ROUND(R463*10%,2)</f>
        <v>31.31</v>
      </c>
      <c r="U463" s="803">
        <v>0</v>
      </c>
      <c r="V463" s="803">
        <v>0</v>
      </c>
      <c r="W463" s="803">
        <v>0</v>
      </c>
      <c r="X463" s="858">
        <f>SUMIF('Summary-E'!O$4:O$50,D463,'Summary-E'!Q$4:Q$50)</f>
        <v>0.97</v>
      </c>
      <c r="Y463" s="310">
        <f>ROUND((R463+S463/'[7]Summary E&amp;M'!$M$104)*X463,2)</f>
        <v>303.75</v>
      </c>
      <c r="Z463" s="858">
        <f t="shared" si="490"/>
        <v>1.05</v>
      </c>
      <c r="AA463" s="813">
        <f t="shared" si="476"/>
        <v>318.94</v>
      </c>
      <c r="AB463" s="447">
        <f t="shared" si="477"/>
        <v>0.05</v>
      </c>
      <c r="AC463" s="310">
        <f t="shared" si="502"/>
        <v>32.880000000000003</v>
      </c>
      <c r="AD463" s="717">
        <f>ROUND(AC463*'[11]Summary E&amp;M'!$R$94,2)</f>
        <v>41.1</v>
      </c>
      <c r="AE463" s="825">
        <f t="shared" si="478"/>
        <v>303.75</v>
      </c>
      <c r="AF463" s="825">
        <f t="shared" si="479"/>
        <v>32.880000000000003</v>
      </c>
      <c r="AG463" s="743"/>
      <c r="AH463" s="728"/>
      <c r="AI463" s="519">
        <f t="shared" si="480"/>
        <v>0</v>
      </c>
      <c r="AJ463" s="519">
        <f t="shared" si="481"/>
        <v>0</v>
      </c>
      <c r="AK463" s="519">
        <f t="shared" si="482"/>
        <v>0</v>
      </c>
      <c r="AL463" s="520">
        <f>ROUND(Y463*AI463+((Y463*(1+AI463))*AJ463)+((Y463*AI463+((Y463*(1+AI463))*AJ463))*AK463),2)</f>
        <v>0</v>
      </c>
      <c r="AM463" s="520">
        <f>AL463*$F463</f>
        <v>0</v>
      </c>
      <c r="AN463" s="520">
        <f>ROUND(AL463*Z463,2)</f>
        <v>0</v>
      </c>
      <c r="AO463" s="520">
        <f>AN463*$F463</f>
        <v>0</v>
      </c>
      <c r="AP463" s="552"/>
      <c r="AQ463" s="552"/>
      <c r="AR463" s="552"/>
      <c r="AS463" s="552"/>
      <c r="AT463" s="552"/>
    </row>
    <row r="464" spans="1:46" s="555" customFormat="1" ht="22.5" customHeight="1">
      <c r="A464" s="638"/>
      <c r="B464" s="997"/>
      <c r="C464" s="566"/>
      <c r="D464" s="525"/>
      <c r="E464" s="524"/>
      <c r="F464" s="1314"/>
      <c r="G464" s="527"/>
      <c r="H464" s="527"/>
      <c r="I464" s="589"/>
      <c r="J464" s="590"/>
      <c r="K464" s="1149"/>
      <c r="L464" s="530">
        <f t="shared" si="488"/>
        <v>0</v>
      </c>
      <c r="M464" s="530">
        <f t="shared" si="489"/>
        <v>0</v>
      </c>
      <c r="N464" s="590"/>
      <c r="O464" s="776"/>
      <c r="P464" s="777"/>
      <c r="Q464" s="777"/>
      <c r="R464" s="751"/>
      <c r="S464" s="752"/>
      <c r="T464" s="792"/>
      <c r="U464" s="803"/>
      <c r="V464" s="803"/>
      <c r="W464" s="803"/>
      <c r="X464" s="858">
        <f>SUMIF('Summary-E'!O$4:O$50,D464,'Summary-E'!Q$4:Q$50)</f>
        <v>0</v>
      </c>
      <c r="Y464" s="310">
        <f>ROUND((R464+S464/'Summary-E'!$M$63)*X464,2)</f>
        <v>0</v>
      </c>
      <c r="Z464" s="858">
        <f t="shared" si="490"/>
        <v>1.05</v>
      </c>
      <c r="AA464" s="813"/>
      <c r="AB464" s="447"/>
      <c r="AC464" s="310">
        <f t="shared" si="502"/>
        <v>0</v>
      </c>
      <c r="AD464" s="717">
        <f>ROUND(AC464*'[1]Summary E&amp;M'!$R$94,2)</f>
        <v>0</v>
      </c>
      <c r="AE464" s="825">
        <f t="shared" si="478"/>
        <v>0</v>
      </c>
      <c r="AF464" s="825">
        <f t="shared" si="479"/>
        <v>0</v>
      </c>
      <c r="AG464" s="743"/>
      <c r="AH464" s="728"/>
      <c r="AI464" s="519"/>
      <c r="AJ464" s="519"/>
      <c r="AK464" s="519"/>
      <c r="AL464" s="520"/>
      <c r="AM464" s="520"/>
      <c r="AN464" s="520"/>
      <c r="AO464" s="520"/>
      <c r="AP464" s="552"/>
      <c r="AQ464" s="552"/>
      <c r="AR464" s="552"/>
      <c r="AS464" s="552"/>
      <c r="AT464" s="552"/>
    </row>
    <row r="465" spans="1:46" s="555" customFormat="1" ht="22.5" customHeight="1">
      <c r="A465" s="570"/>
      <c r="B465" s="568" t="s">
        <v>324</v>
      </c>
      <c r="C465" s="569"/>
      <c r="D465" s="525">
        <v>210</v>
      </c>
      <c r="E465" s="571" t="s">
        <v>319</v>
      </c>
      <c r="F465" s="1322">
        <f>K465</f>
        <v>1</v>
      </c>
      <c r="G465" s="527">
        <f>M467</f>
        <v>1570.16</v>
      </c>
      <c r="H465" s="527">
        <f>ROUND(F465*G465,2)</f>
        <v>1570.16</v>
      </c>
      <c r="I465" s="567"/>
      <c r="J465" s="309"/>
      <c r="K465" s="1149">
        <v>1</v>
      </c>
      <c r="L465" s="530"/>
      <c r="M465" s="530"/>
      <c r="N465" s="309"/>
      <c r="O465" s="776">
        <v>210</v>
      </c>
      <c r="P465" s="777"/>
      <c r="Q465" s="777"/>
      <c r="R465" s="751"/>
      <c r="S465" s="752"/>
      <c r="T465" s="796"/>
      <c r="U465" s="803">
        <v>0</v>
      </c>
      <c r="V465" s="803">
        <v>0</v>
      </c>
      <c r="W465" s="803">
        <v>0</v>
      </c>
      <c r="X465" s="858">
        <f>SUMIF('Summary-E'!O$4:O$50,D465,'Summary-E'!Q$4:Q$50)</f>
        <v>0.05</v>
      </c>
      <c r="Y465" s="310">
        <f>ROUND((R465+S465/'Summary-E'!$M$63)*X465,2)</f>
        <v>0</v>
      </c>
      <c r="Z465" s="858">
        <f t="shared" si="490"/>
        <v>1.05</v>
      </c>
      <c r="AA465" s="813">
        <f>ROUND(Y465*Z465,2)</f>
        <v>0</v>
      </c>
      <c r="AB465" s="447">
        <f>$AB$3</f>
        <v>0.05</v>
      </c>
      <c r="AC465" s="310">
        <f t="shared" si="502"/>
        <v>0</v>
      </c>
      <c r="AD465" s="717">
        <f>ROUND(AC465*'[1]Summary E&amp;M'!$R$94,2)</f>
        <v>0</v>
      </c>
      <c r="AE465" s="825">
        <f t="shared" si="478"/>
        <v>0</v>
      </c>
      <c r="AF465" s="825">
        <f t="shared" si="479"/>
        <v>0</v>
      </c>
      <c r="AG465" s="743"/>
      <c r="AH465" s="728"/>
      <c r="AI465" s="519">
        <f>$U465</f>
        <v>0</v>
      </c>
      <c r="AJ465" s="519">
        <f>$V465</f>
        <v>0</v>
      </c>
      <c r="AK465" s="519">
        <f>$W465</f>
        <v>0</v>
      </c>
      <c r="AL465" s="520">
        <f>ROUND(Y465*AI465+((Y465*(1+AI465))*AJ465)+((Y465*AI465+((Y465*(1+AI465))*AJ465))*AK465),2)</f>
        <v>0</v>
      </c>
      <c r="AM465" s="520">
        <f>AL465*$F465</f>
        <v>0</v>
      </c>
      <c r="AN465" s="520">
        <f>ROUND(AL465*Z465,2)</f>
        <v>0</v>
      </c>
      <c r="AO465" s="520">
        <f>AN465*$F465</f>
        <v>0</v>
      </c>
      <c r="AP465" s="552"/>
      <c r="AQ465" s="552"/>
      <c r="AR465" s="552"/>
      <c r="AS465" s="552"/>
      <c r="AT465" s="552"/>
    </row>
    <row r="466" spans="1:46" s="555" customFormat="1" ht="22.5" customHeight="1">
      <c r="A466" s="639"/>
      <c r="B466" s="591"/>
      <c r="C466" s="592"/>
      <c r="D466" s="593"/>
      <c r="E466" s="594"/>
      <c r="F466" s="1325"/>
      <c r="G466" s="541"/>
      <c r="H466" s="541"/>
      <c r="I466" s="595"/>
      <c r="J466" s="549"/>
      <c r="K466" s="1182"/>
      <c r="L466" s="550"/>
      <c r="M466" s="550"/>
      <c r="N466" s="549"/>
      <c r="O466" s="776"/>
      <c r="P466" s="777"/>
      <c r="Q466" s="777"/>
      <c r="R466" s="751"/>
      <c r="S466" s="752"/>
      <c r="T466" s="796"/>
      <c r="U466" s="803"/>
      <c r="V466" s="803"/>
      <c r="W466" s="803"/>
      <c r="X466" s="858">
        <f>SUMIF('Summary-E'!O$4:O$50,D466,'Summary-E'!Q$4:Q$50)</f>
        <v>0</v>
      </c>
      <c r="Y466" s="310">
        <f>ROUND((R466+S466/'Summary-E'!$M$63)*X466,2)</f>
        <v>0</v>
      </c>
      <c r="Z466" s="858">
        <f t="shared" si="490"/>
        <v>1.05</v>
      </c>
      <c r="AA466" s="816"/>
      <c r="AB466" s="552"/>
      <c r="AC466" s="310">
        <f t="shared" si="502"/>
        <v>0</v>
      </c>
      <c r="AD466" s="717">
        <f>ROUND(AC466*'[1]Summary E&amp;M'!$R$94,2)</f>
        <v>0</v>
      </c>
      <c r="AE466" s="836"/>
      <c r="AF466" s="836"/>
      <c r="AG466" s="743"/>
      <c r="AH466" s="737"/>
      <c r="AI466" s="552"/>
      <c r="AJ466" s="552"/>
      <c r="AK466" s="552"/>
      <c r="AL466" s="552"/>
      <c r="AM466" s="552"/>
      <c r="AN466" s="552"/>
      <c r="AO466" s="552"/>
      <c r="AP466" s="552"/>
      <c r="AQ466" s="552"/>
      <c r="AR466" s="552"/>
      <c r="AS466" s="552"/>
      <c r="AT466" s="552"/>
    </row>
    <row r="467" spans="1:46" s="711" customFormat="1" ht="22.5" customHeight="1">
      <c r="A467" s="973"/>
      <c r="B467" s="974" t="s">
        <v>416</v>
      </c>
      <c r="C467" s="979"/>
      <c r="D467" s="980"/>
      <c r="E467" s="976"/>
      <c r="F467" s="1317"/>
      <c r="G467" s="971"/>
      <c r="H467" s="971">
        <f>SUBTOTAL(9,H452:H466)</f>
        <v>8766.7900000000009</v>
      </c>
      <c r="I467" s="981"/>
      <c r="J467" s="599"/>
      <c r="K467" s="1184"/>
      <c r="L467" s="600"/>
      <c r="M467" s="1051">
        <f>SUBTOTAL(9,M452:M465)</f>
        <v>1570.16</v>
      </c>
      <c r="N467" s="599"/>
      <c r="O467" s="779"/>
      <c r="P467" s="780"/>
      <c r="Q467" s="780"/>
      <c r="R467" s="751"/>
      <c r="S467" s="752"/>
      <c r="T467" s="796"/>
      <c r="U467" s="803">
        <v>0</v>
      </c>
      <c r="V467" s="803">
        <v>0</v>
      </c>
      <c r="W467" s="803">
        <v>0</v>
      </c>
      <c r="X467" s="858">
        <f>SUMIF('Summary-E'!O$4:O$50,D467,'Summary-E'!Q$4:Q$50)</f>
        <v>0</v>
      </c>
      <c r="Y467" s="310">
        <f>ROUND((R467+S467/'Summary-E'!$M$63)*X467,2)</f>
        <v>0</v>
      </c>
      <c r="Z467" s="858">
        <f t="shared" si="490"/>
        <v>1.05</v>
      </c>
      <c r="AA467" s="816"/>
      <c r="AB467" s="552"/>
      <c r="AC467" s="310">
        <f t="shared" si="502"/>
        <v>0</v>
      </c>
      <c r="AD467" s="717">
        <f>ROUND(AC467*'[1]Summary E&amp;M'!$R$94,2)</f>
        <v>0</v>
      </c>
      <c r="AE467" s="823">
        <f>SUBTOTAL(9,AE452:AE466)</f>
        <v>6566.5300000000007</v>
      </c>
      <c r="AF467" s="823">
        <f>SUBTOTAL(9,AF452:AF466)</f>
        <v>1204.75</v>
      </c>
      <c r="AG467" s="614"/>
      <c r="AH467" s="730"/>
      <c r="AI467" s="713"/>
      <c r="AJ467" s="713"/>
      <c r="AK467" s="713"/>
      <c r="AL467" s="713"/>
      <c r="AM467" s="712">
        <f>SUBTOTAL(9,AM452:AM466)</f>
        <v>0</v>
      </c>
      <c r="AN467" s="713"/>
      <c r="AO467" s="712">
        <f>SUBTOTAL(9,AO452:AO466)</f>
        <v>0</v>
      </c>
      <c r="AP467" s="713"/>
      <c r="AQ467" s="713"/>
      <c r="AR467" s="713"/>
      <c r="AS467" s="713"/>
      <c r="AT467" s="713"/>
    </row>
    <row r="468" spans="1:46" s="555" customFormat="1" ht="22.5" customHeight="1">
      <c r="A468" s="451"/>
      <c r="B468" s="522"/>
      <c r="C468" s="572"/>
      <c r="D468" s="596"/>
      <c r="E468" s="597"/>
      <c r="F468" s="1327"/>
      <c r="G468" s="527"/>
      <c r="H468" s="541"/>
      <c r="I468" s="598"/>
      <c r="J468" s="599"/>
      <c r="K468" s="1185"/>
      <c r="L468" s="600"/>
      <c r="M468" s="600"/>
      <c r="N468" s="599"/>
      <c r="O468" s="776"/>
      <c r="P468" s="777"/>
      <c r="Q468" s="777"/>
      <c r="R468" s="751"/>
      <c r="S468" s="752"/>
      <c r="T468" s="792"/>
      <c r="U468" s="803"/>
      <c r="V468" s="803"/>
      <c r="W468" s="803"/>
      <c r="X468" s="858">
        <f>SUMIF('Summary-E'!O$4:O$50,D468,'Summary-E'!Q$4:Q$50)</f>
        <v>0</v>
      </c>
      <c r="Y468" s="310">
        <f>ROUND((R468+S468/'Summary-E'!$M$63)*X468,2)</f>
        <v>0</v>
      </c>
      <c r="Z468" s="858">
        <f t="shared" si="490"/>
        <v>1.05</v>
      </c>
      <c r="AA468" s="813"/>
      <c r="AB468" s="447"/>
      <c r="AC468" s="310">
        <f t="shared" si="502"/>
        <v>0</v>
      </c>
      <c r="AD468" s="717">
        <f>ROUND(AC468*'[1]Summary E&amp;M'!$R$94,2)</f>
        <v>0</v>
      </c>
      <c r="AE468" s="825">
        <f t="shared" ref="AE468:AE478" si="503">ROUND($K468*$Y468,2)</f>
        <v>0</v>
      </c>
      <c r="AF468" s="825">
        <f t="shared" ref="AF468:AF478" si="504">ROUND($K468*$AC468,2)</f>
        <v>0</v>
      </c>
      <c r="AG468" s="743"/>
      <c r="AH468" s="728"/>
      <c r="AI468" s="519"/>
      <c r="AJ468" s="519"/>
      <c r="AK468" s="519"/>
      <c r="AL468" s="520"/>
      <c r="AM468" s="520"/>
      <c r="AN468" s="520"/>
      <c r="AO468" s="520"/>
      <c r="AP468" s="552"/>
      <c r="AQ468" s="552"/>
      <c r="AR468" s="552"/>
      <c r="AS468" s="552"/>
      <c r="AT468" s="552"/>
    </row>
    <row r="469" spans="1:46" s="555" customFormat="1" ht="22.5" customHeight="1">
      <c r="A469" s="620" t="s">
        <v>421</v>
      </c>
      <c r="B469" s="522" t="s">
        <v>623</v>
      </c>
      <c r="C469" s="566"/>
      <c r="D469" s="525"/>
      <c r="E469" s="524"/>
      <c r="F469" s="1314"/>
      <c r="G469" s="527"/>
      <c r="H469" s="527"/>
      <c r="I469" s="567"/>
      <c r="J469" s="309"/>
      <c r="K469" s="1149"/>
      <c r="L469" s="530"/>
      <c r="M469" s="530"/>
      <c r="N469" s="309"/>
      <c r="O469" s="776"/>
      <c r="P469" s="777"/>
      <c r="Q469" s="777"/>
      <c r="R469" s="751"/>
      <c r="S469" s="752"/>
      <c r="T469" s="792"/>
      <c r="U469" s="803">
        <v>0</v>
      </c>
      <c r="V469" s="803">
        <v>0</v>
      </c>
      <c r="W469" s="803">
        <v>0</v>
      </c>
      <c r="X469" s="858">
        <f>SUMIF('Summary-E'!O$4:O$50,D469,'Summary-E'!Q$4:Q$50)</f>
        <v>0</v>
      </c>
      <c r="Y469" s="310">
        <f>ROUND((R469+S469/'Summary-E'!$M$63)*X469,2)</f>
        <v>0</v>
      </c>
      <c r="Z469" s="858">
        <f t="shared" si="490"/>
        <v>1.05</v>
      </c>
      <c r="AA469" s="813">
        <f t="shared" ref="AA469:AA476" si="505">ROUND(Y469*Z469,2)</f>
        <v>0</v>
      </c>
      <c r="AB469" s="447">
        <f t="shared" ref="AB469:AB476" si="506">$AB$3</f>
        <v>0.05</v>
      </c>
      <c r="AC469" s="310">
        <f t="shared" si="502"/>
        <v>0</v>
      </c>
      <c r="AD469" s="717">
        <f>ROUND(AC469*'[1]Summary E&amp;M'!$R$94,2)</f>
        <v>0</v>
      </c>
      <c r="AE469" s="825">
        <f t="shared" si="503"/>
        <v>0</v>
      </c>
      <c r="AF469" s="825">
        <f t="shared" si="504"/>
        <v>0</v>
      </c>
      <c r="AG469" s="743"/>
      <c r="AH469" s="728"/>
      <c r="AI469" s="519">
        <f t="shared" ref="AI469:AI476" si="507">$U469</f>
        <v>0</v>
      </c>
      <c r="AJ469" s="519">
        <f t="shared" ref="AJ469:AJ476" si="508">$V469</f>
        <v>0</v>
      </c>
      <c r="AK469" s="519">
        <f t="shared" ref="AK469:AK476" si="509">$W469</f>
        <v>0</v>
      </c>
      <c r="AL469" s="520">
        <f t="shared" ref="AL469:AL476" si="510">ROUND(Y469*AI469+((Y469*(1+AI469))*AJ469)+((Y469*AI469+((Y469*(1+AI469))*AJ469))*AK469),2)</f>
        <v>0</v>
      </c>
      <c r="AM469" s="520">
        <f t="shared" ref="AM469:AM476" si="511">AL469*$F469</f>
        <v>0</v>
      </c>
      <c r="AN469" s="520">
        <f t="shared" ref="AN469:AN476" si="512">ROUND(AL469*Z469,2)</f>
        <v>0</v>
      </c>
      <c r="AO469" s="520">
        <f t="shared" ref="AO469:AO476" si="513">AN469*$F469</f>
        <v>0</v>
      </c>
      <c r="AP469" s="552"/>
      <c r="AQ469" s="552"/>
      <c r="AR469" s="552"/>
      <c r="AS469" s="552"/>
      <c r="AT469" s="552"/>
    </row>
    <row r="470" spans="1:46" s="555" customFormat="1" ht="22.5" customHeight="1">
      <c r="A470" s="638"/>
      <c r="B470" s="997" t="s">
        <v>624</v>
      </c>
      <c r="C470" s="566"/>
      <c r="D470" s="1206">
        <v>186</v>
      </c>
      <c r="E470" s="524" t="s">
        <v>436</v>
      </c>
      <c r="F470" s="1314"/>
      <c r="G470" s="589" t="s">
        <v>119</v>
      </c>
      <c r="H470" s="998"/>
      <c r="I470" s="434" t="s">
        <v>137</v>
      </c>
      <c r="J470" s="590"/>
      <c r="K470" s="1149"/>
      <c r="L470" s="530"/>
      <c r="M470" s="530"/>
      <c r="N470" s="590"/>
      <c r="O470" s="776">
        <v>186</v>
      </c>
      <c r="P470" s="777"/>
      <c r="Q470" s="777"/>
      <c r="R470" s="751"/>
      <c r="S470" s="752"/>
      <c r="T470" s="792"/>
      <c r="U470" s="803">
        <v>0</v>
      </c>
      <c r="V470" s="803">
        <v>0</v>
      </c>
      <c r="W470" s="803">
        <v>0</v>
      </c>
      <c r="X470" s="858">
        <f>SUMIF('Summary-E'!O$4:O$50,D470,'Summary-E'!Q$4:Q$50)</f>
        <v>0.97</v>
      </c>
      <c r="Y470" s="310">
        <f>ROUND((R470+S470/'Summary-E'!$M$63)*X470,2)</f>
        <v>0</v>
      </c>
      <c r="Z470" s="858">
        <f t="shared" si="490"/>
        <v>1.05</v>
      </c>
      <c r="AA470" s="813">
        <f t="shared" si="505"/>
        <v>0</v>
      </c>
      <c r="AB470" s="447">
        <f t="shared" si="506"/>
        <v>0.05</v>
      </c>
      <c r="AC470" s="310">
        <f t="shared" si="502"/>
        <v>0</v>
      </c>
      <c r="AD470" s="717">
        <f>ROUND(AC470*'[1]Summary E&amp;M'!$R$94,2)</f>
        <v>0</v>
      </c>
      <c r="AE470" s="825">
        <f t="shared" si="503"/>
        <v>0</v>
      </c>
      <c r="AF470" s="825">
        <f t="shared" si="504"/>
        <v>0</v>
      </c>
      <c r="AG470" s="743"/>
      <c r="AH470" s="728"/>
      <c r="AI470" s="519">
        <f t="shared" si="507"/>
        <v>0</v>
      </c>
      <c r="AJ470" s="519">
        <f t="shared" si="508"/>
        <v>0</v>
      </c>
      <c r="AK470" s="519">
        <f t="shared" si="509"/>
        <v>0</v>
      </c>
      <c r="AL470" s="520">
        <f t="shared" si="510"/>
        <v>0</v>
      </c>
      <c r="AM470" s="520">
        <f t="shared" si="511"/>
        <v>0</v>
      </c>
      <c r="AN470" s="520">
        <f t="shared" si="512"/>
        <v>0</v>
      </c>
      <c r="AO470" s="520">
        <f t="shared" si="513"/>
        <v>0</v>
      </c>
      <c r="AP470" s="552"/>
      <c r="AQ470" s="552"/>
      <c r="AR470" s="552"/>
      <c r="AS470" s="552"/>
      <c r="AT470" s="552"/>
    </row>
    <row r="471" spans="1:46" s="555" customFormat="1" ht="22.5" customHeight="1">
      <c r="A471" s="451"/>
      <c r="B471" s="531" t="s">
        <v>622</v>
      </c>
      <c r="C471" s="566"/>
      <c r="D471" s="1206">
        <v>186</v>
      </c>
      <c r="E471" s="524" t="s">
        <v>436</v>
      </c>
      <c r="F471" s="1322">
        <f>K471</f>
        <v>14</v>
      </c>
      <c r="G471" s="527">
        <f t="shared" ref="G471:G475" si="514">ROUND(AA471,2)</f>
        <v>6.53</v>
      </c>
      <c r="H471" s="527">
        <f>ROUND(F471*G471,2)</f>
        <v>91.42</v>
      </c>
      <c r="I471" s="567"/>
      <c r="J471" s="309"/>
      <c r="K471" s="1149">
        <v>14</v>
      </c>
      <c r="L471" s="530">
        <f t="shared" ref="L471:L477" si="515">ROUND(AD471,2)</f>
        <v>4.5999999999999996</v>
      </c>
      <c r="M471" s="530">
        <f t="shared" ref="M471:M477" si="516">ROUND(L471*F471,2)</f>
        <v>64.400000000000006</v>
      </c>
      <c r="N471" s="309"/>
      <c r="O471" s="776" t="s">
        <v>683</v>
      </c>
      <c r="P471" s="777"/>
      <c r="Q471" s="777"/>
      <c r="R471" s="751"/>
      <c r="S471" s="752">
        <v>129300</v>
      </c>
      <c r="T471" s="792">
        <v>3.5</v>
      </c>
      <c r="U471" s="803">
        <v>0</v>
      </c>
      <c r="V471" s="803">
        <v>0</v>
      </c>
      <c r="W471" s="803">
        <v>0</v>
      </c>
      <c r="X471" s="858">
        <v>1</v>
      </c>
      <c r="Y471" s="310">
        <f>ROUND((R471+S471/'Summary-E'!$M$63)*X471,2)</f>
        <v>6.22</v>
      </c>
      <c r="Z471" s="858">
        <f t="shared" si="490"/>
        <v>1.05</v>
      </c>
      <c r="AA471" s="813">
        <f t="shared" si="505"/>
        <v>6.53</v>
      </c>
      <c r="AB471" s="447">
        <f t="shared" si="506"/>
        <v>0.05</v>
      </c>
      <c r="AC471" s="310">
        <f t="shared" si="502"/>
        <v>3.68</v>
      </c>
      <c r="AD471" s="717">
        <f>ROUND(AC471*'[1]Summary E&amp;M'!$R$94,2)</f>
        <v>4.5999999999999996</v>
      </c>
      <c r="AE471" s="825">
        <f t="shared" si="503"/>
        <v>87.08</v>
      </c>
      <c r="AF471" s="825">
        <f t="shared" si="504"/>
        <v>51.52</v>
      </c>
      <c r="AG471" s="743"/>
      <c r="AH471" s="728"/>
      <c r="AI471" s="519">
        <f t="shared" si="507"/>
        <v>0</v>
      </c>
      <c r="AJ471" s="519">
        <f t="shared" si="508"/>
        <v>0</v>
      </c>
      <c r="AK471" s="519">
        <f t="shared" si="509"/>
        <v>0</v>
      </c>
      <c r="AL471" s="520">
        <f t="shared" si="510"/>
        <v>0</v>
      </c>
      <c r="AM471" s="520">
        <f t="shared" si="511"/>
        <v>0</v>
      </c>
      <c r="AN471" s="520">
        <f t="shared" si="512"/>
        <v>0</v>
      </c>
      <c r="AO471" s="520">
        <f t="shared" si="513"/>
        <v>0</v>
      </c>
      <c r="AP471" s="552"/>
      <c r="AQ471" s="552"/>
      <c r="AR471" s="552"/>
      <c r="AS471" s="552"/>
      <c r="AT471" s="552"/>
    </row>
    <row r="472" spans="1:46" s="555" customFormat="1" ht="22.5" customHeight="1">
      <c r="A472" s="620"/>
      <c r="B472" s="531" t="s">
        <v>403</v>
      </c>
      <c r="C472" s="566" t="s">
        <v>329</v>
      </c>
      <c r="D472" s="1202" t="s">
        <v>1111</v>
      </c>
      <c r="E472" s="524" t="s">
        <v>321</v>
      </c>
      <c r="F472" s="1314">
        <f>ROUND(K472*'Summary-E'!$K$61,0)</f>
        <v>135</v>
      </c>
      <c r="G472" s="527">
        <f t="shared" ref="G472" si="517">ROUNDUP(AA472,2)</f>
        <v>0.61</v>
      </c>
      <c r="H472" s="527">
        <f t="shared" ref="H472" si="518">ROUND(F472*G472,2)</f>
        <v>82.35</v>
      </c>
      <c r="I472" s="567"/>
      <c r="J472" s="309"/>
      <c r="K472" s="1175">
        <v>129</v>
      </c>
      <c r="L472" s="530">
        <f t="shared" si="515"/>
        <v>0.4</v>
      </c>
      <c r="M472" s="530">
        <f t="shared" si="516"/>
        <v>54</v>
      </c>
      <c r="N472" s="309"/>
      <c r="O472" s="776" t="s">
        <v>131</v>
      </c>
      <c r="P472" s="777"/>
      <c r="Q472" s="777"/>
      <c r="R472" s="751"/>
      <c r="S472" s="752">
        <v>12000</v>
      </c>
      <c r="T472" s="792">
        <v>0.3</v>
      </c>
      <c r="U472" s="803">
        <v>0</v>
      </c>
      <c r="V472" s="803">
        <v>0</v>
      </c>
      <c r="W472" s="803">
        <v>0</v>
      </c>
      <c r="X472" s="858">
        <v>1</v>
      </c>
      <c r="Y472" s="310">
        <f>ROUND((R472+S472/'[7]Summary E&amp;M'!$M$104)*X472,2)</f>
        <v>0.57999999999999996</v>
      </c>
      <c r="Z472" s="858">
        <f t="shared" si="490"/>
        <v>1.05</v>
      </c>
      <c r="AA472" s="813">
        <f t="shared" si="505"/>
        <v>0.61</v>
      </c>
      <c r="AB472" s="447">
        <f t="shared" si="506"/>
        <v>0.05</v>
      </c>
      <c r="AC472" s="310">
        <f t="shared" si="502"/>
        <v>0.32</v>
      </c>
      <c r="AD472" s="717">
        <f>ROUND(AC472*'[8]Summary E&amp;M'!$R$94,2)</f>
        <v>0.4</v>
      </c>
      <c r="AE472" s="825">
        <f t="shared" si="503"/>
        <v>74.819999999999993</v>
      </c>
      <c r="AF472" s="825">
        <f t="shared" si="504"/>
        <v>41.28</v>
      </c>
      <c r="AG472" s="743"/>
      <c r="AH472" s="728"/>
      <c r="AI472" s="519">
        <f t="shared" si="507"/>
        <v>0</v>
      </c>
      <c r="AJ472" s="519">
        <f t="shared" si="508"/>
        <v>0</v>
      </c>
      <c r="AK472" s="519">
        <f t="shared" si="509"/>
        <v>0</v>
      </c>
      <c r="AL472" s="520">
        <f t="shared" si="510"/>
        <v>0</v>
      </c>
      <c r="AM472" s="520">
        <f t="shared" si="511"/>
        <v>0</v>
      </c>
      <c r="AN472" s="520">
        <f t="shared" si="512"/>
        <v>0</v>
      </c>
      <c r="AO472" s="520">
        <f t="shared" si="513"/>
        <v>0</v>
      </c>
      <c r="AP472" s="552"/>
      <c r="AQ472" s="552"/>
      <c r="AR472" s="552"/>
      <c r="AS472" s="552"/>
      <c r="AT472" s="552"/>
    </row>
    <row r="473" spans="1:46" s="555" customFormat="1" ht="22.5" customHeight="1">
      <c r="A473" s="570"/>
      <c r="B473" s="568" t="s">
        <v>333</v>
      </c>
      <c r="C473" s="569"/>
      <c r="D473" s="1202" t="s">
        <v>1112</v>
      </c>
      <c r="E473" s="571" t="s">
        <v>322</v>
      </c>
      <c r="F473" s="1322">
        <f>K473</f>
        <v>1</v>
      </c>
      <c r="G473" s="527">
        <f t="shared" si="514"/>
        <v>22.87</v>
      </c>
      <c r="H473" s="527">
        <f>F473*G473</f>
        <v>22.87</v>
      </c>
      <c r="I473" s="567"/>
      <c r="J473" s="582"/>
      <c r="K473" s="1149">
        <v>1</v>
      </c>
      <c r="L473" s="530">
        <f t="shared" si="515"/>
        <v>2.95</v>
      </c>
      <c r="M473" s="530">
        <f t="shared" si="516"/>
        <v>2.95</v>
      </c>
      <c r="N473" s="1053"/>
      <c r="O473" s="776" t="s">
        <v>683</v>
      </c>
      <c r="P473" s="777">
        <v>0.3</v>
      </c>
      <c r="Q473" s="777"/>
      <c r="R473" s="751">
        <f>ROUND(SUM(AE472:AE472)*P473,2)</f>
        <v>22.45</v>
      </c>
      <c r="S473" s="752"/>
      <c r="T473" s="792">
        <f>ROUND(R473*10%,2)</f>
        <v>2.25</v>
      </c>
      <c r="U473" s="803">
        <v>0</v>
      </c>
      <c r="V473" s="803">
        <v>0</v>
      </c>
      <c r="W473" s="803">
        <v>0</v>
      </c>
      <c r="X473" s="858">
        <f>SUMIF('Summary-E'!O$4:O$50,D473,'Summary-E'!Q$4:Q$50)</f>
        <v>0.97</v>
      </c>
      <c r="Y473" s="310">
        <f>ROUND((R473+S473/'Summary-E'!$M$63)*X473,2)</f>
        <v>21.78</v>
      </c>
      <c r="Z473" s="858">
        <f t="shared" si="490"/>
        <v>1.05</v>
      </c>
      <c r="AA473" s="813">
        <f t="shared" si="505"/>
        <v>22.87</v>
      </c>
      <c r="AB473" s="447">
        <f t="shared" si="506"/>
        <v>0.05</v>
      </c>
      <c r="AC473" s="310">
        <f t="shared" si="502"/>
        <v>2.36</v>
      </c>
      <c r="AD473" s="717">
        <f>ROUND(AC473*'[1]Summary E&amp;M'!$R$94,2)</f>
        <v>2.95</v>
      </c>
      <c r="AE473" s="825">
        <f t="shared" si="503"/>
        <v>21.78</v>
      </c>
      <c r="AF473" s="825">
        <f t="shared" si="504"/>
        <v>2.36</v>
      </c>
      <c r="AG473" s="743"/>
      <c r="AH473" s="728"/>
      <c r="AI473" s="519">
        <f t="shared" si="507"/>
        <v>0</v>
      </c>
      <c r="AJ473" s="519">
        <f t="shared" si="508"/>
        <v>0</v>
      </c>
      <c r="AK473" s="519">
        <f t="shared" si="509"/>
        <v>0</v>
      </c>
      <c r="AL473" s="520">
        <f t="shared" si="510"/>
        <v>0</v>
      </c>
      <c r="AM473" s="520">
        <f t="shared" si="511"/>
        <v>0</v>
      </c>
      <c r="AN473" s="520">
        <f t="shared" si="512"/>
        <v>0</v>
      </c>
      <c r="AO473" s="520">
        <f t="shared" si="513"/>
        <v>0</v>
      </c>
      <c r="AP473" s="552"/>
      <c r="AQ473" s="552"/>
      <c r="AR473" s="552"/>
      <c r="AS473" s="552"/>
      <c r="AT473" s="552"/>
    </row>
    <row r="474" spans="1:46" s="555" customFormat="1" ht="22.5" customHeight="1">
      <c r="A474" s="638"/>
      <c r="B474" s="997" t="s">
        <v>718</v>
      </c>
      <c r="C474" s="566"/>
      <c r="D474" s="525" t="s">
        <v>139</v>
      </c>
      <c r="E474" s="524" t="s">
        <v>322</v>
      </c>
      <c r="F474" s="1322">
        <f>K474</f>
        <v>1</v>
      </c>
      <c r="G474" s="527">
        <f t="shared" si="514"/>
        <v>11.42</v>
      </c>
      <c r="H474" s="527">
        <f>ROUND(F474*G474,2)</f>
        <v>11.42</v>
      </c>
      <c r="I474" s="589"/>
      <c r="J474" s="590"/>
      <c r="K474" s="1149">
        <v>1</v>
      </c>
      <c r="L474" s="530">
        <f t="shared" si="515"/>
        <v>1.48</v>
      </c>
      <c r="M474" s="530">
        <f t="shared" si="516"/>
        <v>1.48</v>
      </c>
      <c r="N474" s="590"/>
      <c r="O474" s="776" t="s">
        <v>130</v>
      </c>
      <c r="P474" s="777">
        <v>0.15</v>
      </c>
      <c r="Q474" s="777"/>
      <c r="R474" s="751">
        <f>ROUND(SUM(AE472:AE472)*P474,2)</f>
        <v>11.22</v>
      </c>
      <c r="S474" s="752"/>
      <c r="T474" s="792">
        <f>ROUND(R474*10%,2)</f>
        <v>1.1200000000000001</v>
      </c>
      <c r="U474" s="803">
        <v>0</v>
      </c>
      <c r="V474" s="803">
        <v>0</v>
      </c>
      <c r="W474" s="803">
        <v>0</v>
      </c>
      <c r="X474" s="858">
        <f>SUMIF('Summary-E'!O$4:O$50,D474,'Summary-E'!Q$4:Q$50)</f>
        <v>0.97</v>
      </c>
      <c r="Y474" s="310">
        <f>ROUND((R474+S474/'Summary-E'!$M$63)*X474,2)</f>
        <v>10.88</v>
      </c>
      <c r="Z474" s="858">
        <f t="shared" si="490"/>
        <v>1.05</v>
      </c>
      <c r="AA474" s="813">
        <f t="shared" si="505"/>
        <v>11.42</v>
      </c>
      <c r="AB474" s="447">
        <f t="shared" si="506"/>
        <v>0.05</v>
      </c>
      <c r="AC474" s="310">
        <f t="shared" si="502"/>
        <v>1.18</v>
      </c>
      <c r="AD474" s="717">
        <f>ROUND(AC474*'[1]Summary E&amp;M'!$R$94,2)</f>
        <v>1.48</v>
      </c>
      <c r="AE474" s="825">
        <f t="shared" si="503"/>
        <v>10.88</v>
      </c>
      <c r="AF474" s="825">
        <f t="shared" si="504"/>
        <v>1.18</v>
      </c>
      <c r="AG474" s="743"/>
      <c r="AH474" s="728"/>
      <c r="AI474" s="519">
        <f t="shared" si="507"/>
        <v>0</v>
      </c>
      <c r="AJ474" s="519">
        <f t="shared" si="508"/>
        <v>0</v>
      </c>
      <c r="AK474" s="519">
        <f t="shared" si="509"/>
        <v>0</v>
      </c>
      <c r="AL474" s="520">
        <f t="shared" si="510"/>
        <v>0</v>
      </c>
      <c r="AM474" s="520">
        <f t="shared" si="511"/>
        <v>0</v>
      </c>
      <c r="AN474" s="520">
        <f t="shared" si="512"/>
        <v>0</v>
      </c>
      <c r="AO474" s="520">
        <f t="shared" si="513"/>
        <v>0</v>
      </c>
      <c r="AP474" s="552"/>
      <c r="AQ474" s="552"/>
      <c r="AR474" s="552"/>
      <c r="AS474" s="552"/>
      <c r="AT474" s="552"/>
    </row>
    <row r="475" spans="1:46" s="555" customFormat="1" ht="22.5" customHeight="1">
      <c r="A475" s="570"/>
      <c r="B475" s="568" t="s">
        <v>401</v>
      </c>
      <c r="C475" s="569"/>
      <c r="D475" s="570">
        <v>159</v>
      </c>
      <c r="E475" s="571" t="s">
        <v>322</v>
      </c>
      <c r="F475" s="1322">
        <f>K475</f>
        <v>1</v>
      </c>
      <c r="G475" s="527">
        <f t="shared" si="514"/>
        <v>5.94</v>
      </c>
      <c r="H475" s="527">
        <f>ROUND(F475*G475,2)</f>
        <v>5.94</v>
      </c>
      <c r="I475" s="567"/>
      <c r="J475" s="309"/>
      <c r="K475" s="1149">
        <v>1</v>
      </c>
      <c r="L475" s="530">
        <f t="shared" si="515"/>
        <v>0</v>
      </c>
      <c r="M475" s="530">
        <f t="shared" si="516"/>
        <v>0</v>
      </c>
      <c r="N475" s="309"/>
      <c r="O475" s="776">
        <v>159</v>
      </c>
      <c r="P475" s="777">
        <v>0.03</v>
      </c>
      <c r="Q475" s="777"/>
      <c r="R475" s="751">
        <f>ROUND((SUM(AE471:AE474))*P475,2)</f>
        <v>5.84</v>
      </c>
      <c r="S475" s="752"/>
      <c r="T475" s="792"/>
      <c r="U475" s="803">
        <v>0</v>
      </c>
      <c r="V475" s="803">
        <v>0</v>
      </c>
      <c r="W475" s="803">
        <v>0</v>
      </c>
      <c r="X475" s="858">
        <f>SUMIF('Summary-E'!O$4:O$50,D475,'Summary-E'!Q$4:Q$50)</f>
        <v>0.97</v>
      </c>
      <c r="Y475" s="310">
        <f>ROUND((R475+S475/'Summary-E'!$M$63)*X475,2)</f>
        <v>5.66</v>
      </c>
      <c r="Z475" s="858">
        <f t="shared" si="490"/>
        <v>1.05</v>
      </c>
      <c r="AA475" s="813">
        <f t="shared" si="505"/>
        <v>5.94</v>
      </c>
      <c r="AB475" s="447">
        <f t="shared" si="506"/>
        <v>0.05</v>
      </c>
      <c r="AC475" s="310">
        <f t="shared" si="502"/>
        <v>0</v>
      </c>
      <c r="AD475" s="717">
        <f>ROUND(AC475*'[1]Summary E&amp;M'!$R$94,2)</f>
        <v>0</v>
      </c>
      <c r="AE475" s="825">
        <f t="shared" si="503"/>
        <v>5.66</v>
      </c>
      <c r="AF475" s="825">
        <f t="shared" si="504"/>
        <v>0</v>
      </c>
      <c r="AG475" s="743"/>
      <c r="AH475" s="728"/>
      <c r="AI475" s="519">
        <f t="shared" si="507"/>
        <v>0</v>
      </c>
      <c r="AJ475" s="519">
        <f t="shared" si="508"/>
        <v>0</v>
      </c>
      <c r="AK475" s="519">
        <f t="shared" si="509"/>
        <v>0</v>
      </c>
      <c r="AL475" s="520">
        <f t="shared" si="510"/>
        <v>0</v>
      </c>
      <c r="AM475" s="520">
        <f t="shared" si="511"/>
        <v>0</v>
      </c>
      <c r="AN475" s="520">
        <f t="shared" si="512"/>
        <v>0</v>
      </c>
      <c r="AO475" s="520">
        <f t="shared" si="513"/>
        <v>0</v>
      </c>
      <c r="AP475" s="552"/>
      <c r="AQ475" s="552"/>
      <c r="AR475" s="552"/>
      <c r="AS475" s="552"/>
      <c r="AT475" s="552"/>
    </row>
    <row r="476" spans="1:46" s="555" customFormat="1" ht="22.5" customHeight="1">
      <c r="A476" s="570"/>
      <c r="B476" s="568" t="s">
        <v>627</v>
      </c>
      <c r="C476" s="569"/>
      <c r="D476" s="570"/>
      <c r="E476" s="571" t="s">
        <v>322</v>
      </c>
      <c r="F476" s="1322">
        <f>K476</f>
        <v>1</v>
      </c>
      <c r="G476" s="589" t="s">
        <v>119</v>
      </c>
      <c r="H476" s="998"/>
      <c r="I476" s="435" t="s">
        <v>137</v>
      </c>
      <c r="J476" s="309"/>
      <c r="K476" s="1149">
        <v>1</v>
      </c>
      <c r="L476" s="530">
        <f t="shared" si="515"/>
        <v>0</v>
      </c>
      <c r="M476" s="530">
        <f t="shared" si="516"/>
        <v>0</v>
      </c>
      <c r="N476" s="309"/>
      <c r="O476" s="776">
        <v>159</v>
      </c>
      <c r="P476" s="777">
        <v>0.03</v>
      </c>
      <c r="Q476" s="777"/>
      <c r="R476" s="751"/>
      <c r="S476" s="752"/>
      <c r="T476" s="792"/>
      <c r="U476" s="803">
        <v>0</v>
      </c>
      <c r="V476" s="803">
        <v>0</v>
      </c>
      <c r="W476" s="803">
        <v>0</v>
      </c>
      <c r="X476" s="858">
        <f>SUMIF('Summary-E'!O$4:O$50,D476,'Summary-E'!Q$4:Q$50)</f>
        <v>0</v>
      </c>
      <c r="Y476" s="310">
        <f>ROUND((R476+S476/'Summary-E'!$M$63)*X476,2)</f>
        <v>0</v>
      </c>
      <c r="Z476" s="858">
        <f t="shared" si="490"/>
        <v>1.05</v>
      </c>
      <c r="AA476" s="813">
        <f t="shared" si="505"/>
        <v>0</v>
      </c>
      <c r="AB476" s="447">
        <f t="shared" si="506"/>
        <v>0.05</v>
      </c>
      <c r="AC476" s="310">
        <f t="shared" si="502"/>
        <v>0</v>
      </c>
      <c r="AD476" s="717">
        <f>ROUND(AC476*'[1]Summary E&amp;M'!$R$94,2)</f>
        <v>0</v>
      </c>
      <c r="AE476" s="825">
        <f t="shared" si="503"/>
        <v>0</v>
      </c>
      <c r="AF476" s="825">
        <f t="shared" si="504"/>
        <v>0</v>
      </c>
      <c r="AG476" s="743"/>
      <c r="AH476" s="728"/>
      <c r="AI476" s="519">
        <f t="shared" si="507"/>
        <v>0</v>
      </c>
      <c r="AJ476" s="519">
        <f t="shared" si="508"/>
        <v>0</v>
      </c>
      <c r="AK476" s="519">
        <f t="shared" si="509"/>
        <v>0</v>
      </c>
      <c r="AL476" s="520">
        <f t="shared" si="510"/>
        <v>0</v>
      </c>
      <c r="AM476" s="520">
        <f t="shared" si="511"/>
        <v>0</v>
      </c>
      <c r="AN476" s="520">
        <f t="shared" si="512"/>
        <v>0</v>
      </c>
      <c r="AO476" s="520">
        <f t="shared" si="513"/>
        <v>0</v>
      </c>
      <c r="AP476" s="552"/>
      <c r="AQ476" s="552"/>
      <c r="AR476" s="552"/>
      <c r="AS476" s="552"/>
      <c r="AT476" s="552"/>
    </row>
    <row r="477" spans="1:46" s="555" customFormat="1" ht="22.5" customHeight="1">
      <c r="A477" s="620"/>
      <c r="B477" s="522"/>
      <c r="C477" s="566"/>
      <c r="D477" s="525"/>
      <c r="E477" s="524"/>
      <c r="F477" s="1314"/>
      <c r="G477" s="527"/>
      <c r="H477" s="527"/>
      <c r="I477" s="567"/>
      <c r="J477" s="309"/>
      <c r="K477" s="1149"/>
      <c r="L477" s="530">
        <f t="shared" si="515"/>
        <v>0</v>
      </c>
      <c r="M477" s="530">
        <f t="shared" si="516"/>
        <v>0</v>
      </c>
      <c r="N477" s="309"/>
      <c r="O477" s="776"/>
      <c r="P477" s="777"/>
      <c r="Q477" s="777"/>
      <c r="R477" s="751"/>
      <c r="S477" s="752"/>
      <c r="T477" s="792"/>
      <c r="U477" s="803"/>
      <c r="V477" s="803"/>
      <c r="W477" s="803"/>
      <c r="X477" s="858">
        <f>SUMIF('Summary-E'!O$4:O$50,D477,'Summary-E'!Q$4:Q$50)</f>
        <v>0</v>
      </c>
      <c r="Y477" s="310">
        <f>ROUND((R477+S477/'Summary-E'!$M$63)*X477,2)</f>
        <v>0</v>
      </c>
      <c r="Z477" s="858">
        <f t="shared" si="490"/>
        <v>1.05</v>
      </c>
      <c r="AA477" s="817"/>
      <c r="AB477" s="726"/>
      <c r="AC477" s="310">
        <f t="shared" si="502"/>
        <v>0</v>
      </c>
      <c r="AD477" s="717">
        <f>ROUND(AC477*'[1]Summary E&amp;M'!$R$94,2)</f>
        <v>0</v>
      </c>
      <c r="AE477" s="825">
        <f t="shared" si="503"/>
        <v>0</v>
      </c>
      <c r="AF477" s="825">
        <f t="shared" si="504"/>
        <v>0</v>
      </c>
      <c r="AG477" s="743"/>
      <c r="AH477" s="728"/>
      <c r="AI477" s="519"/>
      <c r="AJ477" s="519"/>
      <c r="AK477" s="519"/>
      <c r="AL477" s="520"/>
      <c r="AM477" s="520"/>
      <c r="AN477" s="520"/>
      <c r="AO477" s="520"/>
      <c r="AP477" s="552"/>
      <c r="AQ477" s="552"/>
      <c r="AR477" s="552"/>
      <c r="AS477" s="552"/>
      <c r="AT477" s="552"/>
    </row>
    <row r="478" spans="1:46" s="555" customFormat="1" ht="22.5" customHeight="1">
      <c r="A478" s="570"/>
      <c r="B478" s="568" t="s">
        <v>324</v>
      </c>
      <c r="C478" s="569"/>
      <c r="D478" s="570">
        <v>210</v>
      </c>
      <c r="E478" s="571" t="s">
        <v>319</v>
      </c>
      <c r="F478" s="1322">
        <f>K478</f>
        <v>1</v>
      </c>
      <c r="G478" s="527">
        <f>M480</f>
        <v>122.83000000000001</v>
      </c>
      <c r="H478" s="527">
        <f>ROUND(F478*G478,2)</f>
        <v>122.83</v>
      </c>
      <c r="I478" s="567"/>
      <c r="J478" s="309"/>
      <c r="K478" s="1149">
        <v>1</v>
      </c>
      <c r="L478" s="530"/>
      <c r="M478" s="530"/>
      <c r="N478" s="309"/>
      <c r="O478" s="776">
        <v>210</v>
      </c>
      <c r="P478" s="777"/>
      <c r="Q478" s="777"/>
      <c r="R478" s="751"/>
      <c r="S478" s="752"/>
      <c r="T478" s="796"/>
      <c r="U478" s="803">
        <v>0</v>
      </c>
      <c r="V478" s="803">
        <v>0</v>
      </c>
      <c r="W478" s="803">
        <v>0</v>
      </c>
      <c r="X478" s="858">
        <f>SUMIF('Summary-E'!O$4:O$50,D478,'Summary-E'!Q$4:Q$50)</f>
        <v>0.05</v>
      </c>
      <c r="Y478" s="310">
        <f>ROUND((R478+S478/'Summary-E'!$M$63)*X478,2)</f>
        <v>0</v>
      </c>
      <c r="Z478" s="858">
        <f t="shared" si="490"/>
        <v>1.05</v>
      </c>
      <c r="AA478" s="813">
        <f>ROUND(Y478*Z478,2)</f>
        <v>0</v>
      </c>
      <c r="AB478" s="447">
        <f>$AB$3</f>
        <v>0.05</v>
      </c>
      <c r="AC478" s="310">
        <f t="shared" si="502"/>
        <v>0</v>
      </c>
      <c r="AD478" s="717">
        <f>ROUND(AC478*'[1]Summary E&amp;M'!$R$94,2)</f>
        <v>0</v>
      </c>
      <c r="AE478" s="825">
        <f t="shared" si="503"/>
        <v>0</v>
      </c>
      <c r="AF478" s="825">
        <f t="shared" si="504"/>
        <v>0</v>
      </c>
      <c r="AG478" s="743"/>
      <c r="AH478" s="728"/>
      <c r="AI478" s="519">
        <f>$U478</f>
        <v>0</v>
      </c>
      <c r="AJ478" s="519">
        <f>$V478</f>
        <v>0</v>
      </c>
      <c r="AK478" s="519">
        <f>$W478</f>
        <v>0</v>
      </c>
      <c r="AL478" s="520">
        <f>ROUND(Y478*AI478+((Y478*(1+AI478))*AJ478)+((Y478*AI478+((Y478*(1+AI478))*AJ478))*AK478),2)</f>
        <v>0</v>
      </c>
      <c r="AM478" s="520">
        <f>AL478*$F478</f>
        <v>0</v>
      </c>
      <c r="AN478" s="520">
        <f>ROUND(AL478*Z478,2)</f>
        <v>0</v>
      </c>
      <c r="AO478" s="520">
        <f>AN478*$F478</f>
        <v>0</v>
      </c>
      <c r="AP478" s="552"/>
      <c r="AQ478" s="552"/>
      <c r="AR478" s="552"/>
      <c r="AS478" s="552"/>
      <c r="AT478" s="552"/>
    </row>
    <row r="479" spans="1:46" s="555" customFormat="1" ht="22.5" customHeight="1">
      <c r="A479" s="620"/>
      <c r="B479" s="522"/>
      <c r="C479" s="566"/>
      <c r="D479" s="588"/>
      <c r="E479" s="524"/>
      <c r="F479" s="1314"/>
      <c r="G479" s="527"/>
      <c r="H479" s="527"/>
      <c r="I479" s="567"/>
      <c r="J479" s="309"/>
      <c r="K479" s="1149"/>
      <c r="L479" s="530"/>
      <c r="M479" s="602"/>
      <c r="N479" s="309"/>
      <c r="O479" s="776"/>
      <c r="P479" s="777"/>
      <c r="Q479" s="777"/>
      <c r="R479" s="751"/>
      <c r="S479" s="752"/>
      <c r="T479" s="796"/>
      <c r="U479" s="803"/>
      <c r="V479" s="803"/>
      <c r="W479" s="803"/>
      <c r="X479" s="858">
        <f>SUMIF('Summary-E'!O$4:O$50,D479,'Summary-E'!Q$4:Q$50)</f>
        <v>0</v>
      </c>
      <c r="Y479" s="310">
        <f>ROUND((R479+S479/'Summary-E'!$M$63)*X479,2)</f>
        <v>0</v>
      </c>
      <c r="Z479" s="858">
        <f t="shared" si="490"/>
        <v>1.05</v>
      </c>
      <c r="AA479" s="817"/>
      <c r="AB479" s="726"/>
      <c r="AC479" s="310">
        <f t="shared" si="502"/>
        <v>0</v>
      </c>
      <c r="AD479" s="717">
        <f>ROUND(AC479*'[1]Summary E&amp;M'!$R$94,2)</f>
        <v>0</v>
      </c>
      <c r="AE479" s="836"/>
      <c r="AF479" s="836"/>
      <c r="AG479" s="743"/>
      <c r="AH479" s="728"/>
      <c r="AI479" s="519"/>
      <c r="AJ479" s="519"/>
      <c r="AK479" s="519"/>
      <c r="AL479" s="520"/>
      <c r="AM479" s="520"/>
      <c r="AN479" s="520"/>
      <c r="AO479" s="520"/>
      <c r="AP479" s="552"/>
      <c r="AQ479" s="552"/>
      <c r="AR479" s="552"/>
      <c r="AS479" s="552"/>
      <c r="AT479" s="552"/>
    </row>
    <row r="480" spans="1:46" s="711" customFormat="1" ht="22.5" customHeight="1">
      <c r="A480" s="973"/>
      <c r="B480" s="974" t="s">
        <v>422</v>
      </c>
      <c r="C480" s="979"/>
      <c r="D480" s="980"/>
      <c r="E480" s="976"/>
      <c r="F480" s="1317"/>
      <c r="G480" s="971"/>
      <c r="H480" s="971">
        <f>SUBTOTAL(9,H469:H479)</f>
        <v>336.83</v>
      </c>
      <c r="I480" s="981"/>
      <c r="J480" s="599"/>
      <c r="K480" s="1184"/>
      <c r="L480" s="600"/>
      <c r="M480" s="1051">
        <f>SUBTOTAL(9,M469:M478)</f>
        <v>122.83000000000001</v>
      </c>
      <c r="N480" s="599"/>
      <c r="O480" s="779"/>
      <c r="P480" s="780"/>
      <c r="Q480" s="780"/>
      <c r="R480" s="759"/>
      <c r="S480" s="760"/>
      <c r="T480" s="796"/>
      <c r="U480" s="803">
        <v>0</v>
      </c>
      <c r="V480" s="803">
        <v>0</v>
      </c>
      <c r="W480" s="803">
        <v>0</v>
      </c>
      <c r="X480" s="858">
        <f>SUMIF('Summary-E'!O$4:O$50,D480,'Summary-E'!Q$4:Q$50)</f>
        <v>0</v>
      </c>
      <c r="Y480" s="310">
        <f>ROUND((R480+S480/'Summary-E'!$M$63)*X480,2)</f>
        <v>0</v>
      </c>
      <c r="Z480" s="858">
        <f t="shared" si="490"/>
        <v>1.05</v>
      </c>
      <c r="AA480" s="816"/>
      <c r="AB480" s="552"/>
      <c r="AC480" s="310">
        <f t="shared" si="502"/>
        <v>0</v>
      </c>
      <c r="AD480" s="717">
        <f>ROUND(AC480*'[1]Summary E&amp;M'!$R$94,2)</f>
        <v>0</v>
      </c>
      <c r="AE480" s="823">
        <f>SUBTOTAL(9,AE469:AE479)</f>
        <v>200.21999999999997</v>
      </c>
      <c r="AF480" s="823">
        <f>SUBTOTAL(9,AF469:AF479)</f>
        <v>96.340000000000018</v>
      </c>
      <c r="AG480" s="614"/>
      <c r="AH480" s="730"/>
      <c r="AI480" s="713"/>
      <c r="AJ480" s="713"/>
      <c r="AK480" s="713"/>
      <c r="AL480" s="713"/>
      <c r="AM480" s="712">
        <f>SUBTOTAL(9,AM469:AM479)</f>
        <v>0</v>
      </c>
      <c r="AN480" s="713"/>
      <c r="AO480" s="712">
        <f>SUBTOTAL(9,AO469:AO479)</f>
        <v>0</v>
      </c>
      <c r="AP480" s="713"/>
      <c r="AQ480" s="713"/>
      <c r="AR480" s="713"/>
      <c r="AS480" s="713"/>
      <c r="AT480" s="713"/>
    </row>
    <row r="481" spans="1:68" s="555" customFormat="1" ht="22.5" customHeight="1">
      <c r="A481" s="451"/>
      <c r="B481" s="522"/>
      <c r="C481" s="572"/>
      <c r="D481" s="603"/>
      <c r="E481" s="540"/>
      <c r="F481" s="1328"/>
      <c r="G481" s="527"/>
      <c r="H481" s="541"/>
      <c r="I481" s="598"/>
      <c r="J481" s="599"/>
      <c r="K481" s="1173"/>
      <c r="L481" s="600"/>
      <c r="M481" s="604"/>
      <c r="N481" s="599"/>
      <c r="O481" s="776"/>
      <c r="P481" s="777"/>
      <c r="Q481" s="777"/>
      <c r="R481" s="751"/>
      <c r="S481" s="752"/>
      <c r="T481" s="796"/>
      <c r="U481" s="803"/>
      <c r="V481" s="803"/>
      <c r="W481" s="803"/>
      <c r="X481" s="858">
        <f>SUMIF('Summary-E'!O$4:O$50,D481,'Summary-E'!Q$4:Q$50)</f>
        <v>0</v>
      </c>
      <c r="Y481" s="310">
        <f>ROUND((R481+S481/'Summary-E'!$M$63)*X481,2)</f>
        <v>0</v>
      </c>
      <c r="Z481" s="858">
        <f t="shared" si="490"/>
        <v>1.05</v>
      </c>
      <c r="AA481" s="813"/>
      <c r="AB481" s="429"/>
      <c r="AC481" s="310">
        <f t="shared" si="502"/>
        <v>0</v>
      </c>
      <c r="AD481" s="717">
        <f>ROUND(AC481*'[1]Summary E&amp;M'!$R$94,2)</f>
        <v>0</v>
      </c>
      <c r="AE481" s="835"/>
      <c r="AF481" s="835"/>
      <c r="AG481" s="738"/>
      <c r="AH481" s="739"/>
      <c r="AI481" s="553"/>
      <c r="AJ481" s="552"/>
      <c r="AK481" s="552"/>
      <c r="AL481" s="552"/>
      <c r="AM481" s="552"/>
      <c r="AN481" s="552"/>
      <c r="AO481" s="553"/>
      <c r="AP481" s="552"/>
      <c r="AQ481" s="553"/>
      <c r="AR481" s="552"/>
      <c r="AS481" s="552"/>
      <c r="AT481" s="552"/>
    </row>
    <row r="482" spans="1:68" s="555" customFormat="1" ht="22.5" customHeight="1">
      <c r="A482" s="620" t="s">
        <v>520</v>
      </c>
      <c r="B482" s="522" t="s">
        <v>417</v>
      </c>
      <c r="C482" s="566"/>
      <c r="D482" s="588"/>
      <c r="E482" s="523"/>
      <c r="F482" s="1328"/>
      <c r="G482" s="605"/>
      <c r="H482" s="605"/>
      <c r="I482" s="606"/>
      <c r="J482" s="428"/>
      <c r="K482" s="1173"/>
      <c r="L482" s="960"/>
      <c r="M482" s="1052"/>
      <c r="N482" s="428"/>
      <c r="O482" s="786"/>
      <c r="P482" s="777"/>
      <c r="Q482" s="777"/>
      <c r="R482" s="751"/>
      <c r="S482" s="752"/>
      <c r="T482" s="796"/>
      <c r="U482" s="803">
        <v>0</v>
      </c>
      <c r="V482" s="803">
        <v>0</v>
      </c>
      <c r="W482" s="803">
        <v>0</v>
      </c>
      <c r="X482" s="858">
        <f>SUMIF('Summary-E'!O$4:O$50,D482,'Summary-E'!Q$4:Q$50)</f>
        <v>0</v>
      </c>
      <c r="Y482" s="310">
        <f>ROUND((R482+S482/'Summary-E'!$M$63)*X482,2)</f>
        <v>0</v>
      </c>
      <c r="Z482" s="858">
        <f t="shared" si="490"/>
        <v>1.05</v>
      </c>
      <c r="AA482" s="813">
        <f>ROUND(Y482*Z482,2)</f>
        <v>0</v>
      </c>
      <c r="AB482" s="447">
        <f t="shared" ref="AB482:AB490" si="519">$AB$3</f>
        <v>0.05</v>
      </c>
      <c r="AC482" s="310">
        <f t="shared" si="502"/>
        <v>0</v>
      </c>
      <c r="AD482" s="717">
        <f>ROUND(AC482*'[1]Summary E&amp;M'!$R$94,2)</f>
        <v>0</v>
      </c>
      <c r="AE482" s="825">
        <f t="shared" ref="AE482:AE492" si="520">ROUND($K482*$Y482,2)</f>
        <v>0</v>
      </c>
      <c r="AF482" s="825">
        <f t="shared" ref="AF482:AF492" si="521">ROUND($K482*$AC482,2)</f>
        <v>0</v>
      </c>
      <c r="AG482" s="743"/>
      <c r="AH482" s="728"/>
      <c r="AI482" s="519">
        <f t="shared" ref="AI482:AI490" si="522">$U482</f>
        <v>0</v>
      </c>
      <c r="AJ482" s="519">
        <f t="shared" ref="AJ482:AJ490" si="523">$V482</f>
        <v>0</v>
      </c>
      <c r="AK482" s="519">
        <f t="shared" ref="AK482:AK490" si="524">$W482</f>
        <v>0</v>
      </c>
      <c r="AL482" s="520">
        <f>ROUND(Y482*AI482+((Y482*(1+AI482))*AJ482)+((Y482*AI482+((Y482*(1+AI482))*AJ482))*AK482),2)</f>
        <v>0</v>
      </c>
      <c r="AM482" s="520">
        <f>AL482*$F482</f>
        <v>0</v>
      </c>
      <c r="AN482" s="520">
        <f>ROUND(AL482*Z482,2)</f>
        <v>0</v>
      </c>
      <c r="AO482" s="520">
        <f>AN482*$F482</f>
        <v>0</v>
      </c>
      <c r="AP482" s="718"/>
      <c r="AQ482" s="718"/>
      <c r="AR482" s="718"/>
      <c r="AS482" s="718"/>
      <c r="AT482" s="718"/>
    </row>
    <row r="483" spans="1:68" s="555" customFormat="1" ht="22.5" customHeight="1">
      <c r="A483" s="620"/>
      <c r="B483" s="531" t="s">
        <v>991</v>
      </c>
      <c r="C483" s="566" t="s">
        <v>1298</v>
      </c>
      <c r="D483" s="996" t="s">
        <v>1130</v>
      </c>
      <c r="E483" s="524" t="s">
        <v>418</v>
      </c>
      <c r="F483" s="1322">
        <f>K483</f>
        <v>28</v>
      </c>
      <c r="G483" s="527">
        <f t="shared" ref="G483:G488" si="525">ROUND(AA483,2)</f>
        <v>32.81</v>
      </c>
      <c r="H483" s="527">
        <f>F483*G483</f>
        <v>918.68000000000006</v>
      </c>
      <c r="I483" s="901"/>
      <c r="J483" s="582"/>
      <c r="K483" s="1149">
        <v>28</v>
      </c>
      <c r="L483" s="530">
        <f t="shared" ref="L483:L488" si="526">ROUND(AD483,2)</f>
        <v>5.25</v>
      </c>
      <c r="M483" s="530">
        <f t="shared" ref="M483:M491" si="527">ROUND(L483*F483,2)</f>
        <v>147</v>
      </c>
      <c r="N483" s="1053"/>
      <c r="O483" s="786" t="s">
        <v>135</v>
      </c>
      <c r="P483" s="777"/>
      <c r="Q483" s="777"/>
      <c r="R483" s="751"/>
      <c r="S483" s="752">
        <v>650000</v>
      </c>
      <c r="T483" s="792">
        <v>4</v>
      </c>
      <c r="U483" s="803">
        <v>0</v>
      </c>
      <c r="V483" s="803">
        <v>0</v>
      </c>
      <c r="W483" s="803">
        <v>0</v>
      </c>
      <c r="X483" s="858">
        <v>1</v>
      </c>
      <c r="Y483" s="310">
        <f>ROUND((R483+S483/'Summary-E'!$M$63)*X483,2)</f>
        <v>31.25</v>
      </c>
      <c r="Z483" s="858">
        <f t="shared" si="490"/>
        <v>1.05</v>
      </c>
      <c r="AA483" s="813">
        <f t="shared" ref="AA483:AA488" si="528">ROUND(Y483*Z483,2)</f>
        <v>32.81</v>
      </c>
      <c r="AB483" s="447">
        <f t="shared" si="519"/>
        <v>0.05</v>
      </c>
      <c r="AC483" s="310">
        <f t="shared" si="502"/>
        <v>4.2</v>
      </c>
      <c r="AD483" s="717">
        <f>ROUND(AC483*'[1]Summary E&amp;M'!$R$94,2)</f>
        <v>5.25</v>
      </c>
      <c r="AE483" s="825">
        <f t="shared" si="520"/>
        <v>875</v>
      </c>
      <c r="AF483" s="825">
        <f t="shared" si="521"/>
        <v>117.6</v>
      </c>
      <c r="AG483" s="743"/>
      <c r="AH483" s="728"/>
      <c r="AI483" s="519">
        <f t="shared" si="522"/>
        <v>0</v>
      </c>
      <c r="AJ483" s="519">
        <f t="shared" si="523"/>
        <v>0</v>
      </c>
      <c r="AK483" s="519">
        <f t="shared" si="524"/>
        <v>0</v>
      </c>
      <c r="AL483" s="520">
        <f>ROUND(Y483*AI483+((Y483*(1+AI483))*AJ483)+((Y483*AI483+((Y483*(1+AI483))*AJ483))*AK483),2)</f>
        <v>0</v>
      </c>
      <c r="AM483" s="520">
        <f>AL483*$F483</f>
        <v>0</v>
      </c>
      <c r="AN483" s="520">
        <f>ROUND(AL483*Z483,2)</f>
        <v>0</v>
      </c>
      <c r="AO483" s="520">
        <f>AN483*$F483</f>
        <v>0</v>
      </c>
      <c r="AP483" s="552"/>
      <c r="AQ483" s="552"/>
      <c r="AR483" s="552"/>
      <c r="AS483" s="552"/>
      <c r="AT483" s="552"/>
    </row>
    <row r="484" spans="1:68" s="555" customFormat="1" ht="22.5" customHeight="1">
      <c r="A484" s="620"/>
      <c r="B484" s="531" t="s">
        <v>992</v>
      </c>
      <c r="C484" s="566" t="s">
        <v>1259</v>
      </c>
      <c r="D484" s="996" t="s">
        <v>1130</v>
      </c>
      <c r="E484" s="524" t="s">
        <v>418</v>
      </c>
      <c r="F484" s="1322">
        <f t="shared" ref="F484" si="529">K484</f>
        <v>3</v>
      </c>
      <c r="G484" s="527">
        <f t="shared" si="525"/>
        <v>10.65</v>
      </c>
      <c r="H484" s="527">
        <f t="shared" ref="H484" si="530">F484*G484</f>
        <v>31.950000000000003</v>
      </c>
      <c r="I484" s="567"/>
      <c r="J484" s="582"/>
      <c r="K484" s="1149">
        <v>3</v>
      </c>
      <c r="L484" s="530">
        <f t="shared" si="526"/>
        <v>4.5999999999999996</v>
      </c>
      <c r="M484" s="530">
        <f t="shared" si="527"/>
        <v>13.8</v>
      </c>
      <c r="N484" s="1053"/>
      <c r="O484" s="786" t="s">
        <v>135</v>
      </c>
      <c r="P484" s="777"/>
      <c r="Q484" s="777"/>
      <c r="R484" s="751"/>
      <c r="S484" s="752">
        <v>211000</v>
      </c>
      <c r="T484" s="792">
        <v>3.5</v>
      </c>
      <c r="U484" s="803">
        <v>0</v>
      </c>
      <c r="V484" s="803">
        <v>0</v>
      </c>
      <c r="W484" s="803">
        <v>0</v>
      </c>
      <c r="X484" s="858">
        <v>1</v>
      </c>
      <c r="Y484" s="310">
        <f>ROUND((R484+S484/'Summary-E'!$M$63)*X484,2)</f>
        <v>10.14</v>
      </c>
      <c r="Z484" s="858">
        <f t="shared" si="490"/>
        <v>1.05</v>
      </c>
      <c r="AA484" s="813">
        <f t="shared" si="528"/>
        <v>10.65</v>
      </c>
      <c r="AB484" s="447">
        <f t="shared" si="519"/>
        <v>0.05</v>
      </c>
      <c r="AC484" s="310">
        <f t="shared" si="502"/>
        <v>3.68</v>
      </c>
      <c r="AD484" s="717">
        <f>ROUND(AC484*'[1]Summary E&amp;M'!$R$94,2)</f>
        <v>4.5999999999999996</v>
      </c>
      <c r="AE484" s="825">
        <f t="shared" si="520"/>
        <v>30.42</v>
      </c>
      <c r="AF484" s="825">
        <f t="shared" si="521"/>
        <v>11.04</v>
      </c>
      <c r="AG484" s="743"/>
      <c r="AH484" s="728"/>
      <c r="AI484" s="519">
        <f t="shared" si="522"/>
        <v>0</v>
      </c>
      <c r="AJ484" s="519">
        <f t="shared" si="523"/>
        <v>0</v>
      </c>
      <c r="AK484" s="519">
        <f t="shared" si="524"/>
        <v>0</v>
      </c>
      <c r="AL484" s="520">
        <f t="shared" ref="AL484" si="531">ROUND(Y484*AI484+((Y484*(1+AI484))*AJ484)+((Y484*AI484+((Y484*(1+AI484))*AJ484))*AK484),2)</f>
        <v>0</v>
      </c>
      <c r="AM484" s="520">
        <f t="shared" ref="AM484" si="532">AL484*$F484</f>
        <v>0</v>
      </c>
      <c r="AN484" s="520">
        <f t="shared" ref="AN484" si="533">ROUND(AL484*Z484,2)</f>
        <v>0</v>
      </c>
      <c r="AO484" s="520">
        <f t="shared" ref="AO484" si="534">AN484*$F484</f>
        <v>0</v>
      </c>
      <c r="AP484" s="552"/>
      <c r="AQ484" s="552"/>
      <c r="AR484" s="552"/>
      <c r="AS484" s="552"/>
      <c r="AT484" s="552"/>
    </row>
    <row r="485" spans="1:68" s="555" customFormat="1" ht="22.5" customHeight="1">
      <c r="A485" s="620"/>
      <c r="B485" s="531" t="s">
        <v>403</v>
      </c>
      <c r="C485" s="523" t="s">
        <v>329</v>
      </c>
      <c r="D485" s="193" t="s">
        <v>1111</v>
      </c>
      <c r="E485" s="525" t="s">
        <v>321</v>
      </c>
      <c r="F485" s="1314">
        <f>ROUND(K485*'Summary-E'!$K$61,0)</f>
        <v>709</v>
      </c>
      <c r="G485" s="527">
        <f t="shared" si="525"/>
        <v>0.61</v>
      </c>
      <c r="H485" s="527">
        <f t="shared" ref="H485" si="535">F485*G485</f>
        <v>432.49</v>
      </c>
      <c r="I485" s="567"/>
      <c r="J485" s="582"/>
      <c r="K485" s="1175">
        <v>675</v>
      </c>
      <c r="L485" s="530">
        <f t="shared" si="526"/>
        <v>0.66</v>
      </c>
      <c r="M485" s="530">
        <f t="shared" si="527"/>
        <v>467.94</v>
      </c>
      <c r="N485" s="1053"/>
      <c r="O485" s="786" t="s">
        <v>131</v>
      </c>
      <c r="P485" s="777"/>
      <c r="Q485" s="785"/>
      <c r="R485" s="751"/>
      <c r="S485" s="752">
        <v>12000</v>
      </c>
      <c r="T485" s="783">
        <v>0.5</v>
      </c>
      <c r="U485" s="803">
        <v>0</v>
      </c>
      <c r="V485" s="803">
        <v>0</v>
      </c>
      <c r="W485" s="803">
        <v>0</v>
      </c>
      <c r="X485" s="858">
        <v>1</v>
      </c>
      <c r="Y485" s="310">
        <f>ROUND((R485+S485/'Summary-E'!$M$63)*X485,2)</f>
        <v>0.57999999999999996</v>
      </c>
      <c r="Z485" s="858">
        <f t="shared" si="490"/>
        <v>1.05</v>
      </c>
      <c r="AA485" s="813">
        <f t="shared" si="528"/>
        <v>0.61</v>
      </c>
      <c r="AB485" s="447">
        <f t="shared" si="519"/>
        <v>0.05</v>
      </c>
      <c r="AC485" s="310">
        <f t="shared" ref="AC485" si="536">ROUND((T485*(1+AB485)),2)</f>
        <v>0.53</v>
      </c>
      <c r="AD485" s="717">
        <f>ROUND(AC485*'[1]Summary E&amp;M'!$R$94,2)</f>
        <v>0.66</v>
      </c>
      <c r="AE485" s="825">
        <f t="shared" si="520"/>
        <v>391.5</v>
      </c>
      <c r="AF485" s="825">
        <f t="shared" si="521"/>
        <v>357.75</v>
      </c>
      <c r="AG485" s="743"/>
      <c r="AH485" s="728"/>
      <c r="AI485" s="519">
        <f t="shared" si="522"/>
        <v>0</v>
      </c>
      <c r="AJ485" s="519">
        <f t="shared" si="523"/>
        <v>0</v>
      </c>
      <c r="AK485" s="519">
        <f t="shared" si="524"/>
        <v>0</v>
      </c>
      <c r="AL485" s="520">
        <f t="shared" ref="AL485" si="537">ROUND(Y485*AI485+((Y485*(1+AI485))*AJ485)+((Y485*AI485+((Y485*(1+AI485))*AJ485))*AK485),2)</f>
        <v>0</v>
      </c>
      <c r="AM485" s="520">
        <f t="shared" ref="AM485" si="538">AL485*$F485</f>
        <v>0</v>
      </c>
      <c r="AN485" s="520">
        <f t="shared" ref="AN485" si="539">ROUND(AL485*Z485,2)</f>
        <v>0</v>
      </c>
      <c r="AO485" s="520">
        <f t="shared" ref="AO485" si="540">AN485*$F485</f>
        <v>0</v>
      </c>
      <c r="AP485" s="552"/>
      <c r="AQ485" s="552"/>
      <c r="AR485" s="552"/>
      <c r="AS485" s="552"/>
      <c r="AT485" s="552"/>
    </row>
    <row r="486" spans="1:68" s="555" customFormat="1" ht="22.5" customHeight="1">
      <c r="A486" s="570"/>
      <c r="B486" s="568" t="s">
        <v>333</v>
      </c>
      <c r="C486" s="569"/>
      <c r="D486" s="1202" t="s">
        <v>1113</v>
      </c>
      <c r="E486" s="571" t="s">
        <v>322</v>
      </c>
      <c r="F486" s="1322">
        <f>K486</f>
        <v>1</v>
      </c>
      <c r="G486" s="527">
        <f t="shared" si="525"/>
        <v>119.63</v>
      </c>
      <c r="H486" s="527">
        <f>F486*G486</f>
        <v>119.63</v>
      </c>
      <c r="I486" s="901"/>
      <c r="J486" s="582"/>
      <c r="K486" s="1149">
        <v>1</v>
      </c>
      <c r="L486" s="530">
        <f t="shared" si="526"/>
        <v>15.43</v>
      </c>
      <c r="M486" s="530">
        <f t="shared" si="527"/>
        <v>15.43</v>
      </c>
      <c r="N486" s="1053"/>
      <c r="O486" s="776" t="s">
        <v>683</v>
      </c>
      <c r="P486" s="777">
        <v>0.3</v>
      </c>
      <c r="Q486" s="777"/>
      <c r="R486" s="751">
        <f>ROUND(SUM(AE485:AE485)*P486,2)</f>
        <v>117.45</v>
      </c>
      <c r="S486" s="752"/>
      <c r="T486" s="792">
        <f>ROUND(R486*10%,2)</f>
        <v>11.75</v>
      </c>
      <c r="U486" s="803">
        <v>0</v>
      </c>
      <c r="V486" s="803">
        <v>0</v>
      </c>
      <c r="W486" s="803">
        <v>0</v>
      </c>
      <c r="X486" s="858">
        <f>SUMIF('Summary-E'!O$4:O$50,D486,'Summary-E'!Q$4:Q$50)</f>
        <v>0.97</v>
      </c>
      <c r="Y486" s="310">
        <f>ROUND((R486+S486/'Summary-E'!$M$63)*X486,2)</f>
        <v>113.93</v>
      </c>
      <c r="Z486" s="858">
        <f t="shared" si="490"/>
        <v>1.05</v>
      </c>
      <c r="AA486" s="813">
        <f t="shared" si="528"/>
        <v>119.63</v>
      </c>
      <c r="AB486" s="447">
        <f t="shared" si="519"/>
        <v>0.05</v>
      </c>
      <c r="AC486" s="310">
        <f t="shared" si="502"/>
        <v>12.34</v>
      </c>
      <c r="AD486" s="717">
        <f>ROUND(AC486*'[1]Summary E&amp;M'!$R$94,2)</f>
        <v>15.43</v>
      </c>
      <c r="AE486" s="825">
        <f t="shared" si="520"/>
        <v>113.93</v>
      </c>
      <c r="AF486" s="825">
        <f t="shared" si="521"/>
        <v>12.34</v>
      </c>
      <c r="AG486" s="743"/>
      <c r="AH486" s="728"/>
      <c r="AI486" s="519">
        <f t="shared" si="522"/>
        <v>0</v>
      </c>
      <c r="AJ486" s="519">
        <f t="shared" si="523"/>
        <v>0</v>
      </c>
      <c r="AK486" s="519">
        <f t="shared" si="524"/>
        <v>0</v>
      </c>
      <c r="AL486" s="520">
        <f>ROUND(Y486*AI486+((Y486*(1+AI486))*AJ486)+((Y486*AI486+((Y486*(1+AI486))*AJ486))*AK486),2)</f>
        <v>0</v>
      </c>
      <c r="AM486" s="520">
        <f>AL486*$F486</f>
        <v>0</v>
      </c>
      <c r="AN486" s="520">
        <f>ROUND(AL486*Z486,2)</f>
        <v>0</v>
      </c>
      <c r="AO486" s="520">
        <f>AN486*$F486</f>
        <v>0</v>
      </c>
      <c r="AP486" s="552"/>
      <c r="AQ486" s="552"/>
      <c r="AR486" s="552"/>
      <c r="AS486" s="552"/>
      <c r="AT486" s="552"/>
    </row>
    <row r="487" spans="1:68" s="555" customFormat="1" ht="22.5" customHeight="1">
      <c r="A487" s="638"/>
      <c r="B487" s="997" t="s">
        <v>718</v>
      </c>
      <c r="C487" s="566"/>
      <c r="D487" s="525" t="s">
        <v>139</v>
      </c>
      <c r="E487" s="524" t="s">
        <v>322</v>
      </c>
      <c r="F487" s="1322">
        <f>K487</f>
        <v>1</v>
      </c>
      <c r="G487" s="527">
        <f t="shared" si="525"/>
        <v>59.82</v>
      </c>
      <c r="H487" s="527">
        <f>ROUND(F487*G487,2)</f>
        <v>59.82</v>
      </c>
      <c r="I487" s="962"/>
      <c r="J487" s="590"/>
      <c r="K487" s="1149">
        <v>1</v>
      </c>
      <c r="L487" s="530">
        <f t="shared" si="526"/>
        <v>7.7</v>
      </c>
      <c r="M487" s="530">
        <f t="shared" si="527"/>
        <v>7.7</v>
      </c>
      <c r="N487" s="590"/>
      <c r="O487" s="776" t="s">
        <v>139</v>
      </c>
      <c r="P487" s="777">
        <v>0.15</v>
      </c>
      <c r="Q487" s="777"/>
      <c r="R487" s="751">
        <f>ROUND(SUM(AE485:AE485)*P487,2)</f>
        <v>58.73</v>
      </c>
      <c r="S487" s="752"/>
      <c r="T487" s="792">
        <f>ROUND(R487*10%,2)</f>
        <v>5.87</v>
      </c>
      <c r="U487" s="803">
        <v>0</v>
      </c>
      <c r="V487" s="803">
        <v>0</v>
      </c>
      <c r="W487" s="803">
        <v>0</v>
      </c>
      <c r="X487" s="858">
        <f>SUMIF('Summary-E'!O$4:O$50,D487,'Summary-E'!Q$4:Q$50)</f>
        <v>0.97</v>
      </c>
      <c r="Y487" s="310">
        <f>ROUND((R487+S487/'Summary-E'!$M$63)*X487,2)</f>
        <v>56.97</v>
      </c>
      <c r="Z487" s="858">
        <f t="shared" si="490"/>
        <v>1.05</v>
      </c>
      <c r="AA487" s="813">
        <f t="shared" si="528"/>
        <v>59.82</v>
      </c>
      <c r="AB487" s="447">
        <f t="shared" si="519"/>
        <v>0.05</v>
      </c>
      <c r="AC487" s="310">
        <f t="shared" si="502"/>
        <v>6.16</v>
      </c>
      <c r="AD487" s="717">
        <f>ROUND(AC487*'[1]Summary E&amp;M'!$R$94,2)</f>
        <v>7.7</v>
      </c>
      <c r="AE487" s="825">
        <f t="shared" si="520"/>
        <v>56.97</v>
      </c>
      <c r="AF487" s="825">
        <f t="shared" si="521"/>
        <v>6.16</v>
      </c>
      <c r="AG487" s="743"/>
      <c r="AH487" s="728"/>
      <c r="AI487" s="519">
        <f t="shared" si="522"/>
        <v>0</v>
      </c>
      <c r="AJ487" s="519">
        <f t="shared" si="523"/>
        <v>0</v>
      </c>
      <c r="AK487" s="519">
        <f t="shared" si="524"/>
        <v>0</v>
      </c>
      <c r="AL487" s="520">
        <f>ROUND(Y487*AI487+((Y487*(1+AI487))*AJ487)+((Y487*AI487+((Y487*(1+AI487))*AJ487))*AK487),2)</f>
        <v>0</v>
      </c>
      <c r="AM487" s="520">
        <f>AL487*$F487</f>
        <v>0</v>
      </c>
      <c r="AN487" s="520">
        <f>ROUND(AL487*Z487,2)</f>
        <v>0</v>
      </c>
      <c r="AO487" s="520">
        <f>AN487*$F487</f>
        <v>0</v>
      </c>
      <c r="AP487" s="552"/>
      <c r="AQ487" s="552"/>
      <c r="AR487" s="552"/>
      <c r="AS487" s="552"/>
      <c r="AT487" s="552"/>
    </row>
    <row r="488" spans="1:68" s="555" customFormat="1" ht="22.5" customHeight="1">
      <c r="A488" s="451"/>
      <c r="B488" s="531" t="s">
        <v>121</v>
      </c>
      <c r="C488" s="566"/>
      <c r="D488" s="570">
        <v>131</v>
      </c>
      <c r="E488" s="524" t="s">
        <v>321</v>
      </c>
      <c r="F488" s="1314">
        <f>ROUND(K488*'Summary-E'!$K$61,0)</f>
        <v>1317</v>
      </c>
      <c r="G488" s="527">
        <f t="shared" si="525"/>
        <v>0.46</v>
      </c>
      <c r="H488" s="527">
        <f>F488*G488</f>
        <v>605.82000000000005</v>
      </c>
      <c r="I488" s="901"/>
      <c r="J488" s="582"/>
      <c r="K488" s="1149">
        <v>1254</v>
      </c>
      <c r="L488" s="530">
        <f t="shared" si="526"/>
        <v>0.66</v>
      </c>
      <c r="M488" s="530">
        <f t="shared" si="527"/>
        <v>869.22</v>
      </c>
      <c r="N488" s="1053"/>
      <c r="O488" s="786">
        <v>131</v>
      </c>
      <c r="P488" s="777"/>
      <c r="Q488" s="777"/>
      <c r="R488" s="751"/>
      <c r="S488" s="752">
        <v>9150</v>
      </c>
      <c r="T488" s="792">
        <v>0.5</v>
      </c>
      <c r="U488" s="803">
        <v>0</v>
      </c>
      <c r="V488" s="803">
        <v>0</v>
      </c>
      <c r="W488" s="803">
        <v>0</v>
      </c>
      <c r="X488" s="858">
        <v>1</v>
      </c>
      <c r="Y488" s="310">
        <f>ROUND((R488+S488/'Summary-E'!$M$63)*X488,2)</f>
        <v>0.44</v>
      </c>
      <c r="Z488" s="858">
        <f t="shared" si="490"/>
        <v>1.05</v>
      </c>
      <c r="AA488" s="813">
        <f t="shared" si="528"/>
        <v>0.46</v>
      </c>
      <c r="AB488" s="447">
        <f t="shared" si="519"/>
        <v>0.05</v>
      </c>
      <c r="AC488" s="310">
        <f t="shared" si="502"/>
        <v>0.53</v>
      </c>
      <c r="AD488" s="717">
        <f>ROUND(AC488*'[1]Summary E&amp;M'!$R$94,2)</f>
        <v>0.66</v>
      </c>
      <c r="AE488" s="825">
        <f t="shared" si="520"/>
        <v>551.76</v>
      </c>
      <c r="AF488" s="825">
        <f t="shared" si="521"/>
        <v>664.62</v>
      </c>
      <c r="AG488" s="743"/>
      <c r="AH488" s="728"/>
      <c r="AI488" s="519">
        <f t="shared" si="522"/>
        <v>0</v>
      </c>
      <c r="AJ488" s="519">
        <f t="shared" si="523"/>
        <v>0</v>
      </c>
      <c r="AK488" s="519">
        <f t="shared" si="524"/>
        <v>0</v>
      </c>
      <c r="AL488" s="520">
        <f>ROUND(Y488*AI488+((Y488*(1+AI488))*AJ488)+((Y488*AI488+((Y488*(1+AI488))*AJ488))*AK488),2)</f>
        <v>0</v>
      </c>
      <c r="AM488" s="520">
        <f>AL488*$F488</f>
        <v>0</v>
      </c>
      <c r="AN488" s="520">
        <f>ROUND(AL488*Z488,2)</f>
        <v>0</v>
      </c>
      <c r="AO488" s="520">
        <f>AN488*$F488</f>
        <v>0</v>
      </c>
      <c r="AP488" s="552"/>
      <c r="AQ488" s="552"/>
      <c r="AR488" s="552"/>
      <c r="AS488" s="552"/>
      <c r="AT488" s="552"/>
    </row>
    <row r="489" spans="1:68" s="555" customFormat="1" ht="22.5" customHeight="1">
      <c r="A489" s="570"/>
      <c r="B489" s="568" t="s">
        <v>401</v>
      </c>
      <c r="C489" s="569"/>
      <c r="D489" s="570">
        <v>159</v>
      </c>
      <c r="E489" s="571" t="s">
        <v>322</v>
      </c>
      <c r="F489" s="1322">
        <f>K489</f>
        <v>1</v>
      </c>
      <c r="G489" s="527">
        <f>ROUND(AA489,2)</f>
        <v>61.71</v>
      </c>
      <c r="H489" s="527">
        <f>ROUND(F489*G489,2)</f>
        <v>61.71</v>
      </c>
      <c r="I489" s="901"/>
      <c r="J489" s="309"/>
      <c r="K489" s="1149">
        <v>1</v>
      </c>
      <c r="L489" s="530">
        <f>ROUND(AD489,2)</f>
        <v>7.95</v>
      </c>
      <c r="M489" s="530">
        <f t="shared" si="527"/>
        <v>7.95</v>
      </c>
      <c r="N489" s="309"/>
      <c r="O489" s="776">
        <v>159</v>
      </c>
      <c r="P489" s="777">
        <v>0.03</v>
      </c>
      <c r="Q489" s="777"/>
      <c r="R489" s="751">
        <f>ROUND(SUM(AE483:AE488)*P489,2)</f>
        <v>60.59</v>
      </c>
      <c r="S489" s="752"/>
      <c r="T489" s="792">
        <f>R489*0.1</f>
        <v>6.0590000000000011</v>
      </c>
      <c r="U489" s="803">
        <v>0</v>
      </c>
      <c r="V489" s="803">
        <v>0</v>
      </c>
      <c r="W489" s="803">
        <v>0</v>
      </c>
      <c r="X489" s="858">
        <f>SUMIF('Summary-E'!O$4:O$50,D489,'Summary-E'!Q$4:Q$50)</f>
        <v>0.97</v>
      </c>
      <c r="Y489" s="310">
        <f>ROUND((R489+S489/'Summary-E'!$M$63)*X489,2)</f>
        <v>58.77</v>
      </c>
      <c r="Z489" s="858">
        <f t="shared" si="490"/>
        <v>1.05</v>
      </c>
      <c r="AA489" s="813">
        <f>ROUND(Y489*Z489,2)</f>
        <v>61.71</v>
      </c>
      <c r="AB489" s="447">
        <f t="shared" si="519"/>
        <v>0.05</v>
      </c>
      <c r="AC489" s="310">
        <f t="shared" si="502"/>
        <v>6.36</v>
      </c>
      <c r="AD489" s="717">
        <f>ROUND(AC489*'[1]Summary E&amp;M'!$R$94,2)</f>
        <v>7.95</v>
      </c>
      <c r="AE489" s="825">
        <f t="shared" si="520"/>
        <v>58.77</v>
      </c>
      <c r="AF489" s="825">
        <f t="shared" si="521"/>
        <v>6.36</v>
      </c>
      <c r="AG489" s="743"/>
      <c r="AH489" s="728"/>
      <c r="AI489" s="519">
        <f t="shared" si="522"/>
        <v>0</v>
      </c>
      <c r="AJ489" s="519">
        <f t="shared" si="523"/>
        <v>0</v>
      </c>
      <c r="AK489" s="519">
        <f t="shared" si="524"/>
        <v>0</v>
      </c>
      <c r="AL489" s="520">
        <f>ROUND(Y489*AI489+((Y489*(1+AI489))*AJ489)+((Y489*AI489+((Y489*(1+AI489))*AJ489))*AK489),2)</f>
        <v>0</v>
      </c>
      <c r="AM489" s="520">
        <f>AL489*$F489</f>
        <v>0</v>
      </c>
      <c r="AN489" s="520">
        <f>ROUND(AL489*Z489,2)</f>
        <v>0</v>
      </c>
      <c r="AO489" s="520">
        <f>AN489*$F489</f>
        <v>0</v>
      </c>
      <c r="AP489" s="552"/>
      <c r="AQ489" s="552"/>
      <c r="AR489" s="552"/>
      <c r="AS489" s="552"/>
      <c r="AT489" s="552"/>
    </row>
    <row r="490" spans="1:68" s="555" customFormat="1" ht="22.5" customHeight="1">
      <c r="A490" s="570"/>
      <c r="B490" s="568" t="s">
        <v>327</v>
      </c>
      <c r="C490" s="569"/>
      <c r="D490" s="570" t="s">
        <v>134</v>
      </c>
      <c r="E490" s="571" t="s">
        <v>319</v>
      </c>
      <c r="F490" s="1322">
        <f>K490</f>
        <v>1</v>
      </c>
      <c r="G490" s="527">
        <f>ROUND(AA490,2)</f>
        <v>91.67</v>
      </c>
      <c r="H490" s="527">
        <f>ROUND(F490*G490,2)</f>
        <v>91.67</v>
      </c>
      <c r="I490" s="901"/>
      <c r="J490" s="309"/>
      <c r="K490" s="1149">
        <v>1</v>
      </c>
      <c r="L490" s="530">
        <f>ROUND(AD490,2)</f>
        <v>26.25</v>
      </c>
      <c r="M490" s="530">
        <f t="shared" si="527"/>
        <v>26.25</v>
      </c>
      <c r="N490" s="309"/>
      <c r="O490" s="776" t="s">
        <v>134</v>
      </c>
      <c r="P490" s="777"/>
      <c r="Q490" s="777"/>
      <c r="R490" s="751">
        <v>90</v>
      </c>
      <c r="S490" s="752"/>
      <c r="T490" s="792">
        <v>20</v>
      </c>
      <c r="U490" s="803">
        <v>0</v>
      </c>
      <c r="V490" s="803">
        <v>0</v>
      </c>
      <c r="W490" s="803">
        <v>0</v>
      </c>
      <c r="X490" s="858">
        <f>SUMIF('Summary-E'!O$4:O$50,D490,'Summary-E'!Q$4:Q$50)</f>
        <v>0.97</v>
      </c>
      <c r="Y490" s="310">
        <f>ROUND((R490+S490/'Summary-E'!$M$63)*X490,2)</f>
        <v>87.3</v>
      </c>
      <c r="Z490" s="858">
        <f t="shared" si="490"/>
        <v>1.05</v>
      </c>
      <c r="AA490" s="813">
        <f>ROUND(Y490*Z490,2)</f>
        <v>91.67</v>
      </c>
      <c r="AB490" s="447">
        <f t="shared" si="519"/>
        <v>0.05</v>
      </c>
      <c r="AC490" s="310">
        <f t="shared" si="502"/>
        <v>21</v>
      </c>
      <c r="AD490" s="717">
        <f>ROUND(AC490*'[1]Summary E&amp;M'!$R$94,2)</f>
        <v>26.25</v>
      </c>
      <c r="AE490" s="825">
        <f t="shared" si="520"/>
        <v>87.3</v>
      </c>
      <c r="AF490" s="825">
        <f t="shared" si="521"/>
        <v>21</v>
      </c>
      <c r="AG490" s="743"/>
      <c r="AH490" s="728"/>
      <c r="AI490" s="519">
        <f t="shared" si="522"/>
        <v>0</v>
      </c>
      <c r="AJ490" s="519">
        <f t="shared" si="523"/>
        <v>0</v>
      </c>
      <c r="AK490" s="519">
        <f t="shared" si="524"/>
        <v>0</v>
      </c>
      <c r="AL490" s="520">
        <f>ROUND(Y490*AI490+((Y490*(1+AI490))*AJ490)+((Y490*AI490+((Y490*(1+AI490))*AJ490))*AK490),2)</f>
        <v>0</v>
      </c>
      <c r="AM490" s="520">
        <f>AL490*$F490</f>
        <v>0</v>
      </c>
      <c r="AN490" s="520">
        <f>ROUND(AL490*Z490,2)</f>
        <v>0</v>
      </c>
      <c r="AO490" s="520">
        <f>AN490*$F490</f>
        <v>0</v>
      </c>
      <c r="AP490" s="552"/>
      <c r="AQ490" s="552"/>
      <c r="AR490" s="552"/>
      <c r="AS490" s="552"/>
      <c r="AT490" s="552"/>
    </row>
    <row r="491" spans="1:68" s="555" customFormat="1" ht="22.5" customHeight="1">
      <c r="A491" s="451"/>
      <c r="B491" s="531"/>
      <c r="C491" s="566"/>
      <c r="D491" s="525"/>
      <c r="E491" s="524"/>
      <c r="F491" s="1314"/>
      <c r="G491" s="527"/>
      <c r="H491" s="527"/>
      <c r="I491" s="901"/>
      <c r="J491" s="582"/>
      <c r="K491" s="1149"/>
      <c r="L491" s="530">
        <f>ROUND(AD491,2)</f>
        <v>0</v>
      </c>
      <c r="M491" s="530">
        <f t="shared" si="527"/>
        <v>0</v>
      </c>
      <c r="N491" s="1053"/>
      <c r="O491" s="786"/>
      <c r="P491" s="777"/>
      <c r="Q491" s="777"/>
      <c r="R491" s="751"/>
      <c r="S491" s="752"/>
      <c r="T491" s="792"/>
      <c r="U491" s="803"/>
      <c r="V491" s="803"/>
      <c r="W491" s="803"/>
      <c r="X491" s="858">
        <f>SUMIF('Summary-E'!O$4:O$50,D491,'Summary-E'!Q$4:Q$50)</f>
        <v>0</v>
      </c>
      <c r="Y491" s="310">
        <f>ROUND((R491+S491/'Summary-E'!$M$63)*X491,2)</f>
        <v>0</v>
      </c>
      <c r="Z491" s="858">
        <f t="shared" si="490"/>
        <v>1.05</v>
      </c>
      <c r="AA491" s="813"/>
      <c r="AB491" s="447"/>
      <c r="AC491" s="310">
        <f t="shared" si="502"/>
        <v>0</v>
      </c>
      <c r="AD491" s="717">
        <f>ROUND(AC491*'[1]Summary E&amp;M'!$R$94,2)</f>
        <v>0</v>
      </c>
      <c r="AE491" s="825">
        <f t="shared" si="520"/>
        <v>0</v>
      </c>
      <c r="AF491" s="825">
        <f t="shared" si="521"/>
        <v>0</v>
      </c>
      <c r="AG491" s="743"/>
      <c r="AH491" s="728"/>
      <c r="AI491" s="519"/>
      <c r="AJ491" s="519"/>
      <c r="AK491" s="519"/>
      <c r="AL491" s="520"/>
      <c r="AM491" s="520"/>
      <c r="AN491" s="520"/>
      <c r="AO491" s="520"/>
      <c r="AP491" s="552"/>
      <c r="AQ491" s="552"/>
      <c r="AR491" s="552"/>
      <c r="AS491" s="552"/>
      <c r="AT491" s="552"/>
    </row>
    <row r="492" spans="1:68" s="711" customFormat="1" ht="22.5" customHeight="1">
      <c r="A492" s="570"/>
      <c r="B492" s="568" t="s">
        <v>324</v>
      </c>
      <c r="C492" s="569"/>
      <c r="D492" s="570">
        <v>210</v>
      </c>
      <c r="E492" s="571" t="s">
        <v>319</v>
      </c>
      <c r="F492" s="1322">
        <f>K492</f>
        <v>1</v>
      </c>
      <c r="G492" s="527">
        <f>M494</f>
        <v>1555.2900000000002</v>
      </c>
      <c r="H492" s="527">
        <f>F492*G492</f>
        <v>1555.2900000000002</v>
      </c>
      <c r="I492" s="901"/>
      <c r="J492" s="582"/>
      <c r="K492" s="1149">
        <v>1</v>
      </c>
      <c r="L492" s="530"/>
      <c r="M492" s="530"/>
      <c r="N492" s="1053"/>
      <c r="O492" s="786">
        <v>210</v>
      </c>
      <c r="P492" s="777"/>
      <c r="Q492" s="777"/>
      <c r="R492" s="751"/>
      <c r="S492" s="752"/>
      <c r="T492" s="796"/>
      <c r="U492" s="803">
        <v>0</v>
      </c>
      <c r="V492" s="803">
        <v>0</v>
      </c>
      <c r="W492" s="803">
        <v>0</v>
      </c>
      <c r="X492" s="858">
        <f>SUMIF('Summary-E'!O$4:O$50,D492,'Summary-E'!Q$4:Q$50)</f>
        <v>0.05</v>
      </c>
      <c r="Y492" s="310">
        <f>ROUND((R492+S492/'Summary-E'!$M$63)*X492,2)</f>
        <v>0</v>
      </c>
      <c r="Z492" s="858">
        <f t="shared" si="490"/>
        <v>1.05</v>
      </c>
      <c r="AA492" s="813">
        <f>ROUND(Y492*Z492,2)</f>
        <v>0</v>
      </c>
      <c r="AB492" s="447">
        <f>$AB$3</f>
        <v>0.05</v>
      </c>
      <c r="AC492" s="310">
        <f t="shared" si="502"/>
        <v>0</v>
      </c>
      <c r="AD492" s="717">
        <f>ROUND(AC492*'[1]Summary E&amp;M'!$R$94,2)</f>
        <v>0</v>
      </c>
      <c r="AE492" s="825">
        <f t="shared" si="520"/>
        <v>0</v>
      </c>
      <c r="AF492" s="825">
        <f t="shared" si="521"/>
        <v>0</v>
      </c>
      <c r="AG492" s="743"/>
      <c r="AH492" s="728"/>
      <c r="AI492" s="519">
        <f>$U492</f>
        <v>0</v>
      </c>
      <c r="AJ492" s="519">
        <f>$V492</f>
        <v>0</v>
      </c>
      <c r="AK492" s="519">
        <f>$W492</f>
        <v>0</v>
      </c>
      <c r="AL492" s="520">
        <f>ROUND(Y492*AI492+((Y492*(1+AI492))*AJ492)+((Y492*AI492+((Y492*(1+AI492))*AJ492))*AK492),2)</f>
        <v>0</v>
      </c>
      <c r="AM492" s="520">
        <f>AL492*$F492</f>
        <v>0</v>
      </c>
      <c r="AN492" s="520">
        <f>ROUND(AL492*Z492,2)</f>
        <v>0</v>
      </c>
      <c r="AO492" s="520">
        <f>AN492*$F492</f>
        <v>0</v>
      </c>
      <c r="AP492" s="552"/>
      <c r="AQ492" s="552"/>
      <c r="AR492" s="552"/>
      <c r="AS492" s="552"/>
      <c r="AT492" s="552"/>
      <c r="AU492" s="555"/>
      <c r="AV492" s="555"/>
      <c r="AW492" s="555"/>
      <c r="AX492" s="555"/>
      <c r="AY492" s="555"/>
      <c r="AZ492" s="555"/>
      <c r="BA492" s="555"/>
      <c r="BB492" s="555"/>
      <c r="BC492" s="555"/>
      <c r="BD492" s="555"/>
      <c r="BE492" s="555"/>
      <c r="BF492" s="555"/>
      <c r="BG492" s="555"/>
      <c r="BH492" s="555"/>
      <c r="BI492" s="555"/>
      <c r="BJ492" s="555"/>
      <c r="BK492" s="555"/>
      <c r="BL492" s="555"/>
      <c r="BM492" s="555"/>
      <c r="BN492" s="555"/>
      <c r="BO492" s="555"/>
      <c r="BP492" s="555"/>
    </row>
    <row r="493" spans="1:68" s="555" customFormat="1" ht="22.5" customHeight="1">
      <c r="A493" s="616"/>
      <c r="B493" s="573"/>
      <c r="C493" s="574"/>
      <c r="D493" s="575"/>
      <c r="E493" s="576"/>
      <c r="F493" s="1326"/>
      <c r="G493" s="607"/>
      <c r="H493" s="608"/>
      <c r="I493" s="578"/>
      <c r="J493" s="609"/>
      <c r="K493" s="1183"/>
      <c r="L493" s="610"/>
      <c r="M493" s="610"/>
      <c r="N493" s="1053"/>
      <c r="O493" s="786"/>
      <c r="P493" s="777"/>
      <c r="Q493" s="777"/>
      <c r="R493" s="751"/>
      <c r="S493" s="752"/>
      <c r="T493" s="796"/>
      <c r="U493" s="803"/>
      <c r="V493" s="803"/>
      <c r="W493" s="803"/>
      <c r="X493" s="858">
        <f>SUMIF('Summary-E'!O$4:O$50,D493,'Summary-E'!Q$4:Q$50)</f>
        <v>0</v>
      </c>
      <c r="Y493" s="310">
        <f>ROUND((R493+S493/'Summary-E'!$M$63)*X493,2)</f>
        <v>0</v>
      </c>
      <c r="Z493" s="858">
        <f t="shared" si="490"/>
        <v>1.05</v>
      </c>
      <c r="AA493" s="818"/>
      <c r="AB493" s="310"/>
      <c r="AC493" s="310">
        <f t="shared" si="502"/>
        <v>0</v>
      </c>
      <c r="AD493" s="717">
        <f>ROUND(AC493*'[1]Summary E&amp;M'!$R$94,2)</f>
        <v>0</v>
      </c>
      <c r="AE493" s="835"/>
      <c r="AF493" s="835"/>
      <c r="AG493" s="738"/>
      <c r="AH493" s="737"/>
      <c r="AI493" s="552"/>
      <c r="AJ493" s="552"/>
      <c r="AK493" s="552"/>
      <c r="AL493" s="552"/>
      <c r="AM493" s="552"/>
      <c r="AN493" s="552"/>
      <c r="AO493" s="552"/>
      <c r="AP493" s="552"/>
      <c r="AQ493" s="552"/>
      <c r="AR493" s="552"/>
      <c r="AS493" s="552"/>
      <c r="AT493" s="552"/>
    </row>
    <row r="494" spans="1:68" s="711" customFormat="1" ht="22.5" customHeight="1">
      <c r="A494" s="973"/>
      <c r="B494" s="974" t="s">
        <v>521</v>
      </c>
      <c r="C494" s="979"/>
      <c r="D494" s="980"/>
      <c r="E494" s="976"/>
      <c r="F494" s="1317"/>
      <c r="G494" s="982"/>
      <c r="H494" s="971">
        <f>SUBTOTAL(9,H482:H493)</f>
        <v>3877.0600000000004</v>
      </c>
      <c r="I494" s="981"/>
      <c r="J494" s="609"/>
      <c r="K494" s="1184"/>
      <c r="L494" s="600"/>
      <c r="M494" s="1051">
        <f>SUBTOTAL(9,M482:M492)</f>
        <v>1555.2900000000002</v>
      </c>
      <c r="N494" s="1054"/>
      <c r="O494" s="787"/>
      <c r="P494" s="780"/>
      <c r="Q494" s="780"/>
      <c r="R494" s="759"/>
      <c r="S494" s="760"/>
      <c r="T494" s="797"/>
      <c r="U494" s="806"/>
      <c r="V494" s="806"/>
      <c r="W494" s="803"/>
      <c r="X494" s="858">
        <f>SUMIF('Summary-E'!O$4:O$50,D494,'Summary-E'!Q$4:Q$50)</f>
        <v>0</v>
      </c>
      <c r="Y494" s="310">
        <f>ROUND((R494+S494/'Summary-E'!$M$63)*X494,2)</f>
        <v>0</v>
      </c>
      <c r="Z494" s="858">
        <f t="shared" si="490"/>
        <v>1.05</v>
      </c>
      <c r="AA494" s="818"/>
      <c r="AB494" s="310"/>
      <c r="AC494" s="310">
        <f t="shared" si="502"/>
        <v>0</v>
      </c>
      <c r="AD494" s="717">
        <f>ROUND(AC494*'[1]Summary E&amp;M'!$R$94,2)</f>
        <v>0</v>
      </c>
      <c r="AE494" s="823">
        <f>SUBTOTAL(9,AE482:AE493)</f>
        <v>2165.6500000000005</v>
      </c>
      <c r="AF494" s="823">
        <f>SUBTOTAL(9,AF482:AF493)</f>
        <v>1196.8699999999999</v>
      </c>
      <c r="AG494" s="614"/>
      <c r="AH494" s="730"/>
      <c r="AI494" s="846"/>
      <c r="AJ494" s="846"/>
      <c r="AK494" s="713"/>
      <c r="AL494" s="713"/>
      <c r="AM494" s="727">
        <f>SUBTOTAL(9,AM482:AM493)</f>
        <v>0</v>
      </c>
      <c r="AN494" s="713"/>
      <c r="AO494" s="727">
        <f>SUBTOTAL(9,AO482:AO493)</f>
        <v>0</v>
      </c>
      <c r="AP494" s="713"/>
      <c r="AQ494" s="713"/>
      <c r="AR494" s="713"/>
      <c r="AS494" s="713"/>
      <c r="AT494" s="713"/>
    </row>
    <row r="495" spans="1:68" s="555" customFormat="1" ht="22.5" customHeight="1">
      <c r="A495" s="545"/>
      <c r="B495" s="543"/>
      <c r="C495" s="544"/>
      <c r="D495" s="580"/>
      <c r="E495" s="546"/>
      <c r="F495" s="1329"/>
      <c r="G495" s="611"/>
      <c r="H495" s="612"/>
      <c r="I495" s="613"/>
      <c r="J495" s="582"/>
      <c r="K495" s="1186"/>
      <c r="L495" s="610"/>
      <c r="M495" s="610"/>
      <c r="N495" s="1053"/>
      <c r="O495" s="786"/>
      <c r="P495" s="777"/>
      <c r="Q495" s="777"/>
      <c r="R495" s="751"/>
      <c r="S495" s="752"/>
      <c r="T495" s="796"/>
      <c r="U495" s="803"/>
      <c r="V495" s="803"/>
      <c r="W495" s="803"/>
      <c r="X495" s="858">
        <f>SUMIF('Summary-E'!O$4:O$50,D495,'Summary-E'!Q$4:Q$50)</f>
        <v>0</v>
      </c>
      <c r="Y495" s="310">
        <f>ROUND((R495+S495/'Summary-E'!$M$63)*X495,2)</f>
        <v>0</v>
      </c>
      <c r="Z495" s="858">
        <f t="shared" si="490"/>
        <v>1.05</v>
      </c>
      <c r="AA495" s="818"/>
      <c r="AB495" s="310"/>
      <c r="AC495" s="310">
        <f t="shared" si="502"/>
        <v>0</v>
      </c>
      <c r="AD495" s="717">
        <f>ROUND(AC495*'[1]Summary E&amp;M'!$R$94,2)</f>
        <v>0</v>
      </c>
      <c r="AE495" s="832"/>
      <c r="AF495" s="832"/>
      <c r="AG495" s="614"/>
      <c r="AH495" s="737"/>
      <c r="AI495" s="552"/>
      <c r="AJ495" s="552"/>
      <c r="AK495" s="552"/>
      <c r="AL495" s="552"/>
      <c r="AM495" s="615"/>
      <c r="AN495" s="552"/>
      <c r="AO495" s="615"/>
      <c r="AP495" s="552"/>
      <c r="AQ495" s="552"/>
      <c r="AR495" s="552"/>
      <c r="AS495" s="552"/>
      <c r="AT495" s="552"/>
    </row>
    <row r="496" spans="1:68" s="555" customFormat="1" ht="22.5" customHeight="1">
      <c r="A496" s="620" t="s">
        <v>770</v>
      </c>
      <c r="B496" s="522" t="s">
        <v>338</v>
      </c>
      <c r="C496" s="566"/>
      <c r="D496" s="525"/>
      <c r="E496" s="523"/>
      <c r="F496" s="1328"/>
      <c r="G496" s="605"/>
      <c r="H496" s="605"/>
      <c r="I496" s="606"/>
      <c r="J496" s="428"/>
      <c r="K496" s="1173"/>
      <c r="L496" s="960"/>
      <c r="M496" s="960"/>
      <c r="N496" s="428"/>
      <c r="O496" s="786"/>
      <c r="P496" s="777"/>
      <c r="Q496" s="777"/>
      <c r="R496" s="751"/>
      <c r="S496" s="752"/>
      <c r="T496" s="792"/>
      <c r="U496" s="803">
        <v>0</v>
      </c>
      <c r="V496" s="803">
        <v>0</v>
      </c>
      <c r="W496" s="803">
        <v>0</v>
      </c>
      <c r="X496" s="858">
        <f>SUMIF('Summary-E'!O$4:O$50,D496,'Summary-E'!Q$4:Q$50)</f>
        <v>0</v>
      </c>
      <c r="Y496" s="310">
        <f>ROUND((R496+S496/'Summary-E'!$M$63)*X496,2)</f>
        <v>0</v>
      </c>
      <c r="Z496" s="858">
        <f t="shared" si="490"/>
        <v>1.05</v>
      </c>
      <c r="AA496" s="813">
        <f>ROUND(Y496*Z496,2)</f>
        <v>0</v>
      </c>
      <c r="AB496" s="447">
        <f t="shared" ref="AB496:AB510" si="541">$AB$3</f>
        <v>0.05</v>
      </c>
      <c r="AC496" s="310">
        <f t="shared" si="502"/>
        <v>0</v>
      </c>
      <c r="AD496" s="717">
        <f>ROUND(AC496*'[1]Summary E&amp;M'!$R$94,2)</f>
        <v>0</v>
      </c>
      <c r="AE496" s="825">
        <f t="shared" ref="AE496:AE512" si="542">ROUND($K496*$Y496,2)</f>
        <v>0</v>
      </c>
      <c r="AF496" s="825">
        <f t="shared" ref="AF496:AF512" si="543">ROUND($K496*$AC496,2)</f>
        <v>0</v>
      </c>
      <c r="AG496" s="743"/>
      <c r="AH496" s="728"/>
      <c r="AI496" s="519">
        <f t="shared" ref="AI496:AI510" si="544">$U496</f>
        <v>0</v>
      </c>
      <c r="AJ496" s="519">
        <f t="shared" ref="AJ496:AJ510" si="545">$V496</f>
        <v>0</v>
      </c>
      <c r="AK496" s="519">
        <f t="shared" ref="AK496:AK510" si="546">$W496</f>
        <v>0</v>
      </c>
      <c r="AL496" s="520">
        <f t="shared" ref="AL496:AL510" si="547">ROUND(Y496*AI496+((Y496*(1+AI496))*AJ496)+((Y496*AI496+((Y496*(1+AI496))*AJ496))*AK496),2)</f>
        <v>0</v>
      </c>
      <c r="AM496" s="520">
        <f t="shared" ref="AM496:AM510" si="548">AL496*$F496</f>
        <v>0</v>
      </c>
      <c r="AN496" s="520">
        <f t="shared" ref="AN496:AN510" si="549">ROUND(AL496*Z496,2)</f>
        <v>0</v>
      </c>
      <c r="AO496" s="520">
        <f t="shared" ref="AO496:AO510" si="550">AN496*$F496</f>
        <v>0</v>
      </c>
      <c r="AP496" s="718"/>
      <c r="AQ496" s="718"/>
      <c r="AR496" s="718"/>
      <c r="AS496" s="718"/>
      <c r="AT496" s="718"/>
    </row>
    <row r="497" spans="1:68" s="555" customFormat="1" ht="22.5" customHeight="1">
      <c r="A497" s="620"/>
      <c r="B497" s="531" t="s">
        <v>420</v>
      </c>
      <c r="C497" s="566"/>
      <c r="D497" s="525" t="s">
        <v>1129</v>
      </c>
      <c r="E497" s="524" t="s">
        <v>319</v>
      </c>
      <c r="F497" s="1322">
        <f>K497</f>
        <v>17</v>
      </c>
      <c r="G497" s="527">
        <f>ROUND(AA497,2)</f>
        <v>97.68</v>
      </c>
      <c r="H497" s="527">
        <f t="shared" ref="H497:H508" si="551">F497*G497</f>
        <v>1660.5600000000002</v>
      </c>
      <c r="I497" s="567"/>
      <c r="J497" s="582"/>
      <c r="K497" s="1149">
        <v>17</v>
      </c>
      <c r="L497" s="530">
        <f>ROUND(AD497,2)</f>
        <v>7.88</v>
      </c>
      <c r="M497" s="530">
        <f t="shared" ref="M497:M511" si="552">ROUND(L497*F497,2)</f>
        <v>133.96</v>
      </c>
      <c r="N497" s="309"/>
      <c r="O497" s="786" t="s">
        <v>136</v>
      </c>
      <c r="P497" s="777"/>
      <c r="Q497" s="777"/>
      <c r="R497" s="751"/>
      <c r="S497" s="752">
        <v>1935000</v>
      </c>
      <c r="T497" s="792">
        <v>6</v>
      </c>
      <c r="U497" s="803">
        <v>0</v>
      </c>
      <c r="V497" s="803">
        <v>0</v>
      </c>
      <c r="W497" s="803">
        <v>0</v>
      </c>
      <c r="X497" s="858">
        <v>1</v>
      </c>
      <c r="Y497" s="310">
        <f>ROUND((R497+S497/'Summary-E'!$M$63)*X497,2)</f>
        <v>93.03</v>
      </c>
      <c r="Z497" s="858">
        <f t="shared" si="490"/>
        <v>1.05</v>
      </c>
      <c r="AA497" s="813">
        <f>ROUND(Y497*Z497,2)</f>
        <v>97.68</v>
      </c>
      <c r="AB497" s="447">
        <f t="shared" si="541"/>
        <v>0.05</v>
      </c>
      <c r="AC497" s="310">
        <f t="shared" si="502"/>
        <v>6.3</v>
      </c>
      <c r="AD497" s="717">
        <f>ROUND(AC497*'[1]Summary E&amp;M'!$R$94,2)</f>
        <v>7.88</v>
      </c>
      <c r="AE497" s="825">
        <f t="shared" si="542"/>
        <v>1581.51</v>
      </c>
      <c r="AF497" s="825">
        <f t="shared" si="543"/>
        <v>107.1</v>
      </c>
      <c r="AG497" s="743"/>
      <c r="AH497" s="728"/>
      <c r="AI497" s="519">
        <f t="shared" si="544"/>
        <v>0</v>
      </c>
      <c r="AJ497" s="519">
        <f t="shared" si="545"/>
        <v>0</v>
      </c>
      <c r="AK497" s="519">
        <f t="shared" si="546"/>
        <v>0</v>
      </c>
      <c r="AL497" s="520">
        <f t="shared" si="547"/>
        <v>0</v>
      </c>
      <c r="AM497" s="520">
        <f t="shared" si="548"/>
        <v>0</v>
      </c>
      <c r="AN497" s="520">
        <f t="shared" si="549"/>
        <v>0</v>
      </c>
      <c r="AO497" s="520">
        <f t="shared" si="550"/>
        <v>0</v>
      </c>
      <c r="AP497" s="552"/>
      <c r="AQ497" s="552"/>
      <c r="AR497" s="552"/>
      <c r="AS497" s="552"/>
      <c r="AT497" s="552"/>
    </row>
    <row r="498" spans="1:68" s="555" customFormat="1" ht="22.5" customHeight="1">
      <c r="A498" s="620"/>
      <c r="B498" s="531" t="s">
        <v>986</v>
      </c>
      <c r="C498" s="566"/>
      <c r="D498" s="525" t="s">
        <v>1129</v>
      </c>
      <c r="E498" s="524" t="s">
        <v>319</v>
      </c>
      <c r="F498" s="1322">
        <f>K498</f>
        <v>251</v>
      </c>
      <c r="G498" s="527">
        <f>ROUND(AA498,2)</f>
        <v>26.05</v>
      </c>
      <c r="H498" s="527">
        <f t="shared" si="551"/>
        <v>6538.55</v>
      </c>
      <c r="I498" s="567"/>
      <c r="J498" s="582"/>
      <c r="K498" s="1149">
        <v>251</v>
      </c>
      <c r="L498" s="530">
        <f>ROUND(AD498,2)</f>
        <v>5.25</v>
      </c>
      <c r="M498" s="530">
        <f t="shared" si="552"/>
        <v>1317.75</v>
      </c>
      <c r="N498" s="309"/>
      <c r="O498" s="786" t="s">
        <v>136</v>
      </c>
      <c r="P498" s="777"/>
      <c r="Q498" s="777"/>
      <c r="R498" s="751"/>
      <c r="S498" s="752">
        <v>516000</v>
      </c>
      <c r="T498" s="792">
        <v>4</v>
      </c>
      <c r="U498" s="803">
        <v>0</v>
      </c>
      <c r="V498" s="803">
        <v>0</v>
      </c>
      <c r="W498" s="803">
        <v>0</v>
      </c>
      <c r="X498" s="858">
        <v>1</v>
      </c>
      <c r="Y498" s="310">
        <f>ROUND((R498+S498/'Summary-E'!$M$63)*X498,2)</f>
        <v>24.81</v>
      </c>
      <c r="Z498" s="858">
        <f t="shared" si="490"/>
        <v>1.05</v>
      </c>
      <c r="AA498" s="813">
        <f>ROUND(Y498*Z498,2)</f>
        <v>26.05</v>
      </c>
      <c r="AB498" s="447">
        <f t="shared" si="541"/>
        <v>0.05</v>
      </c>
      <c r="AC498" s="310">
        <f>ROUND((T498*(1+AB498)),2)</f>
        <v>4.2</v>
      </c>
      <c r="AD498" s="717">
        <f>ROUND(AC498*'[1]Summary E&amp;M'!$R$94,2)</f>
        <v>5.25</v>
      </c>
      <c r="AE498" s="825">
        <f t="shared" si="542"/>
        <v>6227.31</v>
      </c>
      <c r="AF498" s="825">
        <f t="shared" si="543"/>
        <v>1054.2</v>
      </c>
      <c r="AG498" s="743"/>
      <c r="AH498" s="728"/>
      <c r="AI498" s="519">
        <f t="shared" si="544"/>
        <v>0</v>
      </c>
      <c r="AJ498" s="519">
        <f t="shared" si="545"/>
        <v>0</v>
      </c>
      <c r="AK498" s="519">
        <f t="shared" si="546"/>
        <v>0</v>
      </c>
      <c r="AL498" s="520">
        <f>ROUND(Y498*AI498+((Y498*(1+AI498))*AJ498)+((Y498*AI498+((Y498*(1+AI498))*AJ498))*AK498),2)</f>
        <v>0</v>
      </c>
      <c r="AM498" s="520">
        <f>AL498*$F498</f>
        <v>0</v>
      </c>
      <c r="AN498" s="520">
        <f>ROUND(AL498*Z498,2)</f>
        <v>0</v>
      </c>
      <c r="AO498" s="520">
        <f>AN498*$F498</f>
        <v>0</v>
      </c>
      <c r="AP498" s="552"/>
      <c r="AQ498" s="552"/>
      <c r="AR498" s="552"/>
      <c r="AS498" s="552"/>
      <c r="AT498" s="552"/>
    </row>
    <row r="499" spans="1:68" s="555" customFormat="1" ht="22.5" customHeight="1">
      <c r="A499" s="620"/>
      <c r="B499" s="531" t="s">
        <v>987</v>
      </c>
      <c r="C499" s="566"/>
      <c r="D499" s="525" t="s">
        <v>1129</v>
      </c>
      <c r="E499" s="524" t="s">
        <v>319</v>
      </c>
      <c r="F499" s="1322">
        <f>K499</f>
        <v>4</v>
      </c>
      <c r="G499" s="527">
        <f t="shared" ref="G499:G508" si="553">ROUND(AA499,2)</f>
        <v>14.11</v>
      </c>
      <c r="H499" s="527">
        <f t="shared" si="551"/>
        <v>56.44</v>
      </c>
      <c r="I499" s="567"/>
      <c r="J499" s="582"/>
      <c r="K499" s="1149">
        <v>4</v>
      </c>
      <c r="L499" s="530">
        <f t="shared" ref="L499:L508" si="554">ROUND(AD499,2)</f>
        <v>5.25</v>
      </c>
      <c r="M499" s="530">
        <f t="shared" si="552"/>
        <v>21</v>
      </c>
      <c r="N499" s="309"/>
      <c r="O499" s="786" t="s">
        <v>136</v>
      </c>
      <c r="P499" s="777"/>
      <c r="Q499" s="777"/>
      <c r="R499" s="751"/>
      <c r="S499" s="752">
        <v>279500</v>
      </c>
      <c r="T499" s="792">
        <v>4</v>
      </c>
      <c r="U499" s="803">
        <v>0</v>
      </c>
      <c r="V499" s="803">
        <v>0</v>
      </c>
      <c r="W499" s="803">
        <v>0</v>
      </c>
      <c r="X499" s="858">
        <v>1</v>
      </c>
      <c r="Y499" s="310">
        <f>ROUND((R499+S499/'Summary-E'!$M$63)*X499,2)</f>
        <v>13.44</v>
      </c>
      <c r="Z499" s="858">
        <f t="shared" si="490"/>
        <v>1.05</v>
      </c>
      <c r="AA499" s="813">
        <f t="shared" ref="AA499:AA508" si="555">ROUND(Y499*Z499,2)</f>
        <v>14.11</v>
      </c>
      <c r="AB499" s="447">
        <f t="shared" si="541"/>
        <v>0.05</v>
      </c>
      <c r="AC499" s="310">
        <f t="shared" si="502"/>
        <v>4.2</v>
      </c>
      <c r="AD499" s="717">
        <f>ROUND(AC499*'[1]Summary E&amp;M'!$R$94,2)</f>
        <v>5.25</v>
      </c>
      <c r="AE499" s="825">
        <f t="shared" si="542"/>
        <v>53.76</v>
      </c>
      <c r="AF499" s="825">
        <f t="shared" si="543"/>
        <v>16.8</v>
      </c>
      <c r="AG499" s="743"/>
      <c r="AH499" s="728"/>
      <c r="AI499" s="519">
        <f t="shared" si="544"/>
        <v>0</v>
      </c>
      <c r="AJ499" s="519">
        <f t="shared" si="545"/>
        <v>0</v>
      </c>
      <c r="AK499" s="519">
        <f t="shared" si="546"/>
        <v>0</v>
      </c>
      <c r="AL499" s="520">
        <f t="shared" si="547"/>
        <v>0</v>
      </c>
      <c r="AM499" s="520">
        <f t="shared" si="548"/>
        <v>0</v>
      </c>
      <c r="AN499" s="520">
        <f t="shared" si="549"/>
        <v>0</v>
      </c>
      <c r="AO499" s="520">
        <f t="shared" si="550"/>
        <v>0</v>
      </c>
      <c r="AP499" s="552"/>
      <c r="AQ499" s="552"/>
      <c r="AR499" s="552"/>
      <c r="AS499" s="552"/>
      <c r="AT499" s="552"/>
    </row>
    <row r="500" spans="1:68" s="555" customFormat="1" ht="22.5" customHeight="1">
      <c r="A500" s="451"/>
      <c r="B500" s="531" t="s">
        <v>988</v>
      </c>
      <c r="C500" s="566" t="s">
        <v>182</v>
      </c>
      <c r="D500" s="525">
        <v>121</v>
      </c>
      <c r="E500" s="524" t="s">
        <v>321</v>
      </c>
      <c r="F500" s="1314">
        <f>ROUND(K500*'[1]Summary E&amp;M'!$K$98,0)</f>
        <v>26</v>
      </c>
      <c r="G500" s="527">
        <f>ROUND(AA500,2)</f>
        <v>14.13</v>
      </c>
      <c r="H500" s="527">
        <f t="shared" si="551"/>
        <v>367.38</v>
      </c>
      <c r="I500" s="567"/>
      <c r="J500" s="582"/>
      <c r="K500" s="1149">
        <v>25</v>
      </c>
      <c r="L500" s="530">
        <f>ROUND(AD500,2)</f>
        <v>3.29</v>
      </c>
      <c r="M500" s="530">
        <f t="shared" si="552"/>
        <v>85.54</v>
      </c>
      <c r="N500" s="1053"/>
      <c r="O500" s="776" t="s">
        <v>131</v>
      </c>
      <c r="P500" s="777"/>
      <c r="Q500" s="777"/>
      <c r="R500" s="751"/>
      <c r="S500" s="752">
        <v>280000</v>
      </c>
      <c r="T500" s="792">
        <v>2.5</v>
      </c>
      <c r="U500" s="803">
        <v>0</v>
      </c>
      <c r="V500" s="803">
        <v>0</v>
      </c>
      <c r="W500" s="803">
        <v>0</v>
      </c>
      <c r="X500" s="858">
        <v>1</v>
      </c>
      <c r="Y500" s="310">
        <f>ROUND((R500+S500/'Summary-E'!$M$63)*X500,2)</f>
        <v>13.46</v>
      </c>
      <c r="Z500" s="858">
        <f t="shared" si="490"/>
        <v>1.05</v>
      </c>
      <c r="AA500" s="813">
        <f>ROUND(Y500*Z500,2)</f>
        <v>14.13</v>
      </c>
      <c r="AB500" s="447">
        <f t="shared" si="541"/>
        <v>0.05</v>
      </c>
      <c r="AC500" s="310">
        <f>ROUND((T500*(1+AB500)),2)</f>
        <v>2.63</v>
      </c>
      <c r="AD500" s="717">
        <f>ROUND(AC500*'[1]Summary E&amp;M'!$R$94,2)</f>
        <v>3.29</v>
      </c>
      <c r="AE500" s="825">
        <f t="shared" si="542"/>
        <v>336.5</v>
      </c>
      <c r="AF500" s="825">
        <f t="shared" si="543"/>
        <v>65.75</v>
      </c>
      <c r="AG500" s="743"/>
      <c r="AH500" s="728"/>
      <c r="AI500" s="519">
        <f t="shared" si="544"/>
        <v>0</v>
      </c>
      <c r="AJ500" s="519">
        <f t="shared" si="545"/>
        <v>0</v>
      </c>
      <c r="AK500" s="519">
        <f t="shared" si="546"/>
        <v>0</v>
      </c>
      <c r="AL500" s="520">
        <f>ROUND(Y500*AI500+((Y500*(1+AI500))*AJ500)+((Y500*AI500+((Y500*(1+AI500))*AJ500))*AK500),2)</f>
        <v>0</v>
      </c>
      <c r="AM500" s="520">
        <f>AL500*$F500</f>
        <v>0</v>
      </c>
      <c r="AN500" s="520">
        <f>ROUND(AL500*Z500,2)</f>
        <v>0</v>
      </c>
      <c r="AO500" s="520">
        <f>AN500*$F500</f>
        <v>0</v>
      </c>
      <c r="AP500" s="552"/>
      <c r="AQ500" s="552"/>
      <c r="AR500" s="552"/>
      <c r="AS500" s="552"/>
      <c r="AT500" s="552"/>
    </row>
    <row r="501" spans="1:68" s="555" customFormat="1" ht="22.5" customHeight="1">
      <c r="A501" s="451"/>
      <c r="B501" s="531" t="s">
        <v>746</v>
      </c>
      <c r="C501" s="566" t="s">
        <v>182</v>
      </c>
      <c r="D501" s="525">
        <v>121</v>
      </c>
      <c r="E501" s="524" t="s">
        <v>321</v>
      </c>
      <c r="F501" s="1314">
        <f>ROUND(K501*'Summary-E'!$K$61,0)</f>
        <v>100</v>
      </c>
      <c r="G501" s="527">
        <f t="shared" si="553"/>
        <v>4.29</v>
      </c>
      <c r="H501" s="527">
        <f t="shared" si="551"/>
        <v>429</v>
      </c>
      <c r="I501" s="567"/>
      <c r="J501" s="582"/>
      <c r="K501" s="1149">
        <v>95</v>
      </c>
      <c r="L501" s="530">
        <f t="shared" si="554"/>
        <v>1.05</v>
      </c>
      <c r="M501" s="530">
        <f t="shared" si="552"/>
        <v>105</v>
      </c>
      <c r="N501" s="1053"/>
      <c r="O501" s="776" t="s">
        <v>131</v>
      </c>
      <c r="P501" s="777"/>
      <c r="Q501" s="777"/>
      <c r="R501" s="751"/>
      <c r="S501" s="752">
        <v>85000</v>
      </c>
      <c r="T501" s="792">
        <v>0.8</v>
      </c>
      <c r="U501" s="803">
        <v>0</v>
      </c>
      <c r="V501" s="803">
        <v>0</v>
      </c>
      <c r="W501" s="803">
        <v>0</v>
      </c>
      <c r="X501" s="858">
        <v>1</v>
      </c>
      <c r="Y501" s="310">
        <f>ROUND((R501+S501/'Summary-E'!$M$63)*X501,2)</f>
        <v>4.09</v>
      </c>
      <c r="Z501" s="858">
        <f t="shared" si="490"/>
        <v>1.05</v>
      </c>
      <c r="AA501" s="813">
        <f t="shared" si="555"/>
        <v>4.29</v>
      </c>
      <c r="AB501" s="447">
        <f t="shared" si="541"/>
        <v>0.05</v>
      </c>
      <c r="AC501" s="310">
        <f t="shared" si="502"/>
        <v>0.84</v>
      </c>
      <c r="AD501" s="717">
        <f>ROUND(AC501*'[1]Summary E&amp;M'!$R$94,2)</f>
        <v>1.05</v>
      </c>
      <c r="AE501" s="825">
        <f t="shared" si="542"/>
        <v>388.55</v>
      </c>
      <c r="AF501" s="825">
        <f t="shared" si="543"/>
        <v>79.8</v>
      </c>
      <c r="AG501" s="743"/>
      <c r="AH501" s="728"/>
      <c r="AI501" s="519">
        <f t="shared" si="544"/>
        <v>0</v>
      </c>
      <c r="AJ501" s="519">
        <f t="shared" si="545"/>
        <v>0</v>
      </c>
      <c r="AK501" s="519">
        <f t="shared" si="546"/>
        <v>0</v>
      </c>
      <c r="AL501" s="520">
        <f t="shared" si="547"/>
        <v>0</v>
      </c>
      <c r="AM501" s="520">
        <f t="shared" si="548"/>
        <v>0</v>
      </c>
      <c r="AN501" s="520">
        <f t="shared" si="549"/>
        <v>0</v>
      </c>
      <c r="AO501" s="520">
        <f t="shared" si="550"/>
        <v>0</v>
      </c>
      <c r="AP501" s="552"/>
      <c r="AQ501" s="552"/>
      <c r="AR501" s="552"/>
      <c r="AS501" s="552"/>
      <c r="AT501" s="552"/>
    </row>
    <row r="502" spans="1:68" s="555" customFormat="1" ht="22.5" customHeight="1">
      <c r="A502" s="620"/>
      <c r="B502" s="1361" t="s">
        <v>1334</v>
      </c>
      <c r="C502" s="1362" t="s">
        <v>1333</v>
      </c>
      <c r="D502" s="193" t="s">
        <v>1111</v>
      </c>
      <c r="E502" s="525" t="s">
        <v>321</v>
      </c>
      <c r="F502" s="1314">
        <f>ROUND(K502*'Summary-E'!$K$61,0)</f>
        <v>701</v>
      </c>
      <c r="G502" s="1359">
        <f t="shared" si="553"/>
        <v>1.41</v>
      </c>
      <c r="H502" s="1359">
        <f>F502*G502</f>
        <v>988.41</v>
      </c>
      <c r="I502" s="567"/>
      <c r="J502" s="582"/>
      <c r="K502" s="1175">
        <v>668</v>
      </c>
      <c r="L502" s="530">
        <f t="shared" si="554"/>
        <v>0.66</v>
      </c>
      <c r="M502" s="530">
        <f t="shared" si="552"/>
        <v>462.66</v>
      </c>
      <c r="N502" s="1053"/>
      <c r="O502" s="786" t="s">
        <v>131</v>
      </c>
      <c r="P502" s="777"/>
      <c r="Q502" s="785"/>
      <c r="R502" s="751"/>
      <c r="S502" s="752">
        <f>83400/3</f>
        <v>27800</v>
      </c>
      <c r="T502" s="783">
        <v>0.5</v>
      </c>
      <c r="U502" s="803">
        <v>0</v>
      </c>
      <c r="V502" s="803">
        <v>0</v>
      </c>
      <c r="W502" s="803">
        <v>0</v>
      </c>
      <c r="X502" s="858">
        <v>1</v>
      </c>
      <c r="Y502" s="310">
        <f>ROUND((R502+S502/'Summary-E'!$M$63)*X502,2)</f>
        <v>1.34</v>
      </c>
      <c r="Z502" s="858">
        <f t="shared" si="490"/>
        <v>1.05</v>
      </c>
      <c r="AA502" s="813">
        <f t="shared" si="555"/>
        <v>1.41</v>
      </c>
      <c r="AB502" s="447">
        <f t="shared" si="541"/>
        <v>0.05</v>
      </c>
      <c r="AC502" s="310">
        <f t="shared" si="502"/>
        <v>0.53</v>
      </c>
      <c r="AD502" s="717">
        <f>ROUND(AC502*'[1]Summary E&amp;M'!$R$94,2)</f>
        <v>0.66</v>
      </c>
      <c r="AE502" s="825">
        <f t="shared" si="542"/>
        <v>895.12</v>
      </c>
      <c r="AF502" s="825">
        <f t="shared" si="543"/>
        <v>354.04</v>
      </c>
      <c r="AG502" s="743"/>
      <c r="AH502" s="728"/>
      <c r="AI502" s="519">
        <f t="shared" si="544"/>
        <v>0</v>
      </c>
      <c r="AJ502" s="519">
        <f t="shared" si="545"/>
        <v>0</v>
      </c>
      <c r="AK502" s="519">
        <f t="shared" si="546"/>
        <v>0</v>
      </c>
      <c r="AL502" s="520">
        <f t="shared" si="547"/>
        <v>0</v>
      </c>
      <c r="AM502" s="520">
        <f t="shared" si="548"/>
        <v>0</v>
      </c>
      <c r="AN502" s="520">
        <f t="shared" si="549"/>
        <v>0</v>
      </c>
      <c r="AO502" s="520">
        <f t="shared" si="550"/>
        <v>0</v>
      </c>
      <c r="AP502" s="552"/>
      <c r="AQ502" s="552"/>
      <c r="AR502" s="552"/>
      <c r="AS502" s="552"/>
      <c r="AT502" s="552"/>
    </row>
    <row r="503" spans="1:68" s="555" customFormat="1" ht="22.5" customHeight="1">
      <c r="A503" s="620"/>
      <c r="B503" s="1361" t="s">
        <v>781</v>
      </c>
      <c r="C503" s="1362" t="s">
        <v>1332</v>
      </c>
      <c r="D503" s="193" t="s">
        <v>1111</v>
      </c>
      <c r="E503" s="525" t="s">
        <v>321</v>
      </c>
      <c r="F503" s="1314">
        <f>ROUND(K503*'Summary-E'!$K$61,0)</f>
        <v>2699</v>
      </c>
      <c r="G503" s="1359">
        <f t="shared" si="553"/>
        <v>1</v>
      </c>
      <c r="H503" s="1359">
        <f t="shared" si="551"/>
        <v>2699</v>
      </c>
      <c r="I503" s="567"/>
      <c r="J503" s="582"/>
      <c r="K503" s="1175">
        <v>2570</v>
      </c>
      <c r="L503" s="530">
        <f t="shared" si="554"/>
        <v>0.66</v>
      </c>
      <c r="M503" s="530">
        <f t="shared" si="552"/>
        <v>1781.34</v>
      </c>
      <c r="N503" s="1053"/>
      <c r="O503" s="786" t="s">
        <v>131</v>
      </c>
      <c r="P503" s="777"/>
      <c r="Q503" s="785"/>
      <c r="R503" s="751"/>
      <c r="S503" s="752">
        <f>59400/3</f>
        <v>19800</v>
      </c>
      <c r="T503" s="783">
        <v>0.5</v>
      </c>
      <c r="U503" s="803">
        <v>0</v>
      </c>
      <c r="V503" s="803">
        <v>0</v>
      </c>
      <c r="W503" s="803">
        <v>0</v>
      </c>
      <c r="X503" s="858">
        <v>1</v>
      </c>
      <c r="Y503" s="310">
        <f>ROUND((R503+S503/'Summary-E'!$M$63)*X503,2)</f>
        <v>0.95</v>
      </c>
      <c r="Z503" s="858">
        <f t="shared" si="490"/>
        <v>1.05</v>
      </c>
      <c r="AA503" s="813">
        <f t="shared" si="555"/>
        <v>1</v>
      </c>
      <c r="AB503" s="447">
        <f t="shared" si="541"/>
        <v>0.05</v>
      </c>
      <c r="AC503" s="310">
        <f t="shared" si="502"/>
        <v>0.53</v>
      </c>
      <c r="AD503" s="717">
        <f>ROUND(AC503*'[1]Summary E&amp;M'!$R$94,2)</f>
        <v>0.66</v>
      </c>
      <c r="AE503" s="825">
        <f t="shared" si="542"/>
        <v>2441.5</v>
      </c>
      <c r="AF503" s="825">
        <f t="shared" si="543"/>
        <v>1362.1</v>
      </c>
      <c r="AG503" s="743"/>
      <c r="AH503" s="728"/>
      <c r="AI503" s="519">
        <f t="shared" si="544"/>
        <v>0</v>
      </c>
      <c r="AJ503" s="519">
        <f t="shared" si="545"/>
        <v>0</v>
      </c>
      <c r="AK503" s="519">
        <f t="shared" si="546"/>
        <v>0</v>
      </c>
      <c r="AL503" s="520">
        <f t="shared" si="547"/>
        <v>0</v>
      </c>
      <c r="AM503" s="520">
        <f t="shared" si="548"/>
        <v>0</v>
      </c>
      <c r="AN503" s="520">
        <f t="shared" si="549"/>
        <v>0</v>
      </c>
      <c r="AO503" s="520">
        <f t="shared" si="550"/>
        <v>0</v>
      </c>
      <c r="AP503" s="552"/>
      <c r="AQ503" s="552"/>
      <c r="AR503" s="552"/>
      <c r="AS503" s="552"/>
      <c r="AT503" s="552"/>
    </row>
    <row r="504" spans="1:68" s="555" customFormat="1" ht="22.5" customHeight="1">
      <c r="A504" s="451"/>
      <c r="B504" s="568" t="s">
        <v>333</v>
      </c>
      <c r="C504" s="566"/>
      <c r="D504" s="1202" t="s">
        <v>1112</v>
      </c>
      <c r="E504" s="524" t="s">
        <v>322</v>
      </c>
      <c r="F504" s="1322">
        <f>K504</f>
        <v>1</v>
      </c>
      <c r="G504" s="527">
        <f t="shared" si="553"/>
        <v>1019.51</v>
      </c>
      <c r="H504" s="527">
        <f t="shared" si="551"/>
        <v>1019.51</v>
      </c>
      <c r="I504" s="567"/>
      <c r="J504" s="582"/>
      <c r="K504" s="1149">
        <v>1</v>
      </c>
      <c r="L504" s="530">
        <f t="shared" si="554"/>
        <v>157.66</v>
      </c>
      <c r="M504" s="530">
        <f t="shared" si="552"/>
        <v>157.66</v>
      </c>
      <c r="N504" s="1053"/>
      <c r="O504" s="786" t="s">
        <v>683</v>
      </c>
      <c r="P504" s="777">
        <v>0.3</v>
      </c>
      <c r="Q504" s="777"/>
      <c r="R504" s="751">
        <f>ROUND(SUM(AE502:AE503)*P504,2)</f>
        <v>1000.99</v>
      </c>
      <c r="S504" s="752"/>
      <c r="T504" s="792">
        <f>ROUND(R504*12%,2)</f>
        <v>120.12</v>
      </c>
      <c r="U504" s="803">
        <v>0</v>
      </c>
      <c r="V504" s="803">
        <v>0</v>
      </c>
      <c r="W504" s="803">
        <v>0</v>
      </c>
      <c r="X504" s="858">
        <f>SUMIF('Summary-E'!O$4:O$50,D504,'Summary-E'!Q$4:Q$50)</f>
        <v>0.97</v>
      </c>
      <c r="Y504" s="310">
        <f>ROUND((R504+S504/'Summary-E'!$M$63)*X504,2)</f>
        <v>970.96</v>
      </c>
      <c r="Z504" s="858">
        <f t="shared" si="490"/>
        <v>1.05</v>
      </c>
      <c r="AA504" s="813">
        <f t="shared" si="555"/>
        <v>1019.51</v>
      </c>
      <c r="AB504" s="447">
        <f t="shared" si="541"/>
        <v>0.05</v>
      </c>
      <c r="AC504" s="310">
        <f t="shared" si="502"/>
        <v>126.13</v>
      </c>
      <c r="AD504" s="717">
        <f>ROUND(AC504*'[1]Summary E&amp;M'!$R$94,2)</f>
        <v>157.66</v>
      </c>
      <c r="AE504" s="825">
        <f t="shared" si="542"/>
        <v>970.96</v>
      </c>
      <c r="AF504" s="825">
        <f t="shared" si="543"/>
        <v>126.13</v>
      </c>
      <c r="AG504" s="743"/>
      <c r="AH504" s="728"/>
      <c r="AI504" s="519">
        <f t="shared" si="544"/>
        <v>0</v>
      </c>
      <c r="AJ504" s="519">
        <f t="shared" si="545"/>
        <v>0</v>
      </c>
      <c r="AK504" s="519">
        <f t="shared" si="546"/>
        <v>0</v>
      </c>
      <c r="AL504" s="520">
        <f t="shared" si="547"/>
        <v>0</v>
      </c>
      <c r="AM504" s="520">
        <f t="shared" si="548"/>
        <v>0</v>
      </c>
      <c r="AN504" s="520">
        <f t="shared" si="549"/>
        <v>0</v>
      </c>
      <c r="AO504" s="520">
        <f t="shared" si="550"/>
        <v>0</v>
      </c>
      <c r="AP504" s="552"/>
      <c r="AQ504" s="552"/>
      <c r="AR504" s="552"/>
      <c r="AS504" s="552"/>
      <c r="AT504" s="552"/>
    </row>
    <row r="505" spans="1:68" s="555" customFormat="1" ht="22.5" customHeight="1">
      <c r="A505" s="570"/>
      <c r="B505" s="568" t="s">
        <v>120</v>
      </c>
      <c r="C505" s="569"/>
      <c r="D505" s="525" t="s">
        <v>139</v>
      </c>
      <c r="E505" s="571" t="s">
        <v>322</v>
      </c>
      <c r="F505" s="1322">
        <f>K505</f>
        <v>1</v>
      </c>
      <c r="G505" s="527">
        <f t="shared" si="553"/>
        <v>509.75</v>
      </c>
      <c r="H505" s="527">
        <f t="shared" si="551"/>
        <v>509.75</v>
      </c>
      <c r="I505" s="567"/>
      <c r="J505" s="582"/>
      <c r="K505" s="1149">
        <v>1</v>
      </c>
      <c r="L505" s="530">
        <f t="shared" si="554"/>
        <v>78.83</v>
      </c>
      <c r="M505" s="530">
        <f t="shared" si="552"/>
        <v>78.83</v>
      </c>
      <c r="N505" s="1053"/>
      <c r="O505" s="786" t="s">
        <v>130</v>
      </c>
      <c r="P505" s="777">
        <v>0.15</v>
      </c>
      <c r="Q505" s="777"/>
      <c r="R505" s="751">
        <f>ROUND(SUM(AE502:AE503)*P505,2)</f>
        <v>500.49</v>
      </c>
      <c r="S505" s="752"/>
      <c r="T505" s="792">
        <f>ROUND(R505*12%,2)</f>
        <v>60.06</v>
      </c>
      <c r="U505" s="803">
        <v>0</v>
      </c>
      <c r="V505" s="803">
        <v>0</v>
      </c>
      <c r="W505" s="803">
        <v>0</v>
      </c>
      <c r="X505" s="858">
        <f>SUMIF('Summary-E'!O$4:O$50,D505,'Summary-E'!Q$4:Q$50)</f>
        <v>0.97</v>
      </c>
      <c r="Y505" s="310">
        <f>ROUND((R505+S505/'Summary-E'!$M$63)*X505,2)</f>
        <v>485.48</v>
      </c>
      <c r="Z505" s="858">
        <f t="shared" si="490"/>
        <v>1.05</v>
      </c>
      <c r="AA505" s="813">
        <f t="shared" si="555"/>
        <v>509.75</v>
      </c>
      <c r="AB505" s="447">
        <f t="shared" si="541"/>
        <v>0.05</v>
      </c>
      <c r="AC505" s="310">
        <f t="shared" si="502"/>
        <v>63.06</v>
      </c>
      <c r="AD505" s="717">
        <f>ROUND(AC505*'[1]Summary E&amp;M'!$R$94,2)</f>
        <v>78.83</v>
      </c>
      <c r="AE505" s="825">
        <f t="shared" si="542"/>
        <v>485.48</v>
      </c>
      <c r="AF505" s="825">
        <f t="shared" si="543"/>
        <v>63.06</v>
      </c>
      <c r="AG505" s="743"/>
      <c r="AH505" s="728"/>
      <c r="AI505" s="519">
        <f t="shared" si="544"/>
        <v>0</v>
      </c>
      <c r="AJ505" s="519">
        <f t="shared" si="545"/>
        <v>0</v>
      </c>
      <c r="AK505" s="519">
        <f t="shared" si="546"/>
        <v>0</v>
      </c>
      <c r="AL505" s="520">
        <f t="shared" si="547"/>
        <v>0</v>
      </c>
      <c r="AM505" s="520">
        <f t="shared" si="548"/>
        <v>0</v>
      </c>
      <c r="AN505" s="520">
        <f t="shared" si="549"/>
        <v>0</v>
      </c>
      <c r="AO505" s="520">
        <f t="shared" si="550"/>
        <v>0</v>
      </c>
      <c r="AP505" s="552"/>
      <c r="AQ505" s="552"/>
      <c r="AR505" s="552"/>
      <c r="AS505" s="552"/>
      <c r="AT505" s="552"/>
    </row>
    <row r="506" spans="1:68" s="555" customFormat="1" ht="22.5" customHeight="1">
      <c r="A506" s="451"/>
      <c r="B506" s="531" t="s">
        <v>625</v>
      </c>
      <c r="C506" s="566"/>
      <c r="D506" s="525">
        <v>131</v>
      </c>
      <c r="E506" s="524" t="s">
        <v>321</v>
      </c>
      <c r="F506" s="1314">
        <f>ROUND(K506*'Summary-E'!$K$61,0)</f>
        <v>210</v>
      </c>
      <c r="G506" s="527">
        <f t="shared" si="553"/>
        <v>3.68</v>
      </c>
      <c r="H506" s="527">
        <f t="shared" si="551"/>
        <v>772.80000000000007</v>
      </c>
      <c r="I506" s="567"/>
      <c r="J506" s="582"/>
      <c r="K506" s="1149">
        <v>200</v>
      </c>
      <c r="L506" s="530">
        <f t="shared" si="554"/>
        <v>1.05</v>
      </c>
      <c r="M506" s="530">
        <f t="shared" si="552"/>
        <v>220.5</v>
      </c>
      <c r="N506" s="1053"/>
      <c r="O506" s="786">
        <v>131</v>
      </c>
      <c r="P506" s="777"/>
      <c r="Q506" s="777"/>
      <c r="R506" s="751"/>
      <c r="S506" s="752">
        <v>72740</v>
      </c>
      <c r="T506" s="792">
        <v>0.8</v>
      </c>
      <c r="U506" s="803">
        <v>0</v>
      </c>
      <c r="V506" s="803">
        <v>0</v>
      </c>
      <c r="W506" s="803">
        <v>0</v>
      </c>
      <c r="X506" s="858">
        <v>1</v>
      </c>
      <c r="Y506" s="310">
        <f>ROUND((R506+S506/'Summary-E'!$M$63)*X506,2)</f>
        <v>3.5</v>
      </c>
      <c r="Z506" s="858">
        <f t="shared" si="490"/>
        <v>1.05</v>
      </c>
      <c r="AA506" s="813">
        <f t="shared" si="555"/>
        <v>3.68</v>
      </c>
      <c r="AB506" s="447">
        <f t="shared" si="541"/>
        <v>0.05</v>
      </c>
      <c r="AC506" s="310">
        <f t="shared" si="502"/>
        <v>0.84</v>
      </c>
      <c r="AD506" s="717">
        <f>ROUND(AC506*'[1]Summary E&amp;M'!$R$94,2)</f>
        <v>1.05</v>
      </c>
      <c r="AE506" s="825">
        <f t="shared" si="542"/>
        <v>700</v>
      </c>
      <c r="AF506" s="825">
        <f t="shared" si="543"/>
        <v>168</v>
      </c>
      <c r="AG506" s="743"/>
      <c r="AH506" s="728"/>
      <c r="AI506" s="519">
        <f t="shared" si="544"/>
        <v>0</v>
      </c>
      <c r="AJ506" s="519">
        <f t="shared" si="545"/>
        <v>0</v>
      </c>
      <c r="AK506" s="519">
        <f t="shared" si="546"/>
        <v>0</v>
      </c>
      <c r="AL506" s="520">
        <f t="shared" si="547"/>
        <v>0</v>
      </c>
      <c r="AM506" s="520">
        <f t="shared" si="548"/>
        <v>0</v>
      </c>
      <c r="AN506" s="520">
        <f t="shared" si="549"/>
        <v>0</v>
      </c>
      <c r="AO506" s="520">
        <f t="shared" si="550"/>
        <v>0</v>
      </c>
      <c r="AP506" s="552"/>
      <c r="AQ506" s="552"/>
      <c r="AR506" s="552"/>
      <c r="AS506" s="552"/>
      <c r="AT506" s="552"/>
    </row>
    <row r="507" spans="1:68" s="555" customFormat="1" ht="22.5" customHeight="1">
      <c r="A507" s="451"/>
      <c r="B507" s="531" t="s">
        <v>626</v>
      </c>
      <c r="C507" s="566"/>
      <c r="D507" s="525">
        <v>131</v>
      </c>
      <c r="E507" s="524" t="s">
        <v>321</v>
      </c>
      <c r="F507" s="1314">
        <f>ROUND(K507*'Summary-E'!$K$61,0)</f>
        <v>2681</v>
      </c>
      <c r="G507" s="527">
        <f t="shared" si="553"/>
        <v>1.93</v>
      </c>
      <c r="H507" s="527">
        <f t="shared" si="551"/>
        <v>5174.33</v>
      </c>
      <c r="I507" s="567"/>
      <c r="J507" s="582"/>
      <c r="K507" s="1149">
        <v>2553</v>
      </c>
      <c r="L507" s="530">
        <f t="shared" si="554"/>
        <v>0.79</v>
      </c>
      <c r="M507" s="530">
        <f t="shared" si="552"/>
        <v>2117.9899999999998</v>
      </c>
      <c r="N507" s="1053"/>
      <c r="O507" s="786">
        <v>131</v>
      </c>
      <c r="P507" s="777"/>
      <c r="Q507" s="777"/>
      <c r="R507" s="751"/>
      <c r="S507" s="752">
        <v>38210</v>
      </c>
      <c r="T507" s="792">
        <v>0.6</v>
      </c>
      <c r="U507" s="803">
        <v>0</v>
      </c>
      <c r="V507" s="803">
        <v>0</v>
      </c>
      <c r="W507" s="803">
        <v>0</v>
      </c>
      <c r="X507" s="858">
        <v>1</v>
      </c>
      <c r="Y507" s="310">
        <f>ROUND((R507+S507/'Summary-E'!$M$63)*X507,2)</f>
        <v>1.84</v>
      </c>
      <c r="Z507" s="858">
        <f t="shared" si="490"/>
        <v>1.05</v>
      </c>
      <c r="AA507" s="813">
        <f t="shared" si="555"/>
        <v>1.93</v>
      </c>
      <c r="AB507" s="447">
        <f t="shared" si="541"/>
        <v>0.05</v>
      </c>
      <c r="AC507" s="310">
        <f t="shared" si="502"/>
        <v>0.63</v>
      </c>
      <c r="AD507" s="717">
        <f>ROUND(AC507*'[1]Summary E&amp;M'!$R$94,2)</f>
        <v>0.79</v>
      </c>
      <c r="AE507" s="825">
        <f t="shared" si="542"/>
        <v>4697.5200000000004</v>
      </c>
      <c r="AF507" s="825">
        <f t="shared" si="543"/>
        <v>1608.39</v>
      </c>
      <c r="AG507" s="743"/>
      <c r="AH507" s="728"/>
      <c r="AI507" s="519">
        <f t="shared" si="544"/>
        <v>0</v>
      </c>
      <c r="AJ507" s="519">
        <f t="shared" si="545"/>
        <v>0</v>
      </c>
      <c r="AK507" s="519">
        <f t="shared" si="546"/>
        <v>0</v>
      </c>
      <c r="AL507" s="520">
        <f t="shared" si="547"/>
        <v>0</v>
      </c>
      <c r="AM507" s="520">
        <f t="shared" si="548"/>
        <v>0</v>
      </c>
      <c r="AN507" s="520">
        <f t="shared" si="549"/>
        <v>0</v>
      </c>
      <c r="AO507" s="520">
        <f t="shared" si="550"/>
        <v>0</v>
      </c>
      <c r="AP507" s="552"/>
      <c r="AQ507" s="552"/>
      <c r="AR507" s="552"/>
      <c r="AS507" s="552"/>
      <c r="AT507" s="552"/>
    </row>
    <row r="508" spans="1:68" s="555" customFormat="1" ht="22.5" customHeight="1">
      <c r="A508" s="451"/>
      <c r="B508" s="531" t="s">
        <v>121</v>
      </c>
      <c r="C508" s="566"/>
      <c r="D508" s="525">
        <v>131</v>
      </c>
      <c r="E508" s="524" t="s">
        <v>321</v>
      </c>
      <c r="F508" s="1314">
        <f>ROUND(K508*'Summary-E'!$K$61,0)</f>
        <v>4219</v>
      </c>
      <c r="G508" s="527">
        <f t="shared" si="553"/>
        <v>0.46</v>
      </c>
      <c r="H508" s="527">
        <f t="shared" si="551"/>
        <v>1940.74</v>
      </c>
      <c r="I508" s="567"/>
      <c r="J508" s="582"/>
      <c r="K508" s="1149">
        <v>4018</v>
      </c>
      <c r="L508" s="530">
        <f t="shared" si="554"/>
        <v>0.4</v>
      </c>
      <c r="M508" s="530">
        <f t="shared" si="552"/>
        <v>1687.6</v>
      </c>
      <c r="N508" s="1053"/>
      <c r="O508" s="786">
        <v>131</v>
      </c>
      <c r="P508" s="777"/>
      <c r="Q508" s="777"/>
      <c r="R508" s="751"/>
      <c r="S508" s="752">
        <v>9150</v>
      </c>
      <c r="T508" s="792">
        <v>0.3</v>
      </c>
      <c r="U508" s="803">
        <v>0</v>
      </c>
      <c r="V508" s="803">
        <v>0</v>
      </c>
      <c r="W508" s="803">
        <v>0</v>
      </c>
      <c r="X508" s="858">
        <v>1</v>
      </c>
      <c r="Y508" s="310">
        <f>ROUND((R508+S508/'Summary-E'!$M$63)*X508,2)</f>
        <v>0.44</v>
      </c>
      <c r="Z508" s="858">
        <f t="shared" si="490"/>
        <v>1.05</v>
      </c>
      <c r="AA508" s="813">
        <f t="shared" si="555"/>
        <v>0.46</v>
      </c>
      <c r="AB508" s="447">
        <f t="shared" si="541"/>
        <v>0.05</v>
      </c>
      <c r="AC508" s="310">
        <f t="shared" si="502"/>
        <v>0.32</v>
      </c>
      <c r="AD508" s="717">
        <f>ROUND(AC508*'[1]Summary E&amp;M'!$R$94,2)</f>
        <v>0.4</v>
      </c>
      <c r="AE508" s="825">
        <f t="shared" si="542"/>
        <v>1767.92</v>
      </c>
      <c r="AF508" s="825">
        <f t="shared" si="543"/>
        <v>1285.76</v>
      </c>
      <c r="AG508" s="743"/>
      <c r="AH508" s="728"/>
      <c r="AI508" s="519">
        <f t="shared" si="544"/>
        <v>0</v>
      </c>
      <c r="AJ508" s="519">
        <f t="shared" si="545"/>
        <v>0</v>
      </c>
      <c r="AK508" s="519">
        <f t="shared" si="546"/>
        <v>0</v>
      </c>
      <c r="AL508" s="520">
        <f t="shared" si="547"/>
        <v>0</v>
      </c>
      <c r="AM508" s="520">
        <f t="shared" si="548"/>
        <v>0</v>
      </c>
      <c r="AN508" s="520">
        <f t="shared" si="549"/>
        <v>0</v>
      </c>
      <c r="AO508" s="520">
        <f t="shared" si="550"/>
        <v>0</v>
      </c>
      <c r="AP508" s="552"/>
      <c r="AQ508" s="552"/>
      <c r="AR508" s="552"/>
      <c r="AS508" s="552"/>
      <c r="AT508" s="552"/>
    </row>
    <row r="509" spans="1:68" s="555" customFormat="1" ht="22.5" customHeight="1">
      <c r="A509" s="570"/>
      <c r="B509" s="568" t="s">
        <v>401</v>
      </c>
      <c r="C509" s="569"/>
      <c r="D509" s="570">
        <v>159</v>
      </c>
      <c r="E509" s="571" t="s">
        <v>322</v>
      </c>
      <c r="F509" s="1322">
        <f>K509</f>
        <v>1</v>
      </c>
      <c r="G509" s="527">
        <f>ROUND(AA509,2)</f>
        <v>1046.31</v>
      </c>
      <c r="H509" s="527">
        <f>ROUND(F509*G509,2)</f>
        <v>1046.31</v>
      </c>
      <c r="I509" s="567"/>
      <c r="J509" s="309"/>
      <c r="K509" s="1149">
        <v>1</v>
      </c>
      <c r="L509" s="530">
        <f>ROUND(AD509,2)</f>
        <v>161.80000000000001</v>
      </c>
      <c r="M509" s="530">
        <f t="shared" si="552"/>
        <v>161.80000000000001</v>
      </c>
      <c r="N509" s="309"/>
      <c r="O509" s="776">
        <v>159</v>
      </c>
      <c r="P509" s="777">
        <v>0.05</v>
      </c>
      <c r="Q509" s="777"/>
      <c r="R509" s="751">
        <f>ROUND(SUM(AE495:AE508)*P509,2)</f>
        <v>1027.31</v>
      </c>
      <c r="S509" s="752"/>
      <c r="T509" s="792">
        <f>ROUND(R509*12%,2)</f>
        <v>123.28</v>
      </c>
      <c r="U509" s="803">
        <v>0</v>
      </c>
      <c r="V509" s="803">
        <v>0</v>
      </c>
      <c r="W509" s="803">
        <v>0</v>
      </c>
      <c r="X509" s="858">
        <f>SUMIF('Summary-E'!O$4:O$50,D509,'Summary-E'!Q$4:Q$50)</f>
        <v>0.97</v>
      </c>
      <c r="Y509" s="310">
        <f>ROUND((R509+S509/'Summary-E'!$M$63)*X509,2)</f>
        <v>996.49</v>
      </c>
      <c r="Z509" s="858">
        <f t="shared" si="490"/>
        <v>1.05</v>
      </c>
      <c r="AA509" s="813">
        <f>ROUND(Y509*Z509,2)</f>
        <v>1046.31</v>
      </c>
      <c r="AB509" s="447">
        <f t="shared" si="541"/>
        <v>0.05</v>
      </c>
      <c r="AC509" s="310">
        <f t="shared" si="502"/>
        <v>129.44</v>
      </c>
      <c r="AD509" s="717">
        <f>ROUND(AC509*'[1]Summary E&amp;M'!$R$94,2)</f>
        <v>161.80000000000001</v>
      </c>
      <c r="AE509" s="825">
        <f t="shared" si="542"/>
        <v>996.49</v>
      </c>
      <c r="AF509" s="825">
        <f t="shared" si="543"/>
        <v>129.44</v>
      </c>
      <c r="AG509" s="743"/>
      <c r="AH509" s="728"/>
      <c r="AI509" s="519">
        <f t="shared" si="544"/>
        <v>0</v>
      </c>
      <c r="AJ509" s="519">
        <f t="shared" si="545"/>
        <v>0</v>
      </c>
      <c r="AK509" s="519">
        <f t="shared" si="546"/>
        <v>0</v>
      </c>
      <c r="AL509" s="520">
        <f t="shared" si="547"/>
        <v>0</v>
      </c>
      <c r="AM509" s="520">
        <f t="shared" si="548"/>
        <v>0</v>
      </c>
      <c r="AN509" s="520">
        <f t="shared" si="549"/>
        <v>0</v>
      </c>
      <c r="AO509" s="520">
        <f t="shared" si="550"/>
        <v>0</v>
      </c>
      <c r="AP509" s="552"/>
      <c r="AQ509" s="552"/>
      <c r="AR509" s="552"/>
      <c r="AS509" s="552"/>
      <c r="AT509" s="552"/>
    </row>
    <row r="510" spans="1:68" s="555" customFormat="1" ht="22.5" customHeight="1">
      <c r="A510" s="570"/>
      <c r="B510" s="568" t="s">
        <v>327</v>
      </c>
      <c r="C510" s="569"/>
      <c r="D510" s="570" t="s">
        <v>134</v>
      </c>
      <c r="E510" s="571" t="s">
        <v>319</v>
      </c>
      <c r="F510" s="1322">
        <f>K510</f>
        <v>1</v>
      </c>
      <c r="G510" s="527">
        <f>ROUND(AA510,2)</f>
        <v>203.7</v>
      </c>
      <c r="H510" s="527">
        <f>ROUND(F510*G510,2)</f>
        <v>203.7</v>
      </c>
      <c r="I510" s="567"/>
      <c r="J510" s="309"/>
      <c r="K510" s="1149">
        <v>1</v>
      </c>
      <c r="L510" s="530">
        <f>ROUND(AD510,2)</f>
        <v>0</v>
      </c>
      <c r="M510" s="530">
        <f t="shared" si="552"/>
        <v>0</v>
      </c>
      <c r="N510" s="309"/>
      <c r="O510" s="776" t="s">
        <v>134</v>
      </c>
      <c r="P510" s="777"/>
      <c r="Q510" s="777"/>
      <c r="R510" s="751">
        <v>200</v>
      </c>
      <c r="S510" s="752"/>
      <c r="T510" s="792"/>
      <c r="U510" s="803">
        <v>0</v>
      </c>
      <c r="V510" s="803">
        <v>0</v>
      </c>
      <c r="W510" s="803">
        <v>0</v>
      </c>
      <c r="X510" s="858">
        <f>SUMIF('Summary-E'!O$4:O$50,D510,'Summary-E'!Q$4:Q$50)</f>
        <v>0.97</v>
      </c>
      <c r="Y510" s="310">
        <f>ROUND((R510+S510/'Summary-E'!$M$63)*X510,2)</f>
        <v>194</v>
      </c>
      <c r="Z510" s="858">
        <f t="shared" si="490"/>
        <v>1.05</v>
      </c>
      <c r="AA510" s="813">
        <f>ROUND(Y510*Z510,2)</f>
        <v>203.7</v>
      </c>
      <c r="AB510" s="447">
        <f t="shared" si="541"/>
        <v>0.05</v>
      </c>
      <c r="AC510" s="310">
        <f t="shared" si="502"/>
        <v>0</v>
      </c>
      <c r="AD510" s="717">
        <f>ROUND(AC510*'[1]Summary E&amp;M'!$R$94,2)</f>
        <v>0</v>
      </c>
      <c r="AE510" s="825">
        <f t="shared" si="542"/>
        <v>194</v>
      </c>
      <c r="AF510" s="825">
        <f t="shared" si="543"/>
        <v>0</v>
      </c>
      <c r="AG510" s="743"/>
      <c r="AH510" s="728"/>
      <c r="AI510" s="519">
        <f t="shared" si="544"/>
        <v>0</v>
      </c>
      <c r="AJ510" s="519">
        <f t="shared" si="545"/>
        <v>0</v>
      </c>
      <c r="AK510" s="519">
        <f t="shared" si="546"/>
        <v>0</v>
      </c>
      <c r="AL510" s="520">
        <f t="shared" si="547"/>
        <v>0</v>
      </c>
      <c r="AM510" s="520">
        <f t="shared" si="548"/>
        <v>0</v>
      </c>
      <c r="AN510" s="520">
        <f t="shared" si="549"/>
        <v>0</v>
      </c>
      <c r="AO510" s="520">
        <f t="shared" si="550"/>
        <v>0</v>
      </c>
      <c r="AP510" s="552"/>
      <c r="AQ510" s="552"/>
      <c r="AR510" s="552"/>
      <c r="AS510" s="552"/>
      <c r="AT510" s="552"/>
    </row>
    <row r="511" spans="1:68" s="555" customFormat="1" ht="22.5" customHeight="1">
      <c r="A511" s="620"/>
      <c r="B511" s="531"/>
      <c r="C511" s="566"/>
      <c r="D511" s="525"/>
      <c r="E511" s="524"/>
      <c r="F511" s="1314"/>
      <c r="G511" s="527"/>
      <c r="H511" s="527"/>
      <c r="I511" s="567"/>
      <c r="J511" s="582"/>
      <c r="K511" s="1149"/>
      <c r="L511" s="530">
        <f>ROUND(AD511,2)</f>
        <v>0</v>
      </c>
      <c r="M511" s="530">
        <f t="shared" si="552"/>
        <v>0</v>
      </c>
      <c r="N511" s="309"/>
      <c r="O511" s="786"/>
      <c r="P511" s="777"/>
      <c r="Q511" s="777"/>
      <c r="R511" s="751"/>
      <c r="S511" s="752"/>
      <c r="T511" s="792"/>
      <c r="U511" s="803"/>
      <c r="V511" s="803"/>
      <c r="W511" s="803"/>
      <c r="X511" s="858">
        <f>SUMIF('Summary-E'!O$4:O$50,D511,'Summary-E'!Q$4:Q$50)</f>
        <v>0</v>
      </c>
      <c r="Y511" s="310">
        <f>ROUND((R511+S511/'Summary-E'!$M$63)*X511,2)</f>
        <v>0</v>
      </c>
      <c r="Z511" s="858">
        <f t="shared" si="490"/>
        <v>1.05</v>
      </c>
      <c r="AA511" s="813"/>
      <c r="AB511" s="447"/>
      <c r="AC511" s="310">
        <f t="shared" si="502"/>
        <v>0</v>
      </c>
      <c r="AD511" s="717">
        <f>ROUND(AC511*'[1]Summary E&amp;M'!$R$94,2)</f>
        <v>0</v>
      </c>
      <c r="AE511" s="825">
        <f t="shared" si="542"/>
        <v>0</v>
      </c>
      <c r="AF511" s="825">
        <f t="shared" si="543"/>
        <v>0</v>
      </c>
      <c r="AG511" s="743"/>
      <c r="AH511" s="728"/>
      <c r="AI511" s="519"/>
      <c r="AJ511" s="519"/>
      <c r="AK511" s="519"/>
      <c r="AL511" s="520"/>
      <c r="AM511" s="520"/>
      <c r="AN511" s="520"/>
      <c r="AO511" s="520"/>
      <c r="AP511" s="552"/>
      <c r="AQ511" s="552"/>
      <c r="AR511" s="552"/>
      <c r="AS511" s="552"/>
      <c r="AT511" s="552"/>
    </row>
    <row r="512" spans="1:68" s="711" customFormat="1" ht="22.5" customHeight="1">
      <c r="A512" s="570"/>
      <c r="B512" s="568" t="s">
        <v>324</v>
      </c>
      <c r="C512" s="569"/>
      <c r="D512" s="525">
        <v>210</v>
      </c>
      <c r="E512" s="571" t="s">
        <v>319</v>
      </c>
      <c r="F512" s="1322">
        <f>K512</f>
        <v>1</v>
      </c>
      <c r="G512" s="527">
        <f>M514</f>
        <v>8331.6299999999992</v>
      </c>
      <c r="H512" s="527">
        <f>F512*G512</f>
        <v>8331.6299999999992</v>
      </c>
      <c r="I512" s="567"/>
      <c r="J512" s="582"/>
      <c r="K512" s="1149">
        <v>1</v>
      </c>
      <c r="L512" s="530"/>
      <c r="M512" s="530"/>
      <c r="N512" s="1053"/>
      <c r="O512" s="786">
        <v>210</v>
      </c>
      <c r="P512" s="777"/>
      <c r="Q512" s="777"/>
      <c r="R512" s="751"/>
      <c r="S512" s="752"/>
      <c r="T512" s="796"/>
      <c r="U512" s="803">
        <v>0</v>
      </c>
      <c r="V512" s="803">
        <v>0</v>
      </c>
      <c r="W512" s="803">
        <v>0</v>
      </c>
      <c r="X512" s="858">
        <f>SUMIF('Summary-E'!O$4:O$50,D512,'Summary-E'!Q$4:Q$50)</f>
        <v>0.05</v>
      </c>
      <c r="Y512" s="310">
        <f>ROUND((R512+S512/'Summary-E'!$M$63)*X512,2)</f>
        <v>0</v>
      </c>
      <c r="Z512" s="858">
        <f t="shared" si="490"/>
        <v>1.05</v>
      </c>
      <c r="AA512" s="813">
        <f>ROUND(Y512*Z512,2)</f>
        <v>0</v>
      </c>
      <c r="AB512" s="447">
        <f>$AB$3</f>
        <v>0.05</v>
      </c>
      <c r="AC512" s="310">
        <f t="shared" si="502"/>
        <v>0</v>
      </c>
      <c r="AD512" s="717">
        <f>ROUND(AC512*'[1]Summary E&amp;M'!$R$94,2)</f>
        <v>0</v>
      </c>
      <c r="AE512" s="825">
        <f t="shared" si="542"/>
        <v>0</v>
      </c>
      <c r="AF512" s="825">
        <f t="shared" si="543"/>
        <v>0</v>
      </c>
      <c r="AG512" s="743"/>
      <c r="AH512" s="728"/>
      <c r="AI512" s="519">
        <f>$U512</f>
        <v>0</v>
      </c>
      <c r="AJ512" s="519">
        <f>$V512</f>
        <v>0</v>
      </c>
      <c r="AK512" s="519">
        <f>$W512</f>
        <v>0</v>
      </c>
      <c r="AL512" s="520">
        <f>ROUND(Y512*AI512+((Y512*(1+AI512))*AJ512)+((Y512*AI512+((Y512*(1+AI512))*AJ512))*AK512),2)</f>
        <v>0</v>
      </c>
      <c r="AM512" s="520">
        <f>AL512*$F512</f>
        <v>0</v>
      </c>
      <c r="AN512" s="520">
        <f>ROUND(AL512*Z512,2)</f>
        <v>0</v>
      </c>
      <c r="AO512" s="520">
        <f>AN512*$F512</f>
        <v>0</v>
      </c>
      <c r="AP512" s="552"/>
      <c r="AQ512" s="552"/>
      <c r="AR512" s="552"/>
      <c r="AS512" s="552"/>
      <c r="AT512" s="552"/>
      <c r="AU512" s="555"/>
      <c r="AV512" s="555"/>
      <c r="AW512" s="555"/>
      <c r="AX512" s="555"/>
      <c r="AY512" s="555"/>
      <c r="AZ512" s="555"/>
      <c r="BA512" s="555"/>
      <c r="BB512" s="555"/>
      <c r="BC512" s="555"/>
      <c r="BD512" s="555"/>
      <c r="BE512" s="555"/>
      <c r="BF512" s="555"/>
      <c r="BG512" s="555"/>
      <c r="BH512" s="555"/>
      <c r="BI512" s="555"/>
      <c r="BJ512" s="555"/>
      <c r="BK512" s="555"/>
      <c r="BL512" s="555"/>
      <c r="BM512" s="555"/>
      <c r="BN512" s="555"/>
      <c r="BO512" s="555"/>
      <c r="BP512" s="555"/>
    </row>
    <row r="513" spans="1:46" s="555" customFormat="1" ht="22.5" customHeight="1">
      <c r="A513" s="616"/>
      <c r="B513" s="573"/>
      <c r="C513" s="574"/>
      <c r="D513" s="616"/>
      <c r="E513" s="617"/>
      <c r="F513" s="1326"/>
      <c r="G513" s="607"/>
      <c r="H513" s="608"/>
      <c r="I513" s="578"/>
      <c r="J513" s="609"/>
      <c r="K513" s="1183"/>
      <c r="L513" s="610"/>
      <c r="M513" s="610"/>
      <c r="N513" s="1053"/>
      <c r="O513" s="786"/>
      <c r="P513" s="777"/>
      <c r="Q513" s="777"/>
      <c r="R513" s="751"/>
      <c r="S513" s="752"/>
      <c r="T513" s="796"/>
      <c r="U513" s="803"/>
      <c r="V513" s="803"/>
      <c r="W513" s="803"/>
      <c r="X513" s="858">
        <f>SUMIF('Summary-E'!O$4:O$50,D513,'Summary-E'!Q$4:Q$50)</f>
        <v>0</v>
      </c>
      <c r="Y513" s="310">
        <f>ROUND((R513+S513/'Summary-E'!$M$63)*X513,2)</f>
        <v>0</v>
      </c>
      <c r="Z513" s="858">
        <f t="shared" si="490"/>
        <v>1.05</v>
      </c>
      <c r="AA513" s="818"/>
      <c r="AB513" s="310"/>
      <c r="AC513" s="310">
        <f t="shared" si="502"/>
        <v>0</v>
      </c>
      <c r="AD513" s="717">
        <f>ROUND(AC513*'[1]Summary E&amp;M'!$R$94,2)</f>
        <v>0</v>
      </c>
      <c r="AE513" s="835"/>
      <c r="AF513" s="835"/>
      <c r="AG513" s="738"/>
      <c r="AH513" s="737"/>
      <c r="AI513" s="552"/>
      <c r="AJ513" s="552"/>
      <c r="AK513" s="552"/>
      <c r="AL513" s="552"/>
      <c r="AM513" s="552"/>
      <c r="AN513" s="552"/>
      <c r="AO513" s="552"/>
      <c r="AP513" s="552"/>
      <c r="AQ513" s="552"/>
      <c r="AR513" s="552"/>
      <c r="AS513" s="552"/>
      <c r="AT513" s="552"/>
    </row>
    <row r="514" spans="1:46" s="711" customFormat="1" ht="22.5" customHeight="1">
      <c r="A514" s="973"/>
      <c r="B514" s="974" t="s">
        <v>522</v>
      </c>
      <c r="C514" s="979"/>
      <c r="D514" s="980"/>
      <c r="E514" s="976"/>
      <c r="F514" s="1317"/>
      <c r="G514" s="982"/>
      <c r="H514" s="971">
        <f>SUBTOTAL(9,H496:H513)</f>
        <v>31738.11</v>
      </c>
      <c r="I514" s="981"/>
      <c r="J514" s="609"/>
      <c r="K514" s="1184"/>
      <c r="L514" s="600"/>
      <c r="M514" s="1051">
        <f>SUBTOTAL(9,M496:M512)</f>
        <v>8331.6299999999992</v>
      </c>
      <c r="N514" s="1054"/>
      <c r="O514" s="787"/>
      <c r="P514" s="780"/>
      <c r="Q514" s="780"/>
      <c r="R514" s="759"/>
      <c r="S514" s="752"/>
      <c r="T514" s="796"/>
      <c r="U514" s="803"/>
      <c r="V514" s="803"/>
      <c r="W514" s="803"/>
      <c r="X514" s="858">
        <f>SUMIF('Summary-E'!O$4:O$50,D514,'Summary-E'!Q$4:Q$50)</f>
        <v>0</v>
      </c>
      <c r="Y514" s="310">
        <f>ROUND((R514+S514/'Summary-E'!$M$63)*X514,2)</f>
        <v>0</v>
      </c>
      <c r="Z514" s="858">
        <f t="shared" si="490"/>
        <v>1.05</v>
      </c>
      <c r="AA514" s="818"/>
      <c r="AB514" s="552"/>
      <c r="AC514" s="310">
        <f t="shared" si="502"/>
        <v>0</v>
      </c>
      <c r="AD514" s="717">
        <f>ROUND(AC514*'[1]Summary E&amp;M'!$R$94,2)</f>
        <v>0</v>
      </c>
      <c r="AE514" s="823">
        <f>SUBTOTAL(9,AE496:AE513)</f>
        <v>21736.620000000006</v>
      </c>
      <c r="AF514" s="823">
        <f>SUBTOTAL(9,AF496:AF513)</f>
        <v>6420.57</v>
      </c>
      <c r="AG514" s="614"/>
      <c r="AH514" s="730"/>
      <c r="AI514" s="713"/>
      <c r="AJ514" s="713"/>
      <c r="AK514" s="713"/>
      <c r="AL514" s="713"/>
      <c r="AM514" s="712">
        <f>SUBTOTAL(9,AM496:AM513)</f>
        <v>0</v>
      </c>
      <c r="AN514" s="713"/>
      <c r="AO514" s="712">
        <f>SUBTOTAL(9,AO496:AO513)</f>
        <v>0</v>
      </c>
      <c r="AP514" s="713"/>
      <c r="AQ514" s="713"/>
      <c r="AR514" s="713"/>
      <c r="AS514" s="713"/>
      <c r="AT514" s="713"/>
    </row>
    <row r="515" spans="1:46" s="555" customFormat="1" ht="22.5" customHeight="1">
      <c r="A515" s="545"/>
      <c r="B515" s="543"/>
      <c r="C515" s="544"/>
      <c r="D515" s="580"/>
      <c r="E515" s="546"/>
      <c r="F515" s="1329"/>
      <c r="G515" s="611"/>
      <c r="H515" s="612"/>
      <c r="I515" s="613"/>
      <c r="J515" s="582"/>
      <c r="K515" s="1186"/>
      <c r="L515" s="610"/>
      <c r="M515" s="610"/>
      <c r="N515" s="1053"/>
      <c r="O515" s="786"/>
      <c r="P515" s="777"/>
      <c r="Q515" s="777"/>
      <c r="R515" s="751"/>
      <c r="S515" s="752"/>
      <c r="T515" s="796"/>
      <c r="U515" s="803"/>
      <c r="V515" s="803"/>
      <c r="W515" s="803"/>
      <c r="X515" s="858">
        <f>SUMIF('Summary-E'!O$4:O$50,D515,'Summary-E'!Q$4:Q$50)</f>
        <v>0</v>
      </c>
      <c r="Y515" s="310">
        <f>ROUND((R515+S515/'Summary-E'!$M$63)*X515,2)</f>
        <v>0</v>
      </c>
      <c r="Z515" s="858">
        <f t="shared" si="490"/>
        <v>1.05</v>
      </c>
      <c r="AA515" s="818"/>
      <c r="AB515" s="310"/>
      <c r="AC515" s="310">
        <f t="shared" si="502"/>
        <v>0</v>
      </c>
      <c r="AD515" s="717">
        <f>ROUND(AC515*'[1]Summary E&amp;M'!$R$94,2)</f>
        <v>0</v>
      </c>
      <c r="AE515" s="832"/>
      <c r="AF515" s="832"/>
      <c r="AG515" s="614"/>
      <c r="AH515" s="737"/>
      <c r="AI515" s="552"/>
      <c r="AJ515" s="552"/>
      <c r="AK515" s="552"/>
      <c r="AL515" s="552"/>
      <c r="AM515" s="615"/>
      <c r="AN515" s="552"/>
      <c r="AO515" s="615"/>
      <c r="AP515" s="552"/>
      <c r="AQ515" s="552"/>
      <c r="AR515" s="552"/>
      <c r="AS515" s="552"/>
      <c r="AT515" s="552"/>
    </row>
    <row r="516" spans="1:46" s="555" customFormat="1" ht="22.5" customHeight="1">
      <c r="A516" s="620" t="s">
        <v>795</v>
      </c>
      <c r="B516" s="522" t="s">
        <v>970</v>
      </c>
      <c r="C516" s="566"/>
      <c r="D516" s="525"/>
      <c r="E516" s="523"/>
      <c r="F516" s="1328"/>
      <c r="G516" s="605"/>
      <c r="H516" s="605"/>
      <c r="I516" s="606"/>
      <c r="J516" s="428"/>
      <c r="K516" s="1173"/>
      <c r="L516" s="960"/>
      <c r="M516" s="960"/>
      <c r="N516" s="428"/>
      <c r="O516" s="786"/>
      <c r="P516" s="777"/>
      <c r="Q516" s="777"/>
      <c r="R516" s="751"/>
      <c r="S516" s="752"/>
      <c r="T516" s="792"/>
      <c r="U516" s="803">
        <v>0</v>
      </c>
      <c r="V516" s="803">
        <v>0</v>
      </c>
      <c r="W516" s="803">
        <v>0</v>
      </c>
      <c r="X516" s="858">
        <f>SUMIF('Summary-E'!O$4:O$50,D516,'Summary-E'!Q$4:Q$50)</f>
        <v>0</v>
      </c>
      <c r="Y516" s="310">
        <f>ROUND((R516+S516/'Summary-E'!$M$63)*X516,2)</f>
        <v>0</v>
      </c>
      <c r="Z516" s="858">
        <f t="shared" si="490"/>
        <v>1.05</v>
      </c>
      <c r="AA516" s="813">
        <f>ROUND(Y516*Z516,2)</f>
        <v>0</v>
      </c>
      <c r="AB516" s="447">
        <f t="shared" ref="AB516:AB529" si="556">$AB$3</f>
        <v>0.05</v>
      </c>
      <c r="AC516" s="310">
        <f t="shared" si="502"/>
        <v>0</v>
      </c>
      <c r="AD516" s="717">
        <f>ROUND(AC516*'[1]Summary E&amp;M'!$R$94,2)</f>
        <v>0</v>
      </c>
      <c r="AE516" s="825">
        <f t="shared" ref="AE516:AE531" si="557">ROUND($K516*$Y516,2)</f>
        <v>0</v>
      </c>
      <c r="AF516" s="825">
        <f t="shared" ref="AF516:AF531" si="558">ROUND($K516*$AC516,2)</f>
        <v>0</v>
      </c>
      <c r="AG516" s="743"/>
      <c r="AH516" s="728"/>
      <c r="AI516" s="519">
        <f t="shared" ref="AI516:AI529" si="559">$U516</f>
        <v>0</v>
      </c>
      <c r="AJ516" s="519">
        <f t="shared" ref="AJ516:AJ529" si="560">$V516</f>
        <v>0</v>
      </c>
      <c r="AK516" s="519">
        <f t="shared" ref="AK516:AK529" si="561">$W516</f>
        <v>0</v>
      </c>
      <c r="AL516" s="520">
        <f t="shared" ref="AL516:AL529" si="562">ROUND(Y516*AI516+((Y516*(1+AI516))*AJ516)+((Y516*AI516+((Y516*(1+AI516))*AJ516))*AK516),2)</f>
        <v>0</v>
      </c>
      <c r="AM516" s="520">
        <f t="shared" ref="AM516:AM529" si="563">AL516*$F516</f>
        <v>0</v>
      </c>
      <c r="AN516" s="520">
        <f t="shared" ref="AN516:AN529" si="564">ROUND(AL516*Z516,2)</f>
        <v>0</v>
      </c>
      <c r="AO516" s="520">
        <f t="shared" ref="AO516:AO529" si="565">AN516*$F516</f>
        <v>0</v>
      </c>
      <c r="AP516" s="718"/>
      <c r="AQ516" s="718"/>
      <c r="AR516" s="718"/>
      <c r="AS516" s="718"/>
      <c r="AT516" s="718"/>
    </row>
    <row r="517" spans="1:46" s="555" customFormat="1" ht="22.5" customHeight="1">
      <c r="A517" s="620"/>
      <c r="B517" s="531" t="s">
        <v>971</v>
      </c>
      <c r="C517" s="566" t="s">
        <v>972</v>
      </c>
      <c r="D517" s="525" t="s">
        <v>1121</v>
      </c>
      <c r="E517" s="524" t="s">
        <v>436</v>
      </c>
      <c r="F517" s="1322">
        <f>K517</f>
        <v>1</v>
      </c>
      <c r="G517" s="527">
        <f>ROUND(AA517,2)</f>
        <v>1110.57</v>
      </c>
      <c r="H517" s="527">
        <f>F517*G517</f>
        <v>1110.57</v>
      </c>
      <c r="I517" s="901"/>
      <c r="J517" s="582"/>
      <c r="K517" s="1175">
        <v>1</v>
      </c>
      <c r="L517" s="530">
        <f>ROUND(AD517,2)</f>
        <v>32.81</v>
      </c>
      <c r="M517" s="530">
        <f t="shared" ref="M517:M530" si="566">ROUND(L517*F517,2)</f>
        <v>32.81</v>
      </c>
      <c r="N517" s="309"/>
      <c r="O517" s="786" t="s">
        <v>136</v>
      </c>
      <c r="P517" s="777"/>
      <c r="Q517" s="777"/>
      <c r="R517" s="751"/>
      <c r="S517" s="752">
        <v>22000000</v>
      </c>
      <c r="T517" s="792">
        <v>25</v>
      </c>
      <c r="U517" s="803">
        <v>0</v>
      </c>
      <c r="V517" s="803">
        <v>0</v>
      </c>
      <c r="W517" s="803">
        <v>0</v>
      </c>
      <c r="X517" s="858">
        <v>1</v>
      </c>
      <c r="Y517" s="310">
        <f>ROUND((R517+S517/'Summary-E'!$M$63)*X517,2)</f>
        <v>1057.69</v>
      </c>
      <c r="Z517" s="858">
        <f t="shared" ref="Z517:Z580" si="567">$Z$4</f>
        <v>1.05</v>
      </c>
      <c r="AA517" s="813">
        <f>ROUND(Y517*Z517,2)</f>
        <v>1110.57</v>
      </c>
      <c r="AB517" s="447">
        <f t="shared" si="556"/>
        <v>0.05</v>
      </c>
      <c r="AC517" s="310">
        <f t="shared" si="502"/>
        <v>26.25</v>
      </c>
      <c r="AD517" s="717">
        <f>ROUND(AC517*'[1]Summary E&amp;M'!$R$94,2)</f>
        <v>32.81</v>
      </c>
      <c r="AE517" s="825">
        <f t="shared" si="557"/>
        <v>1057.69</v>
      </c>
      <c r="AF517" s="825">
        <f t="shared" si="558"/>
        <v>26.25</v>
      </c>
      <c r="AG517" s="743"/>
      <c r="AH517" s="728"/>
      <c r="AI517" s="519">
        <f t="shared" si="559"/>
        <v>0</v>
      </c>
      <c r="AJ517" s="519">
        <f t="shared" si="560"/>
        <v>0</v>
      </c>
      <c r="AK517" s="519">
        <f t="shared" si="561"/>
        <v>0</v>
      </c>
      <c r="AL517" s="520">
        <f t="shared" si="562"/>
        <v>0</v>
      </c>
      <c r="AM517" s="520">
        <f t="shared" si="563"/>
        <v>0</v>
      </c>
      <c r="AN517" s="520">
        <f t="shared" si="564"/>
        <v>0</v>
      </c>
      <c r="AO517" s="520">
        <f t="shared" si="565"/>
        <v>0</v>
      </c>
      <c r="AP517" s="552"/>
      <c r="AQ517" s="552"/>
      <c r="AR517" s="552"/>
      <c r="AS517" s="552"/>
      <c r="AT517" s="552"/>
    </row>
    <row r="518" spans="1:46" s="555" customFormat="1" ht="22.5" customHeight="1">
      <c r="A518" s="620"/>
      <c r="B518" s="531" t="s">
        <v>973</v>
      </c>
      <c r="C518" s="566" t="s">
        <v>974</v>
      </c>
      <c r="D518" s="525" t="s">
        <v>1121</v>
      </c>
      <c r="E518" s="524" t="s">
        <v>319</v>
      </c>
      <c r="F518" s="1322">
        <f>K518</f>
        <v>1</v>
      </c>
      <c r="G518" s="527">
        <f>ROUND(AA518,2)</f>
        <v>387.03</v>
      </c>
      <c r="H518" s="527">
        <f>F518*G518</f>
        <v>387.03</v>
      </c>
      <c r="I518" s="901"/>
      <c r="J518" s="582"/>
      <c r="K518" s="1175">
        <v>1</v>
      </c>
      <c r="L518" s="530">
        <f>ROUND(AD518,2)</f>
        <v>59.06</v>
      </c>
      <c r="M518" s="530">
        <f t="shared" si="566"/>
        <v>59.06</v>
      </c>
      <c r="N518" s="309"/>
      <c r="O518" s="786" t="s">
        <v>136</v>
      </c>
      <c r="P518" s="777"/>
      <c r="Q518" s="777"/>
      <c r="R518" s="751">
        <v>380</v>
      </c>
      <c r="S518" s="752"/>
      <c r="T518" s="792">
        <v>45</v>
      </c>
      <c r="U518" s="803">
        <v>0</v>
      </c>
      <c r="V518" s="803">
        <v>0</v>
      </c>
      <c r="W518" s="803">
        <v>0</v>
      </c>
      <c r="X518" s="858">
        <f>SUMIF('Summary-E'!O$4:O$50,D518,'Summary-E'!Q$4:Q$50)</f>
        <v>0.97</v>
      </c>
      <c r="Y518" s="310">
        <f>ROUND((R518+S518/'Summary-E'!$M$63)*X518,2)</f>
        <v>368.6</v>
      </c>
      <c r="Z518" s="858">
        <f t="shared" si="567"/>
        <v>1.05</v>
      </c>
      <c r="AA518" s="813">
        <f>ROUND(Y518*Z518,2)</f>
        <v>387.03</v>
      </c>
      <c r="AB518" s="447">
        <f t="shared" si="556"/>
        <v>0.05</v>
      </c>
      <c r="AC518" s="310">
        <f t="shared" si="502"/>
        <v>47.25</v>
      </c>
      <c r="AD518" s="717">
        <f>ROUND(AC518*'[1]Summary E&amp;M'!$R$94,2)</f>
        <v>59.06</v>
      </c>
      <c r="AE518" s="825">
        <f t="shared" si="557"/>
        <v>368.6</v>
      </c>
      <c r="AF518" s="825">
        <f t="shared" si="558"/>
        <v>47.25</v>
      </c>
      <c r="AG518" s="743"/>
      <c r="AH518" s="728"/>
      <c r="AI518" s="519">
        <f t="shared" si="559"/>
        <v>0</v>
      </c>
      <c r="AJ518" s="519">
        <f t="shared" si="560"/>
        <v>0</v>
      </c>
      <c r="AK518" s="519">
        <f t="shared" si="561"/>
        <v>0</v>
      </c>
      <c r="AL518" s="520">
        <f t="shared" si="562"/>
        <v>0</v>
      </c>
      <c r="AM518" s="520">
        <f t="shared" si="563"/>
        <v>0</v>
      </c>
      <c r="AN518" s="520">
        <f t="shared" si="564"/>
        <v>0</v>
      </c>
      <c r="AO518" s="520">
        <f t="shared" si="565"/>
        <v>0</v>
      </c>
      <c r="AP518" s="552"/>
      <c r="AQ518" s="552"/>
      <c r="AR518" s="552"/>
      <c r="AS518" s="552"/>
      <c r="AT518" s="552"/>
    </row>
    <row r="519" spans="1:46" s="555" customFormat="1" ht="22.5" customHeight="1">
      <c r="A519" s="620"/>
      <c r="B519" s="531" t="s">
        <v>975</v>
      </c>
      <c r="C519" s="566"/>
      <c r="D519" s="525" t="s">
        <v>1121</v>
      </c>
      <c r="E519" s="524" t="s">
        <v>319</v>
      </c>
      <c r="F519" s="1322">
        <f>K519</f>
        <v>2</v>
      </c>
      <c r="G519" s="527">
        <f t="shared" ref="G519:G527" si="568">ROUND(AA519,2)</f>
        <v>91.67</v>
      </c>
      <c r="H519" s="527">
        <f>F519*G519</f>
        <v>183.34</v>
      </c>
      <c r="I519" s="901"/>
      <c r="J519" s="582"/>
      <c r="K519" s="1175">
        <v>2</v>
      </c>
      <c r="L519" s="530">
        <f t="shared" ref="L519:L527" si="569">ROUND(AD519,2)</f>
        <v>6.56</v>
      </c>
      <c r="M519" s="530">
        <f t="shared" si="566"/>
        <v>13.12</v>
      </c>
      <c r="N519" s="309"/>
      <c r="O519" s="786" t="s">
        <v>136</v>
      </c>
      <c r="P519" s="777"/>
      <c r="Q519" s="777"/>
      <c r="R519" s="751">
        <v>90</v>
      </c>
      <c r="S519" s="752"/>
      <c r="T519" s="792">
        <v>5</v>
      </c>
      <c r="U519" s="803">
        <v>0</v>
      </c>
      <c r="V519" s="803">
        <v>0</v>
      </c>
      <c r="W519" s="803">
        <v>0</v>
      </c>
      <c r="X519" s="858">
        <f>SUMIF('Summary-E'!O$4:O$50,D519,'Summary-E'!Q$4:Q$50)</f>
        <v>0.97</v>
      </c>
      <c r="Y519" s="310">
        <f>ROUND((R519+S519/'Summary-E'!$M$63)*X519,2)</f>
        <v>87.3</v>
      </c>
      <c r="Z519" s="858">
        <f t="shared" si="567"/>
        <v>1.05</v>
      </c>
      <c r="AA519" s="813">
        <f t="shared" ref="AA519:AA527" si="570">ROUND(Y519*Z519,2)</f>
        <v>91.67</v>
      </c>
      <c r="AB519" s="447">
        <f t="shared" si="556"/>
        <v>0.05</v>
      </c>
      <c r="AC519" s="310">
        <f t="shared" ref="AC519:AC555" si="571">ROUND((T519*(1+AB519)),2)</f>
        <v>5.25</v>
      </c>
      <c r="AD519" s="717">
        <f>ROUND(AC519*'[1]Summary E&amp;M'!$R$94,2)</f>
        <v>6.56</v>
      </c>
      <c r="AE519" s="825">
        <f t="shared" si="557"/>
        <v>174.6</v>
      </c>
      <c r="AF519" s="825">
        <f t="shared" si="558"/>
        <v>10.5</v>
      </c>
      <c r="AG519" s="743"/>
      <c r="AH519" s="728"/>
      <c r="AI519" s="519">
        <f t="shared" si="559"/>
        <v>0</v>
      </c>
      <c r="AJ519" s="519">
        <f t="shared" si="560"/>
        <v>0</v>
      </c>
      <c r="AK519" s="519">
        <f t="shared" si="561"/>
        <v>0</v>
      </c>
      <c r="AL519" s="520">
        <f t="shared" si="562"/>
        <v>0</v>
      </c>
      <c r="AM519" s="520">
        <f t="shared" si="563"/>
        <v>0</v>
      </c>
      <c r="AN519" s="520">
        <f t="shared" si="564"/>
        <v>0</v>
      </c>
      <c r="AO519" s="520">
        <f t="shared" si="565"/>
        <v>0</v>
      </c>
      <c r="AP519" s="552"/>
      <c r="AQ519" s="552"/>
      <c r="AR519" s="552"/>
      <c r="AS519" s="552"/>
      <c r="AT519" s="552"/>
    </row>
    <row r="520" spans="1:46" s="555" customFormat="1" ht="22.5" customHeight="1">
      <c r="A520" s="451"/>
      <c r="B520" s="531" t="s">
        <v>976</v>
      </c>
      <c r="C520" s="566" t="s">
        <v>1281</v>
      </c>
      <c r="D520" s="525" t="s">
        <v>1121</v>
      </c>
      <c r="E520" s="524" t="s">
        <v>321</v>
      </c>
      <c r="F520" s="1314">
        <f>ROUND(K520*'Summary-E'!$K$61,0)</f>
        <v>187</v>
      </c>
      <c r="G520" s="527">
        <f t="shared" si="568"/>
        <v>8.4</v>
      </c>
      <c r="H520" s="527">
        <f>F520*G520</f>
        <v>1570.8</v>
      </c>
      <c r="I520" s="901"/>
      <c r="J520" s="582"/>
      <c r="K520" s="1175">
        <v>178</v>
      </c>
      <c r="L520" s="530">
        <f t="shared" si="569"/>
        <v>1.19</v>
      </c>
      <c r="M520" s="530">
        <f t="shared" si="566"/>
        <v>222.53</v>
      </c>
      <c r="N520" s="1053"/>
      <c r="O520" s="776" t="s">
        <v>131</v>
      </c>
      <c r="P520" s="777"/>
      <c r="Q520" s="777"/>
      <c r="R520" s="751"/>
      <c r="S520" s="752">
        <v>166370</v>
      </c>
      <c r="T520" s="792">
        <v>0.9</v>
      </c>
      <c r="U520" s="803">
        <v>0</v>
      </c>
      <c r="V520" s="803">
        <v>0</v>
      </c>
      <c r="W520" s="803">
        <v>0</v>
      </c>
      <c r="X520" s="858">
        <v>1</v>
      </c>
      <c r="Y520" s="310">
        <f>ROUND((R520+S520/'Summary-E'!$M$63)*X520,2)</f>
        <v>8</v>
      </c>
      <c r="Z520" s="858">
        <f t="shared" si="567"/>
        <v>1.05</v>
      </c>
      <c r="AA520" s="813">
        <f t="shared" si="570"/>
        <v>8.4</v>
      </c>
      <c r="AB520" s="447">
        <f t="shared" si="556"/>
        <v>0.05</v>
      </c>
      <c r="AC520" s="310">
        <f t="shared" si="571"/>
        <v>0.95</v>
      </c>
      <c r="AD520" s="717">
        <f>ROUND(AC520*'[1]Summary E&amp;M'!$R$94,2)</f>
        <v>1.19</v>
      </c>
      <c r="AE520" s="825">
        <f t="shared" si="557"/>
        <v>1424</v>
      </c>
      <c r="AF520" s="825">
        <f t="shared" si="558"/>
        <v>169.1</v>
      </c>
      <c r="AG520" s="743"/>
      <c r="AH520" s="728"/>
      <c r="AI520" s="519">
        <f t="shared" si="559"/>
        <v>0</v>
      </c>
      <c r="AJ520" s="519">
        <f t="shared" si="560"/>
        <v>0</v>
      </c>
      <c r="AK520" s="519">
        <f t="shared" si="561"/>
        <v>0</v>
      </c>
      <c r="AL520" s="520">
        <f t="shared" si="562"/>
        <v>0</v>
      </c>
      <c r="AM520" s="520">
        <f t="shared" si="563"/>
        <v>0</v>
      </c>
      <c r="AN520" s="520">
        <f t="shared" si="564"/>
        <v>0</v>
      </c>
      <c r="AO520" s="520">
        <f t="shared" si="565"/>
        <v>0</v>
      </c>
      <c r="AP520" s="552"/>
      <c r="AQ520" s="552"/>
      <c r="AR520" s="552"/>
      <c r="AS520" s="552"/>
      <c r="AT520" s="552"/>
    </row>
    <row r="521" spans="1:46" s="555" customFormat="1" ht="22.5" customHeight="1">
      <c r="A521" s="620"/>
      <c r="B521" s="531" t="s">
        <v>977</v>
      </c>
      <c r="C521" s="523"/>
      <c r="D521" s="525" t="s">
        <v>1121</v>
      </c>
      <c r="E521" s="524" t="s">
        <v>321</v>
      </c>
      <c r="F521" s="1314">
        <f>ROUND(K521*'[1]Summary E&amp;M'!$K$98,0)</f>
        <v>1</v>
      </c>
      <c r="G521" s="527">
        <f t="shared" si="568"/>
        <v>388.85</v>
      </c>
      <c r="H521" s="527">
        <f>F521*G521</f>
        <v>388.85</v>
      </c>
      <c r="I521" s="901"/>
      <c r="J521" s="582"/>
      <c r="K521" s="1175">
        <v>1</v>
      </c>
      <c r="L521" s="530">
        <f t="shared" si="569"/>
        <v>75.16</v>
      </c>
      <c r="M521" s="530">
        <f t="shared" si="566"/>
        <v>75.16</v>
      </c>
      <c r="N521" s="1053"/>
      <c r="O521" s="786" t="s">
        <v>131</v>
      </c>
      <c r="P521" s="777"/>
      <c r="Q521" s="785"/>
      <c r="R521" s="751">
        <v>381.78</v>
      </c>
      <c r="S521" s="752"/>
      <c r="T521" s="792">
        <v>57.266999999999996</v>
      </c>
      <c r="U521" s="803">
        <v>0</v>
      </c>
      <c r="V521" s="803">
        <v>0</v>
      </c>
      <c r="W521" s="803">
        <v>0</v>
      </c>
      <c r="X521" s="858">
        <f>SUMIF('Summary-E'!O$4:O$50,D521,'Summary-E'!Q$4:Q$50)</f>
        <v>0.97</v>
      </c>
      <c r="Y521" s="310">
        <f>ROUND((R521+S521/'Summary-E'!$M$63)*X521,2)</f>
        <v>370.33</v>
      </c>
      <c r="Z521" s="858">
        <f t="shared" si="567"/>
        <v>1.05</v>
      </c>
      <c r="AA521" s="813">
        <f t="shared" si="570"/>
        <v>388.85</v>
      </c>
      <c r="AB521" s="447">
        <f t="shared" si="556"/>
        <v>0.05</v>
      </c>
      <c r="AC521" s="310">
        <f t="shared" si="571"/>
        <v>60.13</v>
      </c>
      <c r="AD521" s="717">
        <f>ROUND(AC521*'[1]Summary E&amp;M'!$R$94,2)</f>
        <v>75.16</v>
      </c>
      <c r="AE521" s="825">
        <f t="shared" si="557"/>
        <v>370.33</v>
      </c>
      <c r="AF521" s="825">
        <f t="shared" si="558"/>
        <v>60.13</v>
      </c>
      <c r="AG521" s="743"/>
      <c r="AH521" s="728"/>
      <c r="AI521" s="519">
        <f t="shared" si="559"/>
        <v>0</v>
      </c>
      <c r="AJ521" s="519">
        <f t="shared" si="560"/>
        <v>0</v>
      </c>
      <c r="AK521" s="519">
        <f t="shared" si="561"/>
        <v>0</v>
      </c>
      <c r="AL521" s="520">
        <f t="shared" si="562"/>
        <v>0</v>
      </c>
      <c r="AM521" s="520">
        <f t="shared" si="563"/>
        <v>0</v>
      </c>
      <c r="AN521" s="520">
        <f t="shared" si="564"/>
        <v>0</v>
      </c>
      <c r="AO521" s="520">
        <f t="shared" si="565"/>
        <v>0</v>
      </c>
      <c r="AP521" s="552"/>
      <c r="AQ521" s="552"/>
      <c r="AR521" s="552"/>
      <c r="AS521" s="552"/>
      <c r="AT521" s="552"/>
    </row>
    <row r="522" spans="1:46" s="555" customFormat="1" ht="22.5" customHeight="1">
      <c r="A522" s="620"/>
      <c r="B522" s="531" t="s">
        <v>978</v>
      </c>
      <c r="C522" s="523"/>
      <c r="D522" s="525" t="s">
        <v>1121</v>
      </c>
      <c r="E522" s="524" t="s">
        <v>321</v>
      </c>
      <c r="F522" s="1314">
        <f>ROUND(K522*'[1]Summary E&amp;M'!$K$98,0)</f>
        <v>4</v>
      </c>
      <c r="G522" s="527">
        <f t="shared" si="568"/>
        <v>122.22</v>
      </c>
      <c r="H522" s="527">
        <f t="shared" ref="H522:H527" si="572">F522*G522</f>
        <v>488.88</v>
      </c>
      <c r="I522" s="901"/>
      <c r="J522" s="582"/>
      <c r="K522" s="1175">
        <v>4</v>
      </c>
      <c r="L522" s="530">
        <f t="shared" si="569"/>
        <v>10.5</v>
      </c>
      <c r="M522" s="530">
        <f t="shared" si="566"/>
        <v>42</v>
      </c>
      <c r="N522" s="1053"/>
      <c r="O522" s="786" t="s">
        <v>131</v>
      </c>
      <c r="P522" s="777"/>
      <c r="Q522" s="777"/>
      <c r="R522" s="751">
        <v>120</v>
      </c>
      <c r="S522" s="752"/>
      <c r="T522" s="792">
        <v>8</v>
      </c>
      <c r="U522" s="803">
        <v>0</v>
      </c>
      <c r="V522" s="803">
        <v>0</v>
      </c>
      <c r="W522" s="803">
        <v>0</v>
      </c>
      <c r="X522" s="858">
        <f>SUMIF('Summary-E'!O$4:O$50,D522,'Summary-E'!Q$4:Q$50)</f>
        <v>0.97</v>
      </c>
      <c r="Y522" s="310">
        <f>ROUND((R522+S522/'Summary-E'!$M$63)*X522,2)</f>
        <v>116.4</v>
      </c>
      <c r="Z522" s="858">
        <f t="shared" si="567"/>
        <v>1.05</v>
      </c>
      <c r="AA522" s="813">
        <f t="shared" si="570"/>
        <v>122.22</v>
      </c>
      <c r="AB522" s="447">
        <f t="shared" si="556"/>
        <v>0.05</v>
      </c>
      <c r="AC522" s="310">
        <f t="shared" si="571"/>
        <v>8.4</v>
      </c>
      <c r="AD522" s="717">
        <f>ROUND(AC522*'[1]Summary E&amp;M'!$R$94,2)</f>
        <v>10.5</v>
      </c>
      <c r="AE522" s="825">
        <f t="shared" si="557"/>
        <v>465.6</v>
      </c>
      <c r="AF522" s="825">
        <f t="shared" si="558"/>
        <v>33.6</v>
      </c>
      <c r="AG522" s="743"/>
      <c r="AH522" s="728"/>
      <c r="AI522" s="519">
        <f t="shared" si="559"/>
        <v>0</v>
      </c>
      <c r="AJ522" s="519">
        <f t="shared" si="560"/>
        <v>0</v>
      </c>
      <c r="AK522" s="519">
        <f t="shared" si="561"/>
        <v>0</v>
      </c>
      <c r="AL522" s="520">
        <f t="shared" si="562"/>
        <v>0</v>
      </c>
      <c r="AM522" s="520">
        <f t="shared" si="563"/>
        <v>0</v>
      </c>
      <c r="AN522" s="520">
        <f t="shared" si="564"/>
        <v>0</v>
      </c>
      <c r="AO522" s="520">
        <f t="shared" si="565"/>
        <v>0</v>
      </c>
      <c r="AP522" s="552"/>
      <c r="AQ522" s="552"/>
      <c r="AR522" s="552"/>
      <c r="AS522" s="552"/>
      <c r="AT522" s="552"/>
    </row>
    <row r="523" spans="1:46" s="555" customFormat="1" ht="22.5" customHeight="1">
      <c r="A523" s="451"/>
      <c r="B523" s="568" t="s">
        <v>979</v>
      </c>
      <c r="C523" s="566" t="s">
        <v>330</v>
      </c>
      <c r="D523" s="525" t="s">
        <v>1111</v>
      </c>
      <c r="E523" s="524" t="s">
        <v>322</v>
      </c>
      <c r="F523" s="1322">
        <f>K523</f>
        <v>170</v>
      </c>
      <c r="G523" s="527">
        <f t="shared" si="568"/>
        <v>1.03</v>
      </c>
      <c r="H523" s="527">
        <f t="shared" si="572"/>
        <v>175.1</v>
      </c>
      <c r="I523" s="901"/>
      <c r="J523" s="582"/>
      <c r="K523" s="1175">
        <v>170</v>
      </c>
      <c r="L523" s="530">
        <f t="shared" si="569"/>
        <v>1.05</v>
      </c>
      <c r="M523" s="530">
        <f t="shared" si="566"/>
        <v>178.5</v>
      </c>
      <c r="N523" s="1053"/>
      <c r="O523" s="786" t="s">
        <v>683</v>
      </c>
      <c r="P523" s="777">
        <v>0.3</v>
      </c>
      <c r="Q523" s="777"/>
      <c r="R523" s="751">
        <v>0.98</v>
      </c>
      <c r="S523" s="752"/>
      <c r="T523" s="792">
        <v>0.8</v>
      </c>
      <c r="U523" s="803">
        <v>0</v>
      </c>
      <c r="V523" s="803">
        <v>0</v>
      </c>
      <c r="W523" s="803">
        <v>0</v>
      </c>
      <c r="X523" s="858">
        <v>1</v>
      </c>
      <c r="Y523" s="310">
        <f>ROUND((R523+S523/'Summary-E'!$M$63)*X523,2)</f>
        <v>0.98</v>
      </c>
      <c r="Z523" s="858">
        <f t="shared" si="567"/>
        <v>1.05</v>
      </c>
      <c r="AA523" s="813">
        <f t="shared" si="570"/>
        <v>1.03</v>
      </c>
      <c r="AB523" s="447">
        <f t="shared" si="556"/>
        <v>0.05</v>
      </c>
      <c r="AC523" s="310">
        <f t="shared" si="571"/>
        <v>0.84</v>
      </c>
      <c r="AD523" s="717">
        <f>ROUND(AC523*'[1]Summary E&amp;M'!$R$94,2)</f>
        <v>1.05</v>
      </c>
      <c r="AE523" s="825">
        <f t="shared" si="557"/>
        <v>166.6</v>
      </c>
      <c r="AF523" s="825">
        <f t="shared" si="558"/>
        <v>142.80000000000001</v>
      </c>
      <c r="AG523" s="743"/>
      <c r="AH523" s="728"/>
      <c r="AI523" s="519">
        <f t="shared" si="559"/>
        <v>0</v>
      </c>
      <c r="AJ523" s="519">
        <f t="shared" si="560"/>
        <v>0</v>
      </c>
      <c r="AK523" s="519">
        <f t="shared" si="561"/>
        <v>0</v>
      </c>
      <c r="AL523" s="520">
        <f t="shared" si="562"/>
        <v>0</v>
      </c>
      <c r="AM523" s="520">
        <f t="shared" si="563"/>
        <v>0</v>
      </c>
      <c r="AN523" s="520">
        <f t="shared" si="564"/>
        <v>0</v>
      </c>
      <c r="AO523" s="520">
        <f t="shared" si="565"/>
        <v>0</v>
      </c>
      <c r="AP523" s="552"/>
      <c r="AQ523" s="552"/>
      <c r="AR523" s="552"/>
      <c r="AS523" s="552"/>
      <c r="AT523" s="552"/>
    </row>
    <row r="524" spans="1:46" s="555" customFormat="1" ht="22.5" customHeight="1">
      <c r="A524" s="570"/>
      <c r="B524" s="568" t="s">
        <v>333</v>
      </c>
      <c r="C524" s="569"/>
      <c r="D524" s="570" t="s">
        <v>1111</v>
      </c>
      <c r="E524" s="571" t="s">
        <v>322</v>
      </c>
      <c r="F524" s="1322">
        <f>K524</f>
        <v>1</v>
      </c>
      <c r="G524" s="527">
        <f t="shared" si="568"/>
        <v>50.9</v>
      </c>
      <c r="H524" s="527">
        <f t="shared" si="572"/>
        <v>50.9</v>
      </c>
      <c r="I524" s="901"/>
      <c r="J524" s="582"/>
      <c r="K524" s="1175">
        <v>1</v>
      </c>
      <c r="L524" s="530">
        <f t="shared" si="569"/>
        <v>9.84</v>
      </c>
      <c r="M524" s="530">
        <f t="shared" si="566"/>
        <v>9.84</v>
      </c>
      <c r="N524" s="1053"/>
      <c r="O524" s="786" t="s">
        <v>130</v>
      </c>
      <c r="P524" s="777">
        <v>0.15</v>
      </c>
      <c r="Q524" s="777"/>
      <c r="R524" s="751">
        <v>49.98</v>
      </c>
      <c r="S524" s="752"/>
      <c r="T524" s="792">
        <v>7.496999999999999</v>
      </c>
      <c r="U524" s="803">
        <v>0</v>
      </c>
      <c r="V524" s="803">
        <v>0</v>
      </c>
      <c r="W524" s="803">
        <v>0</v>
      </c>
      <c r="X524" s="858">
        <f>SUMIF('Summary-E'!O$4:O$50,D524,'Summary-E'!Q$4:Q$50)</f>
        <v>0.97</v>
      </c>
      <c r="Y524" s="310">
        <f>ROUND((R524+S524/'Summary-E'!$M$63)*X524,2)</f>
        <v>48.48</v>
      </c>
      <c r="Z524" s="858">
        <f t="shared" si="567"/>
        <v>1.05</v>
      </c>
      <c r="AA524" s="813">
        <f t="shared" si="570"/>
        <v>50.9</v>
      </c>
      <c r="AB524" s="447">
        <f t="shared" si="556"/>
        <v>0.05</v>
      </c>
      <c r="AC524" s="310">
        <f t="shared" si="571"/>
        <v>7.87</v>
      </c>
      <c r="AD524" s="717">
        <f>ROUND(AC524*'[1]Summary E&amp;M'!$R$94,2)</f>
        <v>9.84</v>
      </c>
      <c r="AE524" s="825">
        <f t="shared" si="557"/>
        <v>48.48</v>
      </c>
      <c r="AF524" s="825">
        <f t="shared" si="558"/>
        <v>7.87</v>
      </c>
      <c r="AG524" s="743"/>
      <c r="AH524" s="728"/>
      <c r="AI524" s="519">
        <f t="shared" si="559"/>
        <v>0</v>
      </c>
      <c r="AJ524" s="519">
        <f t="shared" si="560"/>
        <v>0</v>
      </c>
      <c r="AK524" s="519">
        <f t="shared" si="561"/>
        <v>0</v>
      </c>
      <c r="AL524" s="520">
        <f t="shared" si="562"/>
        <v>0</v>
      </c>
      <c r="AM524" s="520">
        <f t="shared" si="563"/>
        <v>0</v>
      </c>
      <c r="AN524" s="520">
        <f t="shared" si="564"/>
        <v>0</v>
      </c>
      <c r="AO524" s="520">
        <f t="shared" si="565"/>
        <v>0</v>
      </c>
      <c r="AP524" s="552"/>
      <c r="AQ524" s="552"/>
      <c r="AR524" s="552"/>
      <c r="AS524" s="552"/>
      <c r="AT524" s="552"/>
    </row>
    <row r="525" spans="1:46" s="555" customFormat="1" ht="22.5" customHeight="1">
      <c r="A525" s="451"/>
      <c r="B525" s="531" t="s">
        <v>718</v>
      </c>
      <c r="C525" s="566"/>
      <c r="D525" s="525" t="s">
        <v>139</v>
      </c>
      <c r="E525" s="524" t="s">
        <v>321</v>
      </c>
      <c r="F525" s="1314">
        <f>ROUND(K525*'[1]Summary E&amp;M'!$K$98,0)</f>
        <v>1</v>
      </c>
      <c r="G525" s="527">
        <f t="shared" si="568"/>
        <v>25.45</v>
      </c>
      <c r="H525" s="527">
        <f t="shared" si="572"/>
        <v>25.45</v>
      </c>
      <c r="I525" s="901"/>
      <c r="J525" s="582"/>
      <c r="K525" s="1175">
        <v>1</v>
      </c>
      <c r="L525" s="530">
        <f t="shared" si="569"/>
        <v>4.93</v>
      </c>
      <c r="M525" s="530">
        <f t="shared" si="566"/>
        <v>4.93</v>
      </c>
      <c r="N525" s="1053"/>
      <c r="O525" s="786">
        <v>131</v>
      </c>
      <c r="P525" s="777"/>
      <c r="Q525" s="777"/>
      <c r="R525" s="751">
        <v>24.99</v>
      </c>
      <c r="S525" s="752"/>
      <c r="T525" s="792">
        <v>3.7484999999999995</v>
      </c>
      <c r="U525" s="803">
        <v>0</v>
      </c>
      <c r="V525" s="803">
        <v>0</v>
      </c>
      <c r="W525" s="803">
        <v>0</v>
      </c>
      <c r="X525" s="858">
        <f>SUMIF('Summary-E'!O$4:O$50,D525,'Summary-E'!Q$4:Q$50)</f>
        <v>0.97</v>
      </c>
      <c r="Y525" s="310">
        <f>ROUND((R525+S525/'Summary-E'!$M$63)*X525,2)</f>
        <v>24.24</v>
      </c>
      <c r="Z525" s="858">
        <f t="shared" si="567"/>
        <v>1.05</v>
      </c>
      <c r="AA525" s="813">
        <f t="shared" si="570"/>
        <v>25.45</v>
      </c>
      <c r="AB525" s="447">
        <f t="shared" si="556"/>
        <v>0.05</v>
      </c>
      <c r="AC525" s="310">
        <f t="shared" si="571"/>
        <v>3.94</v>
      </c>
      <c r="AD525" s="717">
        <f>ROUND(AC525*'[1]Summary E&amp;M'!$R$94,2)</f>
        <v>4.93</v>
      </c>
      <c r="AE525" s="825">
        <f t="shared" si="557"/>
        <v>24.24</v>
      </c>
      <c r="AF525" s="825">
        <f t="shared" si="558"/>
        <v>3.94</v>
      </c>
      <c r="AG525" s="743"/>
      <c r="AH525" s="728"/>
      <c r="AI525" s="519">
        <f t="shared" si="559"/>
        <v>0</v>
      </c>
      <c r="AJ525" s="519">
        <f t="shared" si="560"/>
        <v>0</v>
      </c>
      <c r="AK525" s="519">
        <f t="shared" si="561"/>
        <v>0</v>
      </c>
      <c r="AL525" s="520">
        <f t="shared" si="562"/>
        <v>0</v>
      </c>
      <c r="AM525" s="520">
        <f t="shared" si="563"/>
        <v>0</v>
      </c>
      <c r="AN525" s="520">
        <f t="shared" si="564"/>
        <v>0</v>
      </c>
      <c r="AO525" s="520">
        <f t="shared" si="565"/>
        <v>0</v>
      </c>
      <c r="AP525" s="552"/>
      <c r="AQ525" s="552"/>
      <c r="AR525" s="552"/>
      <c r="AS525" s="552"/>
      <c r="AT525" s="552"/>
    </row>
    <row r="526" spans="1:46" s="555" customFormat="1" ht="22.5" customHeight="1">
      <c r="A526" s="451"/>
      <c r="B526" s="531" t="s">
        <v>980</v>
      </c>
      <c r="C526" s="566"/>
      <c r="D526" s="525" t="s">
        <v>1121</v>
      </c>
      <c r="E526" s="524" t="s">
        <v>321</v>
      </c>
      <c r="F526" s="1314">
        <f>ROUND(K526*'[1]Summary E&amp;M'!$K$98,0)</f>
        <v>2</v>
      </c>
      <c r="G526" s="527">
        <f t="shared" si="568"/>
        <v>1833.3</v>
      </c>
      <c r="H526" s="527">
        <f t="shared" si="572"/>
        <v>3666.6</v>
      </c>
      <c r="I526" s="901"/>
      <c r="J526" s="582"/>
      <c r="K526" s="1175">
        <v>2</v>
      </c>
      <c r="L526" s="530">
        <f t="shared" si="569"/>
        <v>1181.25</v>
      </c>
      <c r="M526" s="530">
        <f t="shared" si="566"/>
        <v>2362.5</v>
      </c>
      <c r="N526" s="1053"/>
      <c r="O526" s="786">
        <v>131</v>
      </c>
      <c r="P526" s="777"/>
      <c r="Q526" s="777"/>
      <c r="R526" s="751">
        <v>1800</v>
      </c>
      <c r="S526" s="752"/>
      <c r="T526" s="792">
        <v>900</v>
      </c>
      <c r="U526" s="803">
        <v>0</v>
      </c>
      <c r="V526" s="803">
        <v>0</v>
      </c>
      <c r="W526" s="803">
        <v>0</v>
      </c>
      <c r="X526" s="858">
        <f>SUMIF('Summary-E'!O$4:O$50,D526,'Summary-E'!Q$4:Q$50)</f>
        <v>0.97</v>
      </c>
      <c r="Y526" s="310">
        <f>ROUND((R526+S526/'Summary-E'!$M$63)*X526,2)</f>
        <v>1746</v>
      </c>
      <c r="Z526" s="858">
        <f t="shared" si="567"/>
        <v>1.05</v>
      </c>
      <c r="AA526" s="813">
        <f t="shared" si="570"/>
        <v>1833.3</v>
      </c>
      <c r="AB526" s="447">
        <f t="shared" si="556"/>
        <v>0.05</v>
      </c>
      <c r="AC526" s="310">
        <f t="shared" si="571"/>
        <v>945</v>
      </c>
      <c r="AD526" s="717">
        <f>ROUND(AC526*'[1]Summary E&amp;M'!$R$94,2)</f>
        <v>1181.25</v>
      </c>
      <c r="AE526" s="825">
        <f t="shared" si="557"/>
        <v>3492</v>
      </c>
      <c r="AF526" s="825">
        <f t="shared" si="558"/>
        <v>1890</v>
      </c>
      <c r="AG526" s="743"/>
      <c r="AH526" s="728"/>
      <c r="AI526" s="519">
        <f t="shared" si="559"/>
        <v>0</v>
      </c>
      <c r="AJ526" s="519">
        <f t="shared" si="560"/>
        <v>0</v>
      </c>
      <c r="AK526" s="519">
        <f t="shared" si="561"/>
        <v>0</v>
      </c>
      <c r="AL526" s="520">
        <f t="shared" si="562"/>
        <v>0</v>
      </c>
      <c r="AM526" s="520">
        <f t="shared" si="563"/>
        <v>0</v>
      </c>
      <c r="AN526" s="520">
        <f t="shared" si="564"/>
        <v>0</v>
      </c>
      <c r="AO526" s="520">
        <f t="shared" si="565"/>
        <v>0</v>
      </c>
      <c r="AP526" s="552"/>
      <c r="AQ526" s="552"/>
      <c r="AR526" s="552"/>
      <c r="AS526" s="552"/>
      <c r="AT526" s="552"/>
    </row>
    <row r="527" spans="1:46" s="555" customFormat="1" ht="22.5" customHeight="1">
      <c r="A527" s="451"/>
      <c r="B527" s="531" t="s">
        <v>981</v>
      </c>
      <c r="C527" s="566"/>
      <c r="D527" s="525" t="s">
        <v>1121</v>
      </c>
      <c r="E527" s="524" t="s">
        <v>321</v>
      </c>
      <c r="F527" s="1314">
        <f>ROUND(K527*'[1]Summary E&amp;M'!$K$98,0)</f>
        <v>1</v>
      </c>
      <c r="G527" s="527">
        <f t="shared" si="568"/>
        <v>407.4</v>
      </c>
      <c r="H527" s="527">
        <f t="shared" si="572"/>
        <v>407.4</v>
      </c>
      <c r="I527" s="901"/>
      <c r="J527" s="582"/>
      <c r="K527" s="1175">
        <v>1</v>
      </c>
      <c r="L527" s="530">
        <f t="shared" si="569"/>
        <v>0</v>
      </c>
      <c r="M527" s="530">
        <f t="shared" si="566"/>
        <v>0</v>
      </c>
      <c r="N527" s="1053"/>
      <c r="O527" s="786">
        <v>131</v>
      </c>
      <c r="P527" s="777"/>
      <c r="Q527" s="777"/>
      <c r="R527" s="751">
        <v>400</v>
      </c>
      <c r="S527" s="752"/>
      <c r="T527" s="792"/>
      <c r="U527" s="803">
        <v>0</v>
      </c>
      <c r="V527" s="803">
        <v>0</v>
      </c>
      <c r="W527" s="803">
        <v>0</v>
      </c>
      <c r="X527" s="858">
        <f>SUMIF('Summary-E'!O$4:O$50,D527,'Summary-E'!Q$4:Q$50)</f>
        <v>0.97</v>
      </c>
      <c r="Y527" s="310">
        <f>ROUND((R527+S527/'Summary-E'!$M$63)*X527,2)</f>
        <v>388</v>
      </c>
      <c r="Z527" s="858">
        <f t="shared" si="567"/>
        <v>1.05</v>
      </c>
      <c r="AA527" s="813">
        <f t="shared" si="570"/>
        <v>407.4</v>
      </c>
      <c r="AB527" s="447">
        <f t="shared" si="556"/>
        <v>0.05</v>
      </c>
      <c r="AC527" s="310">
        <f t="shared" si="571"/>
        <v>0</v>
      </c>
      <c r="AD527" s="717">
        <f>ROUND(AC527*'[1]Summary E&amp;M'!$R$94,2)</f>
        <v>0</v>
      </c>
      <c r="AE527" s="825">
        <f t="shared" si="557"/>
        <v>388</v>
      </c>
      <c r="AF527" s="825">
        <f t="shared" si="558"/>
        <v>0</v>
      </c>
      <c r="AG527" s="743"/>
      <c r="AH527" s="728"/>
      <c r="AI527" s="519">
        <f t="shared" si="559"/>
        <v>0</v>
      </c>
      <c r="AJ527" s="519">
        <f t="shared" si="560"/>
        <v>0</v>
      </c>
      <c r="AK527" s="519">
        <f t="shared" si="561"/>
        <v>0</v>
      </c>
      <c r="AL527" s="520">
        <f t="shared" si="562"/>
        <v>0</v>
      </c>
      <c r="AM527" s="520">
        <f t="shared" si="563"/>
        <v>0</v>
      </c>
      <c r="AN527" s="520">
        <f t="shared" si="564"/>
        <v>0</v>
      </c>
      <c r="AO527" s="520">
        <f t="shared" si="565"/>
        <v>0</v>
      </c>
      <c r="AP527" s="552"/>
      <c r="AQ527" s="552"/>
      <c r="AR527" s="552"/>
      <c r="AS527" s="552"/>
      <c r="AT527" s="552"/>
    </row>
    <row r="528" spans="1:46" s="555" customFormat="1" ht="22.5" customHeight="1">
      <c r="A528" s="570"/>
      <c r="B528" s="568" t="s">
        <v>401</v>
      </c>
      <c r="C528" s="569"/>
      <c r="D528" s="570">
        <v>159</v>
      </c>
      <c r="E528" s="571" t="s">
        <v>322</v>
      </c>
      <c r="F528" s="1322">
        <f>K528</f>
        <v>1</v>
      </c>
      <c r="G528" s="527">
        <f>ROUND(AA528,2)</f>
        <v>282.63</v>
      </c>
      <c r="H528" s="527">
        <f>ROUND(F528*G528,2)</f>
        <v>282.63</v>
      </c>
      <c r="I528" s="901"/>
      <c r="J528" s="309"/>
      <c r="K528" s="1175">
        <v>1</v>
      </c>
      <c r="L528" s="530">
        <f>ROUND(AD528,2)</f>
        <v>54.63</v>
      </c>
      <c r="M528" s="530">
        <f t="shared" si="566"/>
        <v>54.63</v>
      </c>
      <c r="N528" s="309"/>
      <c r="O528" s="776">
        <v>159</v>
      </c>
      <c r="P528" s="777">
        <v>0.05</v>
      </c>
      <c r="Q528" s="777"/>
      <c r="R528" s="751">
        <v>277.49</v>
      </c>
      <c r="S528" s="752"/>
      <c r="T528" s="792">
        <v>41.6235</v>
      </c>
      <c r="U528" s="803">
        <v>0</v>
      </c>
      <c r="V528" s="803">
        <v>0</v>
      </c>
      <c r="W528" s="803">
        <v>0</v>
      </c>
      <c r="X528" s="858">
        <f>SUMIF('Summary-E'!O$4:O$50,D528,'Summary-E'!Q$4:Q$50)</f>
        <v>0.97</v>
      </c>
      <c r="Y528" s="310">
        <f>ROUND((R528+S528/'Summary-E'!$M$63)*X528,2)</f>
        <v>269.17</v>
      </c>
      <c r="Z528" s="858">
        <f t="shared" si="567"/>
        <v>1.05</v>
      </c>
      <c r="AA528" s="813">
        <f>ROUND(Y528*Z528,2)</f>
        <v>282.63</v>
      </c>
      <c r="AB528" s="447">
        <f t="shared" si="556"/>
        <v>0.05</v>
      </c>
      <c r="AC528" s="310">
        <f t="shared" si="571"/>
        <v>43.7</v>
      </c>
      <c r="AD528" s="717">
        <f>ROUND(AC528*'[1]Summary E&amp;M'!$R$94,2)</f>
        <v>54.63</v>
      </c>
      <c r="AE528" s="825">
        <f t="shared" si="557"/>
        <v>269.17</v>
      </c>
      <c r="AF528" s="825">
        <f t="shared" si="558"/>
        <v>43.7</v>
      </c>
      <c r="AG528" s="743"/>
      <c r="AH528" s="728"/>
      <c r="AI528" s="519">
        <f t="shared" si="559"/>
        <v>0</v>
      </c>
      <c r="AJ528" s="519">
        <f t="shared" si="560"/>
        <v>0</v>
      </c>
      <c r="AK528" s="519">
        <f t="shared" si="561"/>
        <v>0</v>
      </c>
      <c r="AL528" s="520">
        <f t="shared" si="562"/>
        <v>0</v>
      </c>
      <c r="AM528" s="520">
        <f t="shared" si="563"/>
        <v>0</v>
      </c>
      <c r="AN528" s="520">
        <f t="shared" si="564"/>
        <v>0</v>
      </c>
      <c r="AO528" s="520">
        <f t="shared" si="565"/>
        <v>0</v>
      </c>
      <c r="AP528" s="552"/>
      <c r="AQ528" s="552"/>
      <c r="AR528" s="552"/>
      <c r="AS528" s="552"/>
      <c r="AT528" s="552"/>
    </row>
    <row r="529" spans="1:68" s="555" customFormat="1" ht="22.5" customHeight="1">
      <c r="A529" s="570"/>
      <c r="B529" s="568" t="s">
        <v>327</v>
      </c>
      <c r="C529" s="569"/>
      <c r="D529" s="570" t="s">
        <v>134</v>
      </c>
      <c r="E529" s="571" t="s">
        <v>319</v>
      </c>
      <c r="F529" s="1322">
        <f>K529</f>
        <v>1</v>
      </c>
      <c r="G529" s="527">
        <f>ROUND(AA529,2)</f>
        <v>122.22</v>
      </c>
      <c r="H529" s="527">
        <f>ROUND(F529*G529,2)</f>
        <v>122.22</v>
      </c>
      <c r="I529" s="901"/>
      <c r="J529" s="309"/>
      <c r="K529" s="1175">
        <v>1</v>
      </c>
      <c r="L529" s="530">
        <f>ROUND(AD529,2)</f>
        <v>0</v>
      </c>
      <c r="M529" s="530">
        <f t="shared" si="566"/>
        <v>0</v>
      </c>
      <c r="N529" s="309"/>
      <c r="O529" s="776" t="s">
        <v>134</v>
      </c>
      <c r="P529" s="777"/>
      <c r="Q529" s="777"/>
      <c r="R529" s="751">
        <v>120</v>
      </c>
      <c r="S529" s="752"/>
      <c r="T529" s="792"/>
      <c r="U529" s="803">
        <v>0</v>
      </c>
      <c r="V529" s="803">
        <v>0</v>
      </c>
      <c r="W529" s="803">
        <v>0</v>
      </c>
      <c r="X529" s="858">
        <f>SUMIF('Summary-E'!O$4:O$50,D529,'Summary-E'!Q$4:Q$50)</f>
        <v>0.97</v>
      </c>
      <c r="Y529" s="310">
        <f>ROUND((R529+S529/'Summary-E'!$M$63)*X529,2)</f>
        <v>116.4</v>
      </c>
      <c r="Z529" s="858">
        <f t="shared" si="567"/>
        <v>1.05</v>
      </c>
      <c r="AA529" s="813">
        <f>ROUND(Y529*Z529,2)</f>
        <v>122.22</v>
      </c>
      <c r="AB529" s="447">
        <f t="shared" si="556"/>
        <v>0.05</v>
      </c>
      <c r="AC529" s="310">
        <f t="shared" si="571"/>
        <v>0</v>
      </c>
      <c r="AD529" s="717">
        <f>ROUND(AC529*'[1]Summary E&amp;M'!$R$94,2)</f>
        <v>0</v>
      </c>
      <c r="AE529" s="825">
        <f t="shared" si="557"/>
        <v>116.4</v>
      </c>
      <c r="AF529" s="825">
        <f t="shared" si="558"/>
        <v>0</v>
      </c>
      <c r="AG529" s="743"/>
      <c r="AH529" s="728"/>
      <c r="AI529" s="519">
        <f t="shared" si="559"/>
        <v>0</v>
      </c>
      <c r="AJ529" s="519">
        <f t="shared" si="560"/>
        <v>0</v>
      </c>
      <c r="AK529" s="519">
        <f t="shared" si="561"/>
        <v>0</v>
      </c>
      <c r="AL529" s="520">
        <f t="shared" si="562"/>
        <v>0</v>
      </c>
      <c r="AM529" s="520">
        <f t="shared" si="563"/>
        <v>0</v>
      </c>
      <c r="AN529" s="520">
        <f t="shared" si="564"/>
        <v>0</v>
      </c>
      <c r="AO529" s="520">
        <f t="shared" si="565"/>
        <v>0</v>
      </c>
      <c r="AP529" s="552"/>
      <c r="AQ529" s="552"/>
      <c r="AR529" s="552"/>
      <c r="AS529" s="552"/>
      <c r="AT529" s="552"/>
    </row>
    <row r="530" spans="1:68" s="555" customFormat="1" ht="22.5" customHeight="1">
      <c r="A530" s="620"/>
      <c r="B530" s="531"/>
      <c r="C530" s="566"/>
      <c r="D530" s="525"/>
      <c r="E530" s="524"/>
      <c r="F530" s="1314"/>
      <c r="G530" s="527"/>
      <c r="H530" s="527"/>
      <c r="I530" s="901"/>
      <c r="J530" s="582"/>
      <c r="K530" s="1175"/>
      <c r="L530" s="530">
        <f>ROUND(AD530,2)</f>
        <v>0</v>
      </c>
      <c r="M530" s="530">
        <f t="shared" si="566"/>
        <v>0</v>
      </c>
      <c r="N530" s="309"/>
      <c r="O530" s="786"/>
      <c r="P530" s="777"/>
      <c r="Q530" s="777"/>
      <c r="R530" s="751"/>
      <c r="S530" s="752"/>
      <c r="T530" s="792"/>
      <c r="U530" s="803"/>
      <c r="V530" s="803"/>
      <c r="W530" s="803"/>
      <c r="X530" s="858">
        <f>SUMIF('Summary-E'!O$4:O$50,D530,'Summary-E'!Q$4:Q$50)</f>
        <v>0</v>
      </c>
      <c r="Y530" s="310">
        <f>ROUND((R530+S530/'Summary-E'!$M$63)*X530,2)</f>
        <v>0</v>
      </c>
      <c r="Z530" s="858">
        <f t="shared" si="567"/>
        <v>1.05</v>
      </c>
      <c r="AA530" s="813"/>
      <c r="AB530" s="447"/>
      <c r="AC530" s="310">
        <f t="shared" si="571"/>
        <v>0</v>
      </c>
      <c r="AD530" s="717">
        <f>ROUND(AC530*'[1]Summary E&amp;M'!$R$94,2)</f>
        <v>0</v>
      </c>
      <c r="AE530" s="825">
        <f t="shared" si="557"/>
        <v>0</v>
      </c>
      <c r="AF530" s="825">
        <f t="shared" si="558"/>
        <v>0</v>
      </c>
      <c r="AG530" s="743"/>
      <c r="AH530" s="728"/>
      <c r="AI530" s="519"/>
      <c r="AJ530" s="519"/>
      <c r="AK530" s="519"/>
      <c r="AL530" s="520"/>
      <c r="AM530" s="520"/>
      <c r="AN530" s="520"/>
      <c r="AO530" s="520"/>
      <c r="AP530" s="552"/>
      <c r="AQ530" s="552"/>
      <c r="AR530" s="552"/>
      <c r="AS530" s="552"/>
      <c r="AT530" s="552"/>
    </row>
    <row r="531" spans="1:68" s="711" customFormat="1" ht="22.5" customHeight="1">
      <c r="A531" s="570"/>
      <c r="B531" s="568" t="s">
        <v>324</v>
      </c>
      <c r="C531" s="569"/>
      <c r="D531" s="570">
        <v>210</v>
      </c>
      <c r="E531" s="571" t="s">
        <v>319</v>
      </c>
      <c r="F531" s="1322">
        <f>K531</f>
        <v>1</v>
      </c>
      <c r="G531" s="527">
        <f>M533</f>
        <v>3055.08</v>
      </c>
      <c r="H531" s="527">
        <f>F531*G531</f>
        <v>3055.08</v>
      </c>
      <c r="I531" s="901"/>
      <c r="J531" s="582"/>
      <c r="K531" s="1175">
        <v>1</v>
      </c>
      <c r="L531" s="530"/>
      <c r="M531" s="530"/>
      <c r="N531" s="1053"/>
      <c r="O531" s="786">
        <v>210</v>
      </c>
      <c r="P531" s="777"/>
      <c r="Q531" s="777"/>
      <c r="R531" s="751"/>
      <c r="S531" s="752"/>
      <c r="T531" s="796"/>
      <c r="U531" s="803">
        <v>0</v>
      </c>
      <c r="V531" s="803">
        <v>0</v>
      </c>
      <c r="W531" s="803">
        <v>0</v>
      </c>
      <c r="X531" s="858">
        <f>SUMIF('Summary-E'!O$4:O$50,D531,'Summary-E'!Q$4:Q$50)</f>
        <v>0.05</v>
      </c>
      <c r="Y531" s="310">
        <f>ROUND((R531+S531/'Summary-E'!$M$63)*X531,2)</f>
        <v>0</v>
      </c>
      <c r="Z531" s="858">
        <f t="shared" si="567"/>
        <v>1.05</v>
      </c>
      <c r="AA531" s="813">
        <f>ROUND(Y531*Z531,2)</f>
        <v>0</v>
      </c>
      <c r="AB531" s="447">
        <f>$AB$3</f>
        <v>0.05</v>
      </c>
      <c r="AC531" s="310">
        <f t="shared" si="571"/>
        <v>0</v>
      </c>
      <c r="AD531" s="717">
        <f>ROUND(AC531*'[1]Summary E&amp;M'!$R$94,2)</f>
        <v>0</v>
      </c>
      <c r="AE531" s="825">
        <f t="shared" si="557"/>
        <v>0</v>
      </c>
      <c r="AF531" s="825">
        <f t="shared" si="558"/>
        <v>0</v>
      </c>
      <c r="AG531" s="743"/>
      <c r="AH531" s="728"/>
      <c r="AI531" s="519">
        <f>$U531</f>
        <v>0</v>
      </c>
      <c r="AJ531" s="519">
        <f>$V531</f>
        <v>0</v>
      </c>
      <c r="AK531" s="519">
        <f>$W531</f>
        <v>0</v>
      </c>
      <c r="AL531" s="520">
        <f>ROUND(Y531*AI531+((Y531*(1+AI531))*AJ531)+((Y531*AI531+((Y531*(1+AI531))*AJ531))*AK531),2)</f>
        <v>0</v>
      </c>
      <c r="AM531" s="520">
        <f>AL531*$F531</f>
        <v>0</v>
      </c>
      <c r="AN531" s="520">
        <f>ROUND(AL531*Z531,2)</f>
        <v>0</v>
      </c>
      <c r="AO531" s="520">
        <f>AN531*$F531</f>
        <v>0</v>
      </c>
      <c r="AP531" s="552"/>
      <c r="AQ531" s="552"/>
      <c r="AR531" s="552"/>
      <c r="AS531" s="552"/>
      <c r="AT531" s="552"/>
      <c r="AU531" s="555"/>
      <c r="AV531" s="555"/>
      <c r="AW531" s="555"/>
      <c r="AX531" s="555"/>
      <c r="AY531" s="555"/>
      <c r="AZ531" s="555"/>
      <c r="BA531" s="555"/>
      <c r="BB531" s="555"/>
      <c r="BC531" s="555"/>
      <c r="BD531" s="555"/>
      <c r="BE531" s="555"/>
      <c r="BF531" s="555"/>
      <c r="BG531" s="555"/>
      <c r="BH531" s="555"/>
      <c r="BI531" s="555"/>
      <c r="BJ531" s="555"/>
      <c r="BK531" s="555"/>
      <c r="BL531" s="555"/>
      <c r="BM531" s="555"/>
      <c r="BN531" s="555"/>
      <c r="BO531" s="555"/>
      <c r="BP531" s="555"/>
    </row>
    <row r="532" spans="1:68" s="555" customFormat="1" ht="22.5" customHeight="1">
      <c r="A532" s="616"/>
      <c r="B532" s="573"/>
      <c r="C532" s="574"/>
      <c r="D532" s="616"/>
      <c r="E532" s="617"/>
      <c r="F532" s="1326"/>
      <c r="G532" s="607"/>
      <c r="H532" s="608"/>
      <c r="I532" s="578"/>
      <c r="J532" s="609"/>
      <c r="K532" s="1183"/>
      <c r="L532" s="610"/>
      <c r="M532" s="610"/>
      <c r="N532" s="1053"/>
      <c r="O532" s="786"/>
      <c r="P532" s="777"/>
      <c r="Q532" s="777"/>
      <c r="R532" s="751"/>
      <c r="S532" s="752"/>
      <c r="T532" s="796"/>
      <c r="U532" s="803"/>
      <c r="V532" s="803"/>
      <c r="W532" s="803"/>
      <c r="X532" s="858">
        <f>SUMIF('Summary-E'!O$4:O$50,D532,'Summary-E'!Q$4:Q$50)</f>
        <v>0</v>
      </c>
      <c r="Y532" s="310">
        <f>ROUND((R532+S532/'Summary-E'!$M$63)*X532,2)</f>
        <v>0</v>
      </c>
      <c r="Z532" s="858">
        <f t="shared" si="567"/>
        <v>1.05</v>
      </c>
      <c r="AA532" s="818"/>
      <c r="AB532" s="310"/>
      <c r="AC532" s="310">
        <f t="shared" si="571"/>
        <v>0</v>
      </c>
      <c r="AD532" s="717">
        <f>ROUND(AC532*'[1]Summary E&amp;M'!$R$94,2)</f>
        <v>0</v>
      </c>
      <c r="AE532" s="835"/>
      <c r="AF532" s="835"/>
      <c r="AG532" s="738"/>
      <c r="AH532" s="737"/>
      <c r="AI532" s="552"/>
      <c r="AJ532" s="552"/>
      <c r="AK532" s="552"/>
      <c r="AL532" s="552"/>
      <c r="AM532" s="552"/>
      <c r="AN532" s="552"/>
      <c r="AO532" s="552"/>
      <c r="AP532" s="552"/>
      <c r="AQ532" s="552"/>
      <c r="AR532" s="552"/>
      <c r="AS532" s="552"/>
      <c r="AT532" s="552"/>
    </row>
    <row r="533" spans="1:68" s="711" customFormat="1" ht="22.5" customHeight="1">
      <c r="A533" s="973"/>
      <c r="B533" s="974" t="s">
        <v>1009</v>
      </c>
      <c r="C533" s="979"/>
      <c r="D533" s="980"/>
      <c r="E533" s="976"/>
      <c r="F533" s="1317"/>
      <c r="G533" s="982"/>
      <c r="H533" s="971">
        <f>SUBTOTAL(9,H516:H532)</f>
        <v>11914.849999999997</v>
      </c>
      <c r="I533" s="981"/>
      <c r="J533" s="609"/>
      <c r="K533" s="1184"/>
      <c r="L533" s="600"/>
      <c r="M533" s="1051">
        <f>SUBTOTAL(9,M516:M531)</f>
        <v>3055.08</v>
      </c>
      <c r="N533" s="1054"/>
      <c r="O533" s="787"/>
      <c r="P533" s="780"/>
      <c r="Q533" s="780"/>
      <c r="R533" s="759"/>
      <c r="S533" s="752"/>
      <c r="T533" s="796"/>
      <c r="U533" s="803"/>
      <c r="V533" s="803"/>
      <c r="W533" s="803"/>
      <c r="X533" s="858">
        <f>SUMIF('Summary-E'!O$4:O$50,D533,'Summary-E'!Q$4:Q$50)</f>
        <v>0</v>
      </c>
      <c r="Y533" s="310">
        <f>ROUND((R533+S533/'Summary-E'!$M$63)*X533,2)</f>
        <v>0</v>
      </c>
      <c r="Z533" s="858">
        <f t="shared" si="567"/>
        <v>1.05</v>
      </c>
      <c r="AA533" s="818"/>
      <c r="AB533" s="552"/>
      <c r="AC533" s="310">
        <f t="shared" si="571"/>
        <v>0</v>
      </c>
      <c r="AD533" s="717">
        <f>ROUND(AC533*'[1]Summary E&amp;M'!$R$94,2)</f>
        <v>0</v>
      </c>
      <c r="AE533" s="823">
        <f>SUBTOTAL(9,AE516:AE532)</f>
        <v>8365.7099999999991</v>
      </c>
      <c r="AF533" s="823">
        <f>SUBTOTAL(9,AF516:AF532)</f>
        <v>2435.14</v>
      </c>
      <c r="AG533" s="614"/>
      <c r="AH533" s="730"/>
      <c r="AI533" s="713"/>
      <c r="AJ533" s="713"/>
      <c r="AK533" s="713"/>
      <c r="AL533" s="713"/>
      <c r="AM533" s="712">
        <f>SUBTOTAL(9,AM516:AM532)</f>
        <v>0</v>
      </c>
      <c r="AN533" s="713"/>
      <c r="AO533" s="712">
        <f>SUBTOTAL(9,AO516:AO532)</f>
        <v>0</v>
      </c>
      <c r="AP533" s="713"/>
      <c r="AQ533" s="713"/>
      <c r="AR533" s="713"/>
      <c r="AS533" s="713"/>
      <c r="AT533" s="713"/>
    </row>
    <row r="534" spans="1:68" s="555" customFormat="1" ht="23.25" customHeight="1">
      <c r="A534" s="451"/>
      <c r="B534" s="522"/>
      <c r="C534" s="572"/>
      <c r="D534" s="603"/>
      <c r="E534" s="540"/>
      <c r="F534" s="1328"/>
      <c r="G534" s="527"/>
      <c r="H534" s="541"/>
      <c r="I534" s="598"/>
      <c r="J534" s="599"/>
      <c r="K534" s="1173"/>
      <c r="L534" s="600"/>
      <c r="M534" s="604"/>
      <c r="N534" s="599"/>
      <c r="O534" s="776"/>
      <c r="P534" s="777"/>
      <c r="Q534" s="777"/>
      <c r="R534" s="751"/>
      <c r="S534" s="752"/>
      <c r="T534" s="796"/>
      <c r="U534" s="803"/>
      <c r="V534" s="803"/>
      <c r="W534" s="803"/>
      <c r="X534" s="858">
        <f>SUMIF('Summary-E'!O$4:O$50,D534,'Summary-E'!Q$4:Q$50)</f>
        <v>0</v>
      </c>
      <c r="Y534" s="310">
        <f>ROUND((R534+S534/'[12]Summary E&amp;M (Origin)'!$M$101)*X534,2)</f>
        <v>0</v>
      </c>
      <c r="Z534" s="858">
        <f t="shared" si="567"/>
        <v>1.05</v>
      </c>
      <c r="AA534" s="813"/>
      <c r="AB534" s="429"/>
      <c r="AC534" s="310">
        <f t="shared" si="571"/>
        <v>0</v>
      </c>
      <c r="AD534" s="717">
        <f>ROUND(AC534*'[1]Summary E&amp;M'!$R$94,2)</f>
        <v>0</v>
      </c>
      <c r="AE534" s="835"/>
      <c r="AF534" s="835"/>
      <c r="AG534" s="738"/>
      <c r="AH534" s="739"/>
      <c r="AI534" s="553"/>
      <c r="AJ534" s="552"/>
      <c r="AK534" s="552"/>
      <c r="AL534" s="552"/>
      <c r="AM534" s="552"/>
      <c r="AN534" s="552"/>
      <c r="AO534" s="553"/>
      <c r="AP534" s="552"/>
      <c r="AQ534" s="553"/>
      <c r="AR534" s="552"/>
      <c r="AS534" s="552"/>
      <c r="AT534" s="552"/>
    </row>
    <row r="535" spans="1:68" s="555" customFormat="1" ht="23.25" customHeight="1">
      <c r="A535" s="620" t="s">
        <v>1103</v>
      </c>
      <c r="B535" s="522" t="s">
        <v>1104</v>
      </c>
      <c r="C535" s="566"/>
      <c r="D535" s="588"/>
      <c r="E535" s="523"/>
      <c r="F535" s="1328"/>
      <c r="G535" s="605"/>
      <c r="H535" s="605"/>
      <c r="I535" s="606"/>
      <c r="J535" s="428"/>
      <c r="K535" s="1173"/>
      <c r="L535" s="960"/>
      <c r="M535" s="1052"/>
      <c r="N535" s="428"/>
      <c r="O535" s="1207"/>
      <c r="P535" s="1208"/>
      <c r="Q535" s="1208"/>
      <c r="R535" s="1209"/>
      <c r="S535" s="1210"/>
      <c r="T535" s="1211"/>
      <c r="U535" s="1212">
        <v>0</v>
      </c>
      <c r="V535" s="1212">
        <v>0</v>
      </c>
      <c r="W535" s="1212">
        <v>0</v>
      </c>
      <c r="X535" s="858">
        <f>SUMIF('Summary-E'!O$4:O$50,D535,'Summary-E'!Q$4:Q$50)</f>
        <v>0</v>
      </c>
      <c r="Y535" s="310">
        <f>ROUND((R535+S535/'[12]Summary E&amp;M (Origin)'!$M$101)*X535,2)</f>
        <v>0</v>
      </c>
      <c r="Z535" s="858">
        <f t="shared" si="567"/>
        <v>1.05</v>
      </c>
      <c r="AA535" s="310">
        <f>ROUND(Y535*Z535,2)</f>
        <v>0</v>
      </c>
      <c r="AB535" s="447">
        <f t="shared" ref="AB535:AB550" si="573">$AB$3</f>
        <v>0.05</v>
      </c>
      <c r="AC535" s="310">
        <f t="shared" si="571"/>
        <v>0</v>
      </c>
      <c r="AD535" s="310">
        <f>ROUND(AC535*'[1]Summary E&amp;M'!$R$94,2)</f>
        <v>0</v>
      </c>
      <c r="AE535" s="1213">
        <f t="shared" ref="AE535:AE552" si="574">ROUND($K535*$Y535,2)</f>
        <v>0</v>
      </c>
      <c r="AF535" s="1213">
        <f t="shared" ref="AF535:AF552" si="575">ROUND($K535*$AC535,2)</f>
        <v>0</v>
      </c>
      <c r="AG535" s="743"/>
      <c r="AH535" s="728"/>
      <c r="AI535" s="519">
        <f t="shared" ref="AI535:AI550" si="576">$U535</f>
        <v>0</v>
      </c>
      <c r="AJ535" s="519">
        <f t="shared" ref="AJ535:AJ550" si="577">$V535</f>
        <v>0</v>
      </c>
      <c r="AK535" s="519">
        <f t="shared" ref="AK535:AK550" si="578">$W535</f>
        <v>0</v>
      </c>
      <c r="AL535" s="520">
        <f>ROUND(Y535*AI535+((Y535*(1+AI535))*AJ535)+((Y535*AI535+((Y535*(1+AI535))*AJ535))*AK535),2)</f>
        <v>0</v>
      </c>
      <c r="AM535" s="520">
        <f>AL535*$F535</f>
        <v>0</v>
      </c>
      <c r="AN535" s="520">
        <f>ROUND(AL535*Z535,2)</f>
        <v>0</v>
      </c>
      <c r="AO535" s="520">
        <f>AN535*$F535</f>
        <v>0</v>
      </c>
      <c r="AP535" s="718"/>
      <c r="AQ535" s="718"/>
      <c r="AR535" s="718"/>
      <c r="AS535" s="718"/>
      <c r="AT535" s="718"/>
    </row>
    <row r="536" spans="1:68" s="555" customFormat="1" ht="23.25" customHeight="1">
      <c r="A536" s="620"/>
      <c r="B536" s="531" t="s">
        <v>1105</v>
      </c>
      <c r="C536" s="566"/>
      <c r="D536" s="996" t="s">
        <v>642</v>
      </c>
      <c r="E536" s="524" t="s">
        <v>635</v>
      </c>
      <c r="F536" s="1322">
        <f>K536</f>
        <v>1</v>
      </c>
      <c r="G536" s="527">
        <f>ROUND(AA536,2)</f>
        <v>1365</v>
      </c>
      <c r="H536" s="527">
        <f>F536*G536</f>
        <v>1365</v>
      </c>
      <c r="I536" s="901"/>
      <c r="J536" s="582"/>
      <c r="K536" s="1149">
        <v>1</v>
      </c>
      <c r="L536" s="530">
        <f>ROUND(AD536,2)</f>
        <v>78.75</v>
      </c>
      <c r="M536" s="530">
        <f t="shared" ref="M536:M551" si="579">ROUND(L536*F536,2)</f>
        <v>78.75</v>
      </c>
      <c r="N536" s="309"/>
      <c r="O536" s="776" t="s">
        <v>135</v>
      </c>
      <c r="P536" s="777"/>
      <c r="Q536" s="777"/>
      <c r="R536" s="751">
        <f>1000*1.3</f>
        <v>1300</v>
      </c>
      <c r="S536" s="752"/>
      <c r="T536" s="796">
        <v>60</v>
      </c>
      <c r="U536" s="803">
        <v>0</v>
      </c>
      <c r="V536" s="803">
        <v>0</v>
      </c>
      <c r="W536" s="803">
        <v>0</v>
      </c>
      <c r="X536" s="858">
        <v>1</v>
      </c>
      <c r="Y536" s="310">
        <f>ROUND((R536+S536/'[12]Summary E&amp;M (Origin)'!$M$101)*X536,2)</f>
        <v>1300</v>
      </c>
      <c r="Z536" s="858">
        <f t="shared" si="567"/>
        <v>1.05</v>
      </c>
      <c r="AA536" s="813">
        <f>ROUND(Y536*Z536,2)</f>
        <v>1365</v>
      </c>
      <c r="AB536" s="429">
        <f t="shared" si="573"/>
        <v>0.05</v>
      </c>
      <c r="AC536" s="310">
        <f t="shared" si="571"/>
        <v>63</v>
      </c>
      <c r="AD536" s="717">
        <f>ROUND(AC536*'[1]Summary E&amp;M'!$R$94,2)</f>
        <v>78.75</v>
      </c>
      <c r="AE536" s="835">
        <f t="shared" si="574"/>
        <v>1300</v>
      </c>
      <c r="AF536" s="835">
        <f t="shared" si="575"/>
        <v>63</v>
      </c>
      <c r="AG536" s="743"/>
      <c r="AH536" s="728"/>
      <c r="AI536" s="519">
        <f t="shared" si="576"/>
        <v>0</v>
      </c>
      <c r="AJ536" s="519">
        <f t="shared" si="577"/>
        <v>0</v>
      </c>
      <c r="AK536" s="519">
        <f t="shared" si="578"/>
        <v>0</v>
      </c>
      <c r="AL536" s="520">
        <f>ROUND(Y536*AI536+((Y536*(1+AI536))*AJ536)+((Y536*AI536+((Y536*(1+AI536))*AJ536))*AK536),2)</f>
        <v>0</v>
      </c>
      <c r="AM536" s="520">
        <f>AL536*$F536</f>
        <v>0</v>
      </c>
      <c r="AN536" s="520">
        <f>ROUND(AL536*Z536,2)</f>
        <v>0</v>
      </c>
      <c r="AO536" s="520">
        <f>AN536*$F536</f>
        <v>0</v>
      </c>
      <c r="AP536" s="552"/>
      <c r="AQ536" s="552"/>
      <c r="AR536" s="552"/>
      <c r="AS536" s="552"/>
      <c r="AT536" s="552"/>
    </row>
    <row r="537" spans="1:68" s="555" customFormat="1" ht="23.25" customHeight="1">
      <c r="A537" s="620"/>
      <c r="B537" s="531" t="s">
        <v>1106</v>
      </c>
      <c r="C537" s="566"/>
      <c r="D537" s="996" t="s">
        <v>642</v>
      </c>
      <c r="E537" s="524" t="s">
        <v>418</v>
      </c>
      <c r="F537" s="1322">
        <f>K537</f>
        <v>28</v>
      </c>
      <c r="G537" s="527">
        <f t="shared" ref="G537:G548" si="580">ROUND(AA537,2)</f>
        <v>441</v>
      </c>
      <c r="H537" s="527">
        <f>F537*G537</f>
        <v>12348</v>
      </c>
      <c r="I537" s="901"/>
      <c r="J537" s="582"/>
      <c r="K537" s="1149">
        <v>28</v>
      </c>
      <c r="L537" s="530">
        <f t="shared" ref="L537:L548" si="581">ROUND(AD537,2)</f>
        <v>10.5</v>
      </c>
      <c r="M537" s="530">
        <f t="shared" si="579"/>
        <v>294</v>
      </c>
      <c r="N537" s="1053"/>
      <c r="O537" s="776" t="s">
        <v>135</v>
      </c>
      <c r="P537" s="777"/>
      <c r="Q537" s="777"/>
      <c r="R537" s="751">
        <v>420</v>
      </c>
      <c r="S537" s="752"/>
      <c r="T537" s="796">
        <v>8</v>
      </c>
      <c r="U537" s="803">
        <v>0</v>
      </c>
      <c r="V537" s="803">
        <v>0</v>
      </c>
      <c r="W537" s="803">
        <v>0</v>
      </c>
      <c r="X537" s="858">
        <v>1</v>
      </c>
      <c r="Y537" s="310">
        <f>ROUND((R537+S537/'[12]Summary E&amp;M (Origin)'!$M$101)*X537,2)</f>
        <v>420</v>
      </c>
      <c r="Z537" s="858">
        <f t="shared" si="567"/>
        <v>1.05</v>
      </c>
      <c r="AA537" s="813">
        <f t="shared" ref="AA537:AA548" si="582">ROUND(Y537*Z537,2)</f>
        <v>441</v>
      </c>
      <c r="AB537" s="429">
        <f t="shared" si="573"/>
        <v>0.05</v>
      </c>
      <c r="AC537" s="310">
        <f t="shared" si="571"/>
        <v>8.4</v>
      </c>
      <c r="AD537" s="717">
        <f>ROUND(AC537*'[1]Summary E&amp;M'!$R$94,2)</f>
        <v>10.5</v>
      </c>
      <c r="AE537" s="835">
        <f t="shared" si="574"/>
        <v>11760</v>
      </c>
      <c r="AF537" s="835">
        <f t="shared" si="575"/>
        <v>235.2</v>
      </c>
      <c r="AG537" s="743"/>
      <c r="AH537" s="728"/>
      <c r="AI537" s="519">
        <f t="shared" si="576"/>
        <v>0</v>
      </c>
      <c r="AJ537" s="519">
        <f t="shared" si="577"/>
        <v>0</v>
      </c>
      <c r="AK537" s="519">
        <f t="shared" si="578"/>
        <v>0</v>
      </c>
      <c r="AL537" s="520">
        <f>ROUND(Y537*AI537+((Y537*(1+AI537))*AJ537)+((Y537*AI537+((Y537*(1+AI537))*AJ537))*AK537),2)</f>
        <v>0</v>
      </c>
      <c r="AM537" s="520">
        <f>AL537*$F537</f>
        <v>0</v>
      </c>
      <c r="AN537" s="520">
        <f>ROUND(AL537*Z537,2)</f>
        <v>0</v>
      </c>
      <c r="AO537" s="520">
        <f>AN537*$F537</f>
        <v>0</v>
      </c>
      <c r="AP537" s="552"/>
      <c r="AQ537" s="552"/>
      <c r="AR537" s="552"/>
      <c r="AS537" s="552"/>
      <c r="AT537" s="552"/>
    </row>
    <row r="538" spans="1:68" s="555" customFormat="1" ht="23.25" customHeight="1">
      <c r="A538" s="620"/>
      <c r="B538" s="531" t="s">
        <v>1107</v>
      </c>
      <c r="C538" s="566"/>
      <c r="D538" s="996" t="s">
        <v>642</v>
      </c>
      <c r="E538" s="524" t="s">
        <v>418</v>
      </c>
      <c r="F538" s="1322">
        <f>K538</f>
        <v>1</v>
      </c>
      <c r="G538" s="527">
        <f t="shared" si="580"/>
        <v>252</v>
      </c>
      <c r="H538" s="527">
        <f>F538*G538</f>
        <v>252</v>
      </c>
      <c r="I538" s="901"/>
      <c r="J538" s="582"/>
      <c r="K538" s="1149">
        <v>1</v>
      </c>
      <c r="L538" s="530">
        <f t="shared" si="581"/>
        <v>6.56</v>
      </c>
      <c r="M538" s="530">
        <f t="shared" si="579"/>
        <v>6.56</v>
      </c>
      <c r="N538" s="1053"/>
      <c r="O538" s="776" t="s">
        <v>135</v>
      </c>
      <c r="P538" s="777"/>
      <c r="Q538" s="777"/>
      <c r="R538" s="751">
        <v>240</v>
      </c>
      <c r="S538" s="752"/>
      <c r="T538" s="796">
        <v>5</v>
      </c>
      <c r="U538" s="803">
        <v>0</v>
      </c>
      <c r="V538" s="803">
        <v>0</v>
      </c>
      <c r="W538" s="803">
        <v>0</v>
      </c>
      <c r="X538" s="858">
        <v>1</v>
      </c>
      <c r="Y538" s="310">
        <f>ROUND((R538+S538/'[12]Summary E&amp;M (Origin)'!$M$101)*X538,2)</f>
        <v>240</v>
      </c>
      <c r="Z538" s="858">
        <f t="shared" si="567"/>
        <v>1.05</v>
      </c>
      <c r="AA538" s="813">
        <f t="shared" si="582"/>
        <v>252</v>
      </c>
      <c r="AB538" s="429">
        <f t="shared" si="573"/>
        <v>0.05</v>
      </c>
      <c r="AC538" s="310">
        <f t="shared" si="571"/>
        <v>5.25</v>
      </c>
      <c r="AD538" s="717">
        <f>ROUND(AC538*'[1]Summary E&amp;M'!$R$94,2)</f>
        <v>6.56</v>
      </c>
      <c r="AE538" s="835">
        <f t="shared" si="574"/>
        <v>240</v>
      </c>
      <c r="AF538" s="835">
        <f t="shared" si="575"/>
        <v>5.25</v>
      </c>
      <c r="AG538" s="743"/>
      <c r="AH538" s="728"/>
      <c r="AI538" s="519">
        <f t="shared" si="576"/>
        <v>0</v>
      </c>
      <c r="AJ538" s="519">
        <f t="shared" si="577"/>
        <v>0</v>
      </c>
      <c r="AK538" s="519">
        <f t="shared" si="578"/>
        <v>0</v>
      </c>
      <c r="AL538" s="520">
        <f>ROUND(Y538*AI538+((Y538*(1+AI538))*AJ538)+((Y538*AI538+((Y538*(1+AI538))*AJ538))*AK538),2)</f>
        <v>0</v>
      </c>
      <c r="AM538" s="520">
        <f>AL538*$F538</f>
        <v>0</v>
      </c>
      <c r="AN538" s="520">
        <f>ROUND(AL538*Z538,2)</f>
        <v>0</v>
      </c>
      <c r="AO538" s="520">
        <f>AN538*$F538</f>
        <v>0</v>
      </c>
      <c r="AP538" s="552"/>
      <c r="AQ538" s="552"/>
      <c r="AR538" s="552"/>
      <c r="AS538" s="552"/>
      <c r="AT538" s="552"/>
    </row>
    <row r="539" spans="1:68" s="555" customFormat="1" ht="22.5" customHeight="1">
      <c r="A539" s="620"/>
      <c r="B539" s="531" t="s">
        <v>403</v>
      </c>
      <c r="C539" s="523" t="s">
        <v>329</v>
      </c>
      <c r="D539" s="193" t="s">
        <v>1111</v>
      </c>
      <c r="E539" s="525" t="s">
        <v>321</v>
      </c>
      <c r="F539" s="1314">
        <f>ROUND(K539*'Summary-E'!$K$61,0)</f>
        <v>357</v>
      </c>
      <c r="G539" s="527">
        <f t="shared" si="580"/>
        <v>0.61</v>
      </c>
      <c r="H539" s="527">
        <f t="shared" ref="H539" si="583">F539*G539</f>
        <v>217.76999999999998</v>
      </c>
      <c r="I539" s="567"/>
      <c r="J539" s="582"/>
      <c r="K539" s="1175">
        <v>340</v>
      </c>
      <c r="L539" s="530">
        <f t="shared" si="581"/>
        <v>0.66</v>
      </c>
      <c r="M539" s="530">
        <f t="shared" si="579"/>
        <v>235.62</v>
      </c>
      <c r="N539" s="1053"/>
      <c r="O539" s="786" t="s">
        <v>131</v>
      </c>
      <c r="P539" s="777"/>
      <c r="Q539" s="785"/>
      <c r="R539" s="751"/>
      <c r="S539" s="752">
        <v>12000</v>
      </c>
      <c r="T539" s="783">
        <v>0.5</v>
      </c>
      <c r="U539" s="803">
        <v>0</v>
      </c>
      <c r="V539" s="803">
        <v>0</v>
      </c>
      <c r="W539" s="803">
        <v>0</v>
      </c>
      <c r="X539" s="858">
        <v>1</v>
      </c>
      <c r="Y539" s="310">
        <f>ROUND((R539+S539/'Summary-E'!$M$63)*X539,2)</f>
        <v>0.57999999999999996</v>
      </c>
      <c r="Z539" s="858">
        <f t="shared" si="567"/>
        <v>1.05</v>
      </c>
      <c r="AA539" s="813">
        <f t="shared" si="582"/>
        <v>0.61</v>
      </c>
      <c r="AB539" s="447">
        <f t="shared" si="573"/>
        <v>0.05</v>
      </c>
      <c r="AC539" s="310">
        <f t="shared" si="571"/>
        <v>0.53</v>
      </c>
      <c r="AD539" s="717">
        <f>ROUND(AC539*'[1]Summary E&amp;M'!$R$94,2)</f>
        <v>0.66</v>
      </c>
      <c r="AE539" s="825">
        <f t="shared" si="574"/>
        <v>197.2</v>
      </c>
      <c r="AF539" s="825">
        <f t="shared" si="575"/>
        <v>180.2</v>
      </c>
      <c r="AG539" s="743"/>
      <c r="AH539" s="728"/>
      <c r="AI539" s="519">
        <f t="shared" si="576"/>
        <v>0</v>
      </c>
      <c r="AJ539" s="519">
        <f t="shared" si="577"/>
        <v>0</v>
      </c>
      <c r="AK539" s="519">
        <f t="shared" si="578"/>
        <v>0</v>
      </c>
      <c r="AL539" s="520">
        <f t="shared" ref="AL539" si="584">ROUND(Y539*AI539+((Y539*(1+AI539))*AJ539)+((Y539*AI539+((Y539*(1+AI539))*AJ539))*AK539),2)</f>
        <v>0</v>
      </c>
      <c r="AM539" s="520">
        <f t="shared" ref="AM539" si="585">AL539*$F539</f>
        <v>0</v>
      </c>
      <c r="AN539" s="520">
        <f t="shared" ref="AN539" si="586">ROUND(AL539*Z539,2)</f>
        <v>0</v>
      </c>
      <c r="AO539" s="520">
        <f t="shared" ref="AO539" si="587">AN539*$F539</f>
        <v>0</v>
      </c>
      <c r="AP539" s="552"/>
      <c r="AQ539" s="552"/>
      <c r="AR539" s="552"/>
      <c r="AS539" s="552"/>
      <c r="AT539" s="552"/>
    </row>
    <row r="540" spans="1:68" s="555" customFormat="1" ht="23.25" customHeight="1">
      <c r="A540" s="451"/>
      <c r="B540" s="531" t="s">
        <v>994</v>
      </c>
      <c r="C540" s="566" t="s">
        <v>329</v>
      </c>
      <c r="D540" s="525" t="s">
        <v>1113</v>
      </c>
      <c r="E540" s="525" t="s">
        <v>321</v>
      </c>
      <c r="F540" s="1314">
        <v>40</v>
      </c>
      <c r="G540" s="527">
        <f t="shared" si="580"/>
        <v>0.23</v>
      </c>
      <c r="H540" s="528">
        <f>ROUND(F540*G540,2)</f>
        <v>9.1999999999999993</v>
      </c>
      <c r="I540" s="961"/>
      <c r="J540" s="309"/>
      <c r="K540" s="1175">
        <v>28</v>
      </c>
      <c r="L540" s="530">
        <f t="shared" si="581"/>
        <v>0.79</v>
      </c>
      <c r="M540" s="530">
        <f t="shared" si="579"/>
        <v>31.6</v>
      </c>
      <c r="N540" s="309"/>
      <c r="O540" s="776" t="s">
        <v>131</v>
      </c>
      <c r="P540" s="777"/>
      <c r="Q540" s="777"/>
      <c r="R540" s="751"/>
      <c r="S540" s="752">
        <v>4600</v>
      </c>
      <c r="T540" s="796">
        <v>0.6</v>
      </c>
      <c r="U540" s="803">
        <v>0</v>
      </c>
      <c r="V540" s="803">
        <v>0</v>
      </c>
      <c r="W540" s="803">
        <v>0</v>
      </c>
      <c r="X540" s="858">
        <v>1</v>
      </c>
      <c r="Y540" s="310">
        <f>ROUND((R540+S540/'[12]Summary E&amp;M (Origin)'!$M$101)*X540,2)</f>
        <v>0.22</v>
      </c>
      <c r="Z540" s="858">
        <f t="shared" si="567"/>
        <v>1.05</v>
      </c>
      <c r="AA540" s="813">
        <f t="shared" si="582"/>
        <v>0.23</v>
      </c>
      <c r="AB540" s="429">
        <f t="shared" si="573"/>
        <v>0.05</v>
      </c>
      <c r="AC540" s="310">
        <f t="shared" si="571"/>
        <v>0.63</v>
      </c>
      <c r="AD540" s="717">
        <f>ROUND(AC540*'[1]Summary E&amp;M'!$R$94,2)</f>
        <v>0.79</v>
      </c>
      <c r="AE540" s="835">
        <f t="shared" si="574"/>
        <v>6.16</v>
      </c>
      <c r="AF540" s="835">
        <f t="shared" si="575"/>
        <v>17.64</v>
      </c>
      <c r="AG540" s="744"/>
      <c r="AH540" s="732"/>
      <c r="AI540" s="723"/>
      <c r="AJ540" s="519">
        <f>$U540</f>
        <v>0</v>
      </c>
      <c r="AK540" s="519">
        <f>$V540</f>
        <v>0</v>
      </c>
      <c r="AL540" s="519">
        <f>$W540</f>
        <v>0</v>
      </c>
      <c r="AM540" s="520">
        <f>ROUND(Y540*AJ540+((Y540*(1+AJ540))*AK540)+((Y540*AJ540+((Y540*(1+AJ540))*AK540))*AL540),2)</f>
        <v>0</v>
      </c>
      <c r="AN540" s="520">
        <f>AM540*$F540</f>
        <v>0</v>
      </c>
      <c r="AO540" s="520">
        <f>ROUND(AM540*Z540,2)</f>
        <v>0</v>
      </c>
      <c r="AP540" s="520">
        <f>AO540*$F540</f>
        <v>0</v>
      </c>
      <c r="AQ540" s="719"/>
      <c r="AR540" s="719"/>
      <c r="AS540" s="719"/>
      <c r="AT540" s="719"/>
      <c r="AU540" s="643"/>
    </row>
    <row r="541" spans="1:68" s="555" customFormat="1" ht="23.25" customHeight="1">
      <c r="A541" s="570"/>
      <c r="B541" s="568" t="s">
        <v>333</v>
      </c>
      <c r="C541" s="569"/>
      <c r="D541" s="525" t="s">
        <v>1113</v>
      </c>
      <c r="E541" s="571" t="s">
        <v>322</v>
      </c>
      <c r="F541" s="1322">
        <f t="shared" ref="F541:F546" si="588">K541</f>
        <v>1</v>
      </c>
      <c r="G541" s="527">
        <f t="shared" si="580"/>
        <v>60.26</v>
      </c>
      <c r="H541" s="527">
        <f>F541*G541</f>
        <v>60.26</v>
      </c>
      <c r="I541" s="901"/>
      <c r="J541" s="582"/>
      <c r="K541" s="1149">
        <v>1</v>
      </c>
      <c r="L541" s="530">
        <f t="shared" si="581"/>
        <v>7.78</v>
      </c>
      <c r="M541" s="530">
        <f t="shared" si="579"/>
        <v>7.78</v>
      </c>
      <c r="N541" s="1053"/>
      <c r="O541" s="776" t="s">
        <v>683</v>
      </c>
      <c r="P541" s="777">
        <v>0.3</v>
      </c>
      <c r="Q541" s="777"/>
      <c r="R541" s="751">
        <f>ROUND(SUM(AE539:AE539)*P541,2)</f>
        <v>59.16</v>
      </c>
      <c r="S541" s="752"/>
      <c r="T541" s="796">
        <f>ROUND(R541*10%,2)</f>
        <v>5.92</v>
      </c>
      <c r="U541" s="803">
        <v>0</v>
      </c>
      <c r="V541" s="803">
        <v>0</v>
      </c>
      <c r="W541" s="803">
        <v>0</v>
      </c>
      <c r="X541" s="858">
        <f>SUMIF('Summary-E'!O$4:O$50,D541,'Summary-E'!Q$4:Q$50)</f>
        <v>0.97</v>
      </c>
      <c r="Y541" s="310">
        <f>ROUND((R541+S541/'[12]Summary E&amp;M (Origin)'!$M$101)*X541,2)</f>
        <v>57.39</v>
      </c>
      <c r="Z541" s="858">
        <f t="shared" si="567"/>
        <v>1.05</v>
      </c>
      <c r="AA541" s="813">
        <f t="shared" si="582"/>
        <v>60.26</v>
      </c>
      <c r="AB541" s="429">
        <f t="shared" si="573"/>
        <v>0.05</v>
      </c>
      <c r="AC541" s="310">
        <f t="shared" si="571"/>
        <v>6.22</v>
      </c>
      <c r="AD541" s="717">
        <f>ROUND(AC541*'[1]Summary E&amp;M'!$R$94,2)</f>
        <v>7.78</v>
      </c>
      <c r="AE541" s="835">
        <f t="shared" si="574"/>
        <v>57.39</v>
      </c>
      <c r="AF541" s="835">
        <f t="shared" si="575"/>
        <v>6.22</v>
      </c>
      <c r="AG541" s="743"/>
      <c r="AH541" s="728"/>
      <c r="AI541" s="519">
        <f t="shared" si="576"/>
        <v>0</v>
      </c>
      <c r="AJ541" s="519">
        <f t="shared" si="577"/>
        <v>0</v>
      </c>
      <c r="AK541" s="519">
        <f t="shared" si="578"/>
        <v>0</v>
      </c>
      <c r="AL541" s="520">
        <f t="shared" ref="AL541:AL550" si="589">ROUND(Y541*AI541+((Y541*(1+AI541))*AJ541)+((Y541*AI541+((Y541*(1+AI541))*AJ541))*AK541),2)</f>
        <v>0</v>
      </c>
      <c r="AM541" s="520">
        <f t="shared" ref="AM541:AM550" si="590">AL541*$F541</f>
        <v>0</v>
      </c>
      <c r="AN541" s="520">
        <f t="shared" ref="AN541:AN550" si="591">ROUND(AL541*Z541,2)</f>
        <v>0</v>
      </c>
      <c r="AO541" s="520">
        <f t="shared" ref="AO541:AO550" si="592">AN541*$F541</f>
        <v>0</v>
      </c>
      <c r="AP541" s="552"/>
      <c r="AQ541" s="552"/>
      <c r="AR541" s="552"/>
      <c r="AS541" s="552"/>
      <c r="AT541" s="552"/>
    </row>
    <row r="542" spans="1:68" s="555" customFormat="1" ht="23.25" customHeight="1">
      <c r="A542" s="638"/>
      <c r="B542" s="997" t="s">
        <v>718</v>
      </c>
      <c r="C542" s="566"/>
      <c r="D542" s="525" t="s">
        <v>139</v>
      </c>
      <c r="E542" s="524" t="s">
        <v>322</v>
      </c>
      <c r="F542" s="1322">
        <f t="shared" si="588"/>
        <v>1</v>
      </c>
      <c r="G542" s="527">
        <f t="shared" si="580"/>
        <v>30.12</v>
      </c>
      <c r="H542" s="527">
        <f>ROUND(F542*G542,2)</f>
        <v>30.12</v>
      </c>
      <c r="I542" s="962"/>
      <c r="J542" s="590"/>
      <c r="K542" s="1149">
        <v>1</v>
      </c>
      <c r="L542" s="530">
        <f t="shared" si="581"/>
        <v>3.89</v>
      </c>
      <c r="M542" s="530">
        <f t="shared" si="579"/>
        <v>3.89</v>
      </c>
      <c r="N542" s="590"/>
      <c r="O542" s="776" t="s">
        <v>139</v>
      </c>
      <c r="P542" s="777">
        <v>0.15</v>
      </c>
      <c r="Q542" s="777"/>
      <c r="R542" s="751">
        <f>ROUND(SUM(AE539:AE539)*P542,2)</f>
        <v>29.58</v>
      </c>
      <c r="S542" s="752"/>
      <c r="T542" s="796">
        <f>ROUND(R542*10%,2)</f>
        <v>2.96</v>
      </c>
      <c r="U542" s="803">
        <v>0</v>
      </c>
      <c r="V542" s="803">
        <v>0</v>
      </c>
      <c r="W542" s="803">
        <v>0</v>
      </c>
      <c r="X542" s="858">
        <f>SUMIF('Summary-E'!O$4:O$50,D542,'Summary-E'!Q$4:Q$50)</f>
        <v>0.97</v>
      </c>
      <c r="Y542" s="310">
        <f>ROUND((R542+S542/'[12]Summary E&amp;M (Origin)'!$M$101)*X542,2)</f>
        <v>28.69</v>
      </c>
      <c r="Z542" s="858">
        <f t="shared" si="567"/>
        <v>1.05</v>
      </c>
      <c r="AA542" s="813">
        <f t="shared" si="582"/>
        <v>30.12</v>
      </c>
      <c r="AB542" s="429">
        <f t="shared" si="573"/>
        <v>0.05</v>
      </c>
      <c r="AC542" s="310">
        <f t="shared" si="571"/>
        <v>3.11</v>
      </c>
      <c r="AD542" s="717">
        <f>ROUND(AC542*'[1]Summary E&amp;M'!$R$94,2)</f>
        <v>3.89</v>
      </c>
      <c r="AE542" s="835">
        <f t="shared" si="574"/>
        <v>28.69</v>
      </c>
      <c r="AF542" s="835">
        <f t="shared" si="575"/>
        <v>3.11</v>
      </c>
      <c r="AG542" s="743"/>
      <c r="AH542" s="728"/>
      <c r="AI542" s="519">
        <f t="shared" si="576"/>
        <v>0</v>
      </c>
      <c r="AJ542" s="519">
        <f t="shared" si="577"/>
        <v>0</v>
      </c>
      <c r="AK542" s="519">
        <f t="shared" si="578"/>
        <v>0</v>
      </c>
      <c r="AL542" s="520">
        <f t="shared" si="589"/>
        <v>0</v>
      </c>
      <c r="AM542" s="520">
        <f t="shared" si="590"/>
        <v>0</v>
      </c>
      <c r="AN542" s="520">
        <f t="shared" si="591"/>
        <v>0</v>
      </c>
      <c r="AO542" s="520">
        <f t="shared" si="592"/>
        <v>0</v>
      </c>
      <c r="AP542" s="552"/>
      <c r="AQ542" s="552"/>
      <c r="AR542" s="552"/>
      <c r="AS542" s="552"/>
      <c r="AT542" s="552"/>
    </row>
    <row r="543" spans="1:68" s="555" customFormat="1" ht="23.25" customHeight="1">
      <c r="A543" s="451"/>
      <c r="B543" s="531" t="s">
        <v>928</v>
      </c>
      <c r="C543" s="566" t="s">
        <v>1001</v>
      </c>
      <c r="D543" s="1001" t="s">
        <v>1114</v>
      </c>
      <c r="E543" s="525" t="s">
        <v>319</v>
      </c>
      <c r="F543" s="1322">
        <f t="shared" si="588"/>
        <v>40</v>
      </c>
      <c r="G543" s="527">
        <f>ROUNDUP(AA543,2)</f>
        <v>1.26</v>
      </c>
      <c r="H543" s="528">
        <f>ROUND(F543*G543,2)</f>
        <v>50.4</v>
      </c>
      <c r="I543" s="529"/>
      <c r="J543" s="309"/>
      <c r="K543" s="1175">
        <v>40</v>
      </c>
      <c r="L543" s="530">
        <f t="shared" si="581"/>
        <v>0.93</v>
      </c>
      <c r="M543" s="530">
        <f t="shared" si="579"/>
        <v>37.200000000000003</v>
      </c>
      <c r="N543" s="309"/>
      <c r="O543" s="776" t="s">
        <v>673</v>
      </c>
      <c r="P543" s="777"/>
      <c r="Q543" s="777"/>
      <c r="R543" s="751"/>
      <c r="S543" s="752">
        <v>25000</v>
      </c>
      <c r="T543" s="796">
        <v>0.7</v>
      </c>
      <c r="U543" s="803">
        <v>0</v>
      </c>
      <c r="V543" s="803">
        <v>0</v>
      </c>
      <c r="W543" s="803">
        <v>0</v>
      </c>
      <c r="X543" s="858">
        <v>1</v>
      </c>
      <c r="Y543" s="310">
        <f>ROUND((R543+S543/'[12]Summary E&amp;M (Origin)'!$M$101)*X543,2)</f>
        <v>1.2</v>
      </c>
      <c r="Z543" s="858">
        <f t="shared" si="567"/>
        <v>1.05</v>
      </c>
      <c r="AA543" s="813">
        <f t="shared" si="582"/>
        <v>1.26</v>
      </c>
      <c r="AB543" s="429">
        <f t="shared" si="573"/>
        <v>0.05</v>
      </c>
      <c r="AC543" s="310">
        <f t="shared" si="571"/>
        <v>0.74</v>
      </c>
      <c r="AD543" s="717">
        <f>ROUND(AC543*'[1]Summary E&amp;M'!$R$94,2)</f>
        <v>0.93</v>
      </c>
      <c r="AE543" s="835">
        <f t="shared" si="574"/>
        <v>48</v>
      </c>
      <c r="AF543" s="835">
        <f t="shared" si="575"/>
        <v>29.6</v>
      </c>
      <c r="AG543" s="744"/>
      <c r="AH543" s="728"/>
      <c r="AI543" s="519">
        <f t="shared" si="576"/>
        <v>0</v>
      </c>
      <c r="AJ543" s="519">
        <f t="shared" si="577"/>
        <v>0</v>
      </c>
      <c r="AK543" s="519">
        <f t="shared" si="578"/>
        <v>0</v>
      </c>
      <c r="AL543" s="520">
        <f t="shared" si="589"/>
        <v>0</v>
      </c>
      <c r="AM543" s="520">
        <f t="shared" si="590"/>
        <v>0</v>
      </c>
      <c r="AN543" s="520">
        <f t="shared" si="591"/>
        <v>0</v>
      </c>
      <c r="AO543" s="520">
        <f t="shared" si="592"/>
        <v>0</v>
      </c>
      <c r="AP543" s="719"/>
      <c r="AQ543" s="719"/>
      <c r="AR543" s="719"/>
      <c r="AS543" s="719"/>
      <c r="AT543" s="719"/>
    </row>
    <row r="544" spans="1:68" s="555" customFormat="1" ht="23.25" customHeight="1">
      <c r="A544" s="451"/>
      <c r="B544" s="531" t="s">
        <v>400</v>
      </c>
      <c r="C544" s="566"/>
      <c r="D544" s="1001" t="s">
        <v>1114</v>
      </c>
      <c r="E544" s="525" t="s">
        <v>319</v>
      </c>
      <c r="F544" s="1322">
        <f t="shared" si="588"/>
        <v>1</v>
      </c>
      <c r="G544" s="527">
        <f>ROUNDUP(AA544,2)</f>
        <v>9.7799999999999994</v>
      </c>
      <c r="H544" s="528">
        <f>ROUND(F544*G544,2)</f>
        <v>9.7799999999999994</v>
      </c>
      <c r="I544" s="529"/>
      <c r="J544" s="309"/>
      <c r="K544" s="1175">
        <v>1</v>
      </c>
      <c r="L544" s="530">
        <f t="shared" si="581"/>
        <v>2.5299999999999998</v>
      </c>
      <c r="M544" s="530">
        <f t="shared" si="579"/>
        <v>2.5299999999999998</v>
      </c>
      <c r="N544" s="309"/>
      <c r="O544" s="776" t="s">
        <v>673</v>
      </c>
      <c r="P544" s="777">
        <v>0.2</v>
      </c>
      <c r="Q544" s="777"/>
      <c r="R544" s="751">
        <f>ROUND(SUM(AE543:AE543)*P544,2)</f>
        <v>9.6</v>
      </c>
      <c r="S544" s="752"/>
      <c r="T544" s="796">
        <f>R544*0.2</f>
        <v>1.92</v>
      </c>
      <c r="U544" s="803">
        <v>0</v>
      </c>
      <c r="V544" s="803">
        <v>0</v>
      </c>
      <c r="W544" s="803">
        <v>0</v>
      </c>
      <c r="X544" s="858">
        <f>SUMIF('Summary-E'!O$4:O$50,D544,'Summary-E'!Q$4:Q$50)</f>
        <v>0.97</v>
      </c>
      <c r="Y544" s="310">
        <f>ROUND((R544+S544/'[12]Summary E&amp;M (Origin)'!$M$101)*X544,2)</f>
        <v>9.31</v>
      </c>
      <c r="Z544" s="858">
        <f t="shared" si="567"/>
        <v>1.05</v>
      </c>
      <c r="AA544" s="813">
        <f t="shared" si="582"/>
        <v>9.7799999999999994</v>
      </c>
      <c r="AB544" s="429">
        <f t="shared" si="573"/>
        <v>0.05</v>
      </c>
      <c r="AC544" s="310">
        <f t="shared" si="571"/>
        <v>2.02</v>
      </c>
      <c r="AD544" s="717">
        <f>ROUND(AC544*'[1]Summary E&amp;M'!$R$94,2)</f>
        <v>2.5299999999999998</v>
      </c>
      <c r="AE544" s="835">
        <f t="shared" si="574"/>
        <v>9.31</v>
      </c>
      <c r="AF544" s="835">
        <f t="shared" si="575"/>
        <v>2.02</v>
      </c>
      <c r="AG544" s="744"/>
      <c r="AH544" s="728"/>
      <c r="AI544" s="519">
        <f t="shared" si="576"/>
        <v>0</v>
      </c>
      <c r="AJ544" s="519">
        <f t="shared" si="577"/>
        <v>0</v>
      </c>
      <c r="AK544" s="519">
        <f t="shared" si="578"/>
        <v>0</v>
      </c>
      <c r="AL544" s="520">
        <f t="shared" si="589"/>
        <v>0</v>
      </c>
      <c r="AM544" s="520">
        <f t="shared" si="590"/>
        <v>0</v>
      </c>
      <c r="AN544" s="520">
        <f t="shared" si="591"/>
        <v>0</v>
      </c>
      <c r="AO544" s="520">
        <f t="shared" si="592"/>
        <v>0</v>
      </c>
      <c r="AP544" s="719"/>
      <c r="AQ544" s="719"/>
      <c r="AR544" s="719"/>
      <c r="AS544" s="719"/>
      <c r="AT544" s="719"/>
    </row>
    <row r="545" spans="1:68" s="555" customFormat="1" ht="23.25" customHeight="1">
      <c r="A545" s="451"/>
      <c r="B545" s="531" t="s">
        <v>932</v>
      </c>
      <c r="C545" s="566"/>
      <c r="D545" s="1001" t="s">
        <v>130</v>
      </c>
      <c r="E545" s="525" t="s">
        <v>319</v>
      </c>
      <c r="F545" s="1322">
        <f t="shared" si="588"/>
        <v>12</v>
      </c>
      <c r="G545" s="527">
        <f>ROUNDUP(AA545,2)</f>
        <v>5.24</v>
      </c>
      <c r="H545" s="528">
        <f>ROUND(F545*G545,2)</f>
        <v>62.88</v>
      </c>
      <c r="I545" s="529"/>
      <c r="J545" s="309"/>
      <c r="K545" s="1175">
        <v>12</v>
      </c>
      <c r="L545" s="530">
        <f t="shared" si="581"/>
        <v>4.8099999999999996</v>
      </c>
      <c r="M545" s="530">
        <f t="shared" si="579"/>
        <v>57.72</v>
      </c>
      <c r="N545" s="309"/>
      <c r="O545" s="776" t="s">
        <v>673</v>
      </c>
      <c r="P545" s="777"/>
      <c r="Q545" s="777"/>
      <c r="R545" s="751"/>
      <c r="S545" s="752">
        <v>107100</v>
      </c>
      <c r="T545" s="796">
        <v>3.67</v>
      </c>
      <c r="U545" s="803">
        <v>0</v>
      </c>
      <c r="V545" s="803">
        <v>0</v>
      </c>
      <c r="W545" s="803">
        <v>0</v>
      </c>
      <c r="X545" s="858">
        <f>SUMIF('Summary-E'!O$4:O$50,D545,'Summary-E'!Q$4:Q$50)</f>
        <v>0.97</v>
      </c>
      <c r="Y545" s="310">
        <f>ROUND((R545+S545/'[12]Summary E&amp;M (Origin)'!$M$101)*X545,2)</f>
        <v>4.99</v>
      </c>
      <c r="Z545" s="858">
        <f t="shared" si="567"/>
        <v>1.05</v>
      </c>
      <c r="AA545" s="813">
        <f t="shared" si="582"/>
        <v>5.24</v>
      </c>
      <c r="AB545" s="429">
        <f t="shared" si="573"/>
        <v>0.05</v>
      </c>
      <c r="AC545" s="310">
        <f t="shared" si="571"/>
        <v>3.85</v>
      </c>
      <c r="AD545" s="717">
        <f>ROUND(AC545*'[1]Summary E&amp;M'!$R$94,2)</f>
        <v>4.8099999999999996</v>
      </c>
      <c r="AE545" s="835">
        <f t="shared" si="574"/>
        <v>59.88</v>
      </c>
      <c r="AF545" s="835">
        <f t="shared" si="575"/>
        <v>46.2</v>
      </c>
      <c r="AG545" s="744"/>
      <c r="AH545" s="728"/>
      <c r="AI545" s="519">
        <f t="shared" si="576"/>
        <v>0</v>
      </c>
      <c r="AJ545" s="519">
        <f t="shared" si="577"/>
        <v>0</v>
      </c>
      <c r="AK545" s="519">
        <f t="shared" si="578"/>
        <v>0</v>
      </c>
      <c r="AL545" s="520">
        <f t="shared" si="589"/>
        <v>0</v>
      </c>
      <c r="AM545" s="520">
        <f t="shared" si="590"/>
        <v>0</v>
      </c>
      <c r="AN545" s="520">
        <f t="shared" si="591"/>
        <v>0</v>
      </c>
      <c r="AO545" s="520">
        <f t="shared" si="592"/>
        <v>0</v>
      </c>
      <c r="AP545" s="719"/>
      <c r="AQ545" s="719"/>
      <c r="AR545" s="719"/>
      <c r="AS545" s="719"/>
      <c r="AT545" s="719"/>
    </row>
    <row r="546" spans="1:68" s="555" customFormat="1" ht="23.25" customHeight="1">
      <c r="A546" s="451"/>
      <c r="B546" s="531" t="s">
        <v>933</v>
      </c>
      <c r="C546" s="566" t="s">
        <v>182</v>
      </c>
      <c r="D546" s="1001" t="s">
        <v>130</v>
      </c>
      <c r="E546" s="525" t="s">
        <v>319</v>
      </c>
      <c r="F546" s="1322">
        <f t="shared" si="588"/>
        <v>8</v>
      </c>
      <c r="G546" s="527">
        <f>ROUNDUP(AA546,2)</f>
        <v>8.16</v>
      </c>
      <c r="H546" s="528">
        <f>ROUND(F546*G546,2)</f>
        <v>65.28</v>
      </c>
      <c r="I546" s="529"/>
      <c r="J546" s="309"/>
      <c r="K546" s="1175">
        <v>8</v>
      </c>
      <c r="L546" s="530">
        <f t="shared" si="581"/>
        <v>10.44</v>
      </c>
      <c r="M546" s="530">
        <f t="shared" si="579"/>
        <v>83.52</v>
      </c>
      <c r="N546" s="309"/>
      <c r="O546" s="776" t="s">
        <v>673</v>
      </c>
      <c r="P546" s="777"/>
      <c r="Q546" s="777"/>
      <c r="R546" s="751"/>
      <c r="S546" s="752">
        <v>166600</v>
      </c>
      <c r="T546" s="796">
        <v>7.95</v>
      </c>
      <c r="U546" s="803">
        <v>0</v>
      </c>
      <c r="V546" s="803">
        <v>0</v>
      </c>
      <c r="W546" s="803">
        <v>0</v>
      </c>
      <c r="X546" s="858">
        <f>SUMIF('Summary-E'!O$4:O$50,D546,'Summary-E'!Q$4:Q$50)</f>
        <v>0.97</v>
      </c>
      <c r="Y546" s="310">
        <f>ROUND((R546+S546/'[12]Summary E&amp;M (Origin)'!$M$101)*X546,2)</f>
        <v>7.77</v>
      </c>
      <c r="Z546" s="858">
        <f t="shared" si="567"/>
        <v>1.05</v>
      </c>
      <c r="AA546" s="813">
        <f t="shared" si="582"/>
        <v>8.16</v>
      </c>
      <c r="AB546" s="429">
        <f t="shared" si="573"/>
        <v>0.05</v>
      </c>
      <c r="AC546" s="310">
        <f t="shared" si="571"/>
        <v>8.35</v>
      </c>
      <c r="AD546" s="717">
        <f>ROUND(AC546*'[1]Summary E&amp;M'!$R$94,2)</f>
        <v>10.44</v>
      </c>
      <c r="AE546" s="835">
        <f t="shared" si="574"/>
        <v>62.16</v>
      </c>
      <c r="AF546" s="835">
        <f t="shared" si="575"/>
        <v>66.8</v>
      </c>
      <c r="AG546" s="744"/>
      <c r="AH546" s="728"/>
      <c r="AI546" s="519">
        <f t="shared" si="576"/>
        <v>0</v>
      </c>
      <c r="AJ546" s="519">
        <f t="shared" si="577"/>
        <v>0</v>
      </c>
      <c r="AK546" s="519">
        <f t="shared" si="578"/>
        <v>0</v>
      </c>
      <c r="AL546" s="520">
        <f t="shared" si="589"/>
        <v>0</v>
      </c>
      <c r="AM546" s="520">
        <f t="shared" si="590"/>
        <v>0</v>
      </c>
      <c r="AN546" s="520">
        <f t="shared" si="591"/>
        <v>0</v>
      </c>
      <c r="AO546" s="520">
        <f t="shared" si="592"/>
        <v>0</v>
      </c>
      <c r="AP546" s="719"/>
      <c r="AQ546" s="719"/>
      <c r="AR546" s="719"/>
      <c r="AS546" s="719"/>
      <c r="AT546" s="719"/>
    </row>
    <row r="547" spans="1:68" s="555" customFormat="1" ht="23.25" customHeight="1">
      <c r="A547" s="451"/>
      <c r="B547" s="531" t="s">
        <v>1108</v>
      </c>
      <c r="C547" s="566"/>
      <c r="D547" s="996" t="s">
        <v>642</v>
      </c>
      <c r="E547" s="524" t="s">
        <v>321</v>
      </c>
      <c r="F547" s="1314">
        <f>ROUND(K547*'Summary-E'!$K$61,0)</f>
        <v>609</v>
      </c>
      <c r="G547" s="527">
        <f t="shared" si="580"/>
        <v>18.809999999999999</v>
      </c>
      <c r="H547" s="527">
        <f>F547*G547</f>
        <v>11455.289999999999</v>
      </c>
      <c r="I547" s="901"/>
      <c r="J547" s="582"/>
      <c r="K547" s="1197">
        <f>(150)+(150)+(150)+(130)</f>
        <v>580</v>
      </c>
      <c r="L547" s="530">
        <f t="shared" si="581"/>
        <v>0.53</v>
      </c>
      <c r="M547" s="530">
        <f t="shared" si="579"/>
        <v>322.77</v>
      </c>
      <c r="N547" s="1053"/>
      <c r="O547" s="776">
        <v>131</v>
      </c>
      <c r="P547" s="777"/>
      <c r="Q547" s="777"/>
      <c r="R547" s="751">
        <f>14.2*1.3</f>
        <v>18.46</v>
      </c>
      <c r="S547" s="752"/>
      <c r="T547" s="796">
        <v>0.4</v>
      </c>
      <c r="U547" s="803">
        <v>0</v>
      </c>
      <c r="V547" s="803">
        <v>0</v>
      </c>
      <c r="W547" s="803">
        <v>0</v>
      </c>
      <c r="X547" s="858">
        <f>SUMIF('Summary-E'!O$4:O$50,D547,'Summary-E'!Q$4:Q$50)</f>
        <v>0.97</v>
      </c>
      <c r="Y547" s="310">
        <f>ROUND((R547+S547/'[12]Summary E&amp;M (Origin)'!$M$101)*X547,2)</f>
        <v>17.91</v>
      </c>
      <c r="Z547" s="858">
        <f t="shared" si="567"/>
        <v>1.05</v>
      </c>
      <c r="AA547" s="813">
        <f t="shared" si="582"/>
        <v>18.809999999999999</v>
      </c>
      <c r="AB547" s="429">
        <f t="shared" si="573"/>
        <v>0.05</v>
      </c>
      <c r="AC547" s="310">
        <f t="shared" si="571"/>
        <v>0.42</v>
      </c>
      <c r="AD547" s="717">
        <f>ROUND(AC547*'[1]Summary E&amp;M'!$R$94,2)</f>
        <v>0.53</v>
      </c>
      <c r="AE547" s="835">
        <f t="shared" si="574"/>
        <v>10387.799999999999</v>
      </c>
      <c r="AF547" s="835">
        <f t="shared" si="575"/>
        <v>243.6</v>
      </c>
      <c r="AG547" s="743"/>
      <c r="AH547" s="728"/>
      <c r="AI547" s="519">
        <f t="shared" si="576"/>
        <v>0</v>
      </c>
      <c r="AJ547" s="519">
        <f t="shared" si="577"/>
        <v>0</v>
      </c>
      <c r="AK547" s="519">
        <f t="shared" si="578"/>
        <v>0</v>
      </c>
      <c r="AL547" s="520">
        <f t="shared" si="589"/>
        <v>0</v>
      </c>
      <c r="AM547" s="520">
        <f t="shared" si="590"/>
        <v>0</v>
      </c>
      <c r="AN547" s="520">
        <f t="shared" si="591"/>
        <v>0</v>
      </c>
      <c r="AO547" s="520">
        <f t="shared" si="592"/>
        <v>0</v>
      </c>
      <c r="AP547" s="552"/>
      <c r="AQ547" s="552"/>
      <c r="AR547" s="552"/>
      <c r="AS547" s="552"/>
      <c r="AT547" s="552"/>
    </row>
    <row r="548" spans="1:68" s="555" customFormat="1" ht="23.25" customHeight="1">
      <c r="A548" s="451"/>
      <c r="B548" s="531" t="s">
        <v>1109</v>
      </c>
      <c r="C548" s="566"/>
      <c r="D548" s="570">
        <v>131</v>
      </c>
      <c r="E548" s="524" t="s">
        <v>321</v>
      </c>
      <c r="F548" s="1314">
        <f>ROUND(K548*'Summary-E'!$K$61,0)</f>
        <v>563</v>
      </c>
      <c r="G548" s="527">
        <f t="shared" si="580"/>
        <v>0.45</v>
      </c>
      <c r="H548" s="527">
        <f>F548*G548</f>
        <v>253.35</v>
      </c>
      <c r="I548" s="901"/>
      <c r="J548" s="582"/>
      <c r="K548" s="1197">
        <f>134*4</f>
        <v>536</v>
      </c>
      <c r="L548" s="530">
        <f t="shared" si="581"/>
        <v>0.53</v>
      </c>
      <c r="M548" s="530">
        <f t="shared" si="579"/>
        <v>298.39</v>
      </c>
      <c r="N548" s="1053"/>
      <c r="O548" s="776">
        <v>131</v>
      </c>
      <c r="P548" s="777"/>
      <c r="Q548" s="777"/>
      <c r="R548" s="751"/>
      <c r="S548" s="752">
        <v>9150</v>
      </c>
      <c r="T548" s="796">
        <v>0.4</v>
      </c>
      <c r="U548" s="803">
        <v>0</v>
      </c>
      <c r="V548" s="803">
        <v>0</v>
      </c>
      <c r="W548" s="803">
        <v>0</v>
      </c>
      <c r="X548" s="858">
        <f>SUMIF('Summary-E'!O$4:O$50,D548,'Summary-E'!Q$4:Q$50)</f>
        <v>0.97</v>
      </c>
      <c r="Y548" s="310">
        <f>ROUND((R548+S548/'[12]Summary E&amp;M (Origin)'!$M$101)*X548,2)</f>
        <v>0.43</v>
      </c>
      <c r="Z548" s="858">
        <f t="shared" si="567"/>
        <v>1.05</v>
      </c>
      <c r="AA548" s="813">
        <f t="shared" si="582"/>
        <v>0.45</v>
      </c>
      <c r="AB548" s="429">
        <f t="shared" si="573"/>
        <v>0.05</v>
      </c>
      <c r="AC548" s="310">
        <f t="shared" si="571"/>
        <v>0.42</v>
      </c>
      <c r="AD548" s="717">
        <f>ROUND(AC548*'[1]Summary E&amp;M'!$R$94,2)</f>
        <v>0.53</v>
      </c>
      <c r="AE548" s="835">
        <f t="shared" si="574"/>
        <v>230.48</v>
      </c>
      <c r="AF548" s="835">
        <f t="shared" si="575"/>
        <v>225.12</v>
      </c>
      <c r="AG548" s="743"/>
      <c r="AH548" s="728"/>
      <c r="AI548" s="519">
        <f t="shared" si="576"/>
        <v>0</v>
      </c>
      <c r="AJ548" s="519">
        <f t="shared" si="577"/>
        <v>0</v>
      </c>
      <c r="AK548" s="519">
        <f t="shared" si="578"/>
        <v>0</v>
      </c>
      <c r="AL548" s="520">
        <f t="shared" si="589"/>
        <v>0</v>
      </c>
      <c r="AM548" s="520">
        <f t="shared" si="590"/>
        <v>0</v>
      </c>
      <c r="AN548" s="520">
        <f t="shared" si="591"/>
        <v>0</v>
      </c>
      <c r="AO548" s="520">
        <f t="shared" si="592"/>
        <v>0</v>
      </c>
      <c r="AP548" s="552"/>
      <c r="AQ548" s="552"/>
      <c r="AR548" s="552"/>
      <c r="AS548" s="552"/>
      <c r="AT548" s="552"/>
    </row>
    <row r="549" spans="1:68" s="555" customFormat="1" ht="23.25" customHeight="1">
      <c r="A549" s="570"/>
      <c r="B549" s="568" t="s">
        <v>401</v>
      </c>
      <c r="C549" s="569"/>
      <c r="D549" s="570">
        <v>159</v>
      </c>
      <c r="E549" s="571" t="s">
        <v>322</v>
      </c>
      <c r="F549" s="1322">
        <f>K549</f>
        <v>1</v>
      </c>
      <c r="G549" s="527">
        <f>ROUND(AA549,2)</f>
        <v>738.11</v>
      </c>
      <c r="H549" s="527">
        <f>ROUND(F549*G549,2)</f>
        <v>738.11</v>
      </c>
      <c r="I549" s="901"/>
      <c r="J549" s="309"/>
      <c r="K549" s="1149">
        <v>1</v>
      </c>
      <c r="L549" s="530">
        <f>ROUND(AD549,2)</f>
        <v>95.11</v>
      </c>
      <c r="M549" s="530">
        <f t="shared" si="579"/>
        <v>95.11</v>
      </c>
      <c r="N549" s="309"/>
      <c r="O549" s="776">
        <v>159</v>
      </c>
      <c r="P549" s="777">
        <v>0.03</v>
      </c>
      <c r="Q549" s="777"/>
      <c r="R549" s="751">
        <f>ROUND(SUM(AE536:AE547)*P549,2)</f>
        <v>724.7</v>
      </c>
      <c r="S549" s="752"/>
      <c r="T549" s="796">
        <f>R549*0.1</f>
        <v>72.470000000000013</v>
      </c>
      <c r="U549" s="803">
        <v>0</v>
      </c>
      <c r="V549" s="803">
        <v>0</v>
      </c>
      <c r="W549" s="803">
        <v>0</v>
      </c>
      <c r="X549" s="858">
        <f>SUMIF('Summary-E'!O$4:O$50,D549,'Summary-E'!Q$4:Q$50)</f>
        <v>0.97</v>
      </c>
      <c r="Y549" s="310">
        <f>ROUND((R549+S549/'[12]Summary E&amp;M (Origin)'!$M$101)*X549,2)</f>
        <v>702.96</v>
      </c>
      <c r="Z549" s="858">
        <f t="shared" si="567"/>
        <v>1.05</v>
      </c>
      <c r="AA549" s="813">
        <f>ROUND(Y549*Z549,2)</f>
        <v>738.11</v>
      </c>
      <c r="AB549" s="429">
        <f t="shared" si="573"/>
        <v>0.05</v>
      </c>
      <c r="AC549" s="310">
        <f t="shared" si="571"/>
        <v>76.09</v>
      </c>
      <c r="AD549" s="717">
        <f>ROUND(AC549*'[1]Summary E&amp;M'!$R$94,2)</f>
        <v>95.11</v>
      </c>
      <c r="AE549" s="835">
        <f t="shared" si="574"/>
        <v>702.96</v>
      </c>
      <c r="AF549" s="835">
        <f t="shared" si="575"/>
        <v>76.09</v>
      </c>
      <c r="AG549" s="743"/>
      <c r="AH549" s="728"/>
      <c r="AI549" s="519">
        <f t="shared" si="576"/>
        <v>0</v>
      </c>
      <c r="AJ549" s="519">
        <f t="shared" si="577"/>
        <v>0</v>
      </c>
      <c r="AK549" s="519">
        <f t="shared" si="578"/>
        <v>0</v>
      </c>
      <c r="AL549" s="520">
        <f t="shared" si="589"/>
        <v>0</v>
      </c>
      <c r="AM549" s="520">
        <f t="shared" si="590"/>
        <v>0</v>
      </c>
      <c r="AN549" s="520">
        <f t="shared" si="591"/>
        <v>0</v>
      </c>
      <c r="AO549" s="520">
        <f t="shared" si="592"/>
        <v>0</v>
      </c>
      <c r="AP549" s="552"/>
      <c r="AQ549" s="552"/>
      <c r="AR549" s="552"/>
      <c r="AS549" s="552"/>
      <c r="AT549" s="552"/>
    </row>
    <row r="550" spans="1:68" s="555" customFormat="1" ht="23.25" customHeight="1">
      <c r="A550" s="570"/>
      <c r="B550" s="568" t="s">
        <v>327</v>
      </c>
      <c r="C550" s="569"/>
      <c r="D550" s="570" t="s">
        <v>134</v>
      </c>
      <c r="E550" s="571" t="s">
        <v>319</v>
      </c>
      <c r="F550" s="1322">
        <f>K550</f>
        <v>1</v>
      </c>
      <c r="G550" s="527">
        <f>ROUND(AA550,2)</f>
        <v>91.67</v>
      </c>
      <c r="H550" s="527">
        <f>ROUND(F550*G550,2)</f>
        <v>91.67</v>
      </c>
      <c r="I550" s="901"/>
      <c r="J550" s="309"/>
      <c r="K550" s="1149">
        <v>1</v>
      </c>
      <c r="L550" s="530">
        <f>ROUND(AD550,2)</f>
        <v>26.25</v>
      </c>
      <c r="M550" s="530">
        <f t="shared" si="579"/>
        <v>26.25</v>
      </c>
      <c r="N550" s="309"/>
      <c r="O550" s="776" t="s">
        <v>134</v>
      </c>
      <c r="P550" s="777"/>
      <c r="Q550" s="777"/>
      <c r="R550" s="751">
        <v>90</v>
      </c>
      <c r="S550" s="752"/>
      <c r="T550" s="796">
        <v>20</v>
      </c>
      <c r="U550" s="803">
        <v>0</v>
      </c>
      <c r="V550" s="803">
        <v>0</v>
      </c>
      <c r="W550" s="803">
        <v>0</v>
      </c>
      <c r="X550" s="858">
        <f>SUMIF('Summary-E'!O$4:O$50,D550,'Summary-E'!Q$4:Q$50)</f>
        <v>0.97</v>
      </c>
      <c r="Y550" s="310">
        <f>ROUND((R550+S550/'[12]Summary E&amp;M (Origin)'!$M$101)*X550,2)</f>
        <v>87.3</v>
      </c>
      <c r="Z550" s="858">
        <f t="shared" si="567"/>
        <v>1.05</v>
      </c>
      <c r="AA550" s="813">
        <f>ROUND(Y550*Z550,2)</f>
        <v>91.67</v>
      </c>
      <c r="AB550" s="429">
        <f t="shared" si="573"/>
        <v>0.05</v>
      </c>
      <c r="AC550" s="310">
        <f t="shared" si="571"/>
        <v>21</v>
      </c>
      <c r="AD550" s="717">
        <f>ROUND(AC550*'[1]Summary E&amp;M'!$R$94,2)</f>
        <v>26.25</v>
      </c>
      <c r="AE550" s="835">
        <f t="shared" si="574"/>
        <v>87.3</v>
      </c>
      <c r="AF550" s="835">
        <f t="shared" si="575"/>
        <v>21</v>
      </c>
      <c r="AG550" s="743"/>
      <c r="AH550" s="728"/>
      <c r="AI550" s="519">
        <f t="shared" si="576"/>
        <v>0</v>
      </c>
      <c r="AJ550" s="519">
        <f t="shared" si="577"/>
        <v>0</v>
      </c>
      <c r="AK550" s="519">
        <f t="shared" si="578"/>
        <v>0</v>
      </c>
      <c r="AL550" s="520">
        <f t="shared" si="589"/>
        <v>0</v>
      </c>
      <c r="AM550" s="520">
        <f t="shared" si="590"/>
        <v>0</v>
      </c>
      <c r="AN550" s="520">
        <f t="shared" si="591"/>
        <v>0</v>
      </c>
      <c r="AO550" s="520">
        <f t="shared" si="592"/>
        <v>0</v>
      </c>
      <c r="AP550" s="552"/>
      <c r="AQ550" s="552"/>
      <c r="AR550" s="552"/>
      <c r="AS550" s="552"/>
      <c r="AT550" s="552"/>
    </row>
    <row r="551" spans="1:68" s="555" customFormat="1" ht="23.25" customHeight="1">
      <c r="A551" s="451"/>
      <c r="B551" s="531"/>
      <c r="C551" s="566"/>
      <c r="D551" s="525"/>
      <c r="E551" s="524"/>
      <c r="F551" s="1314"/>
      <c r="G551" s="527"/>
      <c r="H551" s="527"/>
      <c r="I551" s="901"/>
      <c r="J551" s="582"/>
      <c r="K551" s="1149"/>
      <c r="L551" s="530">
        <f>ROUND(AD551,2)</f>
        <v>0</v>
      </c>
      <c r="M551" s="530">
        <f t="shared" si="579"/>
        <v>0</v>
      </c>
      <c r="N551" s="1053"/>
      <c r="O551" s="776"/>
      <c r="P551" s="777"/>
      <c r="Q551" s="777"/>
      <c r="R551" s="751"/>
      <c r="S551" s="752"/>
      <c r="T551" s="796"/>
      <c r="U551" s="803"/>
      <c r="V551" s="803"/>
      <c r="W551" s="803"/>
      <c r="X551" s="858">
        <f>SUMIF('Summary-E'!O$4:O$50,D551,'Summary-E'!Q$4:Q$50)</f>
        <v>0</v>
      </c>
      <c r="Y551" s="310">
        <f>ROUND((R551+S551/'[12]Summary E&amp;M (Origin)'!$M$101)*X551,2)</f>
        <v>0</v>
      </c>
      <c r="Z551" s="858">
        <f t="shared" si="567"/>
        <v>1.05</v>
      </c>
      <c r="AA551" s="813"/>
      <c r="AB551" s="429"/>
      <c r="AC551" s="310">
        <f t="shared" si="571"/>
        <v>0</v>
      </c>
      <c r="AD551" s="717">
        <f>ROUND(AC551*'[1]Summary E&amp;M'!$R$94,2)</f>
        <v>0</v>
      </c>
      <c r="AE551" s="835">
        <f t="shared" si="574"/>
        <v>0</v>
      </c>
      <c r="AF551" s="835">
        <f t="shared" si="575"/>
        <v>0</v>
      </c>
      <c r="AG551" s="743"/>
      <c r="AH551" s="728"/>
      <c r="AI551" s="519"/>
      <c r="AJ551" s="519"/>
      <c r="AK551" s="519"/>
      <c r="AL551" s="520"/>
      <c r="AM551" s="520"/>
      <c r="AN551" s="520"/>
      <c r="AO551" s="520"/>
      <c r="AP551" s="552"/>
      <c r="AQ551" s="552"/>
      <c r="AR551" s="552"/>
      <c r="AS551" s="552"/>
      <c r="AT551" s="552"/>
    </row>
    <row r="552" spans="1:68" s="711" customFormat="1" ht="23.25" customHeight="1">
      <c r="A552" s="570"/>
      <c r="B552" s="568" t="s">
        <v>324</v>
      </c>
      <c r="C552" s="569"/>
      <c r="D552" s="570">
        <v>210</v>
      </c>
      <c r="E552" s="571" t="s">
        <v>319</v>
      </c>
      <c r="F552" s="1322">
        <f>K552</f>
        <v>1</v>
      </c>
      <c r="G552" s="527">
        <f>M554</f>
        <v>1581.6899999999998</v>
      </c>
      <c r="H552" s="527">
        <f>F552*G552</f>
        <v>1581.6899999999998</v>
      </c>
      <c r="I552" s="901"/>
      <c r="J552" s="582"/>
      <c r="K552" s="1149">
        <v>1</v>
      </c>
      <c r="L552" s="530"/>
      <c r="M552" s="530"/>
      <c r="N552" s="1053"/>
      <c r="O552" s="776">
        <v>210</v>
      </c>
      <c r="P552" s="777"/>
      <c r="Q552" s="777"/>
      <c r="R552" s="751"/>
      <c r="S552" s="752"/>
      <c r="T552" s="796"/>
      <c r="U552" s="803">
        <v>0</v>
      </c>
      <c r="V552" s="803">
        <v>0</v>
      </c>
      <c r="W552" s="803">
        <v>0</v>
      </c>
      <c r="X552" s="858">
        <f>SUMIF('Summary-E'!O$4:O$50,D552,'Summary-E'!Q$4:Q$50)</f>
        <v>0.05</v>
      </c>
      <c r="Y552" s="310">
        <f>ROUND((R552+S552/'[12]Summary E&amp;M (Origin)'!$M$101)*X552,2)</f>
        <v>0</v>
      </c>
      <c r="Z552" s="858">
        <f t="shared" si="567"/>
        <v>1.05</v>
      </c>
      <c r="AA552" s="813">
        <f>ROUND(Y552*Z552,2)</f>
        <v>0</v>
      </c>
      <c r="AB552" s="429">
        <f>$AB$3</f>
        <v>0.05</v>
      </c>
      <c r="AC552" s="310">
        <f t="shared" si="571"/>
        <v>0</v>
      </c>
      <c r="AD552" s="717">
        <f>ROUND(AC552*'[1]Summary E&amp;M'!$R$94,2)</f>
        <v>0</v>
      </c>
      <c r="AE552" s="835">
        <f t="shared" si="574"/>
        <v>0</v>
      </c>
      <c r="AF552" s="835">
        <f t="shared" si="575"/>
        <v>0</v>
      </c>
      <c r="AG552" s="743"/>
      <c r="AH552" s="728"/>
      <c r="AI552" s="519">
        <f>$U552</f>
        <v>0</v>
      </c>
      <c r="AJ552" s="519">
        <f>$V552</f>
        <v>0</v>
      </c>
      <c r="AK552" s="519">
        <f>$W552</f>
        <v>0</v>
      </c>
      <c r="AL552" s="520">
        <f>ROUND(Y552*AI552+((Y552*(1+AI552))*AJ552)+((Y552*AI552+((Y552*(1+AI552))*AJ552))*AK552),2)</f>
        <v>0</v>
      </c>
      <c r="AM552" s="520">
        <f>AL552*$F552</f>
        <v>0</v>
      </c>
      <c r="AN552" s="520">
        <f>ROUND(AL552*Z552,2)</f>
        <v>0</v>
      </c>
      <c r="AO552" s="520">
        <f>AN552*$F552</f>
        <v>0</v>
      </c>
      <c r="AP552" s="552"/>
      <c r="AQ552" s="552"/>
      <c r="AR552" s="552"/>
      <c r="AS552" s="552"/>
      <c r="AT552" s="552"/>
      <c r="AU552" s="555"/>
      <c r="AV552" s="555"/>
      <c r="AW552" s="555"/>
      <c r="AX552" s="555"/>
      <c r="AY552" s="555"/>
      <c r="AZ552" s="555"/>
      <c r="BA552" s="555"/>
      <c r="BB552" s="555"/>
      <c r="BC552" s="555"/>
      <c r="BD552" s="555"/>
      <c r="BE552" s="555"/>
      <c r="BF552" s="555"/>
      <c r="BG552" s="555"/>
      <c r="BH552" s="555"/>
      <c r="BI552" s="555"/>
      <c r="BJ552" s="555"/>
      <c r="BK552" s="555"/>
      <c r="BL552" s="555"/>
      <c r="BM552" s="555"/>
      <c r="BN552" s="555"/>
      <c r="BO552" s="555"/>
      <c r="BP552" s="555"/>
    </row>
    <row r="553" spans="1:68" s="555" customFormat="1" ht="23.25" customHeight="1">
      <c r="A553" s="616"/>
      <c r="B553" s="573"/>
      <c r="C553" s="574"/>
      <c r="D553" s="575"/>
      <c r="E553" s="576"/>
      <c r="F553" s="1326"/>
      <c r="G553" s="607"/>
      <c r="H553" s="608"/>
      <c r="I553" s="578"/>
      <c r="J553" s="609"/>
      <c r="K553" s="1183"/>
      <c r="L553" s="610"/>
      <c r="M553" s="610"/>
      <c r="N553" s="1053"/>
      <c r="O553" s="776"/>
      <c r="P553" s="777"/>
      <c r="Q553" s="777"/>
      <c r="R553" s="751"/>
      <c r="S553" s="752"/>
      <c r="T553" s="796"/>
      <c r="U553" s="803"/>
      <c r="V553" s="803"/>
      <c r="W553" s="803"/>
      <c r="X553" s="858">
        <f>SUMIF('Summary-E'!O$4:O$50,D553,'Summary-E'!Q$4:Q$50)</f>
        <v>0</v>
      </c>
      <c r="Y553" s="310">
        <f>ROUND((R553+S553/'[12]Summary E&amp;M (Origin)'!$M$101)*X553,2)</f>
        <v>0</v>
      </c>
      <c r="Z553" s="858">
        <f t="shared" si="567"/>
        <v>1.05</v>
      </c>
      <c r="AA553" s="813"/>
      <c r="AB553" s="429"/>
      <c r="AC553" s="310">
        <f t="shared" si="571"/>
        <v>0</v>
      </c>
      <c r="AD553" s="717">
        <f>ROUND(AC553*'[1]Summary E&amp;M'!$R$94,2)</f>
        <v>0</v>
      </c>
      <c r="AE553" s="835"/>
      <c r="AF553" s="835"/>
      <c r="AG553" s="738"/>
      <c r="AH553" s="737"/>
      <c r="AI553" s="552"/>
      <c r="AJ553" s="552"/>
      <c r="AK553" s="552"/>
      <c r="AL553" s="552"/>
      <c r="AM553" s="552"/>
      <c r="AN553" s="552"/>
      <c r="AO553" s="552"/>
      <c r="AP553" s="552"/>
      <c r="AQ553" s="552"/>
      <c r="AR553" s="552"/>
      <c r="AS553" s="552"/>
      <c r="AT553" s="552"/>
    </row>
    <row r="554" spans="1:68" s="711" customFormat="1" ht="22.5" customHeight="1">
      <c r="A554" s="973"/>
      <c r="B554" s="974" t="s">
        <v>1110</v>
      </c>
      <c r="C554" s="979"/>
      <c r="D554" s="980"/>
      <c r="E554" s="976"/>
      <c r="F554" s="1317"/>
      <c r="G554" s="982"/>
      <c r="H554" s="971">
        <f>SUBTOTAL(9,H535:H553)</f>
        <v>28590.799999999999</v>
      </c>
      <c r="I554" s="981"/>
      <c r="J554" s="609"/>
      <c r="K554" s="1184"/>
      <c r="L554" s="600"/>
      <c r="M554" s="1051">
        <f>SUBTOTAL(9,M535:M552)</f>
        <v>1581.6899999999998</v>
      </c>
      <c r="N554" s="1054"/>
      <c r="O554" s="787"/>
      <c r="P554" s="780"/>
      <c r="Q554" s="780"/>
      <c r="R554" s="759"/>
      <c r="S554" s="760"/>
      <c r="T554" s="797"/>
      <c r="U554" s="806"/>
      <c r="V554" s="806"/>
      <c r="W554" s="803"/>
      <c r="X554" s="858">
        <f>SUMIF('Summary-E'!O$4:O$50,D554,'Summary-E'!Q$4:Q$50)</f>
        <v>0</v>
      </c>
      <c r="Y554" s="310">
        <f>ROUND((R554+S554/'[12]Summary E&amp;M (Origin)'!$M$101)*X554,2)</f>
        <v>0</v>
      </c>
      <c r="Z554" s="858">
        <f t="shared" si="567"/>
        <v>1.05</v>
      </c>
      <c r="AA554" s="818"/>
      <c r="AB554" s="310"/>
      <c r="AC554" s="310">
        <f t="shared" si="571"/>
        <v>0</v>
      </c>
      <c r="AD554" s="717">
        <f>ROUND(AC554*'[1]Summary E&amp;M'!$R$94,2)</f>
        <v>0</v>
      </c>
      <c r="AE554" s="823">
        <f>SUBTOTAL(9,AE535:AE553)</f>
        <v>25177.329999999994</v>
      </c>
      <c r="AF554" s="823">
        <f>SUBTOTAL(9,AF535:AF553)</f>
        <v>1221.05</v>
      </c>
      <c r="AG554" s="614"/>
      <c r="AH554" s="730"/>
      <c r="AI554" s="846"/>
      <c r="AJ554" s="846"/>
      <c r="AK554" s="713"/>
      <c r="AL554" s="713"/>
      <c r="AM554" s="727">
        <f>SUBTOTAL(9,AM535:AM553)</f>
        <v>0</v>
      </c>
      <c r="AN554" s="713"/>
      <c r="AO554" s="727">
        <f>SUBTOTAL(9,AO535:AO553)</f>
        <v>0</v>
      </c>
      <c r="AP554" s="713"/>
      <c r="AQ554" s="713"/>
      <c r="AR554" s="713"/>
      <c r="AS554" s="713"/>
      <c r="AT554" s="713"/>
    </row>
    <row r="555" spans="1:68" s="555" customFormat="1" ht="22.5" customHeight="1">
      <c r="A555" s="545"/>
      <c r="B555" s="543"/>
      <c r="C555" s="544"/>
      <c r="D555" s="580"/>
      <c r="E555" s="581"/>
      <c r="F555" s="1320"/>
      <c r="G555" s="547"/>
      <c r="H555" s="547"/>
      <c r="I555" s="548"/>
      <c r="J555" s="549"/>
      <c r="K555" s="1179"/>
      <c r="L555" s="550"/>
      <c r="M555" s="550"/>
      <c r="N555" s="549"/>
      <c r="O555" s="778"/>
      <c r="P555" s="777"/>
      <c r="Q555" s="777"/>
      <c r="R555" s="751"/>
      <c r="S555" s="752"/>
      <c r="T555" s="792"/>
      <c r="U555" s="803"/>
      <c r="V555" s="803"/>
      <c r="W555" s="803"/>
      <c r="X555" s="858">
        <f>SUMIF('Summary-E'!O$4:O$50,D555,'Summary-E'!Q$4:Q$50)</f>
        <v>0</v>
      </c>
      <c r="Y555" s="310">
        <f>ROUND((R555+S555/'Summary-E'!$M$63)*X555,2)</f>
        <v>0</v>
      </c>
      <c r="Z555" s="858">
        <f t="shared" si="567"/>
        <v>1.05</v>
      </c>
      <c r="AA555" s="816"/>
      <c r="AB555" s="552"/>
      <c r="AC555" s="310">
        <f t="shared" si="571"/>
        <v>0</v>
      </c>
      <c r="AD555" s="717">
        <f>ROUND(AC555*'[1]Summary E&amp;M'!$R$94,2)</f>
        <v>0</v>
      </c>
      <c r="AE555" s="825"/>
      <c r="AF555" s="825"/>
      <c r="AG555" s="743"/>
      <c r="AH555" s="737"/>
      <c r="AI555" s="552"/>
      <c r="AJ555" s="552"/>
      <c r="AK555" s="552"/>
      <c r="AL555" s="552"/>
      <c r="AM555" s="553"/>
      <c r="AN555" s="552"/>
      <c r="AO555" s="553"/>
      <c r="AP555" s="552"/>
      <c r="AQ555" s="552"/>
      <c r="AR555" s="552"/>
      <c r="AS555" s="552"/>
      <c r="AT555" s="552"/>
    </row>
    <row r="556" spans="1:68" s="555" customFormat="1" ht="22.5" customHeight="1">
      <c r="A556" s="902" t="s">
        <v>404</v>
      </c>
      <c r="B556" s="439" t="s">
        <v>1005</v>
      </c>
      <c r="C556" s="503"/>
      <c r="D556" s="504"/>
      <c r="E556" s="505"/>
      <c r="F556" s="1312"/>
      <c r="G556" s="506"/>
      <c r="H556" s="506"/>
      <c r="I556" s="507"/>
      <c r="J556" s="508"/>
      <c r="K556" s="1173"/>
      <c r="L556" s="959"/>
      <c r="M556" s="959"/>
      <c r="N556" s="508"/>
      <c r="O556" s="775"/>
      <c r="P556" s="768"/>
      <c r="Q556" s="768"/>
      <c r="R556" s="751"/>
      <c r="S556" s="752"/>
      <c r="T556" s="792"/>
      <c r="U556" s="803"/>
      <c r="V556" s="803"/>
      <c r="W556" s="803"/>
      <c r="X556" s="858">
        <f>SUMIF('Summary-E'!O$4:O$50,D556,'Summary-E'!Q$4:Q$50)</f>
        <v>0</v>
      </c>
      <c r="Y556" s="310">
        <f>ROUND((R556+S556/'Summary-E'!$M$63)*X556,2)</f>
        <v>0</v>
      </c>
      <c r="Z556" s="858">
        <f t="shared" si="567"/>
        <v>1.05</v>
      </c>
      <c r="AA556" s="813"/>
      <c r="AB556" s="447"/>
      <c r="AC556" s="310"/>
      <c r="AD556" s="717"/>
      <c r="AE556" s="825"/>
      <c r="AF556" s="825"/>
      <c r="AG556" s="743"/>
      <c r="AH556" s="728"/>
      <c r="AI556" s="509"/>
      <c r="AJ556" s="509"/>
      <c r="AK556" s="509"/>
      <c r="AL556" s="510"/>
      <c r="AM556" s="510"/>
      <c r="AN556" s="510"/>
      <c r="AO556" s="510"/>
      <c r="AP556" s="478"/>
      <c r="AQ556" s="478"/>
      <c r="AR556" s="478"/>
      <c r="AS556" s="478"/>
      <c r="AT556" s="478"/>
    </row>
    <row r="557" spans="1:68" s="555" customFormat="1" ht="22.5" customHeight="1">
      <c r="A557" s="511"/>
      <c r="B557" s="512"/>
      <c r="C557" s="513"/>
      <c r="D557" s="504"/>
      <c r="E557" s="515"/>
      <c r="F557" s="1330"/>
      <c r="G557" s="516"/>
      <c r="H557" s="516"/>
      <c r="I557" s="517"/>
      <c r="J557" s="428"/>
      <c r="K557" s="1174"/>
      <c r="L557" s="960"/>
      <c r="M557" s="960"/>
      <c r="N557" s="428"/>
      <c r="O557" s="776"/>
      <c r="P557" s="777"/>
      <c r="Q557" s="777"/>
      <c r="R557" s="751"/>
      <c r="S557" s="752"/>
      <c r="T557" s="792"/>
      <c r="U557" s="803"/>
      <c r="V557" s="803"/>
      <c r="W557" s="803"/>
      <c r="X557" s="858">
        <f>SUMIF('Summary-E'!O$4:O$50,D557,'Summary-E'!Q$4:Q$50)</f>
        <v>0</v>
      </c>
      <c r="Y557" s="310">
        <f>ROUND((R557+S557/'Summary-E'!$M$63)*X557,2)</f>
        <v>0</v>
      </c>
      <c r="Z557" s="858">
        <f t="shared" si="567"/>
        <v>1.05</v>
      </c>
      <c r="AA557" s="813"/>
      <c r="AB557" s="447"/>
      <c r="AC557" s="310"/>
      <c r="AD557" s="717"/>
      <c r="AE557" s="825"/>
      <c r="AF557" s="825"/>
      <c r="AG557" s="744"/>
      <c r="AH557" s="729"/>
      <c r="AI557" s="519"/>
      <c r="AJ557" s="519"/>
      <c r="AK557" s="520"/>
      <c r="AL557" s="520"/>
      <c r="AM557" s="520"/>
      <c r="AN557" s="520"/>
      <c r="AO557" s="718"/>
      <c r="AP557" s="718"/>
      <c r="AQ557" s="718"/>
      <c r="AR557" s="718"/>
      <c r="AS557" s="718"/>
      <c r="AT557" s="552"/>
    </row>
    <row r="558" spans="1:68" s="555" customFormat="1" ht="22.5" customHeight="1">
      <c r="A558" s="620" t="s">
        <v>405</v>
      </c>
      <c r="B558" s="522" t="s">
        <v>124</v>
      </c>
      <c r="C558" s="513"/>
      <c r="D558" s="514"/>
      <c r="E558" s="515"/>
      <c r="F558" s="1330"/>
      <c r="G558" s="516"/>
      <c r="H558" s="710"/>
      <c r="I558" s="908" t="s">
        <v>713</v>
      </c>
      <c r="J558" s="428"/>
      <c r="K558" s="1174"/>
      <c r="L558" s="960"/>
      <c r="M558" s="960"/>
      <c r="N558" s="428"/>
      <c r="O558" s="776"/>
      <c r="P558" s="777"/>
      <c r="Q558" s="777"/>
      <c r="R558" s="751"/>
      <c r="S558" s="752"/>
      <c r="T558" s="792"/>
      <c r="U558" s="803"/>
      <c r="V558" s="803"/>
      <c r="W558" s="803"/>
      <c r="X558" s="858">
        <f>SUMIF('Summary-E'!O$4:O$50,D558,'Summary-E'!Q$4:Q$50)</f>
        <v>0</v>
      </c>
      <c r="Y558" s="310">
        <f>ROUND((R558+S558/'Summary-E'!$M$63)*X558,2)</f>
        <v>0</v>
      </c>
      <c r="Z558" s="858">
        <f t="shared" si="567"/>
        <v>1.05</v>
      </c>
      <c r="AA558" s="813"/>
      <c r="AB558" s="447"/>
      <c r="AC558" s="310"/>
      <c r="AD558" s="717"/>
      <c r="AE558" s="825"/>
      <c r="AF558" s="825"/>
      <c r="AG558" s="744"/>
      <c r="AH558" s="729"/>
      <c r="AI558" s="519"/>
      <c r="AJ558" s="519"/>
      <c r="AK558" s="520"/>
      <c r="AL558" s="520"/>
      <c r="AM558" s="520"/>
      <c r="AN558" s="520"/>
      <c r="AO558" s="718"/>
      <c r="AP558" s="718"/>
      <c r="AQ558" s="718"/>
      <c r="AR558" s="718"/>
      <c r="AS558" s="718"/>
      <c r="AT558" s="552"/>
    </row>
    <row r="559" spans="1:68" s="555" customFormat="1" ht="22.5" customHeight="1">
      <c r="A559" s="451"/>
      <c r="B559" s="531"/>
      <c r="C559" s="566"/>
      <c r="D559" s="525"/>
      <c r="E559" s="525"/>
      <c r="F559" s="1314"/>
      <c r="G559" s="527"/>
      <c r="H559" s="528"/>
      <c r="I559" s="529"/>
      <c r="J559" s="311"/>
      <c r="K559" s="1175"/>
      <c r="L559" s="530"/>
      <c r="M559" s="530"/>
      <c r="N559" s="309"/>
      <c r="O559" s="776"/>
      <c r="P559" s="777"/>
      <c r="Q559" s="777"/>
      <c r="R559" s="753"/>
      <c r="S559" s="754"/>
      <c r="T559" s="793"/>
      <c r="U559" s="804"/>
      <c r="V559" s="804"/>
      <c r="W559" s="804"/>
      <c r="X559" s="858">
        <f>SUMIF('Summary-E'!O$4:O$50,D559,'Summary-E'!Q$4:Q$50)</f>
        <v>0</v>
      </c>
      <c r="Y559" s="310">
        <f>ROUND((R559+S559/'Summary-E'!$M$63)*X559,2)</f>
        <v>0</v>
      </c>
      <c r="Z559" s="858">
        <f t="shared" si="567"/>
        <v>1.05</v>
      </c>
      <c r="AA559" s="814"/>
      <c r="AB559" s="474"/>
      <c r="AC559" s="310">
        <f t="shared" ref="AC559:AC600" si="593">ROUND((T559*(1+AB559)),2)</f>
        <v>0</v>
      </c>
      <c r="AD559" s="717">
        <f>ROUND(AC559*'[1]Summary E&amp;M'!$R$94,2)</f>
        <v>0</v>
      </c>
      <c r="AE559" s="827"/>
      <c r="AF559" s="827"/>
      <c r="AG559" s="744"/>
      <c r="AH559" s="728"/>
      <c r="AI559" s="519"/>
      <c r="AJ559" s="519"/>
      <c r="AK559" s="519"/>
      <c r="AL559" s="520"/>
      <c r="AM559" s="520"/>
      <c r="AN559" s="520"/>
      <c r="AO559" s="520"/>
      <c r="AP559" s="719"/>
      <c r="AQ559" s="719"/>
      <c r="AR559" s="719"/>
      <c r="AS559" s="719"/>
      <c r="AT559" s="719"/>
    </row>
    <row r="560" spans="1:68" s="711" customFormat="1" ht="22.5" customHeight="1">
      <c r="A560" s="973"/>
      <c r="B560" s="974" t="s">
        <v>125</v>
      </c>
      <c r="C560" s="979"/>
      <c r="D560" s="973"/>
      <c r="E560" s="973"/>
      <c r="F560" s="1317"/>
      <c r="G560" s="971"/>
      <c r="H560" s="977">
        <f>SUBTOTAL(9,H556:H559)</f>
        <v>0</v>
      </c>
      <c r="I560" s="978"/>
      <c r="J560" s="551"/>
      <c r="K560" s="1177"/>
      <c r="L560" s="550"/>
      <c r="M560" s="1051">
        <f>SUBTOTAL(9,M555:M558)</f>
        <v>0</v>
      </c>
      <c r="N560" s="549"/>
      <c r="O560" s="779"/>
      <c r="P560" s="780"/>
      <c r="Q560" s="780"/>
      <c r="R560" s="755"/>
      <c r="S560" s="756"/>
      <c r="T560" s="850"/>
      <c r="U560" s="851">
        <v>0</v>
      </c>
      <c r="V560" s="851">
        <v>0</v>
      </c>
      <c r="W560" s="851">
        <v>0</v>
      </c>
      <c r="X560" s="858">
        <f>SUMIF('Summary-E'!O$4:O$50,D560,'Summary-E'!Q$4:Q$50)</f>
        <v>0</v>
      </c>
      <c r="Y560" s="310">
        <f>ROUND((R560+S560/'Summary-E'!$M$63)*X560,2)</f>
        <v>0</v>
      </c>
      <c r="Z560" s="858">
        <f t="shared" si="567"/>
        <v>1.05</v>
      </c>
      <c r="AA560" s="852"/>
      <c r="AB560" s="853"/>
      <c r="AC560" s="310">
        <f t="shared" si="593"/>
        <v>0</v>
      </c>
      <c r="AD560" s="717">
        <f>ROUND(AC560*'[1]Summary E&amp;M'!$R$94,2)</f>
        <v>0</v>
      </c>
      <c r="AE560" s="828">
        <f>SUBTOTAL(9,AE556:AE559)</f>
        <v>0</v>
      </c>
      <c r="AF560" s="828">
        <f>SUBTOTAL(9,AF556:AF559)</f>
        <v>0</v>
      </c>
      <c r="AG560" s="618"/>
      <c r="AH560" s="730"/>
      <c r="AI560" s="720"/>
      <c r="AJ560" s="720"/>
      <c r="AK560" s="720"/>
      <c r="AL560" s="720"/>
      <c r="AM560" s="712">
        <f>SUBTOTAL(9,AM555:AM558)</f>
        <v>0</v>
      </c>
      <c r="AN560" s="720"/>
      <c r="AO560" s="712">
        <f>SUBTOTAL(9,AO555:AO558)</f>
        <v>0</v>
      </c>
      <c r="AP560" s="722"/>
      <c r="AQ560" s="722"/>
      <c r="AR560" s="722"/>
      <c r="AS560" s="722"/>
      <c r="AT560" s="722"/>
    </row>
    <row r="561" spans="1:46" s="555" customFormat="1" ht="22.5" customHeight="1">
      <c r="A561" s="451"/>
      <c r="B561" s="531"/>
      <c r="C561" s="566"/>
      <c r="D561" s="525"/>
      <c r="E561" s="525"/>
      <c r="F561" s="1314"/>
      <c r="G561" s="527"/>
      <c r="H561" s="528"/>
      <c r="I561" s="529"/>
      <c r="J561" s="311"/>
      <c r="K561" s="1175"/>
      <c r="L561" s="530"/>
      <c r="M561" s="530"/>
      <c r="N561" s="309"/>
      <c r="O561" s="776"/>
      <c r="P561" s="777"/>
      <c r="Q561" s="777"/>
      <c r="R561" s="757"/>
      <c r="S561" s="758"/>
      <c r="T561" s="794"/>
      <c r="U561" s="805"/>
      <c r="V561" s="805"/>
      <c r="W561" s="805"/>
      <c r="X561" s="858">
        <f>SUMIF('Summary-E'!O$4:O$50,D561,'Summary-E'!Q$4:Q$50)</f>
        <v>0</v>
      </c>
      <c r="Y561" s="310">
        <f>ROUND((R561+S561/'Summary-E'!$M$63)*X561,2)</f>
        <v>0</v>
      </c>
      <c r="Z561" s="858">
        <f t="shared" si="567"/>
        <v>1.05</v>
      </c>
      <c r="AA561" s="815"/>
      <c r="AB561" s="492"/>
      <c r="AC561" s="310">
        <f t="shared" si="593"/>
        <v>0</v>
      </c>
      <c r="AD561" s="717">
        <f>ROUND(AC561*'[1]Summary E&amp;M'!$R$94,2)</f>
        <v>0</v>
      </c>
      <c r="AE561" s="826">
        <f>ROUND($K561*$Y561,2)</f>
        <v>0</v>
      </c>
      <c r="AF561" s="826">
        <f>ROUND($K561*$AC561,2)</f>
        <v>0</v>
      </c>
      <c r="AG561" s="731"/>
      <c r="AH561" s="732"/>
      <c r="AI561" s="519"/>
      <c r="AJ561" s="519"/>
      <c r="AK561" s="519"/>
      <c r="AL561" s="520"/>
      <c r="AM561" s="520"/>
      <c r="AN561" s="520"/>
      <c r="AO561" s="520"/>
      <c r="AP561" s="719"/>
      <c r="AQ561" s="719"/>
      <c r="AR561" s="719"/>
      <c r="AS561" s="719"/>
      <c r="AT561" s="719"/>
    </row>
    <row r="562" spans="1:46" s="555" customFormat="1" ht="22.5" customHeight="1">
      <c r="A562" s="620" t="s">
        <v>406</v>
      </c>
      <c r="B562" s="522" t="s">
        <v>144</v>
      </c>
      <c r="C562" s="523"/>
      <c r="D562" s="524"/>
      <c r="E562" s="525"/>
      <c r="F562" s="1314"/>
      <c r="G562" s="527"/>
      <c r="H562" s="710"/>
      <c r="I562" s="908" t="s">
        <v>713</v>
      </c>
      <c r="J562" s="309"/>
      <c r="K562" s="1175"/>
      <c r="L562" s="530">
        <f>ROUND(AD562,2)</f>
        <v>0</v>
      </c>
      <c r="M562" s="530">
        <f>ROUND(L562*F562,2)</f>
        <v>0</v>
      </c>
      <c r="N562" s="309"/>
      <c r="O562" s="778"/>
      <c r="P562" s="777"/>
      <c r="Q562" s="777"/>
      <c r="R562" s="751"/>
      <c r="S562" s="752"/>
      <c r="T562" s="792"/>
      <c r="U562" s="803">
        <v>0</v>
      </c>
      <c r="V562" s="803">
        <v>0</v>
      </c>
      <c r="W562" s="803">
        <v>0</v>
      </c>
      <c r="X562" s="858">
        <f>SUMIF('Summary-E'!O$4:O$50,D562,'Summary-E'!Q$4:Q$50)</f>
        <v>0</v>
      </c>
      <c r="Y562" s="310">
        <f>ROUND((R562+S562/'Summary-E'!$M$63)*X562,2)</f>
        <v>0</v>
      </c>
      <c r="Z562" s="858">
        <f t="shared" si="567"/>
        <v>1.05</v>
      </c>
      <c r="AA562" s="813">
        <f>ROUND(Y562*Z562,2)</f>
        <v>0</v>
      </c>
      <c r="AB562" s="447">
        <f>$AB$3</f>
        <v>0.05</v>
      </c>
      <c r="AC562" s="310">
        <f t="shared" si="593"/>
        <v>0</v>
      </c>
      <c r="AD562" s="717">
        <f>ROUND(AC562*'[1]Summary E&amp;M'!$R$94,2)</f>
        <v>0</v>
      </c>
      <c r="AE562" s="826">
        <f>ROUND($K562*$Y562,2)</f>
        <v>0</v>
      </c>
      <c r="AF562" s="826">
        <f>ROUND($K562*$AC562,2)</f>
        <v>0</v>
      </c>
      <c r="AG562" s="731"/>
      <c r="AH562" s="732"/>
      <c r="AI562" s="519">
        <f>$U562</f>
        <v>0</v>
      </c>
      <c r="AJ562" s="519">
        <f>$V562</f>
        <v>0</v>
      </c>
      <c r="AK562" s="519">
        <f>$W562</f>
        <v>0</v>
      </c>
      <c r="AL562" s="520">
        <f>ROUND(Y562*AI562+((Y562*(1+AI562))*AJ562)+((Y562*AI562+((Y562*(1+AI562))*AJ562))*AK562),2)</f>
        <v>0</v>
      </c>
      <c r="AM562" s="520">
        <f>AL562*$F562</f>
        <v>0</v>
      </c>
      <c r="AN562" s="520">
        <f>ROUND(AL562*Z562,2)</f>
        <v>0</v>
      </c>
      <c r="AO562" s="520">
        <f>AN562*$F562</f>
        <v>0</v>
      </c>
      <c r="AP562" s="719"/>
      <c r="AQ562" s="719"/>
      <c r="AR562" s="719"/>
      <c r="AS562" s="719"/>
      <c r="AT562" s="719"/>
    </row>
    <row r="563" spans="1:46" s="555" customFormat="1" ht="22.5" customHeight="1">
      <c r="A563" s="451"/>
      <c r="B563" s="531"/>
      <c r="C563" s="523"/>
      <c r="D563" s="524"/>
      <c r="E563" s="525"/>
      <c r="F563" s="1314"/>
      <c r="G563" s="527"/>
      <c r="H563" s="528"/>
      <c r="I563" s="529"/>
      <c r="J563" s="311"/>
      <c r="K563" s="1175"/>
      <c r="L563" s="530"/>
      <c r="M563" s="530"/>
      <c r="N563" s="309"/>
      <c r="O563" s="776"/>
      <c r="P563" s="777"/>
      <c r="Q563" s="777"/>
      <c r="R563" s="753"/>
      <c r="S563" s="754"/>
      <c r="T563" s="793"/>
      <c r="U563" s="804"/>
      <c r="V563" s="804"/>
      <c r="W563" s="804"/>
      <c r="X563" s="858">
        <f>SUMIF('Summary-E'!O$4:O$50,D563,'Summary-E'!Q$4:Q$50)</f>
        <v>0</v>
      </c>
      <c r="Y563" s="310">
        <f>ROUND((R563+S563/'Summary-E'!$M$63)*X563,2)</f>
        <v>0</v>
      </c>
      <c r="Z563" s="858">
        <f t="shared" si="567"/>
        <v>1.05</v>
      </c>
      <c r="AA563" s="814"/>
      <c r="AB563" s="474"/>
      <c r="AC563" s="310">
        <f t="shared" si="593"/>
        <v>0</v>
      </c>
      <c r="AD563" s="717">
        <f>ROUND(AC563*'[1]Summary E&amp;M'!$R$94,2)</f>
        <v>0</v>
      </c>
      <c r="AE563" s="829"/>
      <c r="AF563" s="829"/>
      <c r="AG563" s="731"/>
      <c r="AH563" s="732"/>
      <c r="AI563" s="519">
        <f>$U563</f>
        <v>0</v>
      </c>
      <c r="AJ563" s="519">
        <f>$V563</f>
        <v>0</v>
      </c>
      <c r="AK563" s="519">
        <f>$W563</f>
        <v>0</v>
      </c>
      <c r="AL563" s="520">
        <f>ROUND(Y563*AI563+((Y563*(1+AI563))*AJ563)+((Y563*AI563+((Y563*(1+AI563))*AJ563))*AK563),2)</f>
        <v>0</v>
      </c>
      <c r="AM563" s="520">
        <f>AL563*$F563</f>
        <v>0</v>
      </c>
      <c r="AN563" s="520">
        <f>ROUND(AL563*Z563,2)</f>
        <v>0</v>
      </c>
      <c r="AO563" s="520">
        <f>AN563*$F563</f>
        <v>0</v>
      </c>
      <c r="AP563" s="719"/>
      <c r="AQ563" s="719"/>
      <c r="AR563" s="719"/>
      <c r="AS563" s="719"/>
      <c r="AT563" s="719"/>
    </row>
    <row r="564" spans="1:46" s="711" customFormat="1" ht="22.5" customHeight="1">
      <c r="A564" s="973"/>
      <c r="B564" s="974" t="s">
        <v>407</v>
      </c>
      <c r="C564" s="975"/>
      <c r="D564" s="976"/>
      <c r="E564" s="973"/>
      <c r="F564" s="1317"/>
      <c r="G564" s="971"/>
      <c r="H564" s="977">
        <f>SUBTOTAL(9,H562:H563)</f>
        <v>0</v>
      </c>
      <c r="I564" s="977"/>
      <c r="J564" s="551"/>
      <c r="K564" s="1177"/>
      <c r="L564" s="550"/>
      <c r="M564" s="1051">
        <f>SUBTOTAL(9,M561:M563)</f>
        <v>0</v>
      </c>
      <c r="N564" s="549"/>
      <c r="O564" s="479"/>
      <c r="P564" s="770"/>
      <c r="Q564" s="770"/>
      <c r="R564" s="755"/>
      <c r="S564" s="849"/>
      <c r="T564" s="850"/>
      <c r="U564" s="851">
        <v>0</v>
      </c>
      <c r="V564" s="851">
        <v>0</v>
      </c>
      <c r="W564" s="851">
        <v>0</v>
      </c>
      <c r="X564" s="858">
        <f>SUMIF('Summary-E'!O$4:O$50,D564,'Summary-E'!Q$4:Q$50)</f>
        <v>0</v>
      </c>
      <c r="Y564" s="310">
        <f>ROUND((R564+S564/'Summary-E'!$M$63)*X564,2)</f>
        <v>0</v>
      </c>
      <c r="Z564" s="858">
        <f t="shared" si="567"/>
        <v>1.05</v>
      </c>
      <c r="AA564" s="852"/>
      <c r="AB564" s="853"/>
      <c r="AC564" s="310">
        <f t="shared" si="593"/>
        <v>0</v>
      </c>
      <c r="AD564" s="717">
        <f>ROUND(AC564*'[1]Summary E&amp;M'!$R$94,2)</f>
        <v>0</v>
      </c>
      <c r="AE564" s="828">
        <f>SUBTOTAL(9,AE562:AE563)</f>
        <v>0</v>
      </c>
      <c r="AF564" s="828">
        <f>SUBTOTAL(9,AF562:AF563)</f>
        <v>0</v>
      </c>
      <c r="AG564" s="733"/>
      <c r="AH564" s="734"/>
      <c r="AI564" s="720"/>
      <c r="AJ564" s="720"/>
      <c r="AK564" s="720"/>
      <c r="AL564" s="720"/>
      <c r="AM564" s="712">
        <f>SUBTOTAL(9,AM562:AM562)</f>
        <v>0</v>
      </c>
      <c r="AN564" s="720"/>
      <c r="AO564" s="712">
        <f>SUBTOTAL(9,AO562:AO562)</f>
        <v>0</v>
      </c>
      <c r="AP564" s="722"/>
      <c r="AQ564" s="722"/>
      <c r="AR564" s="722"/>
      <c r="AS564" s="722"/>
      <c r="AT564" s="722"/>
    </row>
    <row r="565" spans="1:46" s="555" customFormat="1" ht="22.5" customHeight="1">
      <c r="A565" s="451"/>
      <c r="B565" s="531"/>
      <c r="C565" s="523"/>
      <c r="D565" s="524"/>
      <c r="E565" s="525"/>
      <c r="F565" s="1314"/>
      <c r="G565" s="527"/>
      <c r="H565" s="528"/>
      <c r="I565" s="529"/>
      <c r="J565" s="311"/>
      <c r="K565" s="1175"/>
      <c r="L565" s="530"/>
      <c r="M565" s="530"/>
      <c r="N565" s="309"/>
      <c r="O565" s="776"/>
      <c r="P565" s="777"/>
      <c r="Q565" s="777"/>
      <c r="R565" s="757"/>
      <c r="S565" s="758"/>
      <c r="T565" s="794"/>
      <c r="U565" s="805"/>
      <c r="V565" s="805"/>
      <c r="W565" s="805"/>
      <c r="X565" s="858">
        <f>SUMIF('Summary-E'!O$4:O$50,D565,'Summary-E'!Q$4:Q$50)</f>
        <v>0</v>
      </c>
      <c r="Y565" s="310">
        <f>ROUND((R565+S565/'Summary-E'!$M$63)*X565,2)</f>
        <v>0</v>
      </c>
      <c r="Z565" s="858">
        <f t="shared" si="567"/>
        <v>1.05</v>
      </c>
      <c r="AA565" s="815"/>
      <c r="AB565" s="492"/>
      <c r="AC565" s="310">
        <f t="shared" si="593"/>
        <v>0</v>
      </c>
      <c r="AD565" s="717">
        <f>ROUND(AC565*'[1]Summary E&amp;M'!$R$94,2)</f>
        <v>0</v>
      </c>
      <c r="AE565" s="830"/>
      <c r="AF565" s="830"/>
      <c r="AG565" s="731"/>
      <c r="AH565" s="732"/>
      <c r="AI565" s="519"/>
      <c r="AJ565" s="519"/>
      <c r="AK565" s="519"/>
      <c r="AL565" s="520"/>
      <c r="AM565" s="520"/>
      <c r="AN565" s="520"/>
      <c r="AO565" s="520"/>
      <c r="AP565" s="719"/>
      <c r="AQ565" s="719"/>
      <c r="AR565" s="719"/>
      <c r="AS565" s="719"/>
      <c r="AT565" s="719"/>
    </row>
    <row r="566" spans="1:46" s="555" customFormat="1" ht="22.5" customHeight="1">
      <c r="A566" s="620" t="s">
        <v>408</v>
      </c>
      <c r="B566" s="522" t="s">
        <v>123</v>
      </c>
      <c r="C566" s="523"/>
      <c r="D566" s="524"/>
      <c r="E566" s="525"/>
      <c r="F566" s="1314"/>
      <c r="G566" s="527"/>
      <c r="H566" s="528"/>
      <c r="I566" s="529"/>
      <c r="J566" s="311"/>
      <c r="K566" s="1175"/>
      <c r="L566" s="530">
        <f t="shared" ref="L566:L573" si="594">ROUND(AD566,2)</f>
        <v>0</v>
      </c>
      <c r="M566" s="530">
        <f t="shared" ref="M566:M585" si="595">ROUND(L566*F566,2)</f>
        <v>0</v>
      </c>
      <c r="N566" s="309"/>
      <c r="O566" s="776"/>
      <c r="P566" s="777"/>
      <c r="Q566" s="777"/>
      <c r="R566" s="751"/>
      <c r="S566" s="752"/>
      <c r="T566" s="792"/>
      <c r="U566" s="803">
        <v>0</v>
      </c>
      <c r="V566" s="803">
        <v>0</v>
      </c>
      <c r="W566" s="803">
        <v>0</v>
      </c>
      <c r="X566" s="858">
        <f>SUMIF('Summary-E'!O$4:O$50,D566,'Summary-E'!Q$4:Q$50)</f>
        <v>0</v>
      </c>
      <c r="Y566" s="310">
        <f>ROUND((R566+S566/'Summary-E'!$M$63)*X566,2)</f>
        <v>0</v>
      </c>
      <c r="Z566" s="858">
        <f t="shared" si="567"/>
        <v>1.05</v>
      </c>
      <c r="AA566" s="813">
        <f t="shared" ref="AA566:AA573" si="596">ROUND(Y566*Z566,2)</f>
        <v>0</v>
      </c>
      <c r="AB566" s="447">
        <f t="shared" ref="AB566:AB585" si="597">$AB$3</f>
        <v>0.05</v>
      </c>
      <c r="AC566" s="310">
        <f t="shared" si="593"/>
        <v>0</v>
      </c>
      <c r="AD566" s="717">
        <f>ROUND(AC566*'[1]Summary E&amp;M'!$R$94,2)</f>
        <v>0</v>
      </c>
      <c r="AE566" s="826">
        <f t="shared" ref="AE566:AE587" si="598">ROUND($K566*$Y566,2)</f>
        <v>0</v>
      </c>
      <c r="AF566" s="826">
        <f t="shared" ref="AF566:AF587" si="599">ROUND($K566*$AC566,2)</f>
        <v>0</v>
      </c>
      <c r="AG566" s="731"/>
      <c r="AH566" s="732"/>
      <c r="AI566" s="519">
        <f t="shared" ref="AI566:AI585" si="600">$U566</f>
        <v>0</v>
      </c>
      <c r="AJ566" s="519">
        <f t="shared" ref="AJ566:AJ585" si="601">$V566</f>
        <v>0</v>
      </c>
      <c r="AK566" s="519">
        <f t="shared" ref="AK566:AK585" si="602">$W566</f>
        <v>0</v>
      </c>
      <c r="AL566" s="520">
        <f t="shared" ref="AL566:AL585" si="603">ROUND(Y566*AI566+((Y566*(1+AI566))*AJ566)+((Y566*AI566+((Y566*(1+AI566))*AJ566))*AK566),2)</f>
        <v>0</v>
      </c>
      <c r="AM566" s="520">
        <f t="shared" ref="AM566:AM585" si="604">AL566*$F566</f>
        <v>0</v>
      </c>
      <c r="AN566" s="520">
        <f t="shared" ref="AN566:AN585" si="605">ROUND(AL566*Z566,2)</f>
        <v>0</v>
      </c>
      <c r="AO566" s="520">
        <f t="shared" ref="AO566:AO585" si="606">AN566*$F566</f>
        <v>0</v>
      </c>
      <c r="AP566" s="719"/>
      <c r="AQ566" s="719"/>
      <c r="AR566" s="719"/>
      <c r="AS566" s="719"/>
      <c r="AT566" s="719"/>
    </row>
    <row r="567" spans="1:46" s="555" customFormat="1" ht="22.5" customHeight="1">
      <c r="A567" s="451"/>
      <c r="B567" s="522" t="s">
        <v>751</v>
      </c>
      <c r="C567" s="523"/>
      <c r="D567" s="524"/>
      <c r="E567" s="525"/>
      <c r="F567" s="1314"/>
      <c r="G567" s="527"/>
      <c r="H567" s="528"/>
      <c r="I567" s="529"/>
      <c r="J567" s="309"/>
      <c r="K567" s="1175"/>
      <c r="L567" s="530">
        <f t="shared" si="594"/>
        <v>0</v>
      </c>
      <c r="M567" s="530">
        <f t="shared" si="595"/>
        <v>0</v>
      </c>
      <c r="N567" s="309"/>
      <c r="O567" s="778"/>
      <c r="P567" s="777"/>
      <c r="Q567" s="777"/>
      <c r="R567" s="751"/>
      <c r="S567" s="752"/>
      <c r="T567" s="792"/>
      <c r="U567" s="803">
        <v>0</v>
      </c>
      <c r="V567" s="803">
        <v>0</v>
      </c>
      <c r="W567" s="803">
        <v>0</v>
      </c>
      <c r="X567" s="858">
        <f>SUMIF('Summary-E'!O$4:O$50,D567,'Summary-E'!Q$4:Q$50)</f>
        <v>0</v>
      </c>
      <c r="Y567" s="310">
        <f>ROUND((R567+S567/'Summary-E'!$M$63)*X567,2)</f>
        <v>0</v>
      </c>
      <c r="Z567" s="858">
        <f t="shared" si="567"/>
        <v>1.05</v>
      </c>
      <c r="AA567" s="813">
        <f t="shared" si="596"/>
        <v>0</v>
      </c>
      <c r="AB567" s="447">
        <f t="shared" si="597"/>
        <v>0.05</v>
      </c>
      <c r="AC567" s="310">
        <f t="shared" si="593"/>
        <v>0</v>
      </c>
      <c r="AD567" s="717">
        <f>ROUND(AC567*'[1]Summary E&amp;M'!$R$94,2)</f>
        <v>0</v>
      </c>
      <c r="AE567" s="826">
        <f t="shared" si="598"/>
        <v>0</v>
      </c>
      <c r="AF567" s="826">
        <f t="shared" si="599"/>
        <v>0</v>
      </c>
      <c r="AG567" s="731"/>
      <c r="AH567" s="732"/>
      <c r="AI567" s="519">
        <f t="shared" si="600"/>
        <v>0</v>
      </c>
      <c r="AJ567" s="519">
        <f t="shared" si="601"/>
        <v>0</v>
      </c>
      <c r="AK567" s="519">
        <f t="shared" si="602"/>
        <v>0</v>
      </c>
      <c r="AL567" s="520">
        <f t="shared" si="603"/>
        <v>0</v>
      </c>
      <c r="AM567" s="520">
        <f t="shared" si="604"/>
        <v>0</v>
      </c>
      <c r="AN567" s="520">
        <f t="shared" si="605"/>
        <v>0</v>
      </c>
      <c r="AO567" s="520">
        <f t="shared" si="606"/>
        <v>0</v>
      </c>
      <c r="AP567" s="719"/>
      <c r="AQ567" s="719"/>
      <c r="AR567" s="719"/>
      <c r="AS567" s="719"/>
      <c r="AT567" s="719"/>
    </row>
    <row r="568" spans="1:46" s="555" customFormat="1" ht="22.5" customHeight="1">
      <c r="A568" s="451"/>
      <c r="B568" s="531" t="s">
        <v>966</v>
      </c>
      <c r="C568" s="523"/>
      <c r="D568" s="524" t="s">
        <v>132</v>
      </c>
      <c r="E568" s="525" t="s">
        <v>684</v>
      </c>
      <c r="F568" s="1315">
        <f t="shared" ref="F568:F574" si="607">K568</f>
        <v>1</v>
      </c>
      <c r="G568" s="527">
        <f t="shared" ref="G568:G585" si="608">ROUNDUP(AA568,2)</f>
        <v>453.82</v>
      </c>
      <c r="H568" s="528">
        <f t="shared" ref="H568:H581" si="609">ROUND(F568*G568,2)</f>
        <v>453.82</v>
      </c>
      <c r="I568" s="1069"/>
      <c r="J568" s="309"/>
      <c r="K568" s="1175">
        <v>1</v>
      </c>
      <c r="L568" s="530">
        <f t="shared" si="594"/>
        <v>105</v>
      </c>
      <c r="M568" s="530">
        <f t="shared" si="595"/>
        <v>105</v>
      </c>
      <c r="N568" s="309"/>
      <c r="O568" s="778" t="s">
        <v>132</v>
      </c>
      <c r="P568" s="777"/>
      <c r="Q568" s="777"/>
      <c r="R568" s="1096"/>
      <c r="S568" s="752">
        <v>8990000</v>
      </c>
      <c r="T568" s="792">
        <v>80</v>
      </c>
      <c r="U568" s="803">
        <v>0</v>
      </c>
      <c r="V568" s="803">
        <v>0</v>
      </c>
      <c r="W568" s="803">
        <v>0</v>
      </c>
      <c r="X568" s="858">
        <v>1</v>
      </c>
      <c r="Y568" s="310">
        <f>ROUND((R568+S568/'Summary-E'!$M$63)*X568,2)</f>
        <v>432.21</v>
      </c>
      <c r="Z568" s="858">
        <f t="shared" si="567"/>
        <v>1.05</v>
      </c>
      <c r="AA568" s="813">
        <f t="shared" si="596"/>
        <v>453.82</v>
      </c>
      <c r="AB568" s="447">
        <f t="shared" si="597"/>
        <v>0.05</v>
      </c>
      <c r="AC568" s="310">
        <f t="shared" si="593"/>
        <v>84</v>
      </c>
      <c r="AD568" s="717">
        <f>ROUND(AC568*'[1]Summary E&amp;M'!$R$94,2)</f>
        <v>105</v>
      </c>
      <c r="AE568" s="826">
        <f t="shared" si="598"/>
        <v>432.21</v>
      </c>
      <c r="AF568" s="826">
        <f t="shared" si="599"/>
        <v>84</v>
      </c>
      <c r="AG568" s="731">
        <v>1910.45</v>
      </c>
      <c r="AH568" s="732">
        <v>49.88</v>
      </c>
      <c r="AI568" s="519">
        <f t="shared" si="600"/>
        <v>0</v>
      </c>
      <c r="AJ568" s="519">
        <f t="shared" si="601"/>
        <v>0</v>
      </c>
      <c r="AK568" s="519">
        <f t="shared" si="602"/>
        <v>0</v>
      </c>
      <c r="AL568" s="520">
        <f t="shared" si="603"/>
        <v>0</v>
      </c>
      <c r="AM568" s="520">
        <f t="shared" si="604"/>
        <v>0</v>
      </c>
      <c r="AN568" s="520">
        <f t="shared" si="605"/>
        <v>0</v>
      </c>
      <c r="AO568" s="520">
        <f t="shared" si="606"/>
        <v>0</v>
      </c>
      <c r="AP568" s="719"/>
      <c r="AQ568" s="719"/>
      <c r="AR568" s="719"/>
      <c r="AS568" s="719"/>
      <c r="AT568" s="719"/>
    </row>
    <row r="569" spans="1:46" s="555" customFormat="1" ht="22.5" customHeight="1">
      <c r="A569" s="451"/>
      <c r="B569" s="531" t="s">
        <v>1261</v>
      </c>
      <c r="C569" s="523"/>
      <c r="D569" s="524" t="s">
        <v>132</v>
      </c>
      <c r="E569" s="525" t="s">
        <v>684</v>
      </c>
      <c r="F569" s="1315">
        <f t="shared" si="607"/>
        <v>1</v>
      </c>
      <c r="G569" s="527">
        <f t="shared" si="608"/>
        <v>525.5</v>
      </c>
      <c r="H569" s="528">
        <f t="shared" si="609"/>
        <v>525.5</v>
      </c>
      <c r="I569" s="1069"/>
      <c r="J569" s="309"/>
      <c r="K569" s="1175">
        <v>1</v>
      </c>
      <c r="L569" s="530">
        <f t="shared" si="594"/>
        <v>157.5</v>
      </c>
      <c r="M569" s="530">
        <f t="shared" si="595"/>
        <v>157.5</v>
      </c>
      <c r="N569" s="309"/>
      <c r="O569" s="778" t="s">
        <v>132</v>
      </c>
      <c r="P569" s="777"/>
      <c r="Q569" s="777"/>
      <c r="R569" s="1096"/>
      <c r="S569" s="752">
        <v>10410000</v>
      </c>
      <c r="T569" s="792">
        <v>120</v>
      </c>
      <c r="U569" s="803">
        <v>0</v>
      </c>
      <c r="V569" s="803">
        <v>0</v>
      </c>
      <c r="W569" s="803">
        <v>0</v>
      </c>
      <c r="X569" s="858">
        <v>1</v>
      </c>
      <c r="Y569" s="310">
        <f>ROUND((R569+S569/'Summary-E'!$M$63)*X569,2)</f>
        <v>500.48</v>
      </c>
      <c r="Z569" s="858">
        <f t="shared" si="567"/>
        <v>1.05</v>
      </c>
      <c r="AA569" s="813">
        <f t="shared" si="596"/>
        <v>525.5</v>
      </c>
      <c r="AB569" s="447">
        <f t="shared" si="597"/>
        <v>0.05</v>
      </c>
      <c r="AC569" s="310">
        <f t="shared" si="593"/>
        <v>126</v>
      </c>
      <c r="AD569" s="717">
        <f>ROUND(AC569*'[1]Summary E&amp;M'!$R$94,2)</f>
        <v>157.5</v>
      </c>
      <c r="AE569" s="826">
        <f t="shared" si="598"/>
        <v>500.48</v>
      </c>
      <c r="AF569" s="826">
        <f t="shared" si="599"/>
        <v>126</v>
      </c>
      <c r="AG569" s="731">
        <v>2614.4</v>
      </c>
      <c r="AH569" s="732">
        <v>79.8</v>
      </c>
      <c r="AI569" s="519">
        <f t="shared" si="600"/>
        <v>0</v>
      </c>
      <c r="AJ569" s="519">
        <f t="shared" si="601"/>
        <v>0</v>
      </c>
      <c r="AK569" s="519">
        <f t="shared" si="602"/>
        <v>0</v>
      </c>
      <c r="AL569" s="520">
        <f t="shared" si="603"/>
        <v>0</v>
      </c>
      <c r="AM569" s="520">
        <f t="shared" si="604"/>
        <v>0</v>
      </c>
      <c r="AN569" s="520">
        <f t="shared" si="605"/>
        <v>0</v>
      </c>
      <c r="AO569" s="520">
        <f t="shared" si="606"/>
        <v>0</v>
      </c>
      <c r="AP569" s="719"/>
      <c r="AQ569" s="719"/>
      <c r="AR569" s="719"/>
      <c r="AS569" s="719"/>
      <c r="AT569" s="719"/>
    </row>
    <row r="570" spans="1:46" s="555" customFormat="1" ht="22.5" customHeight="1">
      <c r="A570" s="451"/>
      <c r="B570" s="531" t="s">
        <v>1262</v>
      </c>
      <c r="C570" s="523"/>
      <c r="D570" s="524" t="s">
        <v>132</v>
      </c>
      <c r="E570" s="525" t="s">
        <v>684</v>
      </c>
      <c r="F570" s="1315">
        <f t="shared" ref="F570" si="610">K570</f>
        <v>1</v>
      </c>
      <c r="G570" s="527">
        <f t="shared" ref="G570" si="611">ROUNDUP(AA570,2)</f>
        <v>525.5</v>
      </c>
      <c r="H570" s="528">
        <f t="shared" ref="H570" si="612">ROUND(F570*G570,2)</f>
        <v>525.5</v>
      </c>
      <c r="I570" s="1069"/>
      <c r="J570" s="309"/>
      <c r="K570" s="1175">
        <v>1</v>
      </c>
      <c r="L570" s="530">
        <f t="shared" ref="L570" si="613">ROUND(AD570,2)</f>
        <v>157.5</v>
      </c>
      <c r="M570" s="530">
        <f t="shared" ref="M570" si="614">ROUND(L570*F570,2)</f>
        <v>157.5</v>
      </c>
      <c r="N570" s="309"/>
      <c r="O570" s="778" t="s">
        <v>132</v>
      </c>
      <c r="P570" s="777"/>
      <c r="Q570" s="777"/>
      <c r="R570" s="1096"/>
      <c r="S570" s="752">
        <v>10410000</v>
      </c>
      <c r="T570" s="792">
        <v>120</v>
      </c>
      <c r="U570" s="803">
        <v>0</v>
      </c>
      <c r="V570" s="803">
        <v>0</v>
      </c>
      <c r="W570" s="803">
        <v>0</v>
      </c>
      <c r="X570" s="858">
        <v>1</v>
      </c>
      <c r="Y570" s="310">
        <f>ROUND((R570+S570/'Summary-E'!$M$63)*X570,2)</f>
        <v>500.48</v>
      </c>
      <c r="Z570" s="858">
        <f t="shared" si="567"/>
        <v>1.05</v>
      </c>
      <c r="AA570" s="813">
        <f t="shared" ref="AA570" si="615">ROUND(Y570*Z570,2)</f>
        <v>525.5</v>
      </c>
      <c r="AB570" s="447">
        <f t="shared" si="597"/>
        <v>0.05</v>
      </c>
      <c r="AC570" s="310">
        <f t="shared" ref="AC570" si="616">ROUND((T570*(1+AB570)),2)</f>
        <v>126</v>
      </c>
      <c r="AD570" s="717">
        <f>ROUND(AC570*'[1]Summary E&amp;M'!$R$94,2)</f>
        <v>157.5</v>
      </c>
      <c r="AE570" s="826">
        <f t="shared" si="598"/>
        <v>500.48</v>
      </c>
      <c r="AF570" s="826">
        <f t="shared" si="599"/>
        <v>126</v>
      </c>
      <c r="AG570" s="731">
        <v>2614.4</v>
      </c>
      <c r="AH570" s="732">
        <v>79.8</v>
      </c>
      <c r="AI570" s="519">
        <f t="shared" si="600"/>
        <v>0</v>
      </c>
      <c r="AJ570" s="519">
        <f t="shared" si="601"/>
        <v>0</v>
      </c>
      <c r="AK570" s="519">
        <f t="shared" si="602"/>
        <v>0</v>
      </c>
      <c r="AL570" s="520">
        <f t="shared" ref="AL570" si="617">ROUND(Y570*AI570+((Y570*(1+AI570))*AJ570)+((Y570*AI570+((Y570*(1+AI570))*AJ570))*AK570),2)</f>
        <v>0</v>
      </c>
      <c r="AM570" s="520">
        <f t="shared" ref="AM570" si="618">AL570*$F570</f>
        <v>0</v>
      </c>
      <c r="AN570" s="520">
        <f t="shared" ref="AN570" si="619">ROUND(AL570*Z570,2)</f>
        <v>0</v>
      </c>
      <c r="AO570" s="520">
        <f t="shared" ref="AO570" si="620">AN570*$F570</f>
        <v>0</v>
      </c>
      <c r="AP570" s="719"/>
      <c r="AQ570" s="719"/>
      <c r="AR570" s="719"/>
      <c r="AS570" s="719"/>
      <c r="AT570" s="719"/>
    </row>
    <row r="571" spans="1:46" s="555" customFormat="1" ht="22.5" customHeight="1">
      <c r="A571" s="451"/>
      <c r="B571" s="531" t="s">
        <v>957</v>
      </c>
      <c r="C571" s="523" t="s">
        <v>752</v>
      </c>
      <c r="D571" s="524" t="s">
        <v>132</v>
      </c>
      <c r="E571" s="525" t="s">
        <v>684</v>
      </c>
      <c r="F571" s="1315">
        <f t="shared" si="607"/>
        <v>1</v>
      </c>
      <c r="G571" s="527">
        <f>ROUNDUP(AA571,2)</f>
        <v>1804.69</v>
      </c>
      <c r="H571" s="528">
        <f>ROUND(F571*G571,2)</f>
        <v>1804.69</v>
      </c>
      <c r="I571" s="1069"/>
      <c r="J571" s="649"/>
      <c r="K571" s="1175">
        <v>1</v>
      </c>
      <c r="L571" s="530">
        <f>ROUND(AD571,2)</f>
        <v>157.5</v>
      </c>
      <c r="M571" s="530">
        <f>ROUND(L571*F571,2)</f>
        <v>157.5</v>
      </c>
      <c r="N571" s="309"/>
      <c r="O571" s="778" t="s">
        <v>132</v>
      </c>
      <c r="P571" s="777"/>
      <c r="Q571" s="777"/>
      <c r="R571" s="1096"/>
      <c r="S571" s="752">
        <v>35750000</v>
      </c>
      <c r="T571" s="792">
        <v>120</v>
      </c>
      <c r="U571" s="803">
        <v>0</v>
      </c>
      <c r="V571" s="803">
        <v>0</v>
      </c>
      <c r="W571" s="803">
        <v>0</v>
      </c>
      <c r="X571" s="858">
        <v>1</v>
      </c>
      <c r="Y571" s="310">
        <f>ROUND((R571+S571/'Summary-E'!$M$63)*X571,2)</f>
        <v>1718.75</v>
      </c>
      <c r="Z571" s="858">
        <f t="shared" si="567"/>
        <v>1.05</v>
      </c>
      <c r="AA571" s="813">
        <f>ROUND(Y571*Z571,2)</f>
        <v>1804.69</v>
      </c>
      <c r="AB571" s="447">
        <f t="shared" si="104"/>
        <v>0.05</v>
      </c>
      <c r="AC571" s="310">
        <f>ROUND((T571*(1+AB571)),2)</f>
        <v>126</v>
      </c>
      <c r="AD571" s="717">
        <f>ROUND(AC571*'[1]Summary E&amp;M'!$R$94,2)</f>
        <v>157.5</v>
      </c>
      <c r="AE571" s="826">
        <f>ROUND($K571*$Y571,2)</f>
        <v>1718.75</v>
      </c>
      <c r="AF571" s="826">
        <f>ROUND($K571*$AC571,2)</f>
        <v>126</v>
      </c>
      <c r="AG571" s="731">
        <v>3271.8</v>
      </c>
      <c r="AH571" s="732">
        <v>99.75</v>
      </c>
      <c r="AI571" s="519">
        <f>$U571</f>
        <v>0</v>
      </c>
      <c r="AJ571" s="519">
        <f>$V571</f>
        <v>0</v>
      </c>
      <c r="AK571" s="519">
        <f>$W571</f>
        <v>0</v>
      </c>
      <c r="AL571" s="520">
        <f>ROUND(Y571*AI571+((Y571*(1+AI571))*AJ571)+((Y571*AI571+((Y571*(1+AI571))*AJ571))*AK571),2)</f>
        <v>0</v>
      </c>
      <c r="AM571" s="520">
        <f>AL571*$F571</f>
        <v>0</v>
      </c>
      <c r="AN571" s="520">
        <f>ROUND(AL571*Z571,2)</f>
        <v>0</v>
      </c>
      <c r="AO571" s="520">
        <f>AN571*$F571</f>
        <v>0</v>
      </c>
      <c r="AP571" s="719"/>
      <c r="AQ571" s="719"/>
      <c r="AR571" s="719"/>
      <c r="AS571" s="719"/>
      <c r="AT571" s="719"/>
    </row>
    <row r="572" spans="1:46" s="555" customFormat="1" ht="22.5" customHeight="1">
      <c r="A572" s="451"/>
      <c r="B572" s="531" t="s">
        <v>967</v>
      </c>
      <c r="C572" s="523" t="s">
        <v>752</v>
      </c>
      <c r="D572" s="524" t="s">
        <v>132</v>
      </c>
      <c r="E572" s="525" t="s">
        <v>684</v>
      </c>
      <c r="F572" s="1315">
        <f t="shared" si="607"/>
        <v>1</v>
      </c>
      <c r="G572" s="527">
        <f t="shared" si="608"/>
        <v>1490.7</v>
      </c>
      <c r="H572" s="528">
        <f t="shared" si="609"/>
        <v>1490.7</v>
      </c>
      <c r="I572" s="1069"/>
      <c r="J572" s="309"/>
      <c r="K572" s="1175">
        <v>1</v>
      </c>
      <c r="L572" s="530">
        <f t="shared" si="594"/>
        <v>157.5</v>
      </c>
      <c r="M572" s="530">
        <f t="shared" si="595"/>
        <v>157.5</v>
      </c>
      <c r="N572" s="309"/>
      <c r="O572" s="778" t="s">
        <v>132</v>
      </c>
      <c r="P572" s="777"/>
      <c r="Q572" s="777"/>
      <c r="R572" s="1096"/>
      <c r="S572" s="752">
        <v>29530000</v>
      </c>
      <c r="T572" s="792">
        <v>120</v>
      </c>
      <c r="U572" s="803">
        <v>0</v>
      </c>
      <c r="V572" s="803">
        <v>0</v>
      </c>
      <c r="W572" s="803">
        <v>0</v>
      </c>
      <c r="X572" s="858">
        <v>1</v>
      </c>
      <c r="Y572" s="310">
        <f>ROUND((R572+S572/'Summary-E'!$M$63)*X572,2)</f>
        <v>1419.71</v>
      </c>
      <c r="Z572" s="858">
        <f t="shared" si="567"/>
        <v>1.05</v>
      </c>
      <c r="AA572" s="813">
        <f t="shared" si="596"/>
        <v>1490.7</v>
      </c>
      <c r="AB572" s="447">
        <f t="shared" si="597"/>
        <v>0.05</v>
      </c>
      <c r="AC572" s="310">
        <f t="shared" si="593"/>
        <v>126</v>
      </c>
      <c r="AD572" s="717">
        <f>ROUND(AC572*'[1]Summary E&amp;M'!$R$94,2)</f>
        <v>157.5</v>
      </c>
      <c r="AE572" s="826">
        <f t="shared" si="598"/>
        <v>1419.71</v>
      </c>
      <c r="AF572" s="826">
        <f t="shared" si="599"/>
        <v>126</v>
      </c>
      <c r="AG572" s="731">
        <v>4249.3500000000004</v>
      </c>
      <c r="AH572" s="732">
        <v>149.63</v>
      </c>
      <c r="AI572" s="519">
        <f t="shared" si="600"/>
        <v>0</v>
      </c>
      <c r="AJ572" s="519">
        <f t="shared" si="601"/>
        <v>0</v>
      </c>
      <c r="AK572" s="519">
        <f t="shared" si="602"/>
        <v>0</v>
      </c>
      <c r="AL572" s="520">
        <f t="shared" si="603"/>
        <v>0</v>
      </c>
      <c r="AM572" s="520">
        <f t="shared" si="604"/>
        <v>0</v>
      </c>
      <c r="AN572" s="520">
        <f t="shared" si="605"/>
        <v>0</v>
      </c>
      <c r="AO572" s="520">
        <f t="shared" si="606"/>
        <v>0</v>
      </c>
      <c r="AP572" s="719"/>
      <c r="AQ572" s="719"/>
      <c r="AR572" s="719"/>
      <c r="AS572" s="719"/>
      <c r="AT572" s="719"/>
    </row>
    <row r="573" spans="1:46" s="555" customFormat="1" ht="22.5" customHeight="1">
      <c r="A573" s="451"/>
      <c r="B573" s="531" t="s">
        <v>968</v>
      </c>
      <c r="C573" s="523" t="s">
        <v>752</v>
      </c>
      <c r="D573" s="524" t="s">
        <v>132</v>
      </c>
      <c r="E573" s="525" t="s">
        <v>684</v>
      </c>
      <c r="F573" s="1315">
        <f t="shared" si="607"/>
        <v>1</v>
      </c>
      <c r="G573" s="527">
        <f t="shared" si="608"/>
        <v>1523.51</v>
      </c>
      <c r="H573" s="528">
        <f t="shared" si="609"/>
        <v>1523.51</v>
      </c>
      <c r="I573" s="1069"/>
      <c r="J573" s="309"/>
      <c r="K573" s="1175">
        <v>1</v>
      </c>
      <c r="L573" s="530">
        <f t="shared" si="594"/>
        <v>196.88</v>
      </c>
      <c r="M573" s="530">
        <f t="shared" si="595"/>
        <v>196.88</v>
      </c>
      <c r="N573" s="309"/>
      <c r="O573" s="778" t="s">
        <v>132</v>
      </c>
      <c r="P573" s="777"/>
      <c r="Q573" s="777"/>
      <c r="R573" s="1096"/>
      <c r="S573" s="752">
        <v>30180000</v>
      </c>
      <c r="T573" s="792">
        <v>150</v>
      </c>
      <c r="U573" s="803">
        <v>0</v>
      </c>
      <c r="V573" s="803">
        <v>0</v>
      </c>
      <c r="W573" s="803">
        <v>0</v>
      </c>
      <c r="X573" s="858">
        <v>1</v>
      </c>
      <c r="Y573" s="310">
        <f>ROUND((R573+S573/'Summary-E'!$M$63)*X573,2)</f>
        <v>1450.96</v>
      </c>
      <c r="Z573" s="858">
        <f t="shared" si="567"/>
        <v>1.05</v>
      </c>
      <c r="AA573" s="813">
        <f t="shared" si="596"/>
        <v>1523.51</v>
      </c>
      <c r="AB573" s="447">
        <f t="shared" si="597"/>
        <v>0.05</v>
      </c>
      <c r="AC573" s="310">
        <f t="shared" si="593"/>
        <v>157.5</v>
      </c>
      <c r="AD573" s="717">
        <f>ROUND(AC573*'[1]Summary E&amp;M'!$R$94,2)</f>
        <v>196.88</v>
      </c>
      <c r="AE573" s="826">
        <f t="shared" si="598"/>
        <v>1450.96</v>
      </c>
      <c r="AF573" s="826">
        <f t="shared" si="599"/>
        <v>157.5</v>
      </c>
      <c r="AG573" s="731">
        <v>2660.95</v>
      </c>
      <c r="AH573" s="732">
        <v>79.8</v>
      </c>
      <c r="AI573" s="519">
        <f t="shared" si="600"/>
        <v>0</v>
      </c>
      <c r="AJ573" s="519">
        <f t="shared" si="601"/>
        <v>0</v>
      </c>
      <c r="AK573" s="519">
        <f t="shared" si="602"/>
        <v>0</v>
      </c>
      <c r="AL573" s="520">
        <f t="shared" si="603"/>
        <v>0</v>
      </c>
      <c r="AM573" s="520">
        <f t="shared" si="604"/>
        <v>0</v>
      </c>
      <c r="AN573" s="520">
        <f t="shared" si="605"/>
        <v>0</v>
      </c>
      <c r="AO573" s="520">
        <f t="shared" si="606"/>
        <v>0</v>
      </c>
      <c r="AP573" s="719"/>
      <c r="AQ573" s="719"/>
      <c r="AR573" s="719"/>
      <c r="AS573" s="719"/>
      <c r="AT573" s="719"/>
    </row>
    <row r="574" spans="1:46" s="555" customFormat="1" ht="22.5" customHeight="1">
      <c r="A574" s="451"/>
      <c r="B574" s="531" t="s">
        <v>672</v>
      </c>
      <c r="C574" s="523"/>
      <c r="D574" s="524" t="s">
        <v>139</v>
      </c>
      <c r="E574" s="525" t="s">
        <v>322</v>
      </c>
      <c r="F574" s="1315">
        <f t="shared" si="607"/>
        <v>1</v>
      </c>
      <c r="G574" s="527">
        <f t="shared" si="608"/>
        <v>529.25</v>
      </c>
      <c r="H574" s="528">
        <f t="shared" si="609"/>
        <v>529.25</v>
      </c>
      <c r="I574" s="529"/>
      <c r="J574" s="309"/>
      <c r="K574" s="1175">
        <v>1</v>
      </c>
      <c r="L574" s="530">
        <f t="shared" ref="L574:L585" si="621">ROUND(AD574,2)</f>
        <v>136.4</v>
      </c>
      <c r="M574" s="530">
        <f t="shared" si="595"/>
        <v>136.4</v>
      </c>
      <c r="N574" s="309"/>
      <c r="O574" s="778" t="s">
        <v>130</v>
      </c>
      <c r="P574" s="777">
        <v>0.03</v>
      </c>
      <c r="Q574" s="777"/>
      <c r="R574" s="751">
        <f>ROUND(SUM(AG568:AG573)*P574,2)</f>
        <v>519.64</v>
      </c>
      <c r="S574" s="752"/>
      <c r="T574" s="792">
        <f>R574*0.2</f>
        <v>103.928</v>
      </c>
      <c r="U574" s="803">
        <v>0</v>
      </c>
      <c r="V574" s="803">
        <v>0</v>
      </c>
      <c r="W574" s="803">
        <v>0</v>
      </c>
      <c r="X574" s="858">
        <f>SUMIF('Summary-E'!O$4:O$50,D574,'Summary-E'!Q$4:Q$50)</f>
        <v>0.97</v>
      </c>
      <c r="Y574" s="310">
        <f>ROUND((R574+S574/'Summary-E'!$M$63)*X574,2)</f>
        <v>504.05</v>
      </c>
      <c r="Z574" s="858">
        <f t="shared" si="567"/>
        <v>1.05</v>
      </c>
      <c r="AA574" s="813">
        <f t="shared" ref="AA574:AA585" si="622">ROUND(Y574*Z574,2)</f>
        <v>529.25</v>
      </c>
      <c r="AB574" s="447">
        <f t="shared" si="597"/>
        <v>0.05</v>
      </c>
      <c r="AC574" s="310">
        <f t="shared" si="593"/>
        <v>109.12</v>
      </c>
      <c r="AD574" s="717">
        <f>ROUND(AC574*'[1]Summary E&amp;M'!$R$94,2)</f>
        <v>136.4</v>
      </c>
      <c r="AE574" s="826">
        <f t="shared" si="598"/>
        <v>504.05</v>
      </c>
      <c r="AF574" s="826">
        <f t="shared" si="599"/>
        <v>109.12</v>
      </c>
      <c r="AG574" s="731"/>
      <c r="AH574" s="732"/>
      <c r="AI574" s="519">
        <f t="shared" si="600"/>
        <v>0</v>
      </c>
      <c r="AJ574" s="519">
        <f t="shared" si="601"/>
        <v>0</v>
      </c>
      <c r="AK574" s="519">
        <f t="shared" si="602"/>
        <v>0</v>
      </c>
      <c r="AL574" s="520">
        <f t="shared" si="603"/>
        <v>0</v>
      </c>
      <c r="AM574" s="520">
        <f t="shared" si="604"/>
        <v>0</v>
      </c>
      <c r="AN574" s="520">
        <f t="shared" si="605"/>
        <v>0</v>
      </c>
      <c r="AO574" s="520">
        <f t="shared" si="606"/>
        <v>0</v>
      </c>
      <c r="AP574" s="719"/>
      <c r="AQ574" s="719"/>
      <c r="AR574" s="719"/>
      <c r="AS574" s="719"/>
      <c r="AT574" s="719"/>
    </row>
    <row r="575" spans="1:46" s="555" customFormat="1" ht="22.5" customHeight="1">
      <c r="A575" s="451"/>
      <c r="B575" s="531" t="s">
        <v>1263</v>
      </c>
      <c r="C575" s="1118" t="s">
        <v>1183</v>
      </c>
      <c r="D575" s="1239" t="s">
        <v>197</v>
      </c>
      <c r="E575" s="525" t="s">
        <v>321</v>
      </c>
      <c r="F575" s="1314">
        <f>ROUND(K575*'Summary-E'!$K$60,0)</f>
        <v>28</v>
      </c>
      <c r="G575" s="527">
        <f t="shared" ref="G575" si="623">ROUNDUP(AA575,2)</f>
        <v>2.42</v>
      </c>
      <c r="H575" s="528">
        <f t="shared" ref="H575" si="624">ROUND(F575*G575,2)</f>
        <v>67.760000000000005</v>
      </c>
      <c r="I575" s="529"/>
      <c r="J575" s="309"/>
      <c r="K575" s="1175">
        <v>27</v>
      </c>
      <c r="L575" s="530">
        <f t="shared" ref="L575" si="625">ROUND(AD575,2)</f>
        <v>3.94</v>
      </c>
      <c r="M575" s="530">
        <f t="shared" ref="M575" si="626">ROUND(L575*F575,2)</f>
        <v>110.32</v>
      </c>
      <c r="N575" s="309"/>
      <c r="O575" s="778">
        <v>131</v>
      </c>
      <c r="P575" s="777"/>
      <c r="Q575" s="777"/>
      <c r="R575" s="751"/>
      <c r="S575" s="1122">
        <f>43630+4230</f>
        <v>47860</v>
      </c>
      <c r="T575" s="1123">
        <v>3</v>
      </c>
      <c r="U575" s="803">
        <v>0</v>
      </c>
      <c r="V575" s="803">
        <v>0</v>
      </c>
      <c r="W575" s="803">
        <v>0</v>
      </c>
      <c r="X575" s="858">
        <v>1</v>
      </c>
      <c r="Y575" s="310">
        <f>ROUND((R575+S575/'Summary-E'!$M$63)*X575,2)</f>
        <v>2.2999999999999998</v>
      </c>
      <c r="Z575" s="858">
        <f t="shared" si="567"/>
        <v>1.05</v>
      </c>
      <c r="AA575" s="813">
        <f t="shared" ref="AA575" si="627">ROUND(Y575*Z575,2)</f>
        <v>2.42</v>
      </c>
      <c r="AB575" s="447">
        <f t="shared" si="104"/>
        <v>0.05</v>
      </c>
      <c r="AC575" s="310">
        <f t="shared" ref="AC575" si="628">ROUND((T575*(1+AB575)),2)</f>
        <v>3.15</v>
      </c>
      <c r="AD575" s="717">
        <f>ROUND(AC575*'[1]Summary E&amp;M'!$R$94,2)</f>
        <v>3.94</v>
      </c>
      <c r="AE575" s="826">
        <f t="shared" si="598"/>
        <v>62.1</v>
      </c>
      <c r="AF575" s="826">
        <f t="shared" si="599"/>
        <v>85.05</v>
      </c>
      <c r="AG575" s="731"/>
      <c r="AH575" s="732"/>
      <c r="AI575" s="519">
        <f t="shared" si="600"/>
        <v>0</v>
      </c>
      <c r="AJ575" s="519">
        <f t="shared" si="601"/>
        <v>0</v>
      </c>
      <c r="AK575" s="519">
        <f t="shared" si="602"/>
        <v>0</v>
      </c>
      <c r="AL575" s="520">
        <f t="shared" ref="AL575" si="629">ROUND(Y575*AI575+((Y575*(1+AI575))*AJ575)+((Y575*AI575+((Y575*(1+AI575))*AJ575))*AK575),2)</f>
        <v>0</v>
      </c>
      <c r="AM575" s="520">
        <f t="shared" ref="AM575" si="630">AL575*$F575</f>
        <v>0</v>
      </c>
      <c r="AN575" s="520">
        <f t="shared" ref="AN575" si="631">ROUND(AL575*Z575,2)</f>
        <v>0</v>
      </c>
      <c r="AO575" s="520">
        <f t="shared" ref="AO575" si="632">AN575*$F575</f>
        <v>0</v>
      </c>
      <c r="AP575" s="719"/>
      <c r="AQ575" s="719"/>
      <c r="AR575" s="719"/>
      <c r="AS575" s="719"/>
      <c r="AT575" s="719"/>
    </row>
    <row r="576" spans="1:46" s="555" customFormat="1" ht="22.5" customHeight="1">
      <c r="A576" s="451"/>
      <c r="B576" s="531" t="s">
        <v>1264</v>
      </c>
      <c r="C576" s="1118" t="s">
        <v>1183</v>
      </c>
      <c r="D576" s="1239" t="s">
        <v>197</v>
      </c>
      <c r="E576" s="525" t="s">
        <v>321</v>
      </c>
      <c r="F576" s="1314">
        <f>ROUND(K576*'Summary-E'!$K$60,0)</f>
        <v>65</v>
      </c>
      <c r="G576" s="527">
        <f t="shared" si="608"/>
        <v>2.42</v>
      </c>
      <c r="H576" s="528">
        <f t="shared" si="609"/>
        <v>157.30000000000001</v>
      </c>
      <c r="I576" s="529"/>
      <c r="J576" s="309"/>
      <c r="K576" s="1175">
        <v>62</v>
      </c>
      <c r="L576" s="530">
        <f t="shared" si="621"/>
        <v>3.94</v>
      </c>
      <c r="M576" s="530">
        <f t="shared" si="595"/>
        <v>256.10000000000002</v>
      </c>
      <c r="N576" s="309"/>
      <c r="O576" s="778">
        <v>131</v>
      </c>
      <c r="P576" s="777"/>
      <c r="Q576" s="777"/>
      <c r="R576" s="751"/>
      <c r="S576" s="1122">
        <f>43630+4230</f>
        <v>47860</v>
      </c>
      <c r="T576" s="1123">
        <v>3</v>
      </c>
      <c r="U576" s="803">
        <v>0</v>
      </c>
      <c r="V576" s="803">
        <v>0</v>
      </c>
      <c r="W576" s="803">
        <v>0</v>
      </c>
      <c r="X576" s="858">
        <v>1</v>
      </c>
      <c r="Y576" s="310">
        <f>ROUND((R576+S576/'Summary-E'!$M$63)*X576,2)</f>
        <v>2.2999999999999998</v>
      </c>
      <c r="Z576" s="858">
        <f t="shared" si="567"/>
        <v>1.05</v>
      </c>
      <c r="AA576" s="813">
        <f t="shared" si="622"/>
        <v>2.42</v>
      </c>
      <c r="AB576" s="447">
        <f t="shared" si="104"/>
        <v>0.05</v>
      </c>
      <c r="AC576" s="310">
        <f t="shared" si="593"/>
        <v>3.15</v>
      </c>
      <c r="AD576" s="717">
        <f>ROUND(AC576*'[1]Summary E&amp;M'!$R$94,2)</f>
        <v>3.94</v>
      </c>
      <c r="AE576" s="826">
        <f t="shared" si="598"/>
        <v>142.6</v>
      </c>
      <c r="AF576" s="826">
        <f t="shared" si="599"/>
        <v>195.3</v>
      </c>
      <c r="AG576" s="731"/>
      <c r="AH576" s="732"/>
      <c r="AI576" s="519">
        <f t="shared" si="600"/>
        <v>0</v>
      </c>
      <c r="AJ576" s="519">
        <f t="shared" si="601"/>
        <v>0</v>
      </c>
      <c r="AK576" s="519">
        <f t="shared" si="602"/>
        <v>0</v>
      </c>
      <c r="AL576" s="520">
        <f t="shared" si="603"/>
        <v>0</v>
      </c>
      <c r="AM576" s="520">
        <f t="shared" si="604"/>
        <v>0</v>
      </c>
      <c r="AN576" s="520">
        <f t="shared" si="605"/>
        <v>0</v>
      </c>
      <c r="AO576" s="520">
        <f t="shared" si="606"/>
        <v>0</v>
      </c>
      <c r="AP576" s="719"/>
      <c r="AQ576" s="719"/>
      <c r="AR576" s="719"/>
      <c r="AS576" s="719"/>
      <c r="AT576" s="719"/>
    </row>
    <row r="577" spans="1:46" s="555" customFormat="1" ht="22.5" customHeight="1">
      <c r="A577" s="451"/>
      <c r="B577" s="531" t="s">
        <v>1083</v>
      </c>
      <c r="C577" s="1118" t="s">
        <v>1182</v>
      </c>
      <c r="D577" s="1239" t="s">
        <v>197</v>
      </c>
      <c r="E577" s="525" t="s">
        <v>321</v>
      </c>
      <c r="F577" s="1314">
        <f>ROUND(K577*'Summary-E'!$K$60,0)</f>
        <v>21</v>
      </c>
      <c r="G577" s="527">
        <f t="shared" si="608"/>
        <v>1.92</v>
      </c>
      <c r="H577" s="528">
        <f t="shared" si="609"/>
        <v>40.32</v>
      </c>
      <c r="I577" s="529"/>
      <c r="J577" s="309"/>
      <c r="K577" s="1175">
        <v>20</v>
      </c>
      <c r="L577" s="530">
        <f t="shared" si="621"/>
        <v>3.94</v>
      </c>
      <c r="M577" s="530">
        <f t="shared" si="595"/>
        <v>82.74</v>
      </c>
      <c r="N577" s="309"/>
      <c r="O577" s="778">
        <v>131</v>
      </c>
      <c r="P577" s="777"/>
      <c r="Q577" s="777"/>
      <c r="R577" s="751"/>
      <c r="S577" s="1098">
        <f>33840+4230</f>
        <v>38070</v>
      </c>
      <c r="T577" s="1123">
        <v>3</v>
      </c>
      <c r="U577" s="803">
        <v>0</v>
      </c>
      <c r="V577" s="803">
        <v>0</v>
      </c>
      <c r="W577" s="803">
        <v>0</v>
      </c>
      <c r="X577" s="858">
        <v>1</v>
      </c>
      <c r="Y577" s="310">
        <f>ROUND((R577+S577/'Summary-E'!$M$63)*X577,2)</f>
        <v>1.83</v>
      </c>
      <c r="Z577" s="858">
        <f t="shared" si="567"/>
        <v>1.05</v>
      </c>
      <c r="AA577" s="813">
        <f t="shared" si="622"/>
        <v>1.92</v>
      </c>
      <c r="AB577" s="447">
        <f t="shared" si="104"/>
        <v>0.05</v>
      </c>
      <c r="AC577" s="310">
        <f t="shared" si="593"/>
        <v>3.15</v>
      </c>
      <c r="AD577" s="717">
        <f>ROUND(AC577*'[1]Summary E&amp;M'!$R$94,2)</f>
        <v>3.94</v>
      </c>
      <c r="AE577" s="826">
        <f t="shared" si="598"/>
        <v>36.6</v>
      </c>
      <c r="AF577" s="826">
        <f t="shared" si="599"/>
        <v>63</v>
      </c>
      <c r="AG577" s="731"/>
      <c r="AH577" s="732"/>
      <c r="AI577" s="519">
        <f t="shared" si="600"/>
        <v>0</v>
      </c>
      <c r="AJ577" s="519">
        <f t="shared" si="601"/>
        <v>0</v>
      </c>
      <c r="AK577" s="519">
        <f t="shared" si="602"/>
        <v>0</v>
      </c>
      <c r="AL577" s="520">
        <f t="shared" si="603"/>
        <v>0</v>
      </c>
      <c r="AM577" s="520">
        <f t="shared" si="604"/>
        <v>0</v>
      </c>
      <c r="AN577" s="520">
        <f t="shared" si="605"/>
        <v>0</v>
      </c>
      <c r="AO577" s="520">
        <f t="shared" si="606"/>
        <v>0</v>
      </c>
      <c r="AP577" s="719"/>
      <c r="AQ577" s="719"/>
      <c r="AR577" s="719"/>
      <c r="AS577" s="719"/>
      <c r="AT577" s="719"/>
    </row>
    <row r="578" spans="1:46" s="555" customFormat="1" ht="42.75" customHeight="1">
      <c r="A578" s="451"/>
      <c r="B578" s="531" t="s">
        <v>1068</v>
      </c>
      <c r="C578" s="1194" t="s">
        <v>1186</v>
      </c>
      <c r="D578" s="1239" t="s">
        <v>1125</v>
      </c>
      <c r="E578" s="525" t="s">
        <v>321</v>
      </c>
      <c r="F578" s="1314">
        <f>ROUND(K578*'Summary-E'!$K$60,0)</f>
        <v>126</v>
      </c>
      <c r="G578" s="527">
        <f>ROUNDUP(AA578,2)</f>
        <v>5.38</v>
      </c>
      <c r="H578" s="528">
        <f>ROUND(F578*G578,2)</f>
        <v>677.88</v>
      </c>
      <c r="I578" s="529"/>
      <c r="J578" s="309"/>
      <c r="K578" s="1175">
        <v>120</v>
      </c>
      <c r="L578" s="530">
        <f>ROUND(AD578,2)</f>
        <v>9.19</v>
      </c>
      <c r="M578" s="530">
        <f>ROUND(L578*F578,2)</f>
        <v>1157.94</v>
      </c>
      <c r="N578" s="309"/>
      <c r="O578" s="778">
        <v>131</v>
      </c>
      <c r="P578" s="777"/>
      <c r="Q578" s="777"/>
      <c r="R578" s="751"/>
      <c r="S578" s="1122">
        <f>3*25230+19040+11830</f>
        <v>106560</v>
      </c>
      <c r="T578" s="1123">
        <f>1.4*5</f>
        <v>7</v>
      </c>
      <c r="U578" s="803">
        <v>0</v>
      </c>
      <c r="V578" s="803">
        <v>0</v>
      </c>
      <c r="W578" s="803">
        <v>0</v>
      </c>
      <c r="X578" s="858">
        <v>1</v>
      </c>
      <c r="Y578" s="310">
        <f>ROUND((R578+S578/'Summary-E'!$M$63)*X578,2)</f>
        <v>5.12</v>
      </c>
      <c r="Z578" s="858">
        <f t="shared" si="567"/>
        <v>1.05</v>
      </c>
      <c r="AA578" s="813">
        <f>ROUND(Y578*Z578,2)</f>
        <v>5.38</v>
      </c>
      <c r="AB578" s="447">
        <f t="shared" si="104"/>
        <v>0.05</v>
      </c>
      <c r="AC578" s="310">
        <f>ROUND((T578*(1+AB578)),2)</f>
        <v>7.35</v>
      </c>
      <c r="AD578" s="717">
        <f>ROUND(AC578*'[1]Summary E&amp;M'!$R$94,2)</f>
        <v>9.19</v>
      </c>
      <c r="AE578" s="826">
        <f>ROUND($K578*$Y578,2)</f>
        <v>614.4</v>
      </c>
      <c r="AF578" s="826">
        <f>ROUND($K578*$AC578,2)</f>
        <v>882</v>
      </c>
      <c r="AG578" s="731"/>
      <c r="AH578" s="732"/>
      <c r="AI578" s="519">
        <f>$U578</f>
        <v>0</v>
      </c>
      <c r="AJ578" s="519">
        <f>$V578</f>
        <v>0</v>
      </c>
      <c r="AK578" s="519">
        <f>$W578</f>
        <v>0</v>
      </c>
      <c r="AL578" s="520">
        <f>ROUND(Y578*AI578+((Y578*(1+AI578))*AJ578)+((Y578*AI578+((Y578*(1+AI578))*AJ578))*AK578),2)</f>
        <v>0</v>
      </c>
      <c r="AM578" s="520">
        <f>AL578*$F578</f>
        <v>0</v>
      </c>
      <c r="AN578" s="520">
        <f>ROUND(AL578*Z578,2)</f>
        <v>0</v>
      </c>
      <c r="AO578" s="520">
        <f>AN578*$F578</f>
        <v>0</v>
      </c>
      <c r="AP578" s="719"/>
      <c r="AQ578" s="719"/>
      <c r="AR578" s="719"/>
      <c r="AS578" s="719"/>
      <c r="AT578" s="719"/>
    </row>
    <row r="579" spans="1:46" s="555" customFormat="1" ht="42.75" customHeight="1">
      <c r="A579" s="451"/>
      <c r="B579" s="531" t="s">
        <v>1084</v>
      </c>
      <c r="C579" s="1194" t="s">
        <v>1187</v>
      </c>
      <c r="D579" s="1239" t="s">
        <v>1125</v>
      </c>
      <c r="E579" s="525" t="s">
        <v>321</v>
      </c>
      <c r="F579" s="1314">
        <f>ROUND(K579*'Summary-E'!$K$61,0)</f>
        <v>137</v>
      </c>
      <c r="G579" s="527">
        <f t="shared" si="608"/>
        <v>6.76</v>
      </c>
      <c r="H579" s="528">
        <f t="shared" si="609"/>
        <v>926.12</v>
      </c>
      <c r="I579" s="529"/>
      <c r="J579" s="309"/>
      <c r="K579" s="1175">
        <v>130</v>
      </c>
      <c r="L579" s="530">
        <f t="shared" si="621"/>
        <v>7.88</v>
      </c>
      <c r="M579" s="530">
        <f t="shared" si="595"/>
        <v>1079.56</v>
      </c>
      <c r="N579" s="309"/>
      <c r="O579" s="778">
        <v>131</v>
      </c>
      <c r="P579" s="777"/>
      <c r="Q579" s="777"/>
      <c r="R579" s="751"/>
      <c r="S579" s="1122">
        <f>3*30950+25230+15890</f>
        <v>133970</v>
      </c>
      <c r="T579" s="1123">
        <v>6</v>
      </c>
      <c r="U579" s="803">
        <v>0</v>
      </c>
      <c r="V579" s="803">
        <v>0</v>
      </c>
      <c r="W579" s="803">
        <v>0</v>
      </c>
      <c r="X579" s="858">
        <v>1</v>
      </c>
      <c r="Y579" s="310">
        <f>ROUND((R579+S579/'Summary-E'!$M$63)*X579,2)</f>
        <v>6.44</v>
      </c>
      <c r="Z579" s="858">
        <f t="shared" si="567"/>
        <v>1.05</v>
      </c>
      <c r="AA579" s="813">
        <f t="shared" si="622"/>
        <v>6.76</v>
      </c>
      <c r="AB579" s="447">
        <f t="shared" si="597"/>
        <v>0.05</v>
      </c>
      <c r="AC579" s="310">
        <f t="shared" si="593"/>
        <v>6.3</v>
      </c>
      <c r="AD579" s="717">
        <f>ROUND(AC579*'[1]Summary E&amp;M'!$R$94,2)</f>
        <v>7.88</v>
      </c>
      <c r="AE579" s="826">
        <f t="shared" si="598"/>
        <v>837.2</v>
      </c>
      <c r="AF579" s="826">
        <f t="shared" si="599"/>
        <v>819</v>
      </c>
      <c r="AG579" s="731"/>
      <c r="AH579" s="732"/>
      <c r="AI579" s="519">
        <f t="shared" si="600"/>
        <v>0</v>
      </c>
      <c r="AJ579" s="519">
        <f t="shared" si="601"/>
        <v>0</v>
      </c>
      <c r="AK579" s="519">
        <f t="shared" si="602"/>
        <v>0</v>
      </c>
      <c r="AL579" s="520">
        <f t="shared" si="603"/>
        <v>0</v>
      </c>
      <c r="AM579" s="520">
        <f t="shared" si="604"/>
        <v>0</v>
      </c>
      <c r="AN579" s="520">
        <f t="shared" si="605"/>
        <v>0</v>
      </c>
      <c r="AO579" s="520">
        <f t="shared" si="606"/>
        <v>0</v>
      </c>
      <c r="AP579" s="719"/>
      <c r="AQ579" s="719"/>
      <c r="AR579" s="719"/>
      <c r="AS579" s="719"/>
      <c r="AT579" s="719"/>
    </row>
    <row r="580" spans="1:46" s="555" customFormat="1" ht="42.75" customHeight="1">
      <c r="A580" s="451"/>
      <c r="B580" s="531" t="s">
        <v>1085</v>
      </c>
      <c r="C580" s="1194" t="s">
        <v>1187</v>
      </c>
      <c r="D580" s="1239" t="s">
        <v>1125</v>
      </c>
      <c r="E580" s="525" t="s">
        <v>321</v>
      </c>
      <c r="F580" s="1314">
        <f>ROUND(K580*'Summary-E'!$K$61,0)</f>
        <v>161</v>
      </c>
      <c r="G580" s="527">
        <f t="shared" si="608"/>
        <v>6.76</v>
      </c>
      <c r="H580" s="528">
        <f t="shared" si="609"/>
        <v>1088.3599999999999</v>
      </c>
      <c r="I580" s="529"/>
      <c r="J580" s="309"/>
      <c r="K580" s="1175">
        <v>153</v>
      </c>
      <c r="L580" s="530">
        <f t="shared" si="621"/>
        <v>7.88</v>
      </c>
      <c r="M580" s="530">
        <f t="shared" si="595"/>
        <v>1268.68</v>
      </c>
      <c r="N580" s="309"/>
      <c r="O580" s="778">
        <v>131</v>
      </c>
      <c r="P580" s="777"/>
      <c r="Q580" s="777"/>
      <c r="R580" s="751"/>
      <c r="S580" s="1122">
        <f>3*30950+25230+15890</f>
        <v>133970</v>
      </c>
      <c r="T580" s="1123">
        <v>6</v>
      </c>
      <c r="U580" s="803">
        <v>0</v>
      </c>
      <c r="V580" s="803">
        <v>0</v>
      </c>
      <c r="W580" s="803">
        <v>0</v>
      </c>
      <c r="X580" s="858">
        <v>1</v>
      </c>
      <c r="Y580" s="310">
        <f>ROUND((R580+S580/'Summary-E'!$M$63)*X580,2)</f>
        <v>6.44</v>
      </c>
      <c r="Z580" s="858">
        <f t="shared" si="567"/>
        <v>1.05</v>
      </c>
      <c r="AA580" s="813">
        <f t="shared" si="622"/>
        <v>6.76</v>
      </c>
      <c r="AB580" s="447">
        <f t="shared" si="597"/>
        <v>0.05</v>
      </c>
      <c r="AC580" s="310">
        <f t="shared" si="593"/>
        <v>6.3</v>
      </c>
      <c r="AD580" s="717">
        <f>ROUND(AC580*'[1]Summary E&amp;M'!$R$94,2)</f>
        <v>7.88</v>
      </c>
      <c r="AE580" s="826">
        <f t="shared" si="598"/>
        <v>985.32</v>
      </c>
      <c r="AF580" s="826">
        <f t="shared" si="599"/>
        <v>963.9</v>
      </c>
      <c r="AG580" s="731"/>
      <c r="AH580" s="732"/>
      <c r="AI580" s="519">
        <f t="shared" si="600"/>
        <v>0</v>
      </c>
      <c r="AJ580" s="519">
        <f t="shared" si="601"/>
        <v>0</v>
      </c>
      <c r="AK580" s="519">
        <f t="shared" si="602"/>
        <v>0</v>
      </c>
      <c r="AL580" s="520">
        <f t="shared" si="603"/>
        <v>0</v>
      </c>
      <c r="AM580" s="520">
        <f t="shared" si="604"/>
        <v>0</v>
      </c>
      <c r="AN580" s="520">
        <f t="shared" si="605"/>
        <v>0</v>
      </c>
      <c r="AO580" s="520">
        <f t="shared" si="606"/>
        <v>0</v>
      </c>
      <c r="AP580" s="719"/>
      <c r="AQ580" s="719"/>
      <c r="AR580" s="719"/>
      <c r="AS580" s="719"/>
      <c r="AT580" s="719"/>
    </row>
    <row r="581" spans="1:46" s="555" customFormat="1" ht="22.5" customHeight="1">
      <c r="A581" s="451"/>
      <c r="B581" s="531" t="s">
        <v>122</v>
      </c>
      <c r="C581" s="523"/>
      <c r="D581" s="524" t="s">
        <v>690</v>
      </c>
      <c r="E581" s="525" t="s">
        <v>322</v>
      </c>
      <c r="F581" s="1315">
        <f>K581</f>
        <v>1</v>
      </c>
      <c r="G581" s="527">
        <f t="shared" si="608"/>
        <v>74.47</v>
      </c>
      <c r="H581" s="528">
        <f t="shared" si="609"/>
        <v>74.47</v>
      </c>
      <c r="I581" s="529"/>
      <c r="J581" s="649"/>
      <c r="K581" s="1175">
        <v>1</v>
      </c>
      <c r="L581" s="530">
        <f t="shared" si="621"/>
        <v>19.190000000000001</v>
      </c>
      <c r="M581" s="530">
        <f t="shared" si="595"/>
        <v>19.190000000000001</v>
      </c>
      <c r="N581" s="309"/>
      <c r="O581" s="778" t="s">
        <v>690</v>
      </c>
      <c r="P581" s="777">
        <v>0.03</v>
      </c>
      <c r="Q581" s="777"/>
      <c r="R581" s="751">
        <f>ROUND(SUM(AE578:AE580)*P581,2)</f>
        <v>73.11</v>
      </c>
      <c r="S581" s="752"/>
      <c r="T581" s="792">
        <f>R581*0.2</f>
        <v>14.622</v>
      </c>
      <c r="U581" s="803">
        <v>0</v>
      </c>
      <c r="V581" s="803">
        <v>0</v>
      </c>
      <c r="W581" s="803">
        <v>0</v>
      </c>
      <c r="X581" s="858">
        <f>SUMIF('Summary-E'!O$4:O$50,D581,'Summary-E'!Q$4:Q$50)</f>
        <v>0.97</v>
      </c>
      <c r="Y581" s="310">
        <f>ROUND((R581+S581/'Summary-E'!$M$63)*X581,2)</f>
        <v>70.92</v>
      </c>
      <c r="Z581" s="858">
        <f t="shared" ref="Z581:Z644" si="633">$Z$4</f>
        <v>1.05</v>
      </c>
      <c r="AA581" s="813">
        <f t="shared" si="622"/>
        <v>74.47</v>
      </c>
      <c r="AB581" s="447">
        <f t="shared" si="597"/>
        <v>0.05</v>
      </c>
      <c r="AC581" s="310">
        <f t="shared" si="593"/>
        <v>15.35</v>
      </c>
      <c r="AD581" s="717">
        <f>ROUND(AC581*'[1]Summary E&amp;M'!$R$94,2)</f>
        <v>19.190000000000001</v>
      </c>
      <c r="AE581" s="826">
        <f t="shared" si="598"/>
        <v>70.92</v>
      </c>
      <c r="AF581" s="826">
        <f t="shared" si="599"/>
        <v>15.35</v>
      </c>
      <c r="AG581" s="731"/>
      <c r="AH581" s="732"/>
      <c r="AI581" s="519">
        <f t="shared" si="600"/>
        <v>0</v>
      </c>
      <c r="AJ581" s="519">
        <f t="shared" si="601"/>
        <v>0</v>
      </c>
      <c r="AK581" s="519">
        <f t="shared" si="602"/>
        <v>0</v>
      </c>
      <c r="AL581" s="520">
        <f t="shared" si="603"/>
        <v>0</v>
      </c>
      <c r="AM581" s="520">
        <f t="shared" si="604"/>
        <v>0</v>
      </c>
      <c r="AN581" s="520">
        <f t="shared" si="605"/>
        <v>0</v>
      </c>
      <c r="AO581" s="520">
        <f t="shared" si="606"/>
        <v>0</v>
      </c>
      <c r="AP581" s="719"/>
      <c r="AQ581" s="719"/>
      <c r="AR581" s="719"/>
      <c r="AS581" s="719"/>
      <c r="AT581" s="719"/>
    </row>
    <row r="582" spans="1:46" s="555" customFormat="1" ht="22.5" customHeight="1">
      <c r="A582" s="451"/>
      <c r="B582" s="531" t="s">
        <v>692</v>
      </c>
      <c r="C582" s="523" t="s">
        <v>1052</v>
      </c>
      <c r="D582" s="524">
        <v>121</v>
      </c>
      <c r="E582" s="525" t="s">
        <v>321</v>
      </c>
      <c r="F582" s="1314">
        <f>ROUND(K582*'Summary-E'!$K$61,0)</f>
        <v>95</v>
      </c>
      <c r="G582" s="527">
        <f t="shared" si="608"/>
        <v>8.7899999999999991</v>
      </c>
      <c r="H582" s="528">
        <f>ROUND(F582*G582,2)</f>
        <v>835.05</v>
      </c>
      <c r="I582" s="961"/>
      <c r="J582" s="309"/>
      <c r="K582" s="1175">
        <v>90</v>
      </c>
      <c r="L582" s="530">
        <f t="shared" si="621"/>
        <v>3.94</v>
      </c>
      <c r="M582" s="530">
        <f>ROUND(L582*F582,2)</f>
        <v>374.3</v>
      </c>
      <c r="N582" s="309"/>
      <c r="O582" s="778">
        <v>121</v>
      </c>
      <c r="P582" s="777"/>
      <c r="Q582" s="777"/>
      <c r="R582" s="751"/>
      <c r="S582" s="1098">
        <v>174000</v>
      </c>
      <c r="T582" s="1099">
        <v>3</v>
      </c>
      <c r="U582" s="803">
        <v>0</v>
      </c>
      <c r="V582" s="803">
        <v>0</v>
      </c>
      <c r="W582" s="803">
        <v>0</v>
      </c>
      <c r="X582" s="858">
        <v>1</v>
      </c>
      <c r="Y582" s="310">
        <f>ROUND((R582+S582/'Summary-E'!$M$63)*X582,2)</f>
        <v>8.3699999999999992</v>
      </c>
      <c r="Z582" s="858">
        <f t="shared" si="633"/>
        <v>1.05</v>
      </c>
      <c r="AA582" s="813">
        <f t="shared" si="622"/>
        <v>8.7899999999999991</v>
      </c>
      <c r="AB582" s="447">
        <f>$AB$3</f>
        <v>0.05</v>
      </c>
      <c r="AC582" s="310">
        <f t="shared" si="593"/>
        <v>3.15</v>
      </c>
      <c r="AD582" s="717">
        <f>ROUND(AC582*'[1]Summary E&amp;M'!$R$94,2)</f>
        <v>3.94</v>
      </c>
      <c r="AE582" s="826">
        <f t="shared" si="598"/>
        <v>753.3</v>
      </c>
      <c r="AF582" s="826">
        <f t="shared" si="599"/>
        <v>283.5</v>
      </c>
      <c r="AG582" s="731"/>
      <c r="AH582" s="732"/>
      <c r="AI582" s="519">
        <f>$U582</f>
        <v>0</v>
      </c>
      <c r="AJ582" s="519">
        <f>$V582</f>
        <v>0</v>
      </c>
      <c r="AK582" s="519">
        <f>$W582</f>
        <v>0</v>
      </c>
      <c r="AL582" s="520">
        <f>ROUND(Y582*AI582+((Y582*(1+AI582))*AJ582)+((Y582*AI582+((Y582*(1+AI582))*AJ582))*AK582),2)</f>
        <v>0</v>
      </c>
      <c r="AM582" s="520">
        <f>AL582*$F582</f>
        <v>0</v>
      </c>
      <c r="AN582" s="520">
        <f>ROUND(AL582*Z582,2)</f>
        <v>0</v>
      </c>
      <c r="AO582" s="520">
        <f>AN582*$F582</f>
        <v>0</v>
      </c>
      <c r="AP582" s="719"/>
      <c r="AQ582" s="719"/>
      <c r="AR582" s="719"/>
      <c r="AS582" s="719"/>
      <c r="AT582" s="719"/>
    </row>
    <row r="583" spans="1:46" s="555" customFormat="1" ht="22.5" customHeight="1">
      <c r="A583" s="451"/>
      <c r="B583" s="531" t="s">
        <v>400</v>
      </c>
      <c r="C583" s="523"/>
      <c r="D583" s="524">
        <v>121</v>
      </c>
      <c r="E583" s="525" t="s">
        <v>322</v>
      </c>
      <c r="F583" s="1315">
        <f>K583</f>
        <v>1</v>
      </c>
      <c r="G583" s="527">
        <f t="shared" si="608"/>
        <v>230.17</v>
      </c>
      <c r="H583" s="528">
        <f>ROUND(F583*G583,2)</f>
        <v>230.17</v>
      </c>
      <c r="I583" s="961"/>
      <c r="J583" s="309"/>
      <c r="K583" s="1175">
        <v>1</v>
      </c>
      <c r="L583" s="530">
        <f t="shared" si="621"/>
        <v>59.33</v>
      </c>
      <c r="M583" s="530">
        <f t="shared" si="595"/>
        <v>59.33</v>
      </c>
      <c r="N583" s="309"/>
      <c r="O583" s="778" t="s">
        <v>139</v>
      </c>
      <c r="P583" s="777">
        <v>0.3</v>
      </c>
      <c r="Q583" s="777"/>
      <c r="R583" s="751">
        <f>ROUND(SUM(AE582:AE582)*P583,2)</f>
        <v>225.99</v>
      </c>
      <c r="S583" s="752"/>
      <c r="T583" s="792">
        <f>R583*0.2</f>
        <v>45.198000000000008</v>
      </c>
      <c r="U583" s="803">
        <v>0</v>
      </c>
      <c r="V583" s="803">
        <v>0</v>
      </c>
      <c r="W583" s="803">
        <v>0</v>
      </c>
      <c r="X583" s="858">
        <f>SUMIF('Summary-E'!O$4:O$50,D583,'Summary-E'!Q$4:Q$50)</f>
        <v>0.97</v>
      </c>
      <c r="Y583" s="310">
        <f>ROUND((R583+S583/'Summary-E'!$M$63)*X583,2)</f>
        <v>219.21</v>
      </c>
      <c r="Z583" s="858">
        <f t="shared" si="633"/>
        <v>1.05</v>
      </c>
      <c r="AA583" s="813">
        <f t="shared" si="622"/>
        <v>230.17</v>
      </c>
      <c r="AB583" s="447">
        <f t="shared" si="597"/>
        <v>0.05</v>
      </c>
      <c r="AC583" s="310">
        <f t="shared" si="593"/>
        <v>47.46</v>
      </c>
      <c r="AD583" s="717">
        <f>ROUND(AC583*'[1]Summary E&amp;M'!$R$94,2)</f>
        <v>59.33</v>
      </c>
      <c r="AE583" s="826">
        <f t="shared" si="598"/>
        <v>219.21</v>
      </c>
      <c r="AF583" s="826">
        <f t="shared" si="599"/>
        <v>47.46</v>
      </c>
      <c r="AG583" s="731"/>
      <c r="AH583" s="732"/>
      <c r="AI583" s="519">
        <f t="shared" si="600"/>
        <v>0</v>
      </c>
      <c r="AJ583" s="519">
        <f t="shared" si="601"/>
        <v>0</v>
      </c>
      <c r="AK583" s="519">
        <f t="shared" si="602"/>
        <v>0</v>
      </c>
      <c r="AL583" s="520">
        <f t="shared" si="603"/>
        <v>0</v>
      </c>
      <c r="AM583" s="520">
        <f t="shared" si="604"/>
        <v>0</v>
      </c>
      <c r="AN583" s="520">
        <f t="shared" si="605"/>
        <v>0</v>
      </c>
      <c r="AO583" s="520">
        <f t="shared" si="606"/>
        <v>0</v>
      </c>
      <c r="AP583" s="719"/>
      <c r="AQ583" s="719"/>
      <c r="AR583" s="719"/>
      <c r="AS583" s="719"/>
      <c r="AT583" s="719"/>
    </row>
    <row r="584" spans="1:46" s="555" customFormat="1" ht="22.5" customHeight="1">
      <c r="A584" s="451"/>
      <c r="B584" s="531" t="s">
        <v>401</v>
      </c>
      <c r="C584" s="523"/>
      <c r="D584" s="524">
        <v>159</v>
      </c>
      <c r="E584" s="525" t="s">
        <v>322</v>
      </c>
      <c r="F584" s="1315">
        <f>K584</f>
        <v>1</v>
      </c>
      <c r="G584" s="527">
        <f>ROUNDUP(AA584,2)</f>
        <v>71.349999999999994</v>
      </c>
      <c r="H584" s="528">
        <f>ROUND(F584*G584,2)</f>
        <v>71.349999999999994</v>
      </c>
      <c r="I584" s="961"/>
      <c r="J584" s="309"/>
      <c r="K584" s="1175">
        <v>1</v>
      </c>
      <c r="L584" s="530">
        <f>ROUND(AD584,2)</f>
        <v>0</v>
      </c>
      <c r="M584" s="530">
        <f>ROUND(L584*F584,2)</f>
        <v>0</v>
      </c>
      <c r="N584" s="309"/>
      <c r="O584" s="778">
        <v>159</v>
      </c>
      <c r="P584" s="777">
        <v>0.02</v>
      </c>
      <c r="Q584" s="777"/>
      <c r="R584" s="751">
        <f>ROUND(SUM(AE575:AE582)*P584,2)</f>
        <v>70.05</v>
      </c>
      <c r="S584" s="752"/>
      <c r="T584" s="792"/>
      <c r="U584" s="803">
        <v>0</v>
      </c>
      <c r="V584" s="803">
        <v>0</v>
      </c>
      <c r="W584" s="803">
        <v>0</v>
      </c>
      <c r="X584" s="858">
        <f>SUMIF('Summary-E'!O$4:O$50,D584,'Summary-E'!Q$4:Q$50)</f>
        <v>0.97</v>
      </c>
      <c r="Y584" s="310">
        <f>ROUND((R584+S584/'Summary-E'!$M$63)*X584,2)</f>
        <v>67.95</v>
      </c>
      <c r="Z584" s="858">
        <f t="shared" si="633"/>
        <v>1.05</v>
      </c>
      <c r="AA584" s="813">
        <f>ROUND(Y584*Z584,2)</f>
        <v>71.349999999999994</v>
      </c>
      <c r="AB584" s="447">
        <f>$AB$3</f>
        <v>0.05</v>
      </c>
      <c r="AC584" s="310">
        <f>ROUND((T584*(1+AB584)),2)</f>
        <v>0</v>
      </c>
      <c r="AD584" s="717">
        <f>ROUND(AC584*'[1]Summary E&amp;M'!$R$94,2)</f>
        <v>0</v>
      </c>
      <c r="AE584" s="826">
        <f>ROUND($K584*$Y584,2)</f>
        <v>67.95</v>
      </c>
      <c r="AF584" s="826">
        <f>ROUND($K584*$AC584,2)</f>
        <v>0</v>
      </c>
      <c r="AG584" s="731"/>
      <c r="AH584" s="732"/>
      <c r="AI584" s="519">
        <f>$U584</f>
        <v>0</v>
      </c>
      <c r="AJ584" s="519">
        <f>$V584</f>
        <v>0</v>
      </c>
      <c r="AK584" s="519">
        <f>$W584</f>
        <v>0</v>
      </c>
      <c r="AL584" s="520">
        <f>ROUND(Y584*AI584+((Y584*(1+AI584))*AJ584)+((Y584*AI584+((Y584*(1+AI584))*AJ584))*AK584),2)</f>
        <v>0</v>
      </c>
      <c r="AM584" s="520">
        <f>AL584*$F584</f>
        <v>0</v>
      </c>
      <c r="AN584" s="520">
        <f>ROUND(AL584*Z584,2)</f>
        <v>0</v>
      </c>
      <c r="AO584" s="520">
        <f>AN584*$F584</f>
        <v>0</v>
      </c>
      <c r="AP584" s="719"/>
      <c r="AQ584" s="719"/>
      <c r="AR584" s="719"/>
      <c r="AS584" s="719"/>
      <c r="AT584" s="719"/>
    </row>
    <row r="585" spans="1:46" s="555" customFormat="1" ht="22.5" customHeight="1">
      <c r="A585" s="451"/>
      <c r="B585" s="531" t="s">
        <v>677</v>
      </c>
      <c r="C585" s="523"/>
      <c r="D585" s="524" t="s">
        <v>139</v>
      </c>
      <c r="E585" s="525" t="s">
        <v>322</v>
      </c>
      <c r="F585" s="1315">
        <f>K585</f>
        <v>1</v>
      </c>
      <c r="G585" s="527">
        <f t="shared" si="608"/>
        <v>153.44999999999999</v>
      </c>
      <c r="H585" s="528">
        <f>ROUND(F585*G585,2)</f>
        <v>153.44999999999999</v>
      </c>
      <c r="I585" s="961"/>
      <c r="J585" s="309"/>
      <c r="K585" s="1175">
        <v>1</v>
      </c>
      <c r="L585" s="530">
        <f t="shared" si="621"/>
        <v>59.33</v>
      </c>
      <c r="M585" s="530">
        <f t="shared" si="595"/>
        <v>59.33</v>
      </c>
      <c r="N585" s="309"/>
      <c r="O585" s="778" t="s">
        <v>130</v>
      </c>
      <c r="P585" s="777">
        <v>0.2</v>
      </c>
      <c r="Q585" s="777"/>
      <c r="R585" s="751">
        <f>ROUND(SUM(AE582:AE582)*P585,2)</f>
        <v>150.66</v>
      </c>
      <c r="S585" s="752"/>
      <c r="T585" s="792">
        <f>R585*0.3</f>
        <v>45.198</v>
      </c>
      <c r="U585" s="803">
        <v>0</v>
      </c>
      <c r="V585" s="803">
        <v>0</v>
      </c>
      <c r="W585" s="803">
        <v>0</v>
      </c>
      <c r="X585" s="858">
        <f>SUMIF('Summary-E'!O$4:O$50,D585,'Summary-E'!Q$4:Q$50)</f>
        <v>0.97</v>
      </c>
      <c r="Y585" s="310">
        <f>ROUND((R585+S585/'Summary-E'!$M$63)*X585,2)</f>
        <v>146.13999999999999</v>
      </c>
      <c r="Z585" s="858">
        <f t="shared" si="633"/>
        <v>1.05</v>
      </c>
      <c r="AA585" s="813">
        <f t="shared" si="622"/>
        <v>153.44999999999999</v>
      </c>
      <c r="AB585" s="447">
        <f t="shared" si="597"/>
        <v>0.05</v>
      </c>
      <c r="AC585" s="310">
        <f t="shared" si="593"/>
        <v>47.46</v>
      </c>
      <c r="AD585" s="717">
        <f>ROUND(AC585*'[1]Summary E&amp;M'!$R$94,2)</f>
        <v>59.33</v>
      </c>
      <c r="AE585" s="826">
        <f t="shared" si="598"/>
        <v>146.13999999999999</v>
      </c>
      <c r="AF585" s="826">
        <f t="shared" si="599"/>
        <v>47.46</v>
      </c>
      <c r="AG585" s="731"/>
      <c r="AH585" s="732"/>
      <c r="AI585" s="519">
        <f t="shared" si="600"/>
        <v>0</v>
      </c>
      <c r="AJ585" s="519">
        <f t="shared" si="601"/>
        <v>0</v>
      </c>
      <c r="AK585" s="519">
        <f t="shared" si="602"/>
        <v>0</v>
      </c>
      <c r="AL585" s="520">
        <f t="shared" si="603"/>
        <v>0</v>
      </c>
      <c r="AM585" s="520">
        <f t="shared" si="604"/>
        <v>0</v>
      </c>
      <c r="AN585" s="520">
        <f t="shared" si="605"/>
        <v>0</v>
      </c>
      <c r="AO585" s="520">
        <f t="shared" si="606"/>
        <v>0</v>
      </c>
      <c r="AP585" s="719"/>
      <c r="AQ585" s="719"/>
      <c r="AR585" s="719"/>
      <c r="AS585" s="719"/>
      <c r="AT585" s="719"/>
    </row>
    <row r="586" spans="1:46" s="555" customFormat="1" ht="22.5" customHeight="1">
      <c r="A586" s="451"/>
      <c r="B586" s="531"/>
      <c r="C586" s="523"/>
      <c r="D586" s="524"/>
      <c r="E586" s="525"/>
      <c r="F586" s="1314"/>
      <c r="G586" s="528"/>
      <c r="H586" s="528"/>
      <c r="I586" s="961"/>
      <c r="J586" s="309"/>
      <c r="K586" s="1175"/>
      <c r="L586" s="530"/>
      <c r="M586" s="530"/>
      <c r="N586" s="309"/>
      <c r="O586" s="778"/>
      <c r="P586" s="777"/>
      <c r="Q586" s="777"/>
      <c r="R586" s="751"/>
      <c r="S586" s="752"/>
      <c r="T586" s="792"/>
      <c r="U586" s="803"/>
      <c r="V586" s="803"/>
      <c r="W586" s="803"/>
      <c r="X586" s="858">
        <f>SUMIF('Summary-E'!O$4:O$50,D586,'Summary-E'!Q$4:Q$50)</f>
        <v>0</v>
      </c>
      <c r="Y586" s="310">
        <f>ROUND((R586+S586/'Summary-E'!$M$63)*X586,2)</f>
        <v>0</v>
      </c>
      <c r="Z586" s="858">
        <f t="shared" si="633"/>
        <v>1.05</v>
      </c>
      <c r="AA586" s="813"/>
      <c r="AB586" s="447"/>
      <c r="AC586" s="310">
        <f t="shared" si="593"/>
        <v>0</v>
      </c>
      <c r="AD586" s="717">
        <f>ROUND(AC586*'[1]Summary E&amp;M'!$R$94,2)</f>
        <v>0</v>
      </c>
      <c r="AE586" s="826">
        <f t="shared" si="598"/>
        <v>0</v>
      </c>
      <c r="AF586" s="826">
        <f t="shared" si="599"/>
        <v>0</v>
      </c>
      <c r="AG586" s="731"/>
      <c r="AH586" s="732"/>
      <c r="AI586" s="519"/>
      <c r="AJ586" s="519"/>
      <c r="AK586" s="519"/>
      <c r="AL586" s="520"/>
      <c r="AM586" s="520"/>
      <c r="AN586" s="520"/>
      <c r="AO586" s="520"/>
      <c r="AP586" s="719"/>
      <c r="AQ586" s="719"/>
      <c r="AR586" s="719"/>
      <c r="AS586" s="719"/>
      <c r="AT586" s="719"/>
    </row>
    <row r="587" spans="1:46" s="555" customFormat="1" ht="22.5" customHeight="1">
      <c r="A587" s="451"/>
      <c r="B587" s="531" t="s">
        <v>324</v>
      </c>
      <c r="C587" s="523"/>
      <c r="D587" s="524">
        <v>210</v>
      </c>
      <c r="E587" s="525" t="s">
        <v>319</v>
      </c>
      <c r="F587" s="1315">
        <f>K587</f>
        <v>1</v>
      </c>
      <c r="G587" s="528">
        <f>M589</f>
        <v>5535.7699999999995</v>
      </c>
      <c r="H587" s="528">
        <f>ROUND(F587*G587,2)</f>
        <v>5535.77</v>
      </c>
      <c r="I587" s="961"/>
      <c r="J587" s="309"/>
      <c r="K587" s="1175">
        <v>1</v>
      </c>
      <c r="L587" s="530">
        <f>ROUND(AD587,2)</f>
        <v>0</v>
      </c>
      <c r="M587" s="530">
        <f>ROUND(L587*F587,2)</f>
        <v>0</v>
      </c>
      <c r="N587" s="309"/>
      <c r="O587" s="778">
        <v>210</v>
      </c>
      <c r="P587" s="777"/>
      <c r="Q587" s="777"/>
      <c r="R587" s="751"/>
      <c r="S587" s="752"/>
      <c r="T587" s="792"/>
      <c r="U587" s="803">
        <v>0</v>
      </c>
      <c r="V587" s="803">
        <v>0</v>
      </c>
      <c r="W587" s="803">
        <v>0</v>
      </c>
      <c r="X587" s="858">
        <f>SUMIF('Summary-E'!O$4:O$50,D587,'Summary-E'!Q$4:Q$50)</f>
        <v>0.05</v>
      </c>
      <c r="Y587" s="310">
        <f>ROUND((R587+S587/'Summary-E'!$M$63)*X587,2)</f>
        <v>0</v>
      </c>
      <c r="Z587" s="858">
        <f t="shared" si="633"/>
        <v>1.05</v>
      </c>
      <c r="AA587" s="813">
        <f>ROUND(Y587*Z587,2)</f>
        <v>0</v>
      </c>
      <c r="AB587" s="447">
        <f>$AB$3</f>
        <v>0.05</v>
      </c>
      <c r="AC587" s="310">
        <f t="shared" si="593"/>
        <v>0</v>
      </c>
      <c r="AD587" s="717">
        <f>ROUND(AC587*'[1]Summary E&amp;M'!$R$94,2)</f>
        <v>0</v>
      </c>
      <c r="AE587" s="826">
        <f t="shared" si="598"/>
        <v>0</v>
      </c>
      <c r="AF587" s="826">
        <f t="shared" si="599"/>
        <v>0</v>
      </c>
      <c r="AG587" s="731"/>
      <c r="AH587" s="732"/>
      <c r="AI587" s="519">
        <f>$U587</f>
        <v>0</v>
      </c>
      <c r="AJ587" s="519">
        <f>$V587</f>
        <v>0</v>
      </c>
      <c r="AK587" s="519">
        <f>$W587</f>
        <v>0</v>
      </c>
      <c r="AL587" s="520">
        <f>ROUND(Y587*AI587+((Y587*(1+AI587))*AJ587)+((Y587*AI587+((Y587*(1+AI587))*AJ587))*AK587),2)</f>
        <v>0</v>
      </c>
      <c r="AM587" s="520">
        <f>AL587*$F587</f>
        <v>0</v>
      </c>
      <c r="AN587" s="520">
        <f>ROUND(AL587*Z587,2)</f>
        <v>0</v>
      </c>
      <c r="AO587" s="520">
        <f>AN587*$F587</f>
        <v>0</v>
      </c>
      <c r="AP587" s="719"/>
      <c r="AQ587" s="719"/>
      <c r="AR587" s="719"/>
      <c r="AS587" s="719"/>
      <c r="AT587" s="719"/>
    </row>
    <row r="588" spans="1:46" s="555" customFormat="1" ht="22.5" customHeight="1">
      <c r="A588" s="620"/>
      <c r="B588" s="522"/>
      <c r="C588" s="523"/>
      <c r="D588" s="524"/>
      <c r="E588" s="525"/>
      <c r="F588" s="1314"/>
      <c r="G588" s="527"/>
      <c r="H588" s="528"/>
      <c r="I588" s="529"/>
      <c r="J588" s="311"/>
      <c r="K588" s="1175"/>
      <c r="L588" s="530"/>
      <c r="M588" s="530"/>
      <c r="N588" s="309"/>
      <c r="O588" s="776"/>
      <c r="P588" s="777"/>
      <c r="Q588" s="777"/>
      <c r="R588" s="751"/>
      <c r="S588" s="752"/>
      <c r="T588" s="792"/>
      <c r="U588" s="803"/>
      <c r="V588" s="803"/>
      <c r="W588" s="803"/>
      <c r="X588" s="858">
        <f>SUMIF('Summary-E'!O$4:O$50,D588,'Summary-E'!Q$4:Q$50)</f>
        <v>0</v>
      </c>
      <c r="Y588" s="310">
        <f>ROUND((R588+S588/'Summary-E'!$M$63)*X588,2)</f>
        <v>0</v>
      </c>
      <c r="Z588" s="858">
        <f t="shared" si="633"/>
        <v>1.05</v>
      </c>
      <c r="AA588" s="813"/>
      <c r="AB588" s="447"/>
      <c r="AC588" s="310">
        <f t="shared" si="593"/>
        <v>0</v>
      </c>
      <c r="AD588" s="717">
        <f>ROUND(AC588*'[1]Summary E&amp;M'!$R$94,2)</f>
        <v>0</v>
      </c>
      <c r="AE588" s="826"/>
      <c r="AF588" s="826"/>
      <c r="AG588" s="731"/>
      <c r="AH588" s="732"/>
      <c r="AI588" s="519"/>
      <c r="AJ588" s="519"/>
      <c r="AK588" s="519"/>
      <c r="AL588" s="520"/>
      <c r="AM588" s="520"/>
      <c r="AN588" s="520"/>
      <c r="AO588" s="520"/>
      <c r="AP588" s="719"/>
      <c r="AQ588" s="719"/>
      <c r="AR588" s="719"/>
      <c r="AS588" s="719"/>
      <c r="AT588" s="719"/>
    </row>
    <row r="589" spans="1:46" s="711" customFormat="1" ht="22.5" customHeight="1">
      <c r="A589" s="973"/>
      <c r="B589" s="974" t="s">
        <v>409</v>
      </c>
      <c r="C589" s="975"/>
      <c r="D589" s="976"/>
      <c r="E589" s="973"/>
      <c r="F589" s="1317"/>
      <c r="G589" s="971"/>
      <c r="H589" s="977">
        <f>SUBTOTAL(9,H566:H588)</f>
        <v>16710.97</v>
      </c>
      <c r="I589" s="978"/>
      <c r="J589" s="551"/>
      <c r="K589" s="1177"/>
      <c r="L589" s="550"/>
      <c r="M589" s="1051">
        <f>SUBTOTAL(9,M565:M587)</f>
        <v>5535.7699999999995</v>
      </c>
      <c r="N589" s="549"/>
      <c r="O589" s="779"/>
      <c r="P589" s="780"/>
      <c r="Q589" s="780"/>
      <c r="R589" s="759"/>
      <c r="S589" s="760"/>
      <c r="T589" s="795"/>
      <c r="U589" s="803">
        <v>0</v>
      </c>
      <c r="V589" s="803">
        <v>0</v>
      </c>
      <c r="W589" s="803">
        <v>0</v>
      </c>
      <c r="X589" s="858">
        <f>SUMIF('Summary-E'!O$4:O$50,D589,'Summary-E'!Q$4:Q$50)</f>
        <v>0</v>
      </c>
      <c r="Y589" s="310">
        <f>ROUND((R589+S589/'Summary-E'!$M$63)*X589,2)</f>
        <v>0</v>
      </c>
      <c r="Z589" s="858">
        <f t="shared" si="633"/>
        <v>1.05</v>
      </c>
      <c r="AA589" s="816"/>
      <c r="AB589" s="552"/>
      <c r="AC589" s="310">
        <f t="shared" si="593"/>
        <v>0</v>
      </c>
      <c r="AD589" s="717">
        <f>ROUND(AC589*'[1]Summary E&amp;M'!$R$94,2)</f>
        <v>0</v>
      </c>
      <c r="AE589" s="828">
        <f>SUBTOTAL(9,AE566:AE588)</f>
        <v>10462.379999999999</v>
      </c>
      <c r="AF589" s="828">
        <f>SUBTOTAL(9,AF566:AF588)</f>
        <v>4256.6400000000003</v>
      </c>
      <c r="AG589" s="733"/>
      <c r="AH589" s="734"/>
      <c r="AI589" s="713"/>
      <c r="AJ589" s="713"/>
      <c r="AK589" s="713"/>
      <c r="AL589" s="713"/>
      <c r="AM589" s="712">
        <f>SUBTOTAL(9,AM566:AM587)</f>
        <v>0</v>
      </c>
      <c r="AN589" s="713"/>
      <c r="AO589" s="712">
        <f>SUBTOTAL(9,AO566:AO587)</f>
        <v>0</v>
      </c>
      <c r="AP589" s="722"/>
      <c r="AQ589" s="722"/>
      <c r="AR589" s="722"/>
      <c r="AS589" s="722"/>
      <c r="AT589" s="722"/>
    </row>
    <row r="590" spans="1:46" s="555" customFormat="1" ht="22.5" customHeight="1">
      <c r="A590" s="620"/>
      <c r="B590" s="522"/>
      <c r="C590" s="523"/>
      <c r="D590" s="524"/>
      <c r="E590" s="525"/>
      <c r="F590" s="1314"/>
      <c r="G590" s="527"/>
      <c r="H590" s="528"/>
      <c r="I590" s="529"/>
      <c r="J590" s="311"/>
      <c r="K590" s="1187"/>
      <c r="L590" s="530"/>
      <c r="M590" s="987"/>
      <c r="N590" s="309"/>
      <c r="O590" s="776"/>
      <c r="P590" s="777"/>
      <c r="Q590" s="777"/>
      <c r="R590" s="751"/>
      <c r="S590" s="752"/>
      <c r="T590" s="792"/>
      <c r="U590" s="803"/>
      <c r="V590" s="803"/>
      <c r="W590" s="803"/>
      <c r="X590" s="858">
        <f>SUMIF('Summary-E'!O$4:O$50,D590,'Summary-E'!Q$4:Q$50)</f>
        <v>0</v>
      </c>
      <c r="Y590" s="310">
        <f>ROUND((R590+S590/'Summary-E'!$M$63)*X590,2)</f>
        <v>0</v>
      </c>
      <c r="Z590" s="858">
        <f t="shared" si="633"/>
        <v>1.05</v>
      </c>
      <c r="AA590" s="813"/>
      <c r="AB590" s="447"/>
      <c r="AC590" s="310">
        <f t="shared" si="593"/>
        <v>0</v>
      </c>
      <c r="AD590" s="717">
        <f>ROUND(AC590*'[1]Summary E&amp;M'!$R$94,2)</f>
        <v>0</v>
      </c>
      <c r="AE590" s="985"/>
      <c r="AF590" s="985"/>
      <c r="AG590" s="731"/>
      <c r="AH590" s="732"/>
      <c r="AI590" s="519"/>
      <c r="AJ590" s="519"/>
      <c r="AK590" s="519"/>
      <c r="AL590" s="520"/>
      <c r="AM590" s="983"/>
      <c r="AN590" s="520"/>
      <c r="AO590" s="983"/>
      <c r="AP590" s="719"/>
      <c r="AQ590" s="719"/>
      <c r="AR590" s="719"/>
      <c r="AS590" s="719"/>
      <c r="AT590" s="719"/>
    </row>
    <row r="591" spans="1:46" s="555" customFormat="1" ht="22.5" customHeight="1">
      <c r="A591" s="620" t="s">
        <v>410</v>
      </c>
      <c r="B591" s="522" t="s">
        <v>141</v>
      </c>
      <c r="C591" s="523"/>
      <c r="D591" s="524"/>
      <c r="E591" s="525"/>
      <c r="F591" s="1314"/>
      <c r="G591" s="527"/>
      <c r="H591" s="528"/>
      <c r="I591" s="420" t="s">
        <v>713</v>
      </c>
      <c r="J591" s="311"/>
      <c r="K591" s="1175"/>
      <c r="L591" s="530"/>
      <c r="M591" s="988"/>
      <c r="N591" s="309"/>
      <c r="O591" s="776"/>
      <c r="P591" s="777"/>
      <c r="Q591" s="777"/>
      <c r="R591" s="751"/>
      <c r="S591" s="752"/>
      <c r="T591" s="792"/>
      <c r="U591" s="803"/>
      <c r="V591" s="803"/>
      <c r="W591" s="803"/>
      <c r="X591" s="858">
        <f>SUMIF('Summary-E'!O$4:O$50,D591,'Summary-E'!Q$4:Q$50)</f>
        <v>0</v>
      </c>
      <c r="Y591" s="310">
        <f>ROUND((R591+S591/'Summary-E'!$M$63)*X591,2)</f>
        <v>0</v>
      </c>
      <c r="Z591" s="858">
        <f t="shared" si="633"/>
        <v>1.05</v>
      </c>
      <c r="AA591" s="813"/>
      <c r="AB591" s="447"/>
      <c r="AC591" s="310">
        <f t="shared" si="593"/>
        <v>0</v>
      </c>
      <c r="AD591" s="717">
        <f>ROUND(AC591*'[1]Summary E&amp;M'!$R$94,2)</f>
        <v>0</v>
      </c>
      <c r="AE591" s="826">
        <f>ROUND($K591*$Y591,2)</f>
        <v>0</v>
      </c>
      <c r="AF591" s="826">
        <f>ROUND($K591*$AC591,2)</f>
        <v>0</v>
      </c>
      <c r="AG591" s="731"/>
      <c r="AH591" s="732"/>
      <c r="AI591" s="519"/>
      <c r="AJ591" s="519"/>
      <c r="AK591" s="519"/>
      <c r="AL591" s="520"/>
      <c r="AM591" s="984"/>
      <c r="AN591" s="520"/>
      <c r="AO591" s="984"/>
      <c r="AP591" s="719"/>
      <c r="AQ591" s="719"/>
      <c r="AR591" s="719"/>
      <c r="AS591" s="719"/>
      <c r="AT591" s="719"/>
    </row>
    <row r="592" spans="1:46" s="555" customFormat="1" ht="22.5" customHeight="1">
      <c r="A592" s="894"/>
      <c r="B592" s="895"/>
      <c r="C592" s="896"/>
      <c r="D592" s="897"/>
      <c r="E592" s="894"/>
      <c r="F592" s="1331"/>
      <c r="G592" s="898"/>
      <c r="H592" s="899"/>
      <c r="I592" s="900"/>
      <c r="J592" s="309"/>
      <c r="K592" s="1188"/>
      <c r="L592" s="530"/>
      <c r="M592" s="898"/>
      <c r="N592" s="309"/>
      <c r="O592" s="776"/>
      <c r="P592" s="777"/>
      <c r="Q592" s="777"/>
      <c r="R592" s="751"/>
      <c r="S592" s="752"/>
      <c r="T592" s="792"/>
      <c r="U592" s="803"/>
      <c r="V592" s="803"/>
      <c r="W592" s="803"/>
      <c r="X592" s="858">
        <f>SUMIF('Summary-E'!O$4:O$50,D592,'Summary-E'!Q$4:Q$50)</f>
        <v>0</v>
      </c>
      <c r="Y592" s="310">
        <f>ROUND((R592+S592/'Summary-E'!$M$63)*X592,2)</f>
        <v>0</v>
      </c>
      <c r="Z592" s="858">
        <f t="shared" si="633"/>
        <v>1.05</v>
      </c>
      <c r="AA592" s="816"/>
      <c r="AB592" s="552"/>
      <c r="AC592" s="310">
        <f t="shared" si="593"/>
        <v>0</v>
      </c>
      <c r="AD592" s="717">
        <f>ROUND(AC592*'[1]Summary E&amp;M'!$R$94,2)</f>
        <v>0</v>
      </c>
      <c r="AE592" s="986"/>
      <c r="AF592" s="986"/>
      <c r="AG592" s="735"/>
      <c r="AH592" s="736"/>
      <c r="AI592" s="552"/>
      <c r="AJ592" s="552"/>
      <c r="AK592" s="552"/>
      <c r="AL592" s="552"/>
      <c r="AM592" s="898"/>
      <c r="AN592" s="552"/>
      <c r="AO592" s="898"/>
      <c r="AP592" s="719"/>
      <c r="AQ592" s="719"/>
      <c r="AR592" s="719"/>
      <c r="AS592" s="719"/>
      <c r="AT592" s="719"/>
    </row>
    <row r="593" spans="1:47" s="711" customFormat="1" ht="22.5" customHeight="1">
      <c r="A593" s="973"/>
      <c r="B593" s="974" t="s">
        <v>799</v>
      </c>
      <c r="C593" s="979"/>
      <c r="D593" s="973"/>
      <c r="E593" s="973"/>
      <c r="F593" s="1317"/>
      <c r="G593" s="971"/>
      <c r="H593" s="977">
        <f>SUBTOTAL(9,H590:H591)</f>
        <v>0</v>
      </c>
      <c r="I593" s="978"/>
      <c r="J593" s="551"/>
      <c r="K593" s="1177"/>
      <c r="L593" s="550"/>
      <c r="M593" s="1051">
        <f>SUBTOTAL(9,M592:M592)</f>
        <v>0</v>
      </c>
      <c r="N593" s="549"/>
      <c r="O593" s="779"/>
      <c r="P593" s="780"/>
      <c r="Q593" s="780"/>
      <c r="R593" s="759"/>
      <c r="S593" s="760"/>
      <c r="T593" s="792"/>
      <c r="U593" s="803">
        <v>0</v>
      </c>
      <c r="V593" s="803">
        <v>0</v>
      </c>
      <c r="W593" s="803">
        <v>0</v>
      </c>
      <c r="X593" s="858">
        <f>SUMIF('Summary-E'!O$4:O$50,D593,'Summary-E'!Q$4:Q$50)</f>
        <v>0</v>
      </c>
      <c r="Y593" s="310">
        <f>ROUND((R593+S593/'Summary-E'!$M$63)*X593,2)</f>
        <v>0</v>
      </c>
      <c r="Z593" s="858">
        <f t="shared" si="633"/>
        <v>1.05</v>
      </c>
      <c r="AA593" s="816"/>
      <c r="AB593" s="552"/>
      <c r="AC593" s="310">
        <f t="shared" si="593"/>
        <v>0</v>
      </c>
      <c r="AD593" s="721">
        <f>ROUND(AC593*'[1]Summary E&amp;M'!$R$94,2)</f>
        <v>0</v>
      </c>
      <c r="AE593" s="828">
        <f>SUBTOTAL(9,AE590:AE591)</f>
        <v>0</v>
      </c>
      <c r="AF593" s="828">
        <f>SUBTOTAL(9,AF590:AF591)</f>
        <v>0</v>
      </c>
      <c r="AG593" s="733"/>
      <c r="AH593" s="734"/>
      <c r="AI593" s="713"/>
      <c r="AJ593" s="713"/>
      <c r="AK593" s="713"/>
      <c r="AL593" s="713"/>
      <c r="AM593" s="712">
        <f>SUBTOTAL(9,AM590:AM591)</f>
        <v>0</v>
      </c>
      <c r="AN593" s="713"/>
      <c r="AO593" s="712">
        <f>SUBTOTAL(9,AO590:AO591)</f>
        <v>0</v>
      </c>
      <c r="AP593" s="722"/>
      <c r="AQ593" s="722"/>
      <c r="AR593" s="722"/>
      <c r="AS593" s="722"/>
      <c r="AT593" s="722"/>
    </row>
    <row r="594" spans="1:47" s="555" customFormat="1" ht="22.5" customHeight="1">
      <c r="A594" s="640"/>
      <c r="B594" s="557"/>
      <c r="C594" s="558"/>
      <c r="D594" s="640"/>
      <c r="E594" s="559"/>
      <c r="F594" s="1323"/>
      <c r="G594" s="560"/>
      <c r="H594" s="561"/>
      <c r="I594" s="562"/>
      <c r="J594" s="309"/>
      <c r="K594" s="1180"/>
      <c r="L594" s="530"/>
      <c r="M594" s="561"/>
      <c r="N594" s="309"/>
      <c r="O594" s="776"/>
      <c r="P594" s="777"/>
      <c r="Q594" s="777"/>
      <c r="R594" s="751"/>
      <c r="S594" s="752"/>
      <c r="T594" s="792"/>
      <c r="U594" s="803"/>
      <c r="V594" s="803"/>
      <c r="W594" s="803"/>
      <c r="X594" s="858">
        <f>SUMIF('Summary-E'!O$4:O$50,D594,'Summary-E'!Q$4:Q$50)</f>
        <v>0</v>
      </c>
      <c r="Y594" s="310">
        <f>ROUND((R594+S594/'Summary-E'!$M$63)*X594,2)</f>
        <v>0</v>
      </c>
      <c r="Z594" s="858">
        <f t="shared" si="633"/>
        <v>1.05</v>
      </c>
      <c r="AA594" s="816"/>
      <c r="AB594" s="552"/>
      <c r="AC594" s="310">
        <f t="shared" si="593"/>
        <v>0</v>
      </c>
      <c r="AD594" s="717">
        <f>ROUND(AC594*'[1]Summary E&amp;M'!$R$94,2)</f>
        <v>0</v>
      </c>
      <c r="AE594" s="833"/>
      <c r="AF594" s="833"/>
      <c r="AG594" s="735"/>
      <c r="AH594" s="736"/>
      <c r="AI594" s="552"/>
      <c r="AJ594" s="552"/>
      <c r="AK594" s="552"/>
      <c r="AL594" s="552"/>
      <c r="AM594" s="560"/>
      <c r="AN594" s="552"/>
      <c r="AO594" s="560"/>
      <c r="AP594" s="719"/>
      <c r="AQ594" s="719"/>
      <c r="AR594" s="719"/>
      <c r="AS594" s="719"/>
      <c r="AT594" s="719"/>
    </row>
    <row r="595" spans="1:47" s="555" customFormat="1" ht="22.5" customHeight="1">
      <c r="A595" s="620" t="s">
        <v>411</v>
      </c>
      <c r="B595" s="522" t="s">
        <v>778</v>
      </c>
      <c r="C595" s="566"/>
      <c r="D595" s="525"/>
      <c r="E595" s="525"/>
      <c r="F595" s="1314"/>
      <c r="G595" s="541"/>
      <c r="H595" s="528"/>
      <c r="I595" s="420" t="s">
        <v>713</v>
      </c>
      <c r="J595" s="311"/>
      <c r="K595" s="1175"/>
      <c r="L595" s="530"/>
      <c r="M595" s="530"/>
      <c r="N595" s="309"/>
      <c r="O595" s="776"/>
      <c r="P595" s="777"/>
      <c r="Q595" s="777"/>
      <c r="R595" s="751"/>
      <c r="S595" s="752"/>
      <c r="T595" s="792"/>
      <c r="U595" s="803"/>
      <c r="V595" s="803"/>
      <c r="W595" s="803"/>
      <c r="X595" s="858">
        <f>SUMIF('Summary-E'!O$4:O$50,D595,'Summary-E'!Q$4:Q$50)</f>
        <v>0</v>
      </c>
      <c r="Y595" s="310">
        <f>ROUND((R595+S595/'Summary-E'!$M$63)*X595,2)</f>
        <v>0</v>
      </c>
      <c r="Z595" s="858">
        <f t="shared" si="633"/>
        <v>1.05</v>
      </c>
      <c r="AA595" s="813"/>
      <c r="AB595" s="447"/>
      <c r="AC595" s="310">
        <f t="shared" si="593"/>
        <v>0</v>
      </c>
      <c r="AD595" s="717">
        <f>ROUND(AC595*'[1]Summary E&amp;M'!$R$94,2)</f>
        <v>0</v>
      </c>
      <c r="AE595" s="826">
        <f>ROUND($K595*$Y595,2)</f>
        <v>0</v>
      </c>
      <c r="AF595" s="826">
        <f>ROUND($K595*$AC595,2)</f>
        <v>0</v>
      </c>
      <c r="AG595" s="731"/>
      <c r="AH595" s="732"/>
      <c r="AI595" s="519"/>
      <c r="AJ595" s="519"/>
      <c r="AK595" s="519"/>
      <c r="AL595" s="520"/>
      <c r="AM595" s="520"/>
      <c r="AN595" s="520"/>
      <c r="AO595" s="520"/>
      <c r="AP595" s="719"/>
      <c r="AQ595" s="719"/>
      <c r="AR595" s="719"/>
      <c r="AS595" s="719"/>
      <c r="AT595" s="719"/>
    </row>
    <row r="596" spans="1:47" s="555" customFormat="1" ht="22.5" customHeight="1">
      <c r="A596" s="451"/>
      <c r="B596" s="531"/>
      <c r="C596" s="523"/>
      <c r="D596" s="524"/>
      <c r="E596" s="525"/>
      <c r="F596" s="1314"/>
      <c r="G596" s="527"/>
      <c r="H596" s="528"/>
      <c r="I596" s="529"/>
      <c r="J596" s="309"/>
      <c r="K596" s="1175"/>
      <c r="L596" s="530">
        <f>ROUND(AD596,2)</f>
        <v>0</v>
      </c>
      <c r="M596" s="530">
        <f>ROUND(L596*F596,2)</f>
        <v>0</v>
      </c>
      <c r="N596" s="309"/>
      <c r="O596" s="778"/>
      <c r="P596" s="777"/>
      <c r="Q596" s="777"/>
      <c r="R596" s="751"/>
      <c r="S596" s="752"/>
      <c r="T596" s="792"/>
      <c r="U596" s="803">
        <v>0</v>
      </c>
      <c r="V596" s="803">
        <v>0</v>
      </c>
      <c r="W596" s="803">
        <v>0</v>
      </c>
      <c r="X596" s="858">
        <f>SUMIF('Summary-E'!O$4:O$50,D596,'Summary-E'!Q$4:Q$50)</f>
        <v>0</v>
      </c>
      <c r="Y596" s="310">
        <f>ROUND((R596+S596/'Summary-E'!$M$63)*X596,2)</f>
        <v>0</v>
      </c>
      <c r="Z596" s="858">
        <f t="shared" si="633"/>
        <v>1.05</v>
      </c>
      <c r="AA596" s="813">
        <f>ROUND(Y596*Z596,2)</f>
        <v>0</v>
      </c>
      <c r="AB596" s="447">
        <f>$AB$3</f>
        <v>0.05</v>
      </c>
      <c r="AC596" s="310">
        <f t="shared" si="593"/>
        <v>0</v>
      </c>
      <c r="AD596" s="717">
        <f>ROUND(AC596*'[1]Summary E&amp;M'!$R$94,2)</f>
        <v>0</v>
      </c>
      <c r="AE596" s="826">
        <f>ROUND($K596*$Y596,2)</f>
        <v>0</v>
      </c>
      <c r="AF596" s="826">
        <f>ROUND($K596*$AC596,2)</f>
        <v>0</v>
      </c>
      <c r="AG596" s="731"/>
      <c r="AH596" s="732"/>
      <c r="AI596" s="519">
        <f>$U596</f>
        <v>0</v>
      </c>
      <c r="AJ596" s="519">
        <f>$V596</f>
        <v>0</v>
      </c>
      <c r="AK596" s="519">
        <f>$W596</f>
        <v>0</v>
      </c>
      <c r="AL596" s="520">
        <f>ROUND(Y596*AI596+((Y596*(1+AI596))*AJ596)+((Y596*AI596+((Y596*(1+AI596))*AJ596))*AK596),2)</f>
        <v>0</v>
      </c>
      <c r="AM596" s="520">
        <f>AL596*$F596</f>
        <v>0</v>
      </c>
      <c r="AN596" s="520">
        <f>ROUND(AL596*Z596,2)</f>
        <v>0</v>
      </c>
      <c r="AO596" s="520">
        <f>AN596*$F596</f>
        <v>0</v>
      </c>
      <c r="AP596" s="719"/>
      <c r="AQ596" s="719"/>
      <c r="AR596" s="719"/>
      <c r="AS596" s="719"/>
      <c r="AT596" s="719"/>
    </row>
    <row r="597" spans="1:47" s="711" customFormat="1" ht="22.5" customHeight="1">
      <c r="A597" s="973"/>
      <c r="B597" s="974" t="s">
        <v>428</v>
      </c>
      <c r="C597" s="975"/>
      <c r="D597" s="976"/>
      <c r="E597" s="973"/>
      <c r="F597" s="1317"/>
      <c r="G597" s="971"/>
      <c r="H597" s="977">
        <f>SUBTOTAL(9,H595:H596)</f>
        <v>0</v>
      </c>
      <c r="I597" s="978"/>
      <c r="J597" s="551"/>
      <c r="K597" s="1177"/>
      <c r="L597" s="550"/>
      <c r="M597" s="1051">
        <f>SUBTOTAL(9,M595:M596)</f>
        <v>0</v>
      </c>
      <c r="N597" s="549"/>
      <c r="O597" s="779"/>
      <c r="P597" s="780"/>
      <c r="Q597" s="780"/>
      <c r="R597" s="837"/>
      <c r="S597" s="837"/>
      <c r="T597" s="838"/>
      <c r="U597" s="803">
        <v>0</v>
      </c>
      <c r="V597" s="803">
        <v>0</v>
      </c>
      <c r="W597" s="803">
        <v>0</v>
      </c>
      <c r="X597" s="858">
        <f>SUMIF('Summary-E'!O$4:O$50,D597,'Summary-E'!Q$4:Q$50)</f>
        <v>0</v>
      </c>
      <c r="Y597" s="310">
        <f>ROUND((R597+S597/'Summary-E'!$M$63)*X597,2)</f>
        <v>0</v>
      </c>
      <c r="Z597" s="858">
        <f t="shared" si="633"/>
        <v>1.05</v>
      </c>
      <c r="AA597" s="816"/>
      <c r="AB597" s="552"/>
      <c r="AC597" s="310">
        <f t="shared" si="593"/>
        <v>0</v>
      </c>
      <c r="AD597" s="717">
        <f>ROUND(AC597*'[1]Summary E&amp;M'!$R$94,2)</f>
        <v>0</v>
      </c>
      <c r="AE597" s="828">
        <f>SUBTOTAL(9,AE595:AE596)</f>
        <v>0</v>
      </c>
      <c r="AF597" s="828">
        <f>SUBTOTAL(9,AF595:AF596)</f>
        <v>0</v>
      </c>
      <c r="AG597" s="733"/>
      <c r="AH597" s="734"/>
      <c r="AI597" s="713"/>
      <c r="AJ597" s="713"/>
      <c r="AK597" s="713"/>
      <c r="AL597" s="713"/>
      <c r="AM597" s="712">
        <f>SUBTOTAL(9,AM595:AM596)</f>
        <v>0</v>
      </c>
      <c r="AN597" s="713"/>
      <c r="AO597" s="712">
        <f>SUBTOTAL(9,AO595:AO596)</f>
        <v>0</v>
      </c>
      <c r="AP597" s="722"/>
      <c r="AQ597" s="722"/>
      <c r="AR597" s="722"/>
      <c r="AS597" s="722"/>
      <c r="AT597" s="722"/>
    </row>
    <row r="598" spans="1:47" s="555" customFormat="1" ht="22.5" customHeight="1">
      <c r="A598" s="545"/>
      <c r="B598" s="543"/>
      <c r="C598" s="563"/>
      <c r="D598" s="546"/>
      <c r="E598" s="545"/>
      <c r="F598" s="1320"/>
      <c r="G598" s="547"/>
      <c r="H598" s="564"/>
      <c r="I598" s="565"/>
      <c r="J598" s="551"/>
      <c r="K598" s="1181"/>
      <c r="L598" s="550"/>
      <c r="M598" s="550"/>
      <c r="N598" s="549"/>
      <c r="O598" s="776"/>
      <c r="P598" s="777"/>
      <c r="Q598" s="777"/>
      <c r="R598" s="751"/>
      <c r="S598" s="752"/>
      <c r="T598" s="792"/>
      <c r="U598" s="803"/>
      <c r="V598" s="803"/>
      <c r="W598" s="803"/>
      <c r="X598" s="858">
        <f>SUMIF('Summary-E'!O$4:O$50,D598,'Summary-E'!Q$4:Q$50)</f>
        <v>0</v>
      </c>
      <c r="Y598" s="310">
        <f>ROUND((R598+S598/'Summary-E'!$M$63)*X598,2)</f>
        <v>0</v>
      </c>
      <c r="Z598" s="858">
        <f t="shared" si="633"/>
        <v>1.05</v>
      </c>
      <c r="AA598" s="816"/>
      <c r="AB598" s="552"/>
      <c r="AC598" s="310">
        <f t="shared" si="593"/>
        <v>0</v>
      </c>
      <c r="AD598" s="717">
        <f>ROUND(AC598*'[1]Summary E&amp;M'!$R$94,2)</f>
        <v>0</v>
      </c>
      <c r="AE598" s="834"/>
      <c r="AF598" s="834"/>
      <c r="AG598" s="618"/>
      <c r="AH598" s="736"/>
      <c r="AI598" s="724"/>
      <c r="AJ598" s="552"/>
      <c r="AK598" s="552"/>
      <c r="AL598" s="552"/>
      <c r="AM598" s="552"/>
      <c r="AN598" s="553"/>
      <c r="AO598" s="552"/>
      <c r="AP598" s="553"/>
      <c r="AQ598" s="719"/>
      <c r="AR598" s="719"/>
      <c r="AS598" s="719"/>
      <c r="AT598" s="719"/>
      <c r="AU598" s="643"/>
    </row>
    <row r="599" spans="1:47" s="555" customFormat="1" ht="22.5" customHeight="1">
      <c r="A599" s="620" t="s">
        <v>412</v>
      </c>
      <c r="B599" s="522" t="s">
        <v>402</v>
      </c>
      <c r="C599" s="566"/>
      <c r="D599" s="525"/>
      <c r="E599" s="524"/>
      <c r="F599" s="1314"/>
      <c r="G599" s="527"/>
      <c r="H599" s="527"/>
      <c r="I599" s="567"/>
      <c r="J599" s="309"/>
      <c r="K599" s="1149"/>
      <c r="L599" s="530"/>
      <c r="M599" s="530"/>
      <c r="N599" s="309"/>
      <c r="O599" s="776"/>
      <c r="P599" s="777"/>
      <c r="Q599" s="777"/>
      <c r="R599" s="751"/>
      <c r="S599" s="752"/>
      <c r="T599" s="792"/>
      <c r="U599" s="803">
        <v>0</v>
      </c>
      <c r="V599" s="803">
        <v>0</v>
      </c>
      <c r="W599" s="803">
        <v>0</v>
      </c>
      <c r="X599" s="858">
        <f>SUMIF('Summary-E'!O$4:O$50,D599,'Summary-E'!Q$4:Q$50)</f>
        <v>0</v>
      </c>
      <c r="Y599" s="310">
        <f>ROUND((R599+S599/'Summary-E'!$M$63)*X599,2)</f>
        <v>0</v>
      </c>
      <c r="Z599" s="858">
        <f t="shared" si="633"/>
        <v>1.05</v>
      </c>
      <c r="AA599" s="816"/>
      <c r="AB599" s="552"/>
      <c r="AC599" s="310">
        <f t="shared" si="593"/>
        <v>0</v>
      </c>
      <c r="AD599" s="717">
        <f>ROUND(AC599*'[1]Summary E&amp;M'!$R$94,2)</f>
        <v>0</v>
      </c>
      <c r="AE599" s="825">
        <f>ROUND($K599*$Y599,2)</f>
        <v>0</v>
      </c>
      <c r="AF599" s="825">
        <f>ROUND($K599*$AC599,2)</f>
        <v>0</v>
      </c>
      <c r="AG599" s="743"/>
      <c r="AH599" s="737"/>
      <c r="AI599" s="552"/>
      <c r="AJ599" s="552"/>
      <c r="AK599" s="552"/>
      <c r="AL599" s="552"/>
      <c r="AM599" s="552"/>
      <c r="AN599" s="552"/>
      <c r="AO599" s="552"/>
      <c r="AP599" s="552"/>
      <c r="AQ599" s="552"/>
      <c r="AR599" s="552"/>
      <c r="AS599" s="552"/>
      <c r="AT599" s="552"/>
    </row>
    <row r="600" spans="1:47" s="555" customFormat="1" ht="22.5" customHeight="1">
      <c r="A600" s="620"/>
      <c r="B600" s="522" t="s">
        <v>126</v>
      </c>
      <c r="C600" s="566"/>
      <c r="D600" s="525"/>
      <c r="E600" s="524"/>
      <c r="F600" s="1314"/>
      <c r="G600" s="527"/>
      <c r="H600" s="527"/>
      <c r="I600" s="567"/>
      <c r="J600" s="309"/>
      <c r="K600" s="1149"/>
      <c r="L600" s="530"/>
      <c r="M600" s="530"/>
      <c r="N600" s="309"/>
      <c r="O600" s="776"/>
      <c r="P600" s="777"/>
      <c r="Q600" s="777"/>
      <c r="R600" s="751"/>
      <c r="S600" s="752"/>
      <c r="T600" s="792"/>
      <c r="U600" s="803">
        <v>0</v>
      </c>
      <c r="V600" s="803">
        <v>0</v>
      </c>
      <c r="W600" s="803">
        <v>0</v>
      </c>
      <c r="X600" s="858">
        <f>SUMIF('Summary-E'!O$4:O$50,D600,'Summary-E'!Q$4:Q$50)</f>
        <v>0</v>
      </c>
      <c r="Y600" s="310">
        <f>ROUND((R600+S600/'Summary-E'!$M$63)*X600,2)</f>
        <v>0</v>
      </c>
      <c r="Z600" s="858">
        <f t="shared" si="633"/>
        <v>1.05</v>
      </c>
      <c r="AA600" s="813">
        <f>ROUND(Y600*Z600,2)</f>
        <v>0</v>
      </c>
      <c r="AB600" s="447">
        <f t="shared" ref="AB600:AB620" si="634">$AB$3</f>
        <v>0.05</v>
      </c>
      <c r="AC600" s="310">
        <f t="shared" si="593"/>
        <v>0</v>
      </c>
      <c r="AD600" s="717">
        <f>ROUND(AC600*'[1]Summary E&amp;M'!$R$94,2)</f>
        <v>0</v>
      </c>
      <c r="AE600" s="825">
        <f>ROUND($K600*$Y600,2)</f>
        <v>0</v>
      </c>
      <c r="AF600" s="825">
        <f>ROUND($K600*$AC600,2)</f>
        <v>0</v>
      </c>
      <c r="AG600" s="743"/>
      <c r="AH600" s="728"/>
      <c r="AI600" s="519">
        <f>$U600</f>
        <v>0</v>
      </c>
      <c r="AJ600" s="519">
        <f>$V600</f>
        <v>0</v>
      </c>
      <c r="AK600" s="519">
        <f>$W600</f>
        <v>0</v>
      </c>
      <c r="AL600" s="520">
        <f>ROUND(Y600*AI600+((Y600*(1+AI600))*AJ600)+((Y600*AI600+((Y600*(1+AI600))*AJ600))*AK600),2)</f>
        <v>0</v>
      </c>
      <c r="AM600" s="520">
        <f>AL600*$F600</f>
        <v>0</v>
      </c>
      <c r="AN600" s="520">
        <f>ROUND(AL600*Z600,2)</f>
        <v>0</v>
      </c>
      <c r="AO600" s="520">
        <f>AN600*$F600</f>
        <v>0</v>
      </c>
      <c r="AP600" s="552"/>
      <c r="AQ600" s="552"/>
      <c r="AR600" s="552"/>
      <c r="AS600" s="552"/>
      <c r="AT600" s="552"/>
    </row>
    <row r="601" spans="1:47" s="555" customFormat="1" ht="22.5" customHeight="1">
      <c r="A601" s="620"/>
      <c r="B601" s="531" t="s">
        <v>1221</v>
      </c>
      <c r="C601" s="566"/>
      <c r="D601" s="1201">
        <v>161</v>
      </c>
      <c r="E601" s="524" t="s">
        <v>319</v>
      </c>
      <c r="F601" s="1371">
        <f>K601</f>
        <v>136</v>
      </c>
      <c r="G601" s="527">
        <f>ROUNDUP(AA601,2)</f>
        <v>53</v>
      </c>
      <c r="H601" s="527">
        <f>ROUND(F601*G601,2)</f>
        <v>7208</v>
      </c>
      <c r="I601" s="567"/>
      <c r="J601" s="309"/>
      <c r="K601" s="1149">
        <v>136</v>
      </c>
      <c r="L601" s="530">
        <f>ROUND(AD601,2)</f>
        <v>5.91</v>
      </c>
      <c r="M601" s="530">
        <f t="shared" ref="M601:M620" si="635">ROUND(L601*F601,2)</f>
        <v>803.76</v>
      </c>
      <c r="N601" s="309"/>
      <c r="O601" s="776">
        <v>161</v>
      </c>
      <c r="P601" s="777"/>
      <c r="Q601" s="777"/>
      <c r="R601" s="751"/>
      <c r="S601" s="752">
        <v>1050000</v>
      </c>
      <c r="T601" s="792">
        <v>4.5</v>
      </c>
      <c r="U601" s="803">
        <v>0</v>
      </c>
      <c r="V601" s="803">
        <v>0</v>
      </c>
      <c r="W601" s="803">
        <v>0</v>
      </c>
      <c r="X601" s="858">
        <v>1</v>
      </c>
      <c r="Y601" s="310">
        <f>ROUND((R601+S601/'[7]Summary E&amp;M'!$M$104)*X601,2)</f>
        <v>50.48</v>
      </c>
      <c r="Z601" s="858">
        <f t="shared" si="633"/>
        <v>1.05</v>
      </c>
      <c r="AA601" s="813">
        <f>ROUND(Y601*Z601,2)</f>
        <v>53</v>
      </c>
      <c r="AB601" s="447">
        <f t="shared" si="634"/>
        <v>0.05</v>
      </c>
      <c r="AC601" s="310">
        <f>ROUND((T601*(1+AB601)),2)</f>
        <v>4.7300000000000004</v>
      </c>
      <c r="AD601" s="717">
        <f>ROUND(AC601*'[8]Summary E&amp;M'!$R$94,2)</f>
        <v>5.91</v>
      </c>
      <c r="AE601" s="825">
        <f>ROUND($K601*$Y601,2)</f>
        <v>6865.28</v>
      </c>
      <c r="AF601" s="825">
        <f>ROUND($K601*$AC601,2)</f>
        <v>643.28</v>
      </c>
      <c r="AG601" s="743"/>
      <c r="AH601" s="728"/>
      <c r="AI601" s="519">
        <f>$U601</f>
        <v>0</v>
      </c>
      <c r="AJ601" s="519">
        <f>$V601</f>
        <v>0</v>
      </c>
      <c r="AK601" s="519">
        <f>$W601</f>
        <v>0</v>
      </c>
      <c r="AL601" s="520">
        <f>ROUND(Y601*AI601+((Y601*(1+AI601))*AJ601)+((Y601*AI601+((Y601*(1+AI601))*AJ601))*AK601),2)</f>
        <v>0</v>
      </c>
      <c r="AM601" s="520">
        <f>AL601*$F601</f>
        <v>0</v>
      </c>
      <c r="AN601" s="520">
        <f>ROUND(AL601*Z601,2)</f>
        <v>0</v>
      </c>
      <c r="AO601" s="520">
        <f>AN601*$F601</f>
        <v>0</v>
      </c>
      <c r="AP601" s="552"/>
      <c r="AQ601" s="552"/>
      <c r="AR601" s="552"/>
      <c r="AS601" s="552"/>
      <c r="AT601" s="552"/>
    </row>
    <row r="602" spans="1:47" s="555" customFormat="1" ht="22.5" customHeight="1">
      <c r="A602" s="451"/>
      <c r="B602" s="1247" t="s">
        <v>1032</v>
      </c>
      <c r="C602" s="566"/>
      <c r="D602" s="1201">
        <v>161</v>
      </c>
      <c r="E602" s="524" t="s">
        <v>319</v>
      </c>
      <c r="F602" s="1371">
        <f t="shared" ref="F602:F611" si="636">K602</f>
        <v>12</v>
      </c>
      <c r="G602" s="527">
        <f t="shared" ref="G602:G620" si="637">ROUNDUP(AA602,2)</f>
        <v>14.37</v>
      </c>
      <c r="H602" s="527">
        <f t="shared" ref="H602:H611" si="638">ROUND(F602*G602,2)</f>
        <v>172.44</v>
      </c>
      <c r="I602" s="567"/>
      <c r="J602" s="309"/>
      <c r="K602" s="1149">
        <v>12</v>
      </c>
      <c r="L602" s="530">
        <f t="shared" ref="L602:L611" si="639">ROUND(AD602,2)</f>
        <v>4.5999999999999996</v>
      </c>
      <c r="M602" s="530">
        <f t="shared" si="635"/>
        <v>55.2</v>
      </c>
      <c r="N602" s="309"/>
      <c r="O602" s="776">
        <v>161</v>
      </c>
      <c r="P602" s="777"/>
      <c r="Q602" s="777"/>
      <c r="R602" s="751"/>
      <c r="S602" s="752">
        <v>284800</v>
      </c>
      <c r="T602" s="792">
        <v>3.5</v>
      </c>
      <c r="U602" s="803">
        <v>0</v>
      </c>
      <c r="V602" s="803">
        <v>0</v>
      </c>
      <c r="W602" s="803">
        <v>0</v>
      </c>
      <c r="X602" s="858">
        <v>1</v>
      </c>
      <c r="Y602" s="310">
        <f>ROUND((R602+S602/'[7]Summary E&amp;M'!$M$104)*X602,2)</f>
        <v>13.69</v>
      </c>
      <c r="Z602" s="858">
        <f t="shared" si="633"/>
        <v>1.05</v>
      </c>
      <c r="AA602" s="813">
        <f t="shared" ref="AA602:AA611" si="640">ROUND(Y602*Z602,2)</f>
        <v>14.37</v>
      </c>
      <c r="AB602" s="447">
        <f t="shared" si="634"/>
        <v>0.05</v>
      </c>
      <c r="AC602" s="310">
        <f t="shared" ref="AC602:AC664" si="641">ROUND((T602*(1+AB602)),2)</f>
        <v>3.68</v>
      </c>
      <c r="AD602" s="717">
        <f>ROUND(AC602*'[8]Summary E&amp;M'!$R$94,2)</f>
        <v>4.5999999999999996</v>
      </c>
      <c r="AE602" s="825">
        <f t="shared" ref="AE602:AE630" si="642">ROUND($K602*$Y602,2)</f>
        <v>164.28</v>
      </c>
      <c r="AF602" s="825">
        <f t="shared" ref="AF602:AF630" si="643">ROUND($K602*$AC602,2)</f>
        <v>44.16</v>
      </c>
      <c r="AG602" s="743"/>
      <c r="AH602" s="728"/>
      <c r="AI602" s="519">
        <f t="shared" ref="AI602:AI620" si="644">$U602</f>
        <v>0</v>
      </c>
      <c r="AJ602" s="519">
        <f t="shared" ref="AJ602:AJ620" si="645">$V602</f>
        <v>0</v>
      </c>
      <c r="AK602" s="519">
        <f t="shared" ref="AK602:AK620" si="646">$W602</f>
        <v>0</v>
      </c>
      <c r="AL602" s="520">
        <f t="shared" ref="AL602:AL611" si="647">ROUND(Y602*AI602+((Y602*(1+AI602))*AJ602)+((Y602*AI602+((Y602*(1+AI602))*AJ602))*AK602),2)</f>
        <v>0</v>
      </c>
      <c r="AM602" s="520">
        <f t="shared" ref="AM602:AM611" si="648">AL602*$F602</f>
        <v>0</v>
      </c>
      <c r="AN602" s="520">
        <f t="shared" ref="AN602:AN611" si="649">ROUND(AL602*Z602,2)</f>
        <v>0</v>
      </c>
      <c r="AO602" s="520">
        <f t="shared" ref="AO602:AO611" si="650">AN602*$F602</f>
        <v>0</v>
      </c>
      <c r="AP602" s="552"/>
      <c r="AQ602" s="552"/>
      <c r="AR602" s="552"/>
      <c r="AS602" s="552"/>
      <c r="AT602" s="552"/>
    </row>
    <row r="603" spans="1:47" s="555" customFormat="1" ht="22.5" customHeight="1">
      <c r="A603" s="620"/>
      <c r="B603" s="531" t="s">
        <v>1222</v>
      </c>
      <c r="C603" s="566"/>
      <c r="D603" s="1201">
        <v>161</v>
      </c>
      <c r="E603" s="524" t="s">
        <v>319</v>
      </c>
      <c r="F603" s="1371">
        <f t="shared" si="636"/>
        <v>131</v>
      </c>
      <c r="G603" s="527">
        <f t="shared" si="637"/>
        <v>9.65</v>
      </c>
      <c r="H603" s="527">
        <f t="shared" si="638"/>
        <v>1264.1500000000001</v>
      </c>
      <c r="I603" s="567"/>
      <c r="J603" s="309"/>
      <c r="K603" s="1149">
        <v>131</v>
      </c>
      <c r="L603" s="530">
        <f t="shared" si="639"/>
        <v>4.5999999999999996</v>
      </c>
      <c r="M603" s="530">
        <f t="shared" si="635"/>
        <v>602.6</v>
      </c>
      <c r="N603" s="309"/>
      <c r="O603" s="776">
        <v>161</v>
      </c>
      <c r="P603" s="777"/>
      <c r="Q603" s="777"/>
      <c r="R603" s="751"/>
      <c r="S603" s="752">
        <v>191100</v>
      </c>
      <c r="T603" s="792">
        <v>3.5</v>
      </c>
      <c r="U603" s="803">
        <v>0</v>
      </c>
      <c r="V603" s="803">
        <v>0</v>
      </c>
      <c r="W603" s="803">
        <v>0</v>
      </c>
      <c r="X603" s="858">
        <v>1</v>
      </c>
      <c r="Y603" s="310">
        <f>ROUND((R603+S603/'[7]Summary E&amp;M'!$M$104)*X603,2)</f>
        <v>9.19</v>
      </c>
      <c r="Z603" s="858">
        <f t="shared" si="633"/>
        <v>1.05</v>
      </c>
      <c r="AA603" s="813">
        <f t="shared" si="640"/>
        <v>9.65</v>
      </c>
      <c r="AB603" s="447">
        <f t="shared" si="634"/>
        <v>0.05</v>
      </c>
      <c r="AC603" s="310">
        <f t="shared" si="641"/>
        <v>3.68</v>
      </c>
      <c r="AD603" s="717">
        <f>ROUND(AC603*'[8]Summary E&amp;M'!$R$94,2)</f>
        <v>4.5999999999999996</v>
      </c>
      <c r="AE603" s="825">
        <f t="shared" si="642"/>
        <v>1203.8900000000001</v>
      </c>
      <c r="AF603" s="825">
        <f t="shared" si="643"/>
        <v>482.08</v>
      </c>
      <c r="AG603" s="743"/>
      <c r="AH603" s="728"/>
      <c r="AI603" s="519">
        <f t="shared" si="644"/>
        <v>0</v>
      </c>
      <c r="AJ603" s="519">
        <f t="shared" si="645"/>
        <v>0</v>
      </c>
      <c r="AK603" s="519">
        <f t="shared" si="646"/>
        <v>0</v>
      </c>
      <c r="AL603" s="520">
        <f t="shared" si="647"/>
        <v>0</v>
      </c>
      <c r="AM603" s="520">
        <f t="shared" si="648"/>
        <v>0</v>
      </c>
      <c r="AN603" s="520">
        <f t="shared" si="649"/>
        <v>0</v>
      </c>
      <c r="AO603" s="520">
        <f t="shared" si="650"/>
        <v>0</v>
      </c>
      <c r="AP603" s="552"/>
      <c r="AQ603" s="552"/>
      <c r="AR603" s="552"/>
      <c r="AS603" s="552"/>
      <c r="AT603" s="552"/>
    </row>
    <row r="604" spans="1:47" s="555" customFormat="1" ht="22.5" customHeight="1">
      <c r="A604" s="620"/>
      <c r="B604" s="531" t="s">
        <v>1223</v>
      </c>
      <c r="C604" s="566"/>
      <c r="D604" s="1201">
        <v>161</v>
      </c>
      <c r="E604" s="524" t="s">
        <v>319</v>
      </c>
      <c r="F604" s="1371">
        <f>K604</f>
        <v>2</v>
      </c>
      <c r="G604" s="527">
        <f>ROUNDUP(AA604,2)</f>
        <v>24.13</v>
      </c>
      <c r="H604" s="527">
        <f>ROUND(F604*G604,2)</f>
        <v>48.26</v>
      </c>
      <c r="I604" s="567"/>
      <c r="J604" s="309"/>
      <c r="K604" s="1149">
        <v>2</v>
      </c>
      <c r="L604" s="530">
        <f>ROUND(AD604,2)</f>
        <v>4.5999999999999996</v>
      </c>
      <c r="M604" s="530">
        <f>ROUND(L604*F604,2)</f>
        <v>9.1999999999999993</v>
      </c>
      <c r="N604" s="309"/>
      <c r="O604" s="776">
        <v>161</v>
      </c>
      <c r="P604" s="777"/>
      <c r="Q604" s="777"/>
      <c r="R604" s="751"/>
      <c r="S604" s="752">
        <v>477900</v>
      </c>
      <c r="T604" s="792">
        <v>3.5</v>
      </c>
      <c r="U604" s="803">
        <v>0</v>
      </c>
      <c r="V604" s="803">
        <v>0</v>
      </c>
      <c r="W604" s="803">
        <v>0</v>
      </c>
      <c r="X604" s="858">
        <v>1</v>
      </c>
      <c r="Y604" s="310">
        <f>ROUND((R604+S604/'[7]Summary E&amp;M'!$M$104)*X604,2)</f>
        <v>22.98</v>
      </c>
      <c r="Z604" s="858">
        <f t="shared" si="633"/>
        <v>1.05</v>
      </c>
      <c r="AA604" s="813">
        <f>ROUND(Y604*Z604,2)</f>
        <v>24.13</v>
      </c>
      <c r="AB604" s="447">
        <f t="shared" si="634"/>
        <v>0.05</v>
      </c>
      <c r="AC604" s="310">
        <f>ROUND((T604*(1+AB604)),2)</f>
        <v>3.68</v>
      </c>
      <c r="AD604" s="717">
        <f>ROUND(AC604*'[9]Summary E&amp;M'!$R$94,2)</f>
        <v>4.5999999999999996</v>
      </c>
      <c r="AE604" s="989">
        <f>ROUND($K604*$Y604,2)</f>
        <v>45.96</v>
      </c>
      <c r="AF604" s="989">
        <f>ROUND($K604*$AC604,2)</f>
        <v>7.36</v>
      </c>
      <c r="AG604" s="990"/>
      <c r="AH604" s="728"/>
      <c r="AI604" s="519">
        <f>$U604</f>
        <v>0</v>
      </c>
      <c r="AJ604" s="519">
        <f>$V604</f>
        <v>0</v>
      </c>
      <c r="AK604" s="519">
        <f>$W604</f>
        <v>0</v>
      </c>
      <c r="AL604" s="520">
        <f>ROUND(Y604*AI604+((Y604*(1+AI604))*AJ604)+((Y604*AI604+((Y604*(1+AI604))*AJ604))*AK604),2)</f>
        <v>0</v>
      </c>
      <c r="AM604" s="520">
        <f>AL604*$F604</f>
        <v>0</v>
      </c>
      <c r="AN604" s="520">
        <f>ROUND(AL604*Z604,2)</f>
        <v>0</v>
      </c>
      <c r="AO604" s="520">
        <f>AN604*$F604</f>
        <v>0</v>
      </c>
      <c r="AP604" s="552"/>
      <c r="AQ604" s="552"/>
      <c r="AR604" s="552"/>
      <c r="AS604" s="552"/>
      <c r="AT604" s="552"/>
    </row>
    <row r="605" spans="1:47" s="555" customFormat="1" ht="22.5" customHeight="1">
      <c r="A605" s="620"/>
      <c r="B605" s="1153" t="s">
        <v>1034</v>
      </c>
      <c r="C605" s="566"/>
      <c r="D605" s="1201">
        <v>161</v>
      </c>
      <c r="E605" s="524" t="s">
        <v>319</v>
      </c>
      <c r="F605" s="1322">
        <f t="shared" si="636"/>
        <v>135</v>
      </c>
      <c r="G605" s="527">
        <f t="shared" si="637"/>
        <v>19.53</v>
      </c>
      <c r="H605" s="527">
        <f t="shared" si="638"/>
        <v>2636.55</v>
      </c>
      <c r="I605" s="567"/>
      <c r="J605" s="309"/>
      <c r="K605" s="1149">
        <v>135</v>
      </c>
      <c r="L605" s="530">
        <f t="shared" si="639"/>
        <v>4.5999999999999996</v>
      </c>
      <c r="M605" s="530">
        <f t="shared" si="635"/>
        <v>621</v>
      </c>
      <c r="N605" s="309"/>
      <c r="O605" s="776">
        <v>161</v>
      </c>
      <c r="P605" s="777"/>
      <c r="Q605" s="777"/>
      <c r="R605" s="751"/>
      <c r="S605" s="752">
        <v>386900</v>
      </c>
      <c r="T605" s="792">
        <v>3.5</v>
      </c>
      <c r="U605" s="803">
        <v>0</v>
      </c>
      <c r="V605" s="803">
        <v>0</v>
      </c>
      <c r="W605" s="803">
        <v>0</v>
      </c>
      <c r="X605" s="858">
        <v>1</v>
      </c>
      <c r="Y605" s="310">
        <f>ROUND((R605+S605/'[7]Summary E&amp;M'!$M$104)*X605,2)</f>
        <v>18.600000000000001</v>
      </c>
      <c r="Z605" s="858">
        <f t="shared" si="633"/>
        <v>1.05</v>
      </c>
      <c r="AA605" s="813">
        <f t="shared" si="640"/>
        <v>19.53</v>
      </c>
      <c r="AB605" s="447">
        <f t="shared" si="634"/>
        <v>0.05</v>
      </c>
      <c r="AC605" s="310">
        <f t="shared" si="641"/>
        <v>3.68</v>
      </c>
      <c r="AD605" s="717">
        <f>ROUND(AC605*'[8]Summary E&amp;M'!$R$94,2)</f>
        <v>4.5999999999999996</v>
      </c>
      <c r="AE605" s="825">
        <f t="shared" si="642"/>
        <v>2511</v>
      </c>
      <c r="AF605" s="825">
        <f t="shared" si="643"/>
        <v>496.8</v>
      </c>
      <c r="AG605" s="743"/>
      <c r="AH605" s="728"/>
      <c r="AI605" s="519">
        <f t="shared" si="644"/>
        <v>0</v>
      </c>
      <c r="AJ605" s="519">
        <f t="shared" si="645"/>
        <v>0</v>
      </c>
      <c r="AK605" s="519">
        <f t="shared" si="646"/>
        <v>0</v>
      </c>
      <c r="AL605" s="520">
        <f t="shared" si="647"/>
        <v>0</v>
      </c>
      <c r="AM605" s="520">
        <f t="shared" si="648"/>
        <v>0</v>
      </c>
      <c r="AN605" s="520">
        <f t="shared" si="649"/>
        <v>0</v>
      </c>
      <c r="AO605" s="520">
        <f t="shared" si="650"/>
        <v>0</v>
      </c>
      <c r="AP605" s="552"/>
      <c r="AQ605" s="552"/>
      <c r="AR605" s="552"/>
      <c r="AS605" s="552"/>
      <c r="AT605" s="552"/>
    </row>
    <row r="606" spans="1:47" s="555" customFormat="1" ht="22.5" customHeight="1">
      <c r="A606" s="620"/>
      <c r="B606" s="531" t="s">
        <v>1053</v>
      </c>
      <c r="C606" s="566"/>
      <c r="D606" s="1201">
        <v>161</v>
      </c>
      <c r="E606" s="524" t="s">
        <v>319</v>
      </c>
      <c r="F606" s="1371">
        <f t="shared" si="636"/>
        <v>10</v>
      </c>
      <c r="G606" s="527">
        <f t="shared" si="637"/>
        <v>22.46</v>
      </c>
      <c r="H606" s="527">
        <f t="shared" si="638"/>
        <v>224.6</v>
      </c>
      <c r="I606" s="567"/>
      <c r="J606" s="309"/>
      <c r="K606" s="1149">
        <v>10</v>
      </c>
      <c r="L606" s="530">
        <f t="shared" si="639"/>
        <v>4.5999999999999996</v>
      </c>
      <c r="M606" s="530">
        <f t="shared" si="635"/>
        <v>46</v>
      </c>
      <c r="N606" s="309"/>
      <c r="O606" s="776">
        <v>161</v>
      </c>
      <c r="P606" s="777"/>
      <c r="Q606" s="777"/>
      <c r="R606" s="751"/>
      <c r="S606" s="752">
        <v>445000</v>
      </c>
      <c r="T606" s="792">
        <v>3.5</v>
      </c>
      <c r="U606" s="803">
        <v>0</v>
      </c>
      <c r="V606" s="803">
        <v>0</v>
      </c>
      <c r="W606" s="803">
        <v>0</v>
      </c>
      <c r="X606" s="858">
        <v>1</v>
      </c>
      <c r="Y606" s="310">
        <f>ROUND((R606+S606/'[7]Summary E&amp;M'!$M$104)*X606,2)</f>
        <v>21.39</v>
      </c>
      <c r="Z606" s="858">
        <f t="shared" si="633"/>
        <v>1.05</v>
      </c>
      <c r="AA606" s="813">
        <f t="shared" si="640"/>
        <v>22.46</v>
      </c>
      <c r="AB606" s="447">
        <f t="shared" si="634"/>
        <v>0.05</v>
      </c>
      <c r="AC606" s="310">
        <f t="shared" si="641"/>
        <v>3.68</v>
      </c>
      <c r="AD606" s="717">
        <f>ROUND(AC606*'[8]Summary E&amp;M'!$R$94,2)</f>
        <v>4.5999999999999996</v>
      </c>
      <c r="AE606" s="825">
        <f t="shared" si="642"/>
        <v>213.9</v>
      </c>
      <c r="AF606" s="825">
        <f t="shared" si="643"/>
        <v>36.799999999999997</v>
      </c>
      <c r="AG606" s="743"/>
      <c r="AH606" s="728"/>
      <c r="AI606" s="519">
        <f t="shared" si="644"/>
        <v>0</v>
      </c>
      <c r="AJ606" s="519">
        <f t="shared" si="645"/>
        <v>0</v>
      </c>
      <c r="AK606" s="519">
        <f t="shared" si="646"/>
        <v>0</v>
      </c>
      <c r="AL606" s="520">
        <f t="shared" si="647"/>
        <v>0</v>
      </c>
      <c r="AM606" s="520">
        <f t="shared" si="648"/>
        <v>0</v>
      </c>
      <c r="AN606" s="520">
        <f t="shared" si="649"/>
        <v>0</v>
      </c>
      <c r="AO606" s="520">
        <f t="shared" si="650"/>
        <v>0</v>
      </c>
      <c r="AP606" s="552"/>
      <c r="AQ606" s="552"/>
      <c r="AR606" s="552"/>
      <c r="AS606" s="552"/>
      <c r="AT606" s="552"/>
    </row>
    <row r="607" spans="1:47" s="555" customFormat="1" ht="22.5" customHeight="1">
      <c r="A607" s="620"/>
      <c r="B607" s="531" t="s">
        <v>423</v>
      </c>
      <c r="C607" s="566"/>
      <c r="D607" s="1201">
        <v>161</v>
      </c>
      <c r="E607" s="524" t="s">
        <v>319</v>
      </c>
      <c r="F607" s="1322">
        <f t="shared" si="636"/>
        <v>27</v>
      </c>
      <c r="G607" s="527">
        <f t="shared" si="637"/>
        <v>37.11</v>
      </c>
      <c r="H607" s="527">
        <f t="shared" si="638"/>
        <v>1001.97</v>
      </c>
      <c r="I607" s="567"/>
      <c r="J607" s="309"/>
      <c r="K607" s="1149">
        <v>27</v>
      </c>
      <c r="L607" s="530">
        <f t="shared" si="639"/>
        <v>4.5999999999999996</v>
      </c>
      <c r="M607" s="530">
        <f t="shared" si="635"/>
        <v>124.2</v>
      </c>
      <c r="N607" s="309"/>
      <c r="O607" s="776">
        <v>161</v>
      </c>
      <c r="P607" s="777"/>
      <c r="Q607" s="777"/>
      <c r="R607" s="751"/>
      <c r="S607" s="752">
        <v>735000</v>
      </c>
      <c r="T607" s="792">
        <v>3.5</v>
      </c>
      <c r="U607" s="803">
        <v>0</v>
      </c>
      <c r="V607" s="803">
        <v>0</v>
      </c>
      <c r="W607" s="803">
        <v>0</v>
      </c>
      <c r="X607" s="858">
        <v>1</v>
      </c>
      <c r="Y607" s="310">
        <f>ROUND((R607+S607/'[7]Summary E&amp;M'!$M$104)*X607,2)</f>
        <v>35.340000000000003</v>
      </c>
      <c r="Z607" s="858">
        <f t="shared" si="633"/>
        <v>1.05</v>
      </c>
      <c r="AA607" s="813">
        <f t="shared" si="640"/>
        <v>37.11</v>
      </c>
      <c r="AB607" s="447">
        <f t="shared" si="634"/>
        <v>0.05</v>
      </c>
      <c r="AC607" s="310">
        <f t="shared" si="641"/>
        <v>3.68</v>
      </c>
      <c r="AD607" s="717">
        <f>ROUND(AC607*'[8]Summary E&amp;M'!$R$94,2)</f>
        <v>4.5999999999999996</v>
      </c>
      <c r="AE607" s="825">
        <f t="shared" si="642"/>
        <v>954.18</v>
      </c>
      <c r="AF607" s="825">
        <f t="shared" si="643"/>
        <v>99.36</v>
      </c>
      <c r="AG607" s="743"/>
      <c r="AH607" s="728"/>
      <c r="AI607" s="519">
        <f t="shared" si="644"/>
        <v>0</v>
      </c>
      <c r="AJ607" s="519">
        <f t="shared" si="645"/>
        <v>0</v>
      </c>
      <c r="AK607" s="519">
        <f t="shared" si="646"/>
        <v>0</v>
      </c>
      <c r="AL607" s="520">
        <f t="shared" si="647"/>
        <v>0</v>
      </c>
      <c r="AM607" s="520">
        <f t="shared" si="648"/>
        <v>0</v>
      </c>
      <c r="AN607" s="520">
        <f t="shared" si="649"/>
        <v>0</v>
      </c>
      <c r="AO607" s="520">
        <f t="shared" si="650"/>
        <v>0</v>
      </c>
      <c r="AP607" s="552"/>
      <c r="AQ607" s="552"/>
      <c r="AR607" s="552"/>
      <c r="AS607" s="552"/>
      <c r="AT607" s="552"/>
    </row>
    <row r="608" spans="1:47" s="555" customFormat="1" ht="22.5" customHeight="1">
      <c r="A608" s="620"/>
      <c r="B608" s="531" t="s">
        <v>424</v>
      </c>
      <c r="C608" s="566"/>
      <c r="D608" s="1201">
        <v>161</v>
      </c>
      <c r="E608" s="524" t="s">
        <v>319</v>
      </c>
      <c r="F608" s="1322">
        <f t="shared" si="636"/>
        <v>6</v>
      </c>
      <c r="G608" s="527">
        <f t="shared" si="637"/>
        <v>39.229999999999997</v>
      </c>
      <c r="H608" s="527">
        <f t="shared" si="638"/>
        <v>235.38</v>
      </c>
      <c r="I608" s="567"/>
      <c r="J608" s="309"/>
      <c r="K608" s="1149">
        <v>6</v>
      </c>
      <c r="L608" s="530">
        <f t="shared" si="639"/>
        <v>4.5999999999999996</v>
      </c>
      <c r="M608" s="530">
        <f t="shared" si="635"/>
        <v>27.6</v>
      </c>
      <c r="N608" s="309"/>
      <c r="O608" s="776">
        <v>161</v>
      </c>
      <c r="P608" s="777"/>
      <c r="Q608" s="777"/>
      <c r="R608" s="751"/>
      <c r="S608" s="752">
        <v>777000</v>
      </c>
      <c r="T608" s="792">
        <v>3.5</v>
      </c>
      <c r="U608" s="803">
        <v>0</v>
      </c>
      <c r="V608" s="803">
        <v>0</v>
      </c>
      <c r="W608" s="803">
        <v>0</v>
      </c>
      <c r="X608" s="858">
        <v>1</v>
      </c>
      <c r="Y608" s="310">
        <f>ROUND((R608+S608/'[7]Summary E&amp;M'!$M$104)*X608,2)</f>
        <v>37.36</v>
      </c>
      <c r="Z608" s="858">
        <f t="shared" si="633"/>
        <v>1.05</v>
      </c>
      <c r="AA608" s="813">
        <f t="shared" si="640"/>
        <v>39.229999999999997</v>
      </c>
      <c r="AB608" s="447">
        <f t="shared" si="634"/>
        <v>0.05</v>
      </c>
      <c r="AC608" s="310">
        <f t="shared" si="641"/>
        <v>3.68</v>
      </c>
      <c r="AD608" s="717">
        <f>ROUND(AC608*'[8]Summary E&amp;M'!$R$94,2)</f>
        <v>4.5999999999999996</v>
      </c>
      <c r="AE608" s="825">
        <f t="shared" si="642"/>
        <v>224.16</v>
      </c>
      <c r="AF608" s="825">
        <f t="shared" si="643"/>
        <v>22.08</v>
      </c>
      <c r="AG608" s="743"/>
      <c r="AH608" s="728"/>
      <c r="AI608" s="519">
        <f t="shared" si="644"/>
        <v>0</v>
      </c>
      <c r="AJ608" s="519">
        <f t="shared" si="645"/>
        <v>0</v>
      </c>
      <c r="AK608" s="519">
        <f t="shared" si="646"/>
        <v>0</v>
      </c>
      <c r="AL608" s="520">
        <f t="shared" si="647"/>
        <v>0</v>
      </c>
      <c r="AM608" s="520">
        <f t="shared" si="648"/>
        <v>0</v>
      </c>
      <c r="AN608" s="520">
        <f t="shared" si="649"/>
        <v>0</v>
      </c>
      <c r="AO608" s="520">
        <f t="shared" si="650"/>
        <v>0</v>
      </c>
      <c r="AP608" s="552"/>
      <c r="AQ608" s="552"/>
      <c r="AR608" s="552"/>
      <c r="AS608" s="552"/>
      <c r="AT608" s="552"/>
    </row>
    <row r="609" spans="1:47" s="555" customFormat="1" ht="22.5" customHeight="1">
      <c r="A609" s="620"/>
      <c r="B609" s="531" t="s">
        <v>628</v>
      </c>
      <c r="C609" s="566"/>
      <c r="D609" s="1202" t="s">
        <v>1127</v>
      </c>
      <c r="E609" s="524" t="s">
        <v>436</v>
      </c>
      <c r="F609" s="1322">
        <f t="shared" si="636"/>
        <v>51</v>
      </c>
      <c r="G609" s="527">
        <f t="shared" si="637"/>
        <v>1.43</v>
      </c>
      <c r="H609" s="527">
        <f t="shared" si="638"/>
        <v>72.930000000000007</v>
      </c>
      <c r="I609" s="567"/>
      <c r="J609" s="309"/>
      <c r="K609" s="1149">
        <v>51</v>
      </c>
      <c r="L609" s="530">
        <f t="shared" si="639"/>
        <v>2.63</v>
      </c>
      <c r="M609" s="530">
        <f t="shared" si="635"/>
        <v>134.13</v>
      </c>
      <c r="N609" s="309"/>
      <c r="O609" s="776" t="s">
        <v>129</v>
      </c>
      <c r="P609" s="777"/>
      <c r="Q609" s="777"/>
      <c r="R609" s="751"/>
      <c r="S609" s="752">
        <v>29200</v>
      </c>
      <c r="T609" s="792">
        <v>2</v>
      </c>
      <c r="U609" s="803">
        <v>0</v>
      </c>
      <c r="V609" s="803">
        <v>0</v>
      </c>
      <c r="W609" s="803">
        <v>0</v>
      </c>
      <c r="X609" s="858">
        <f>SUMIF('Summary-E'!O$4:O$50,D609,'Summary-E'!Q$4:Q$50)</f>
        <v>0.97</v>
      </c>
      <c r="Y609" s="310">
        <f>ROUND((R609+S609/'[7]Summary E&amp;M'!$M$104)*X609,2)</f>
        <v>1.36</v>
      </c>
      <c r="Z609" s="858">
        <f t="shared" si="633"/>
        <v>1.05</v>
      </c>
      <c r="AA609" s="813">
        <f t="shared" si="640"/>
        <v>1.43</v>
      </c>
      <c r="AB609" s="447">
        <f t="shared" si="634"/>
        <v>0.05</v>
      </c>
      <c r="AC609" s="310">
        <f t="shared" si="641"/>
        <v>2.1</v>
      </c>
      <c r="AD609" s="717">
        <f>ROUND(AC609*'[8]Summary E&amp;M'!$R$94,2)</f>
        <v>2.63</v>
      </c>
      <c r="AE609" s="825">
        <f t="shared" si="642"/>
        <v>69.36</v>
      </c>
      <c r="AF609" s="825">
        <f t="shared" si="643"/>
        <v>107.1</v>
      </c>
      <c r="AG609" s="743"/>
      <c r="AH609" s="728"/>
      <c r="AI609" s="519">
        <f t="shared" si="644"/>
        <v>0</v>
      </c>
      <c r="AJ609" s="519">
        <f t="shared" si="645"/>
        <v>0</v>
      </c>
      <c r="AK609" s="519">
        <f t="shared" si="646"/>
        <v>0</v>
      </c>
      <c r="AL609" s="520">
        <f t="shared" si="647"/>
        <v>0</v>
      </c>
      <c r="AM609" s="520">
        <f t="shared" si="648"/>
        <v>0</v>
      </c>
      <c r="AN609" s="520">
        <f t="shared" si="649"/>
        <v>0</v>
      </c>
      <c r="AO609" s="520">
        <f t="shared" si="650"/>
        <v>0</v>
      </c>
      <c r="AP609" s="552"/>
      <c r="AQ609" s="552"/>
      <c r="AR609" s="552"/>
      <c r="AS609" s="552"/>
      <c r="AT609" s="552"/>
    </row>
    <row r="610" spans="1:47" s="555" customFormat="1" ht="22.5" customHeight="1">
      <c r="A610" s="620"/>
      <c r="B610" s="531" t="s">
        <v>629</v>
      </c>
      <c r="C610" s="566"/>
      <c r="D610" s="1202" t="s">
        <v>1127</v>
      </c>
      <c r="E610" s="524" t="s">
        <v>436</v>
      </c>
      <c r="F610" s="1322">
        <f t="shared" si="636"/>
        <v>18</v>
      </c>
      <c r="G610" s="527">
        <f t="shared" si="637"/>
        <v>2.08</v>
      </c>
      <c r="H610" s="527">
        <f t="shared" si="638"/>
        <v>37.44</v>
      </c>
      <c r="I610" s="567"/>
      <c r="J610" s="309"/>
      <c r="K610" s="1149">
        <v>18</v>
      </c>
      <c r="L610" s="530">
        <f t="shared" si="639"/>
        <v>3.94</v>
      </c>
      <c r="M610" s="530">
        <f t="shared" si="635"/>
        <v>70.92</v>
      </c>
      <c r="N610" s="309"/>
      <c r="O610" s="776" t="s">
        <v>129</v>
      </c>
      <c r="P610" s="777"/>
      <c r="Q610" s="777"/>
      <c r="R610" s="751"/>
      <c r="S610" s="752">
        <v>42490</v>
      </c>
      <c r="T610" s="792">
        <v>3</v>
      </c>
      <c r="U610" s="803">
        <v>0</v>
      </c>
      <c r="V610" s="803">
        <v>0</v>
      </c>
      <c r="W610" s="803">
        <v>0</v>
      </c>
      <c r="X610" s="858">
        <f>SUMIF('Summary-E'!O$4:O$50,D610,'Summary-E'!Q$4:Q$50)</f>
        <v>0.97</v>
      </c>
      <c r="Y610" s="310">
        <f>ROUND((R610+S610/'[7]Summary E&amp;M'!$M$104)*X610,2)</f>
        <v>1.98</v>
      </c>
      <c r="Z610" s="858">
        <f t="shared" si="633"/>
        <v>1.05</v>
      </c>
      <c r="AA610" s="813">
        <f t="shared" si="640"/>
        <v>2.08</v>
      </c>
      <c r="AB610" s="447">
        <f t="shared" si="634"/>
        <v>0.05</v>
      </c>
      <c r="AC610" s="310">
        <f t="shared" si="641"/>
        <v>3.15</v>
      </c>
      <c r="AD610" s="717">
        <f>ROUND(AC610*'[8]Summary E&amp;M'!$R$94,2)</f>
        <v>3.94</v>
      </c>
      <c r="AE610" s="825">
        <f t="shared" si="642"/>
        <v>35.64</v>
      </c>
      <c r="AF610" s="825">
        <f t="shared" si="643"/>
        <v>56.7</v>
      </c>
      <c r="AG610" s="743"/>
      <c r="AH610" s="728"/>
      <c r="AI610" s="519">
        <f t="shared" si="644"/>
        <v>0</v>
      </c>
      <c r="AJ610" s="519">
        <f t="shared" si="645"/>
        <v>0</v>
      </c>
      <c r="AK610" s="519">
        <f t="shared" si="646"/>
        <v>0</v>
      </c>
      <c r="AL610" s="520">
        <f t="shared" si="647"/>
        <v>0</v>
      </c>
      <c r="AM610" s="520">
        <f t="shared" si="648"/>
        <v>0</v>
      </c>
      <c r="AN610" s="520">
        <f t="shared" si="649"/>
        <v>0</v>
      </c>
      <c r="AO610" s="520">
        <f t="shared" si="650"/>
        <v>0</v>
      </c>
      <c r="AP610" s="552"/>
      <c r="AQ610" s="552"/>
      <c r="AR610" s="552"/>
      <c r="AS610" s="552"/>
      <c r="AT610" s="552"/>
    </row>
    <row r="611" spans="1:47" s="555" customFormat="1" ht="22.5" customHeight="1">
      <c r="A611" s="620"/>
      <c r="B611" s="531" t="s">
        <v>1011</v>
      </c>
      <c r="C611" s="566" t="s">
        <v>336</v>
      </c>
      <c r="D611" s="1202" t="s">
        <v>1127</v>
      </c>
      <c r="E611" s="524" t="s">
        <v>319</v>
      </c>
      <c r="F611" s="1322">
        <f t="shared" si="636"/>
        <v>27</v>
      </c>
      <c r="G611" s="527">
        <f t="shared" si="637"/>
        <v>2.8</v>
      </c>
      <c r="H611" s="527">
        <f t="shared" si="638"/>
        <v>75.599999999999994</v>
      </c>
      <c r="I611" s="567"/>
      <c r="J611" s="309"/>
      <c r="K611" s="1149">
        <f>K607</f>
        <v>27</v>
      </c>
      <c r="L611" s="530">
        <f t="shared" si="639"/>
        <v>4.5999999999999996</v>
      </c>
      <c r="M611" s="530">
        <f t="shared" si="635"/>
        <v>124.2</v>
      </c>
      <c r="N611" s="309"/>
      <c r="O611" s="776" t="s">
        <v>129</v>
      </c>
      <c r="P611" s="777"/>
      <c r="Q611" s="777"/>
      <c r="R611" s="751"/>
      <c r="S611" s="752">
        <v>57190</v>
      </c>
      <c r="T611" s="792">
        <v>3.5</v>
      </c>
      <c r="U611" s="803">
        <v>0</v>
      </c>
      <c r="V611" s="803">
        <v>0</v>
      </c>
      <c r="W611" s="803">
        <v>0</v>
      </c>
      <c r="X611" s="858">
        <f>SUMIF('Summary-E'!O$4:O$50,D611,'Summary-E'!Q$4:Q$50)</f>
        <v>0.97</v>
      </c>
      <c r="Y611" s="310">
        <f>ROUND((R611+S611/'[7]Summary E&amp;M'!$M$104)*X611,2)</f>
        <v>2.67</v>
      </c>
      <c r="Z611" s="858">
        <f t="shared" si="633"/>
        <v>1.05</v>
      </c>
      <c r="AA611" s="813">
        <f t="shared" si="640"/>
        <v>2.8</v>
      </c>
      <c r="AB611" s="447">
        <f t="shared" si="634"/>
        <v>0.05</v>
      </c>
      <c r="AC611" s="310">
        <f t="shared" si="641"/>
        <v>3.68</v>
      </c>
      <c r="AD611" s="717">
        <f>ROUND(AC611*'[8]Summary E&amp;M'!$R$94,2)</f>
        <v>4.5999999999999996</v>
      </c>
      <c r="AE611" s="825">
        <f t="shared" si="642"/>
        <v>72.09</v>
      </c>
      <c r="AF611" s="825">
        <f t="shared" si="643"/>
        <v>99.36</v>
      </c>
      <c r="AG611" s="743"/>
      <c r="AH611" s="728"/>
      <c r="AI611" s="519">
        <f t="shared" si="644"/>
        <v>0</v>
      </c>
      <c r="AJ611" s="519">
        <f t="shared" si="645"/>
        <v>0</v>
      </c>
      <c r="AK611" s="519">
        <f t="shared" si="646"/>
        <v>0</v>
      </c>
      <c r="AL611" s="520">
        <f t="shared" si="647"/>
        <v>0</v>
      </c>
      <c r="AM611" s="520">
        <f t="shared" si="648"/>
        <v>0</v>
      </c>
      <c r="AN611" s="520">
        <f t="shared" si="649"/>
        <v>0</v>
      </c>
      <c r="AO611" s="520">
        <f t="shared" si="650"/>
        <v>0</v>
      </c>
      <c r="AP611" s="552"/>
      <c r="AQ611" s="552"/>
      <c r="AR611" s="552"/>
      <c r="AS611" s="552"/>
      <c r="AT611" s="552"/>
    </row>
    <row r="612" spans="1:47" s="555" customFormat="1" ht="22.5" customHeight="1">
      <c r="A612" s="451"/>
      <c r="B612" s="531" t="s">
        <v>1016</v>
      </c>
      <c r="C612" s="523" t="s">
        <v>786</v>
      </c>
      <c r="D612" s="525">
        <v>121</v>
      </c>
      <c r="E612" s="525" t="s">
        <v>321</v>
      </c>
      <c r="F612" s="1314">
        <f>ROUND(K612*'[8]Summary E&amp;M'!$K$91,0)</f>
        <v>166</v>
      </c>
      <c r="G612" s="527">
        <f t="shared" si="637"/>
        <v>13.63</v>
      </c>
      <c r="H612" s="528">
        <f>ROUND(F612*G612,2)</f>
        <v>2262.58</v>
      </c>
      <c r="I612" s="529"/>
      <c r="J612" s="309"/>
      <c r="K612" s="1175">
        <v>158</v>
      </c>
      <c r="L612" s="530">
        <f>ROUND(AD612,2)</f>
        <v>1.58</v>
      </c>
      <c r="M612" s="530">
        <f t="shared" si="635"/>
        <v>262.27999999999997</v>
      </c>
      <c r="N612" s="309"/>
      <c r="O612" s="778">
        <v>121</v>
      </c>
      <c r="P612" s="777"/>
      <c r="Q612" s="777"/>
      <c r="R612" s="751"/>
      <c r="S612" s="752">
        <v>270000</v>
      </c>
      <c r="T612" s="792">
        <v>1.2</v>
      </c>
      <c r="U612" s="803">
        <v>0</v>
      </c>
      <c r="V612" s="803">
        <v>0</v>
      </c>
      <c r="W612" s="803">
        <v>0</v>
      </c>
      <c r="X612" s="858">
        <v>1</v>
      </c>
      <c r="Y612" s="310">
        <f>ROUND((R612+S612/'[7]Summary E&amp;M'!$M$104)*X612,2)</f>
        <v>12.98</v>
      </c>
      <c r="Z612" s="858">
        <f t="shared" si="633"/>
        <v>1.05</v>
      </c>
      <c r="AA612" s="813">
        <f>ROUND(Y612*Z612,2)</f>
        <v>13.63</v>
      </c>
      <c r="AB612" s="447">
        <f t="shared" si="634"/>
        <v>0.05</v>
      </c>
      <c r="AC612" s="310">
        <f t="shared" si="641"/>
        <v>1.26</v>
      </c>
      <c r="AD612" s="717">
        <f>ROUND(AC612*'[8]Summary E&amp;M'!$R$94,2)</f>
        <v>1.58</v>
      </c>
      <c r="AE612" s="826">
        <f t="shared" si="642"/>
        <v>2050.84</v>
      </c>
      <c r="AF612" s="826">
        <f t="shared" si="643"/>
        <v>199.08</v>
      </c>
      <c r="AG612" s="744"/>
      <c r="AH612" s="732"/>
      <c r="AI612" s="723"/>
      <c r="AJ612" s="519">
        <f>$U612</f>
        <v>0</v>
      </c>
      <c r="AK612" s="519">
        <f>$V612</f>
        <v>0</v>
      </c>
      <c r="AL612" s="519">
        <f>$W612</f>
        <v>0</v>
      </c>
      <c r="AM612" s="520">
        <f>ROUND(Y612*AJ612+((Y612*(1+AJ612))*AK612)+((Y612*AJ612+((Y612*(1+AJ612))*AK612))*AL612),2)</f>
        <v>0</v>
      </c>
      <c r="AN612" s="520">
        <f>AM612*$F612</f>
        <v>0</v>
      </c>
      <c r="AO612" s="520">
        <f>ROUND(AM612*Z612,2)</f>
        <v>0</v>
      </c>
      <c r="AP612" s="520">
        <f>AO612*$F612</f>
        <v>0</v>
      </c>
      <c r="AQ612" s="719"/>
      <c r="AR612" s="719"/>
      <c r="AS612" s="719"/>
      <c r="AT612" s="719"/>
      <c r="AU612" s="643"/>
    </row>
    <row r="613" spans="1:47" s="555" customFormat="1" ht="22.5" customHeight="1">
      <c r="A613" s="451"/>
      <c r="B613" s="531" t="s">
        <v>1016</v>
      </c>
      <c r="C613" s="523" t="s">
        <v>790</v>
      </c>
      <c r="D613" s="525">
        <v>121</v>
      </c>
      <c r="E613" s="525" t="s">
        <v>321</v>
      </c>
      <c r="F613" s="1314">
        <f>ROUND(K613*'[8]Summary E&amp;M'!$K$91,0)</f>
        <v>63</v>
      </c>
      <c r="G613" s="527">
        <f t="shared" si="637"/>
        <v>5.81</v>
      </c>
      <c r="H613" s="528">
        <f>ROUND(F613*G613,2)</f>
        <v>366.03</v>
      </c>
      <c r="I613" s="529"/>
      <c r="J613" s="309"/>
      <c r="K613" s="1175">
        <v>60</v>
      </c>
      <c r="L613" s="530">
        <f>ROUND(AD613,2)</f>
        <v>1.58</v>
      </c>
      <c r="M613" s="530">
        <f t="shared" si="635"/>
        <v>99.54</v>
      </c>
      <c r="N613" s="309"/>
      <c r="O613" s="778">
        <v>121</v>
      </c>
      <c r="P613" s="777"/>
      <c r="Q613" s="777"/>
      <c r="R613" s="751"/>
      <c r="S613" s="752">
        <v>115000</v>
      </c>
      <c r="T613" s="792">
        <v>1.2</v>
      </c>
      <c r="U613" s="803">
        <v>0</v>
      </c>
      <c r="V613" s="803">
        <v>0</v>
      </c>
      <c r="W613" s="803">
        <v>0</v>
      </c>
      <c r="X613" s="858">
        <v>1</v>
      </c>
      <c r="Y613" s="310">
        <f>ROUND((R613+S613/'[7]Summary E&amp;M'!$M$104)*X613,2)</f>
        <v>5.53</v>
      </c>
      <c r="Z613" s="858">
        <f t="shared" si="633"/>
        <v>1.05</v>
      </c>
      <c r="AA613" s="813">
        <f>ROUND(Y613*Z613,2)</f>
        <v>5.81</v>
      </c>
      <c r="AB613" s="447">
        <f t="shared" si="634"/>
        <v>0.05</v>
      </c>
      <c r="AC613" s="310">
        <f t="shared" si="641"/>
        <v>1.26</v>
      </c>
      <c r="AD613" s="717">
        <f>ROUND(AC613*'[8]Summary E&amp;M'!$R$94,2)</f>
        <v>1.58</v>
      </c>
      <c r="AE613" s="826">
        <f t="shared" si="642"/>
        <v>331.8</v>
      </c>
      <c r="AF613" s="826">
        <f t="shared" si="643"/>
        <v>75.599999999999994</v>
      </c>
      <c r="AG613" s="744"/>
      <c r="AH613" s="732"/>
      <c r="AI613" s="723"/>
      <c r="AJ613" s="519">
        <f>$U613</f>
        <v>0</v>
      </c>
      <c r="AK613" s="519">
        <f>$V613</f>
        <v>0</v>
      </c>
      <c r="AL613" s="519">
        <f>$W613</f>
        <v>0</v>
      </c>
      <c r="AM613" s="520">
        <f>ROUND(Y613*AJ613+((Y613*(1+AJ613))*AK613)+((Y613*AJ613+((Y613*(1+AJ613))*AK613))*AL613),2)</f>
        <v>0</v>
      </c>
      <c r="AN613" s="520">
        <f>AM613*$F613</f>
        <v>0</v>
      </c>
      <c r="AO613" s="520">
        <f>ROUND(AM613*Z613,2)</f>
        <v>0</v>
      </c>
      <c r="AP613" s="520">
        <f>AO613*$F613</f>
        <v>0</v>
      </c>
      <c r="AQ613" s="719"/>
      <c r="AR613" s="719"/>
      <c r="AS613" s="719"/>
      <c r="AT613" s="719"/>
      <c r="AU613" s="643"/>
    </row>
    <row r="614" spans="1:47" s="555" customFormat="1" ht="22.5" customHeight="1">
      <c r="A614" s="620"/>
      <c r="B614" s="531" t="s">
        <v>403</v>
      </c>
      <c r="C614" s="566" t="s">
        <v>329</v>
      </c>
      <c r="D614" s="1202" t="s">
        <v>1111</v>
      </c>
      <c r="E614" s="524" t="s">
        <v>321</v>
      </c>
      <c r="F614" s="1314">
        <f>ROUND(K614*'Summary-E'!$K$61,0)</f>
        <v>3150</v>
      </c>
      <c r="G614" s="527">
        <f t="shared" si="637"/>
        <v>0.61</v>
      </c>
      <c r="H614" s="527">
        <f t="shared" ref="H614:H620" si="651">ROUND(F614*G614,2)</f>
        <v>1921.5</v>
      </c>
      <c r="I614" s="567"/>
      <c r="J614" s="309"/>
      <c r="K614" s="1149">
        <f>K619*0.8+K618*0.2</f>
        <v>3000</v>
      </c>
      <c r="L614" s="530">
        <f t="shared" ref="L614:L620" si="652">ROUND(AD614,2)</f>
        <v>0.4</v>
      </c>
      <c r="M614" s="530">
        <f t="shared" si="635"/>
        <v>1260</v>
      </c>
      <c r="N614" s="309"/>
      <c r="O614" s="776" t="s">
        <v>131</v>
      </c>
      <c r="P614" s="777"/>
      <c r="Q614" s="777"/>
      <c r="R614" s="751"/>
      <c r="S614" s="752">
        <v>12000</v>
      </c>
      <c r="T614" s="792">
        <v>0.3</v>
      </c>
      <c r="U614" s="803">
        <v>0</v>
      </c>
      <c r="V614" s="803">
        <v>0</v>
      </c>
      <c r="W614" s="803">
        <v>0</v>
      </c>
      <c r="X614" s="858">
        <v>1</v>
      </c>
      <c r="Y614" s="310">
        <f>ROUND((R614+S614/'[7]Summary E&amp;M'!$M$104)*X614,2)</f>
        <v>0.57999999999999996</v>
      </c>
      <c r="Z614" s="858">
        <f t="shared" si="633"/>
        <v>1.05</v>
      </c>
      <c r="AA614" s="813">
        <f t="shared" ref="AA614:AA620" si="653">ROUND(Y614*Z614,2)</f>
        <v>0.61</v>
      </c>
      <c r="AB614" s="447">
        <f t="shared" si="634"/>
        <v>0.05</v>
      </c>
      <c r="AC614" s="310">
        <f t="shared" si="641"/>
        <v>0.32</v>
      </c>
      <c r="AD614" s="717">
        <f>ROUND(AC614*'[8]Summary E&amp;M'!$R$94,2)</f>
        <v>0.4</v>
      </c>
      <c r="AE614" s="825">
        <f t="shared" si="642"/>
        <v>1740</v>
      </c>
      <c r="AF614" s="825">
        <f t="shared" si="643"/>
        <v>960</v>
      </c>
      <c r="AG614" s="743"/>
      <c r="AH614" s="728"/>
      <c r="AI614" s="519">
        <f t="shared" si="644"/>
        <v>0</v>
      </c>
      <c r="AJ614" s="519">
        <f t="shared" si="645"/>
        <v>0</v>
      </c>
      <c r="AK614" s="519">
        <f t="shared" si="646"/>
        <v>0</v>
      </c>
      <c r="AL614" s="520">
        <f t="shared" ref="AL614:AL620" si="654">ROUND(Y614*AI614+((Y614*(1+AI614))*AJ614)+((Y614*AI614+((Y614*(1+AI614))*AJ614))*AK614),2)</f>
        <v>0</v>
      </c>
      <c r="AM614" s="520">
        <f t="shared" ref="AM614:AM620" si="655">AL614*$F614</f>
        <v>0</v>
      </c>
      <c r="AN614" s="520">
        <f t="shared" ref="AN614:AN620" si="656">ROUND(AL614*Z614,2)</f>
        <v>0</v>
      </c>
      <c r="AO614" s="520">
        <f t="shared" ref="AO614:AO620" si="657">AN614*$F614</f>
        <v>0</v>
      </c>
      <c r="AP614" s="552"/>
      <c r="AQ614" s="552"/>
      <c r="AR614" s="552"/>
      <c r="AS614" s="552"/>
      <c r="AT614" s="552"/>
    </row>
    <row r="615" spans="1:47" s="555" customFormat="1" ht="22.5" customHeight="1">
      <c r="A615" s="620"/>
      <c r="B615" s="531" t="s">
        <v>331</v>
      </c>
      <c r="C615" s="566" t="s">
        <v>434</v>
      </c>
      <c r="D615" s="1202" t="s">
        <v>1113</v>
      </c>
      <c r="E615" s="524" t="s">
        <v>321</v>
      </c>
      <c r="F615" s="1314">
        <f>ROUND(K615*'Summary-E'!$K$61,0)</f>
        <v>662</v>
      </c>
      <c r="G615" s="527">
        <f t="shared" si="637"/>
        <v>0.23</v>
      </c>
      <c r="H615" s="527">
        <f t="shared" si="651"/>
        <v>152.26</v>
      </c>
      <c r="I615" s="567"/>
      <c r="J615" s="309"/>
      <c r="K615" s="1149">
        <f>K619*0.2</f>
        <v>630</v>
      </c>
      <c r="L615" s="530">
        <f t="shared" si="652"/>
        <v>0.14000000000000001</v>
      </c>
      <c r="M615" s="530">
        <f t="shared" si="635"/>
        <v>92.68</v>
      </c>
      <c r="N615" s="309"/>
      <c r="O615" s="776" t="s">
        <v>131</v>
      </c>
      <c r="P615" s="777"/>
      <c r="Q615" s="777"/>
      <c r="R615" s="751"/>
      <c r="S615" s="752">
        <v>4600</v>
      </c>
      <c r="T615" s="792">
        <v>0.1</v>
      </c>
      <c r="U615" s="803">
        <v>0</v>
      </c>
      <c r="V615" s="803">
        <v>0</v>
      </c>
      <c r="W615" s="803">
        <v>0</v>
      </c>
      <c r="X615" s="858">
        <v>1</v>
      </c>
      <c r="Y615" s="310">
        <f>ROUND((R615+S615/'[7]Summary E&amp;M'!$M$104)*X615,2)</f>
        <v>0.22</v>
      </c>
      <c r="Z615" s="858">
        <f t="shared" si="633"/>
        <v>1.05</v>
      </c>
      <c r="AA615" s="813">
        <f t="shared" si="653"/>
        <v>0.23</v>
      </c>
      <c r="AB615" s="447">
        <f t="shared" si="634"/>
        <v>0.05</v>
      </c>
      <c r="AC615" s="310">
        <f t="shared" si="641"/>
        <v>0.11</v>
      </c>
      <c r="AD615" s="717">
        <f>ROUND(AC615*'[8]Summary E&amp;M'!$R$94,2)</f>
        <v>0.14000000000000001</v>
      </c>
      <c r="AE615" s="825">
        <f t="shared" si="642"/>
        <v>138.6</v>
      </c>
      <c r="AF615" s="825">
        <f t="shared" si="643"/>
        <v>69.3</v>
      </c>
      <c r="AG615" s="743"/>
      <c r="AH615" s="728"/>
      <c r="AI615" s="519">
        <f t="shared" si="644"/>
        <v>0</v>
      </c>
      <c r="AJ615" s="519">
        <f t="shared" si="645"/>
        <v>0</v>
      </c>
      <c r="AK615" s="519">
        <f t="shared" si="646"/>
        <v>0</v>
      </c>
      <c r="AL615" s="520">
        <f t="shared" si="654"/>
        <v>0</v>
      </c>
      <c r="AM615" s="520">
        <f t="shared" si="655"/>
        <v>0</v>
      </c>
      <c r="AN615" s="520">
        <f t="shared" si="656"/>
        <v>0</v>
      </c>
      <c r="AO615" s="520">
        <f t="shared" si="657"/>
        <v>0</v>
      </c>
      <c r="AP615" s="552"/>
      <c r="AQ615" s="552"/>
      <c r="AR615" s="552"/>
      <c r="AS615" s="552"/>
      <c r="AT615" s="552"/>
    </row>
    <row r="616" spans="1:47" s="555" customFormat="1" ht="22.5" customHeight="1">
      <c r="A616" s="570"/>
      <c r="B616" s="568" t="s">
        <v>333</v>
      </c>
      <c r="C616" s="569"/>
      <c r="D616" s="1202" t="s">
        <v>1113</v>
      </c>
      <c r="E616" s="571" t="s">
        <v>322</v>
      </c>
      <c r="F616" s="1322">
        <f>K616</f>
        <v>1</v>
      </c>
      <c r="G616" s="527">
        <f t="shared" si="637"/>
        <v>1302.02</v>
      </c>
      <c r="H616" s="527">
        <f t="shared" si="651"/>
        <v>1302.02</v>
      </c>
      <c r="I616" s="567"/>
      <c r="J616" s="309"/>
      <c r="K616" s="1149">
        <v>1</v>
      </c>
      <c r="L616" s="530">
        <f t="shared" si="652"/>
        <v>201.34</v>
      </c>
      <c r="M616" s="530">
        <f t="shared" si="635"/>
        <v>201.34</v>
      </c>
      <c r="N616" s="309"/>
      <c r="O616" s="776" t="s">
        <v>683</v>
      </c>
      <c r="P616" s="777">
        <v>0.3</v>
      </c>
      <c r="Q616" s="777"/>
      <c r="R616" s="751">
        <f>ROUND(SUM(AE612:AE615)*P616,2)</f>
        <v>1278.3699999999999</v>
      </c>
      <c r="S616" s="752"/>
      <c r="T616" s="792">
        <f>ROUND(R616*12%,2)</f>
        <v>153.4</v>
      </c>
      <c r="U616" s="803">
        <v>0</v>
      </c>
      <c r="V616" s="803">
        <v>0</v>
      </c>
      <c r="W616" s="803">
        <v>0</v>
      </c>
      <c r="X616" s="858">
        <f>SUMIF('Summary-E'!O$4:O$50,D616,'Summary-E'!Q$4:Q$50)</f>
        <v>0.97</v>
      </c>
      <c r="Y616" s="310">
        <f>ROUND((R616+S616/'[7]Summary E&amp;M'!$M$104)*X616,2)</f>
        <v>1240.02</v>
      </c>
      <c r="Z616" s="858">
        <f t="shared" si="633"/>
        <v>1.05</v>
      </c>
      <c r="AA616" s="813">
        <f t="shared" si="653"/>
        <v>1302.02</v>
      </c>
      <c r="AB616" s="447">
        <f t="shared" si="634"/>
        <v>0.05</v>
      </c>
      <c r="AC616" s="310">
        <f t="shared" si="641"/>
        <v>161.07</v>
      </c>
      <c r="AD616" s="717">
        <f>ROUND(AC616*'[8]Summary E&amp;M'!$R$94,2)</f>
        <v>201.34</v>
      </c>
      <c r="AE616" s="825">
        <f t="shared" si="642"/>
        <v>1240.02</v>
      </c>
      <c r="AF616" s="825">
        <f t="shared" si="643"/>
        <v>161.07</v>
      </c>
      <c r="AG616" s="743"/>
      <c r="AH616" s="728"/>
      <c r="AI616" s="519">
        <f t="shared" si="644"/>
        <v>0</v>
      </c>
      <c r="AJ616" s="519">
        <f t="shared" si="645"/>
        <v>0</v>
      </c>
      <c r="AK616" s="519">
        <f t="shared" si="646"/>
        <v>0</v>
      </c>
      <c r="AL616" s="520">
        <f t="shared" si="654"/>
        <v>0</v>
      </c>
      <c r="AM616" s="520">
        <f t="shared" si="655"/>
        <v>0</v>
      </c>
      <c r="AN616" s="520">
        <f t="shared" si="656"/>
        <v>0</v>
      </c>
      <c r="AO616" s="520">
        <f t="shared" si="657"/>
        <v>0</v>
      </c>
      <c r="AP616" s="552"/>
      <c r="AQ616" s="552"/>
      <c r="AR616" s="552"/>
      <c r="AS616" s="552"/>
      <c r="AT616" s="552"/>
    </row>
    <row r="617" spans="1:47" s="555" customFormat="1" ht="22.5" customHeight="1">
      <c r="A617" s="451"/>
      <c r="B617" s="531" t="s">
        <v>334</v>
      </c>
      <c r="C617" s="566"/>
      <c r="D617" s="525" t="s">
        <v>139</v>
      </c>
      <c r="E617" s="524" t="s">
        <v>322</v>
      </c>
      <c r="F617" s="1322">
        <f>K617</f>
        <v>1</v>
      </c>
      <c r="G617" s="527">
        <f t="shared" si="637"/>
        <v>651.01</v>
      </c>
      <c r="H617" s="527">
        <f t="shared" si="651"/>
        <v>651.01</v>
      </c>
      <c r="I617" s="567"/>
      <c r="J617" s="309"/>
      <c r="K617" s="1149">
        <v>1</v>
      </c>
      <c r="L617" s="530">
        <f t="shared" si="652"/>
        <v>100.68</v>
      </c>
      <c r="M617" s="530">
        <f t="shared" si="635"/>
        <v>100.68</v>
      </c>
      <c r="N617" s="309"/>
      <c r="O617" s="776" t="s">
        <v>130</v>
      </c>
      <c r="P617" s="777">
        <v>0.15</v>
      </c>
      <c r="Q617" s="777"/>
      <c r="R617" s="751">
        <f>ROUND(SUM(AE612:AE615)*P617,2)</f>
        <v>639.19000000000005</v>
      </c>
      <c r="S617" s="752"/>
      <c r="T617" s="792">
        <f>ROUND(R617*12%,2)</f>
        <v>76.7</v>
      </c>
      <c r="U617" s="803">
        <v>0</v>
      </c>
      <c r="V617" s="803">
        <v>0</v>
      </c>
      <c r="W617" s="803">
        <v>0</v>
      </c>
      <c r="X617" s="858">
        <f>SUMIF('Summary-E'!O$4:O$50,D617,'Summary-E'!Q$4:Q$50)</f>
        <v>0.97</v>
      </c>
      <c r="Y617" s="310">
        <f>ROUND((R617+S617/'[7]Summary E&amp;M'!$M$104)*X617,2)</f>
        <v>620.01</v>
      </c>
      <c r="Z617" s="858">
        <f t="shared" si="633"/>
        <v>1.05</v>
      </c>
      <c r="AA617" s="813">
        <f t="shared" si="653"/>
        <v>651.01</v>
      </c>
      <c r="AB617" s="447">
        <f t="shared" si="634"/>
        <v>0.05</v>
      </c>
      <c r="AC617" s="310">
        <f t="shared" si="641"/>
        <v>80.540000000000006</v>
      </c>
      <c r="AD617" s="717">
        <f>ROUND(AC617*'[8]Summary E&amp;M'!$R$94,2)</f>
        <v>100.68</v>
      </c>
      <c r="AE617" s="825">
        <f t="shared" si="642"/>
        <v>620.01</v>
      </c>
      <c r="AF617" s="825">
        <f t="shared" si="643"/>
        <v>80.540000000000006</v>
      </c>
      <c r="AG617" s="743"/>
      <c r="AH617" s="728"/>
      <c r="AI617" s="519">
        <f t="shared" si="644"/>
        <v>0</v>
      </c>
      <c r="AJ617" s="519">
        <f t="shared" si="645"/>
        <v>0</v>
      </c>
      <c r="AK617" s="519">
        <f t="shared" si="646"/>
        <v>0</v>
      </c>
      <c r="AL617" s="520">
        <f t="shared" si="654"/>
        <v>0</v>
      </c>
      <c r="AM617" s="520">
        <f t="shared" si="655"/>
        <v>0</v>
      </c>
      <c r="AN617" s="520">
        <f t="shared" si="656"/>
        <v>0</v>
      </c>
      <c r="AO617" s="520">
        <f t="shared" si="657"/>
        <v>0</v>
      </c>
      <c r="AP617" s="552"/>
      <c r="AQ617" s="552"/>
      <c r="AR617" s="552"/>
      <c r="AS617" s="552"/>
      <c r="AT617" s="552"/>
    </row>
    <row r="618" spans="1:47" s="555" customFormat="1" ht="22.5" customHeight="1">
      <c r="A618" s="451"/>
      <c r="B618" s="531" t="s">
        <v>332</v>
      </c>
      <c r="C618" s="566" t="s">
        <v>736</v>
      </c>
      <c r="D618" s="525">
        <v>131</v>
      </c>
      <c r="E618" s="524" t="s">
        <v>321</v>
      </c>
      <c r="F618" s="1314">
        <f>ROUND(K618*'Summary-E'!$K$61,0)</f>
        <v>2520</v>
      </c>
      <c r="G618" s="527">
        <f t="shared" si="637"/>
        <v>0.91</v>
      </c>
      <c r="H618" s="527">
        <f t="shared" si="651"/>
        <v>2293.1999999999998</v>
      </c>
      <c r="I618" s="567"/>
      <c r="J618" s="309"/>
      <c r="K618" s="1149">
        <v>2400</v>
      </c>
      <c r="L618" s="530">
        <f t="shared" si="652"/>
        <v>0.14000000000000001</v>
      </c>
      <c r="M618" s="530">
        <f t="shared" si="635"/>
        <v>352.8</v>
      </c>
      <c r="N618" s="309"/>
      <c r="O618" s="776">
        <v>131</v>
      </c>
      <c r="P618" s="777"/>
      <c r="Q618" s="777"/>
      <c r="R618" s="751"/>
      <c r="S618" s="752">
        <v>18680</v>
      </c>
      <c r="T618" s="792">
        <v>0.1</v>
      </c>
      <c r="U618" s="803">
        <v>0</v>
      </c>
      <c r="V618" s="803">
        <v>0</v>
      </c>
      <c r="W618" s="803">
        <v>0</v>
      </c>
      <c r="X618" s="858">
        <f>SUMIF('Summary-E'!O$4:O$50,D618,'Summary-E'!Q$4:Q$50)</f>
        <v>0.97</v>
      </c>
      <c r="Y618" s="310">
        <f>ROUND((R618+S618/'[7]Summary E&amp;M'!$M$104)*X618,2)</f>
        <v>0.87</v>
      </c>
      <c r="Z618" s="858">
        <f t="shared" si="633"/>
        <v>1.05</v>
      </c>
      <c r="AA618" s="813">
        <f t="shared" si="653"/>
        <v>0.91</v>
      </c>
      <c r="AB618" s="447">
        <f t="shared" si="634"/>
        <v>0.05</v>
      </c>
      <c r="AC618" s="310">
        <f t="shared" si="641"/>
        <v>0.11</v>
      </c>
      <c r="AD618" s="717">
        <f>ROUND(AC618*'[8]Summary E&amp;M'!$R$94,2)</f>
        <v>0.14000000000000001</v>
      </c>
      <c r="AE618" s="825">
        <f t="shared" si="642"/>
        <v>2088</v>
      </c>
      <c r="AF618" s="825">
        <f t="shared" si="643"/>
        <v>264</v>
      </c>
      <c r="AG618" s="743"/>
      <c r="AH618" s="728"/>
      <c r="AI618" s="519">
        <f t="shared" si="644"/>
        <v>0</v>
      </c>
      <c r="AJ618" s="519">
        <f t="shared" si="645"/>
        <v>0</v>
      </c>
      <c r="AK618" s="519">
        <f t="shared" si="646"/>
        <v>0</v>
      </c>
      <c r="AL618" s="520">
        <f t="shared" si="654"/>
        <v>0</v>
      </c>
      <c r="AM618" s="520">
        <f t="shared" si="655"/>
        <v>0</v>
      </c>
      <c r="AN618" s="520">
        <f t="shared" si="656"/>
        <v>0</v>
      </c>
      <c r="AO618" s="520">
        <f t="shared" si="657"/>
        <v>0</v>
      </c>
      <c r="AP618" s="552"/>
      <c r="AQ618" s="552"/>
      <c r="AR618" s="552"/>
      <c r="AS618" s="552"/>
      <c r="AT618" s="552"/>
    </row>
    <row r="619" spans="1:47" s="555" customFormat="1" ht="22.5" customHeight="1">
      <c r="A619" s="451"/>
      <c r="B619" s="531" t="s">
        <v>332</v>
      </c>
      <c r="C619" s="566" t="s">
        <v>714</v>
      </c>
      <c r="D619" s="525">
        <v>131</v>
      </c>
      <c r="E619" s="524" t="s">
        <v>321</v>
      </c>
      <c r="F619" s="1314">
        <f>ROUND(K619*'Summary-E'!$K$61,0)</f>
        <v>3308</v>
      </c>
      <c r="G619" s="527">
        <f t="shared" si="637"/>
        <v>0.76</v>
      </c>
      <c r="H619" s="527">
        <f t="shared" si="651"/>
        <v>2514.08</v>
      </c>
      <c r="I619" s="567"/>
      <c r="J619" s="309"/>
      <c r="K619" s="1149">
        <f>2700+450</f>
        <v>3150</v>
      </c>
      <c r="L619" s="530">
        <f t="shared" si="652"/>
        <v>0.14000000000000001</v>
      </c>
      <c r="M619" s="530">
        <f t="shared" si="635"/>
        <v>463.12</v>
      </c>
      <c r="N619" s="309"/>
      <c r="O619" s="776">
        <v>131</v>
      </c>
      <c r="P619" s="777"/>
      <c r="Q619" s="777"/>
      <c r="R619" s="751"/>
      <c r="S619" s="752">
        <f>3*5140</f>
        <v>15420</v>
      </c>
      <c r="T619" s="792">
        <v>0.1</v>
      </c>
      <c r="U619" s="803">
        <v>0</v>
      </c>
      <c r="V619" s="803">
        <v>0</v>
      </c>
      <c r="W619" s="803">
        <v>0</v>
      </c>
      <c r="X619" s="858">
        <f>SUMIF('Summary-E'!O$4:O$50,D619,'Summary-E'!Q$4:Q$50)</f>
        <v>0.97</v>
      </c>
      <c r="Y619" s="310">
        <f>ROUND((R619+S619/'[7]Summary E&amp;M'!$M$104)*X619,2)</f>
        <v>0.72</v>
      </c>
      <c r="Z619" s="858">
        <f t="shared" si="633"/>
        <v>1.05</v>
      </c>
      <c r="AA619" s="813">
        <f t="shared" si="653"/>
        <v>0.76</v>
      </c>
      <c r="AB619" s="447">
        <f t="shared" si="634"/>
        <v>0.05</v>
      </c>
      <c r="AC619" s="310">
        <f t="shared" si="641"/>
        <v>0.11</v>
      </c>
      <c r="AD619" s="717">
        <f>ROUND(AC619*'[8]Summary E&amp;M'!$R$94,2)</f>
        <v>0.14000000000000001</v>
      </c>
      <c r="AE619" s="825">
        <f t="shared" si="642"/>
        <v>2268</v>
      </c>
      <c r="AF619" s="825">
        <f t="shared" si="643"/>
        <v>346.5</v>
      </c>
      <c r="AG619" s="743"/>
      <c r="AH619" s="728"/>
      <c r="AI619" s="519">
        <f t="shared" si="644"/>
        <v>0</v>
      </c>
      <c r="AJ619" s="519">
        <f t="shared" si="645"/>
        <v>0</v>
      </c>
      <c r="AK619" s="519">
        <f t="shared" si="646"/>
        <v>0</v>
      </c>
      <c r="AL619" s="520">
        <f t="shared" si="654"/>
        <v>0</v>
      </c>
      <c r="AM619" s="520">
        <f t="shared" si="655"/>
        <v>0</v>
      </c>
      <c r="AN619" s="520">
        <f t="shared" si="656"/>
        <v>0</v>
      </c>
      <c r="AO619" s="520">
        <f t="shared" si="657"/>
        <v>0</v>
      </c>
      <c r="AP619" s="552"/>
      <c r="AQ619" s="552"/>
      <c r="AR619" s="552"/>
      <c r="AS619" s="552"/>
      <c r="AT619" s="552"/>
    </row>
    <row r="620" spans="1:47" s="555" customFormat="1" ht="22.5" customHeight="1">
      <c r="A620" s="570"/>
      <c r="B620" s="531" t="s">
        <v>122</v>
      </c>
      <c r="C620" s="569"/>
      <c r="D620" s="525" t="s">
        <v>690</v>
      </c>
      <c r="E620" s="571" t="s">
        <v>322</v>
      </c>
      <c r="F620" s="1322">
        <f>K620</f>
        <v>1</v>
      </c>
      <c r="G620" s="527">
        <f t="shared" si="637"/>
        <v>325.33999999999997</v>
      </c>
      <c r="H620" s="527">
        <f t="shared" si="651"/>
        <v>325.33999999999997</v>
      </c>
      <c r="I620" s="567"/>
      <c r="J620" s="309"/>
      <c r="K620" s="1149">
        <v>1</v>
      </c>
      <c r="L620" s="530">
        <f t="shared" si="652"/>
        <v>41.93</v>
      </c>
      <c r="M620" s="530">
        <f t="shared" si="635"/>
        <v>41.93</v>
      </c>
      <c r="N620" s="309"/>
      <c r="O620" s="778" t="s">
        <v>690</v>
      </c>
      <c r="P620" s="777">
        <v>0.02</v>
      </c>
      <c r="Q620" s="777"/>
      <c r="R620" s="751">
        <f>ROUND(SUM(AE602:AE619)*P620,2)</f>
        <v>319.43</v>
      </c>
      <c r="S620" s="752"/>
      <c r="T620" s="792">
        <f>ROUND(R620*10%,2)</f>
        <v>31.94</v>
      </c>
      <c r="U620" s="803">
        <v>0</v>
      </c>
      <c r="V620" s="803">
        <v>0</v>
      </c>
      <c r="W620" s="803">
        <v>0</v>
      </c>
      <c r="X620" s="858">
        <f>SUMIF('Summary-E'!O$4:O$50,D620,'Summary-E'!Q$4:Q$50)</f>
        <v>0.97</v>
      </c>
      <c r="Y620" s="310">
        <f>ROUND((R620+S620/'[7]Summary E&amp;M'!$M$104)*X620,2)</f>
        <v>309.85000000000002</v>
      </c>
      <c r="Z620" s="858">
        <f t="shared" si="633"/>
        <v>1.05</v>
      </c>
      <c r="AA620" s="813">
        <f t="shared" si="653"/>
        <v>325.33999999999997</v>
      </c>
      <c r="AB620" s="447">
        <f t="shared" si="634"/>
        <v>0.05</v>
      </c>
      <c r="AC620" s="310">
        <f t="shared" si="641"/>
        <v>33.54</v>
      </c>
      <c r="AD620" s="717">
        <f>ROUND(AC620*'[8]Summary E&amp;M'!$R$94,2)</f>
        <v>41.93</v>
      </c>
      <c r="AE620" s="825">
        <f t="shared" si="642"/>
        <v>309.85000000000002</v>
      </c>
      <c r="AF620" s="825">
        <f t="shared" si="643"/>
        <v>33.54</v>
      </c>
      <c r="AG620" s="743"/>
      <c r="AH620" s="728"/>
      <c r="AI620" s="519">
        <f t="shared" si="644"/>
        <v>0</v>
      </c>
      <c r="AJ620" s="519">
        <f t="shared" si="645"/>
        <v>0</v>
      </c>
      <c r="AK620" s="519">
        <f t="shared" si="646"/>
        <v>0</v>
      </c>
      <c r="AL620" s="520">
        <f t="shared" si="654"/>
        <v>0</v>
      </c>
      <c r="AM620" s="520">
        <f t="shared" si="655"/>
        <v>0</v>
      </c>
      <c r="AN620" s="520">
        <f t="shared" si="656"/>
        <v>0</v>
      </c>
      <c r="AO620" s="520">
        <f t="shared" si="657"/>
        <v>0</v>
      </c>
      <c r="AP620" s="552"/>
      <c r="AQ620" s="552"/>
      <c r="AR620" s="552"/>
      <c r="AS620" s="552"/>
      <c r="AT620" s="552"/>
    </row>
    <row r="621" spans="1:47" s="555" customFormat="1" ht="22.5" customHeight="1">
      <c r="A621" s="451"/>
      <c r="B621" s="531"/>
      <c r="C621" s="566"/>
      <c r="D621" s="525"/>
      <c r="E621" s="524"/>
      <c r="F621" s="1314"/>
      <c r="G621" s="527"/>
      <c r="H621" s="527"/>
      <c r="I621" s="567"/>
      <c r="J621" s="309"/>
      <c r="K621" s="1149"/>
      <c r="L621" s="530"/>
      <c r="M621" s="530"/>
      <c r="N621" s="309"/>
      <c r="O621" s="776"/>
      <c r="P621" s="777"/>
      <c r="Q621" s="777"/>
      <c r="R621" s="751"/>
      <c r="S621" s="752"/>
      <c r="T621" s="792"/>
      <c r="U621" s="803"/>
      <c r="V621" s="803"/>
      <c r="W621" s="803"/>
      <c r="X621" s="858">
        <f>SUMIF('Summary-E'!O$4:O$50,D621,'Summary-E'!Q$4:Q$50)</f>
        <v>0</v>
      </c>
      <c r="Y621" s="310">
        <f>ROUND((R621+S621/'Summary-E'!$M$63)*X621,2)</f>
        <v>0</v>
      </c>
      <c r="Z621" s="858">
        <f t="shared" si="633"/>
        <v>1.05</v>
      </c>
      <c r="AA621" s="813"/>
      <c r="AB621" s="447"/>
      <c r="AC621" s="310">
        <f t="shared" si="641"/>
        <v>0</v>
      </c>
      <c r="AD621" s="717">
        <f>ROUND(AC621*'[6]Summary E&amp;M'!$R$94,2)</f>
        <v>0</v>
      </c>
      <c r="AE621" s="825">
        <f t="shared" si="642"/>
        <v>0</v>
      </c>
      <c r="AF621" s="825">
        <f t="shared" si="643"/>
        <v>0</v>
      </c>
      <c r="AG621" s="743"/>
      <c r="AH621" s="728"/>
      <c r="AI621" s="519"/>
      <c r="AJ621" s="519"/>
      <c r="AK621" s="519"/>
      <c r="AL621" s="520"/>
      <c r="AM621" s="520"/>
      <c r="AN621" s="520"/>
      <c r="AO621" s="520"/>
      <c r="AP621" s="552"/>
      <c r="AQ621" s="552"/>
      <c r="AR621" s="552"/>
      <c r="AS621" s="552"/>
      <c r="AT621" s="552"/>
    </row>
    <row r="622" spans="1:47" s="555" customFormat="1" ht="22.5" customHeight="1">
      <c r="A622" s="620"/>
      <c r="B622" s="522" t="s">
        <v>142</v>
      </c>
      <c r="C622" s="572"/>
      <c r="D622" s="1080"/>
      <c r="E622" s="1081"/>
      <c r="F622" s="1325"/>
      <c r="G622" s="527"/>
      <c r="H622" s="527"/>
      <c r="I622" s="567"/>
      <c r="J622" s="309"/>
      <c r="K622" s="1182"/>
      <c r="L622" s="530"/>
      <c r="M622" s="530"/>
      <c r="N622" s="309"/>
      <c r="O622" s="778"/>
      <c r="P622" s="777"/>
      <c r="Q622" s="777"/>
      <c r="R622" s="751"/>
      <c r="S622" s="752"/>
      <c r="T622" s="792"/>
      <c r="U622" s="803"/>
      <c r="V622" s="803"/>
      <c r="W622" s="803"/>
      <c r="X622" s="858">
        <f>SUMIF('Summary-E'!O$4:O$50,D622,'Summary-E'!Q$4:Q$50)</f>
        <v>0</v>
      </c>
      <c r="Y622" s="310">
        <f>ROUND((R622+S622/'Summary-E'!$M$63)*X622,2)</f>
        <v>0</v>
      </c>
      <c r="Z622" s="858">
        <f t="shared" si="633"/>
        <v>1.05</v>
      </c>
      <c r="AA622" s="813"/>
      <c r="AB622" s="447"/>
      <c r="AC622" s="310">
        <f t="shared" si="641"/>
        <v>0</v>
      </c>
      <c r="AD622" s="717">
        <f>ROUND(AC622*'[6]Summary E&amp;M'!$R$94,2)</f>
        <v>0</v>
      </c>
      <c r="AE622" s="825">
        <f t="shared" si="642"/>
        <v>0</v>
      </c>
      <c r="AF622" s="825">
        <f t="shared" si="643"/>
        <v>0</v>
      </c>
      <c r="AG622" s="743"/>
      <c r="AH622" s="728"/>
      <c r="AI622" s="519"/>
      <c r="AJ622" s="519"/>
      <c r="AK622" s="519"/>
      <c r="AL622" s="520"/>
      <c r="AM622" s="520"/>
      <c r="AN622" s="520"/>
      <c r="AO622" s="520"/>
      <c r="AP622" s="552"/>
      <c r="AQ622" s="552"/>
      <c r="AR622" s="552"/>
      <c r="AS622" s="552"/>
      <c r="AT622" s="552"/>
    </row>
    <row r="623" spans="1:47" s="555" customFormat="1" ht="22.5" customHeight="1">
      <c r="A623" s="620"/>
      <c r="B623" s="531" t="s">
        <v>1012</v>
      </c>
      <c r="C623" s="566" t="s">
        <v>127</v>
      </c>
      <c r="D623" s="1202" t="s">
        <v>1127</v>
      </c>
      <c r="E623" s="524" t="s">
        <v>319</v>
      </c>
      <c r="F623" s="1322">
        <f>K623</f>
        <v>69</v>
      </c>
      <c r="G623" s="527">
        <f t="shared" ref="G623:G630" si="658">ROUNDUP(AA623,2)</f>
        <v>3.84</v>
      </c>
      <c r="H623" s="527">
        <f t="shared" ref="H623:H630" si="659">ROUND(F623*G623,2)</f>
        <v>264.95999999999998</v>
      </c>
      <c r="I623" s="567"/>
      <c r="J623" s="309"/>
      <c r="K623" s="1149">
        <v>69</v>
      </c>
      <c r="L623" s="530">
        <f t="shared" ref="L623:L631" si="660">ROUND(AD623,2)</f>
        <v>3.94</v>
      </c>
      <c r="M623" s="530">
        <f t="shared" ref="M623:M631" si="661">ROUND(L623*F623,2)</f>
        <v>271.86</v>
      </c>
      <c r="N623" s="309"/>
      <c r="O623" s="778" t="s">
        <v>129</v>
      </c>
      <c r="P623" s="777"/>
      <c r="Q623" s="777"/>
      <c r="R623" s="751"/>
      <c r="S623" s="752">
        <v>76090</v>
      </c>
      <c r="T623" s="792">
        <v>3</v>
      </c>
      <c r="U623" s="803">
        <v>0</v>
      </c>
      <c r="V623" s="803">
        <v>0</v>
      </c>
      <c r="W623" s="803">
        <v>0</v>
      </c>
      <c r="X623" s="858">
        <v>1</v>
      </c>
      <c r="Y623" s="310">
        <f>ROUND((R623+S623/'Summary-E'!$M$63)*X623,2)</f>
        <v>3.66</v>
      </c>
      <c r="Z623" s="858">
        <f t="shared" si="633"/>
        <v>1.05</v>
      </c>
      <c r="AA623" s="813">
        <f t="shared" ref="AA623:AA630" si="662">ROUND(Y623*Z623,2)</f>
        <v>3.84</v>
      </c>
      <c r="AB623" s="447">
        <f t="shared" ref="AB623:AB630" si="663">$AB$3</f>
        <v>0.05</v>
      </c>
      <c r="AC623" s="310">
        <f t="shared" si="641"/>
        <v>3.15</v>
      </c>
      <c r="AD623" s="717">
        <f>ROUND(AC623*'[6]Summary E&amp;M'!$R$94,2)</f>
        <v>3.94</v>
      </c>
      <c r="AE623" s="825">
        <f t="shared" si="642"/>
        <v>252.54</v>
      </c>
      <c r="AF623" s="825">
        <f t="shared" si="643"/>
        <v>217.35</v>
      </c>
      <c r="AG623" s="743"/>
      <c r="AH623" s="728"/>
      <c r="AI623" s="519">
        <f t="shared" ref="AI623:AI630" si="664">$U623</f>
        <v>0</v>
      </c>
      <c r="AJ623" s="519">
        <f t="shared" ref="AJ623:AJ630" si="665">$V623</f>
        <v>0</v>
      </c>
      <c r="AK623" s="519">
        <f t="shared" ref="AK623:AK630" si="666">$W623</f>
        <v>0</v>
      </c>
      <c r="AL623" s="520">
        <f>ROUND(Y623*AI623+((Y623*(1+AI623))*AJ623)+((Y623*AI623+((Y623*(1+AI623))*AJ623))*AK623),2)</f>
        <v>0</v>
      </c>
      <c r="AM623" s="520">
        <f>AL623*$F623</f>
        <v>0</v>
      </c>
      <c r="AN623" s="520">
        <f>ROUND(AL623*Z623,2)</f>
        <v>0</v>
      </c>
      <c r="AO623" s="520">
        <f>AN623*$F623</f>
        <v>0</v>
      </c>
      <c r="AP623" s="552"/>
      <c r="AQ623" s="552"/>
      <c r="AR623" s="552"/>
      <c r="AS623" s="552"/>
      <c r="AT623" s="552"/>
    </row>
    <row r="624" spans="1:47" s="555" customFormat="1" ht="22.5" customHeight="1">
      <c r="A624" s="620"/>
      <c r="B624" s="531" t="s">
        <v>1018</v>
      </c>
      <c r="C624" s="566" t="s">
        <v>127</v>
      </c>
      <c r="D624" s="1202" t="s">
        <v>1127</v>
      </c>
      <c r="E624" s="524" t="s">
        <v>319</v>
      </c>
      <c r="F624" s="1322">
        <f>K624</f>
        <v>59</v>
      </c>
      <c r="G624" s="527">
        <f>ROUNDUP(AA624,2)</f>
        <v>28.27</v>
      </c>
      <c r="H624" s="527">
        <f>ROUND(F624*G624,2)</f>
        <v>1667.93</v>
      </c>
      <c r="I624" s="567"/>
      <c r="J624" s="309"/>
      <c r="K624" s="1149">
        <v>59</v>
      </c>
      <c r="L624" s="530">
        <f>ROUND(AD624,2)</f>
        <v>3.94</v>
      </c>
      <c r="M624" s="530">
        <f t="shared" si="661"/>
        <v>232.46</v>
      </c>
      <c r="N624" s="309"/>
      <c r="O624" s="778" t="s">
        <v>129</v>
      </c>
      <c r="P624" s="777"/>
      <c r="Q624" s="777"/>
      <c r="R624" s="751"/>
      <c r="S624" s="752">
        <v>560000</v>
      </c>
      <c r="T624" s="792">
        <v>3</v>
      </c>
      <c r="U624" s="803">
        <v>0</v>
      </c>
      <c r="V624" s="803">
        <v>0</v>
      </c>
      <c r="W624" s="803">
        <v>0</v>
      </c>
      <c r="X624" s="858">
        <v>1</v>
      </c>
      <c r="Y624" s="310">
        <f>ROUND((R624+S624/'Summary-E'!$M$63)*X624,2)</f>
        <v>26.92</v>
      </c>
      <c r="Z624" s="858">
        <f t="shared" si="633"/>
        <v>1.05</v>
      </c>
      <c r="AA624" s="813">
        <f>ROUND(Y624*Z624,2)</f>
        <v>28.27</v>
      </c>
      <c r="AB624" s="447">
        <f t="shared" si="663"/>
        <v>0.05</v>
      </c>
      <c r="AC624" s="310">
        <f>ROUND((T624*(1+AB624)),2)</f>
        <v>3.15</v>
      </c>
      <c r="AD624" s="717">
        <f>ROUND(AC624*'[6]Summary E&amp;M'!$R$94,2)</f>
        <v>3.94</v>
      </c>
      <c r="AE624" s="825">
        <f t="shared" si="642"/>
        <v>1588.28</v>
      </c>
      <c r="AF624" s="825">
        <f t="shared" si="643"/>
        <v>185.85</v>
      </c>
      <c r="AG624" s="743"/>
      <c r="AH624" s="728"/>
      <c r="AI624" s="519">
        <f t="shared" si="664"/>
        <v>0</v>
      </c>
      <c r="AJ624" s="519">
        <f t="shared" si="665"/>
        <v>0</v>
      </c>
      <c r="AK624" s="519">
        <f t="shared" si="666"/>
        <v>0</v>
      </c>
      <c r="AL624" s="520">
        <f>ROUND(Y624*AI624+((Y624*(1+AI624))*AJ624)+((Y624*AI624+((Y624*(1+AI624))*AJ624))*AK624),2)</f>
        <v>0</v>
      </c>
      <c r="AM624" s="520">
        <f>AL624*$F624</f>
        <v>0</v>
      </c>
      <c r="AN624" s="520">
        <f>ROUND(AL624*Z624,2)</f>
        <v>0</v>
      </c>
      <c r="AO624" s="520">
        <f>AN624*$F624</f>
        <v>0</v>
      </c>
      <c r="AP624" s="552"/>
      <c r="AQ624" s="552"/>
      <c r="AR624" s="552"/>
      <c r="AS624" s="552"/>
      <c r="AT624" s="552"/>
    </row>
    <row r="625" spans="1:46" s="555" customFormat="1" ht="22.5" customHeight="1">
      <c r="A625" s="620"/>
      <c r="B625" s="531" t="s">
        <v>403</v>
      </c>
      <c r="C625" s="566" t="s">
        <v>329</v>
      </c>
      <c r="D625" s="1202" t="s">
        <v>1111</v>
      </c>
      <c r="E625" s="524" t="s">
        <v>321</v>
      </c>
      <c r="F625" s="1314">
        <f>ROUND(K625*'Summary-E'!$K$61,0)</f>
        <v>1137</v>
      </c>
      <c r="G625" s="527">
        <f t="shared" si="658"/>
        <v>0.61</v>
      </c>
      <c r="H625" s="527">
        <f t="shared" si="659"/>
        <v>693.57</v>
      </c>
      <c r="I625" s="567"/>
      <c r="J625" s="309"/>
      <c r="K625" s="1149">
        <v>1083.1500000000001</v>
      </c>
      <c r="L625" s="530">
        <f t="shared" si="660"/>
        <v>0.4</v>
      </c>
      <c r="M625" s="530">
        <f t="shared" si="661"/>
        <v>454.8</v>
      </c>
      <c r="N625" s="309"/>
      <c r="O625" s="778" t="s">
        <v>131</v>
      </c>
      <c r="P625" s="777"/>
      <c r="Q625" s="777"/>
      <c r="R625" s="751"/>
      <c r="S625" s="752">
        <v>12000</v>
      </c>
      <c r="T625" s="792">
        <v>0.3</v>
      </c>
      <c r="U625" s="803">
        <v>0</v>
      </c>
      <c r="V625" s="803">
        <v>0</v>
      </c>
      <c r="W625" s="803">
        <v>0</v>
      </c>
      <c r="X625" s="858">
        <v>1</v>
      </c>
      <c r="Y625" s="310">
        <f>ROUND((R625+S625/'Summary-E'!$M$63)*X625,2)</f>
        <v>0.57999999999999996</v>
      </c>
      <c r="Z625" s="858">
        <f t="shared" si="633"/>
        <v>1.05</v>
      </c>
      <c r="AA625" s="813">
        <f t="shared" si="662"/>
        <v>0.61</v>
      </c>
      <c r="AB625" s="447">
        <f t="shared" si="663"/>
        <v>0.05</v>
      </c>
      <c r="AC625" s="310">
        <f t="shared" si="641"/>
        <v>0.32</v>
      </c>
      <c r="AD625" s="717">
        <f>ROUND(AC625*'[6]Summary E&amp;M'!$R$94,2)</f>
        <v>0.4</v>
      </c>
      <c r="AE625" s="825">
        <f t="shared" si="642"/>
        <v>628.23</v>
      </c>
      <c r="AF625" s="825">
        <f t="shared" si="643"/>
        <v>346.61</v>
      </c>
      <c r="AG625" s="743"/>
      <c r="AH625" s="728"/>
      <c r="AI625" s="519">
        <f t="shared" si="664"/>
        <v>0</v>
      </c>
      <c r="AJ625" s="519">
        <f t="shared" si="665"/>
        <v>0</v>
      </c>
      <c r="AK625" s="519">
        <f t="shared" si="666"/>
        <v>0</v>
      </c>
      <c r="AL625" s="520">
        <f t="shared" ref="AL625:AL630" si="667">ROUND(Y625*AI625+((Y625*(1+AI625))*AJ625)+((Y625*AI625+((Y625*(1+AI625))*AJ625))*AK625),2)</f>
        <v>0</v>
      </c>
      <c r="AM625" s="520">
        <f t="shared" ref="AM625:AM630" si="668">AL625*$F625</f>
        <v>0</v>
      </c>
      <c r="AN625" s="520">
        <f t="shared" ref="AN625:AN630" si="669">ROUND(AL625*Z625,2)</f>
        <v>0</v>
      </c>
      <c r="AO625" s="520">
        <f t="shared" ref="AO625:AO630" si="670">AN625*$F625</f>
        <v>0</v>
      </c>
      <c r="AP625" s="552"/>
      <c r="AQ625" s="552"/>
      <c r="AR625" s="552"/>
      <c r="AS625" s="552"/>
      <c r="AT625" s="552"/>
    </row>
    <row r="626" spans="1:46" s="555" customFormat="1" ht="22.5" customHeight="1">
      <c r="A626" s="570"/>
      <c r="B626" s="568" t="s">
        <v>333</v>
      </c>
      <c r="C626" s="569"/>
      <c r="D626" s="1202" t="s">
        <v>1111</v>
      </c>
      <c r="E626" s="571" t="s">
        <v>322</v>
      </c>
      <c r="F626" s="1322">
        <f>K626</f>
        <v>1</v>
      </c>
      <c r="G626" s="527">
        <f t="shared" si="658"/>
        <v>191.96</v>
      </c>
      <c r="H626" s="527">
        <f t="shared" si="659"/>
        <v>191.96</v>
      </c>
      <c r="I626" s="567"/>
      <c r="J626" s="309"/>
      <c r="K626" s="1149">
        <v>1</v>
      </c>
      <c r="L626" s="530">
        <f t="shared" si="660"/>
        <v>24.74</v>
      </c>
      <c r="M626" s="530">
        <f t="shared" si="661"/>
        <v>24.74</v>
      </c>
      <c r="N626" s="309"/>
      <c r="O626" s="778" t="s">
        <v>683</v>
      </c>
      <c r="P626" s="777">
        <v>0.3</v>
      </c>
      <c r="Q626" s="777"/>
      <c r="R626" s="751">
        <f>ROUND(SUM(AE625:AE625)*P626,2)</f>
        <v>188.47</v>
      </c>
      <c r="S626" s="752"/>
      <c r="T626" s="792">
        <f>ROUND(R626*10%,2)</f>
        <v>18.850000000000001</v>
      </c>
      <c r="U626" s="803">
        <v>0</v>
      </c>
      <c r="V626" s="803">
        <v>0</v>
      </c>
      <c r="W626" s="803">
        <v>0</v>
      </c>
      <c r="X626" s="858">
        <f>SUMIF('Summary-E'!O$4:O$50,D626,'Summary-E'!Q$4:Q$50)</f>
        <v>0.97</v>
      </c>
      <c r="Y626" s="310">
        <f>ROUND((R626+S626/'Summary-E'!$M$63)*X626,2)</f>
        <v>182.82</v>
      </c>
      <c r="Z626" s="858">
        <f t="shared" si="633"/>
        <v>1.05</v>
      </c>
      <c r="AA626" s="813">
        <f t="shared" si="662"/>
        <v>191.96</v>
      </c>
      <c r="AB626" s="447">
        <f t="shared" si="663"/>
        <v>0.05</v>
      </c>
      <c r="AC626" s="310">
        <f t="shared" si="641"/>
        <v>19.79</v>
      </c>
      <c r="AD626" s="717">
        <f>ROUND(AC626*'[6]Summary E&amp;M'!$R$94,2)</f>
        <v>24.74</v>
      </c>
      <c r="AE626" s="825">
        <f t="shared" si="642"/>
        <v>182.82</v>
      </c>
      <c r="AF626" s="825">
        <f t="shared" si="643"/>
        <v>19.79</v>
      </c>
      <c r="AG626" s="743"/>
      <c r="AH626" s="728"/>
      <c r="AI626" s="519">
        <f t="shared" si="664"/>
        <v>0</v>
      </c>
      <c r="AJ626" s="519">
        <f t="shared" si="665"/>
        <v>0</v>
      </c>
      <c r="AK626" s="519">
        <f t="shared" si="666"/>
        <v>0</v>
      </c>
      <c r="AL626" s="520">
        <f t="shared" si="667"/>
        <v>0</v>
      </c>
      <c r="AM626" s="520">
        <f t="shared" si="668"/>
        <v>0</v>
      </c>
      <c r="AN626" s="520">
        <f t="shared" si="669"/>
        <v>0</v>
      </c>
      <c r="AO626" s="520">
        <f t="shared" si="670"/>
        <v>0</v>
      </c>
      <c r="AP626" s="552"/>
      <c r="AQ626" s="552"/>
      <c r="AR626" s="552"/>
      <c r="AS626" s="552"/>
      <c r="AT626" s="552"/>
    </row>
    <row r="627" spans="1:46" s="555" customFormat="1" ht="22.5" customHeight="1">
      <c r="A627" s="451"/>
      <c r="B627" s="531" t="s">
        <v>334</v>
      </c>
      <c r="C627" s="566"/>
      <c r="D627" s="525" t="s">
        <v>139</v>
      </c>
      <c r="E627" s="524" t="s">
        <v>322</v>
      </c>
      <c r="F627" s="1322">
        <f>K627</f>
        <v>1</v>
      </c>
      <c r="G627" s="527">
        <f t="shared" si="658"/>
        <v>95.97</v>
      </c>
      <c r="H627" s="527">
        <f t="shared" si="659"/>
        <v>95.97</v>
      </c>
      <c r="I627" s="567"/>
      <c r="J627" s="309"/>
      <c r="K627" s="1149">
        <v>1</v>
      </c>
      <c r="L627" s="530">
        <f t="shared" si="660"/>
        <v>12.36</v>
      </c>
      <c r="M627" s="530">
        <f t="shared" si="661"/>
        <v>12.36</v>
      </c>
      <c r="N627" s="309"/>
      <c r="O627" s="778" t="s">
        <v>130</v>
      </c>
      <c r="P627" s="777">
        <v>0.15</v>
      </c>
      <c r="Q627" s="777"/>
      <c r="R627" s="751">
        <f>ROUND(SUM(AE625:AE625)*P627,2)</f>
        <v>94.23</v>
      </c>
      <c r="S627" s="752"/>
      <c r="T627" s="792">
        <f>ROUND(R627*10%,2)</f>
        <v>9.42</v>
      </c>
      <c r="U627" s="803">
        <v>0</v>
      </c>
      <c r="V627" s="803">
        <v>0</v>
      </c>
      <c r="W627" s="803">
        <v>0</v>
      </c>
      <c r="X627" s="858">
        <f>SUMIF('Summary-E'!O$4:O$50,D627,'Summary-E'!Q$4:Q$50)</f>
        <v>0.97</v>
      </c>
      <c r="Y627" s="310">
        <f>ROUND((R627+S627/'Summary-E'!$M$63)*X627,2)</f>
        <v>91.4</v>
      </c>
      <c r="Z627" s="858">
        <f t="shared" si="633"/>
        <v>1.05</v>
      </c>
      <c r="AA627" s="813">
        <f t="shared" si="662"/>
        <v>95.97</v>
      </c>
      <c r="AB627" s="447">
        <f t="shared" si="663"/>
        <v>0.05</v>
      </c>
      <c r="AC627" s="310">
        <f t="shared" si="641"/>
        <v>9.89</v>
      </c>
      <c r="AD627" s="717">
        <f>ROUND(AC627*'[6]Summary E&amp;M'!$R$94,2)</f>
        <v>12.36</v>
      </c>
      <c r="AE627" s="825">
        <f t="shared" si="642"/>
        <v>91.4</v>
      </c>
      <c r="AF627" s="825">
        <f t="shared" si="643"/>
        <v>9.89</v>
      </c>
      <c r="AG627" s="743"/>
      <c r="AH627" s="728"/>
      <c r="AI627" s="519">
        <f t="shared" si="664"/>
        <v>0</v>
      </c>
      <c r="AJ627" s="519">
        <f t="shared" si="665"/>
        <v>0</v>
      </c>
      <c r="AK627" s="519">
        <f t="shared" si="666"/>
        <v>0</v>
      </c>
      <c r="AL627" s="520">
        <f t="shared" si="667"/>
        <v>0</v>
      </c>
      <c r="AM627" s="520">
        <f t="shared" si="668"/>
        <v>0</v>
      </c>
      <c r="AN627" s="520">
        <f t="shared" si="669"/>
        <v>0</v>
      </c>
      <c r="AO627" s="520">
        <f t="shared" si="670"/>
        <v>0</v>
      </c>
      <c r="AP627" s="552"/>
      <c r="AQ627" s="552"/>
      <c r="AR627" s="552"/>
      <c r="AS627" s="552"/>
      <c r="AT627" s="552"/>
    </row>
    <row r="628" spans="1:46" s="555" customFormat="1" ht="22.5" customHeight="1">
      <c r="A628" s="451"/>
      <c r="B628" s="531" t="s">
        <v>332</v>
      </c>
      <c r="C628" s="566" t="s">
        <v>143</v>
      </c>
      <c r="D628" s="525">
        <v>131</v>
      </c>
      <c r="E628" s="524" t="s">
        <v>321</v>
      </c>
      <c r="F628" s="1314">
        <f>ROUND(K628*'Summary-E'!$K$61,0)</f>
        <v>1339</v>
      </c>
      <c r="G628" s="527">
        <f t="shared" si="658"/>
        <v>0.69</v>
      </c>
      <c r="H628" s="527">
        <f t="shared" si="659"/>
        <v>923.91</v>
      </c>
      <c r="I628" s="567"/>
      <c r="J628" s="309"/>
      <c r="K628" s="1149">
        <v>1275</v>
      </c>
      <c r="L628" s="530">
        <f t="shared" si="660"/>
        <v>0.14000000000000001</v>
      </c>
      <c r="M628" s="530">
        <f t="shared" si="661"/>
        <v>187.46</v>
      </c>
      <c r="N628" s="309"/>
      <c r="O628" s="778">
        <v>131</v>
      </c>
      <c r="P628" s="777"/>
      <c r="Q628" s="777"/>
      <c r="R628" s="751"/>
      <c r="S628" s="752">
        <f>3*4700</f>
        <v>14100</v>
      </c>
      <c r="T628" s="792">
        <v>0.1</v>
      </c>
      <c r="U628" s="803">
        <v>0</v>
      </c>
      <c r="V628" s="803">
        <v>0</v>
      </c>
      <c r="W628" s="803">
        <v>0</v>
      </c>
      <c r="X628" s="858">
        <f>SUMIF('Summary-E'!O$4:O$50,D628,'Summary-E'!Q$4:Q$50)</f>
        <v>0.97</v>
      </c>
      <c r="Y628" s="310">
        <f>ROUND((R628+S628/'Summary-E'!$M$63)*X628,2)</f>
        <v>0.66</v>
      </c>
      <c r="Z628" s="858">
        <f t="shared" si="633"/>
        <v>1.05</v>
      </c>
      <c r="AA628" s="813">
        <f t="shared" si="662"/>
        <v>0.69</v>
      </c>
      <c r="AB628" s="447">
        <f t="shared" si="663"/>
        <v>0.05</v>
      </c>
      <c r="AC628" s="310">
        <f t="shared" si="641"/>
        <v>0.11</v>
      </c>
      <c r="AD628" s="717">
        <f>ROUND(AC628*'[6]Summary E&amp;M'!$R$94,2)</f>
        <v>0.14000000000000001</v>
      </c>
      <c r="AE628" s="825">
        <f t="shared" si="642"/>
        <v>841.5</v>
      </c>
      <c r="AF628" s="825">
        <f t="shared" si="643"/>
        <v>140.25</v>
      </c>
      <c r="AG628" s="743"/>
      <c r="AH628" s="728"/>
      <c r="AI628" s="519">
        <f t="shared" si="664"/>
        <v>0</v>
      </c>
      <c r="AJ628" s="519">
        <f t="shared" si="665"/>
        <v>0</v>
      </c>
      <c r="AK628" s="519">
        <f t="shared" si="666"/>
        <v>0</v>
      </c>
      <c r="AL628" s="520">
        <f t="shared" si="667"/>
        <v>0</v>
      </c>
      <c r="AM628" s="520">
        <f t="shared" si="668"/>
        <v>0</v>
      </c>
      <c r="AN628" s="520">
        <f t="shared" si="669"/>
        <v>0</v>
      </c>
      <c r="AO628" s="520">
        <f t="shared" si="670"/>
        <v>0</v>
      </c>
      <c r="AP628" s="552"/>
      <c r="AQ628" s="552"/>
      <c r="AR628" s="552"/>
      <c r="AS628" s="552"/>
      <c r="AT628" s="552"/>
    </row>
    <row r="629" spans="1:46" s="555" customFormat="1" ht="22.5" customHeight="1">
      <c r="A629" s="570"/>
      <c r="B629" s="531" t="s">
        <v>122</v>
      </c>
      <c r="C629" s="569"/>
      <c r="D629" s="525" t="s">
        <v>690</v>
      </c>
      <c r="E629" s="571" t="s">
        <v>322</v>
      </c>
      <c r="F629" s="1322">
        <f>K629</f>
        <v>778.5</v>
      </c>
      <c r="G629" s="527">
        <f t="shared" si="658"/>
        <v>25.71</v>
      </c>
      <c r="H629" s="527">
        <f t="shared" si="659"/>
        <v>20015.240000000002</v>
      </c>
      <c r="I629" s="567"/>
      <c r="J629" s="309"/>
      <c r="K629" s="1149">
        <v>778.5</v>
      </c>
      <c r="L629" s="530">
        <f t="shared" si="660"/>
        <v>3.33</v>
      </c>
      <c r="M629" s="530">
        <f t="shared" si="661"/>
        <v>2592.41</v>
      </c>
      <c r="N629" s="309"/>
      <c r="O629" s="778" t="s">
        <v>690</v>
      </c>
      <c r="P629" s="777">
        <v>0.03</v>
      </c>
      <c r="Q629" s="777"/>
      <c r="R629" s="751">
        <f>ROUND(SUM(AE628:AE628)*P629,2)</f>
        <v>25.25</v>
      </c>
      <c r="S629" s="752"/>
      <c r="T629" s="792">
        <f>ROUND(R629*10%,2)</f>
        <v>2.5299999999999998</v>
      </c>
      <c r="U629" s="803">
        <v>0</v>
      </c>
      <c r="V629" s="803">
        <v>0</v>
      </c>
      <c r="W629" s="803">
        <v>0</v>
      </c>
      <c r="X629" s="858">
        <f>SUMIF('Summary-E'!O$4:O$50,D629,'Summary-E'!Q$4:Q$50)</f>
        <v>0.97</v>
      </c>
      <c r="Y629" s="310">
        <f>ROUND((R629+S629/'Summary-E'!$M$63)*X629,2)</f>
        <v>24.49</v>
      </c>
      <c r="Z629" s="858">
        <f t="shared" si="633"/>
        <v>1.05</v>
      </c>
      <c r="AA629" s="813">
        <f t="shared" si="662"/>
        <v>25.71</v>
      </c>
      <c r="AB629" s="447">
        <f t="shared" si="663"/>
        <v>0.05</v>
      </c>
      <c r="AC629" s="310">
        <f t="shared" si="641"/>
        <v>2.66</v>
      </c>
      <c r="AD629" s="717">
        <f>ROUND(AC629*'[6]Summary E&amp;M'!$R$94,2)</f>
        <v>3.33</v>
      </c>
      <c r="AE629" s="825">
        <f t="shared" si="642"/>
        <v>19065.47</v>
      </c>
      <c r="AF629" s="825">
        <f t="shared" si="643"/>
        <v>2070.81</v>
      </c>
      <c r="AG629" s="743"/>
      <c r="AH629" s="728"/>
      <c r="AI629" s="519">
        <f t="shared" si="664"/>
        <v>0</v>
      </c>
      <c r="AJ629" s="519">
        <f t="shared" si="665"/>
        <v>0</v>
      </c>
      <c r="AK629" s="519">
        <f t="shared" si="666"/>
        <v>0</v>
      </c>
      <c r="AL629" s="520">
        <f t="shared" si="667"/>
        <v>0</v>
      </c>
      <c r="AM629" s="520">
        <f t="shared" si="668"/>
        <v>0</v>
      </c>
      <c r="AN629" s="520">
        <f t="shared" si="669"/>
        <v>0</v>
      </c>
      <c r="AO629" s="520">
        <f t="shared" si="670"/>
        <v>0</v>
      </c>
      <c r="AP629" s="552"/>
      <c r="AQ629" s="552"/>
      <c r="AR629" s="552"/>
      <c r="AS629" s="552"/>
      <c r="AT629" s="552"/>
    </row>
    <row r="630" spans="1:46" s="555" customFormat="1" ht="22.5" customHeight="1">
      <c r="A630" s="570"/>
      <c r="B630" s="568" t="s">
        <v>401</v>
      </c>
      <c r="C630" s="569"/>
      <c r="D630" s="570">
        <v>159</v>
      </c>
      <c r="E630" s="571" t="s">
        <v>322</v>
      </c>
      <c r="F630" s="1322">
        <f>K630</f>
        <v>1</v>
      </c>
      <c r="G630" s="527">
        <f t="shared" si="658"/>
        <v>1153.46</v>
      </c>
      <c r="H630" s="527">
        <f t="shared" si="659"/>
        <v>1153.46</v>
      </c>
      <c r="I630" s="567"/>
      <c r="J630" s="309"/>
      <c r="K630" s="1149">
        <v>1</v>
      </c>
      <c r="L630" s="530">
        <f t="shared" si="660"/>
        <v>222.96</v>
      </c>
      <c r="M630" s="530">
        <f t="shared" si="661"/>
        <v>222.96</v>
      </c>
      <c r="N630" s="309"/>
      <c r="O630" s="778">
        <v>159</v>
      </c>
      <c r="P630" s="777">
        <v>0.05</v>
      </c>
      <c r="Q630" s="777"/>
      <c r="R630" s="751">
        <f>ROUND(SUM(AE622:AE629)*P630,2)</f>
        <v>1132.51</v>
      </c>
      <c r="S630" s="752"/>
      <c r="T630" s="792">
        <f>R630*0.15</f>
        <v>169.87649999999999</v>
      </c>
      <c r="U630" s="803">
        <v>0</v>
      </c>
      <c r="V630" s="803">
        <v>0</v>
      </c>
      <c r="W630" s="803">
        <v>0</v>
      </c>
      <c r="X630" s="858">
        <f>SUMIF('Summary-E'!O$4:O$50,D630,'Summary-E'!Q$4:Q$50)</f>
        <v>0.97</v>
      </c>
      <c r="Y630" s="310">
        <f>ROUND((R630+S630/'Summary-E'!$M$63)*X630,2)</f>
        <v>1098.53</v>
      </c>
      <c r="Z630" s="858">
        <f t="shared" si="633"/>
        <v>1.05</v>
      </c>
      <c r="AA630" s="813">
        <f t="shared" si="662"/>
        <v>1153.46</v>
      </c>
      <c r="AB630" s="447">
        <f t="shared" si="663"/>
        <v>0.05</v>
      </c>
      <c r="AC630" s="310">
        <f t="shared" si="641"/>
        <v>178.37</v>
      </c>
      <c r="AD630" s="717">
        <f>ROUND(AC630*'[6]Summary E&amp;M'!$R$94,2)</f>
        <v>222.96</v>
      </c>
      <c r="AE630" s="825">
        <f t="shared" si="642"/>
        <v>1098.53</v>
      </c>
      <c r="AF630" s="825">
        <f t="shared" si="643"/>
        <v>178.37</v>
      </c>
      <c r="AG630" s="743"/>
      <c r="AH630" s="728"/>
      <c r="AI630" s="519">
        <f t="shared" si="664"/>
        <v>0</v>
      </c>
      <c r="AJ630" s="519">
        <f t="shared" si="665"/>
        <v>0</v>
      </c>
      <c r="AK630" s="519">
        <f t="shared" si="666"/>
        <v>0</v>
      </c>
      <c r="AL630" s="520">
        <f t="shared" si="667"/>
        <v>0</v>
      </c>
      <c r="AM630" s="520">
        <f t="shared" si="668"/>
        <v>0</v>
      </c>
      <c r="AN630" s="520">
        <f t="shared" si="669"/>
        <v>0</v>
      </c>
      <c r="AO630" s="520">
        <f t="shared" si="670"/>
        <v>0</v>
      </c>
      <c r="AP630" s="552"/>
      <c r="AQ630" s="552"/>
      <c r="AR630" s="552"/>
      <c r="AS630" s="552"/>
      <c r="AT630" s="552"/>
    </row>
    <row r="631" spans="1:46" s="555" customFormat="1" ht="22.5" customHeight="1">
      <c r="A631" s="620"/>
      <c r="B631" s="522"/>
      <c r="C631" s="566"/>
      <c r="D631" s="525"/>
      <c r="E631" s="524"/>
      <c r="F631" s="1314"/>
      <c r="G631" s="527"/>
      <c r="H631" s="527"/>
      <c r="I631" s="567"/>
      <c r="J631" s="309"/>
      <c r="K631" s="1149">
        <v>1</v>
      </c>
      <c r="L631" s="530">
        <f t="shared" si="660"/>
        <v>0</v>
      </c>
      <c r="M631" s="530">
        <f t="shared" si="661"/>
        <v>0</v>
      </c>
      <c r="N631" s="309"/>
      <c r="O631" s="778"/>
      <c r="P631" s="777"/>
      <c r="Q631" s="777"/>
      <c r="R631" s="751"/>
      <c r="S631" s="752"/>
      <c r="T631" s="792"/>
      <c r="U631" s="803"/>
      <c r="V631" s="803"/>
      <c r="W631" s="803"/>
      <c r="X631" s="858">
        <f>SUMIF('Summary-E'!O$4:O$50,D631,'Summary-E'!Q$4:Q$50)</f>
        <v>0</v>
      </c>
      <c r="Y631" s="310">
        <f>ROUND((R631+S631/'Summary-E'!$M$63)*X631,2)</f>
        <v>0</v>
      </c>
      <c r="Z631" s="858">
        <f t="shared" si="633"/>
        <v>1.05</v>
      </c>
      <c r="AA631" s="813"/>
      <c r="AB631" s="447"/>
      <c r="AC631" s="310">
        <f t="shared" si="641"/>
        <v>0</v>
      </c>
      <c r="AD631" s="717">
        <f>ROUND(AC631*'[1]Summary E&amp;M'!$R$94,2)</f>
        <v>0</v>
      </c>
      <c r="AE631" s="825">
        <f>ROUND($K631*$Y631,2)</f>
        <v>0</v>
      </c>
      <c r="AF631" s="825">
        <f>ROUND($K631*$AC631,2)</f>
        <v>0</v>
      </c>
      <c r="AG631" s="743"/>
      <c r="AH631" s="728"/>
      <c r="AI631" s="519"/>
      <c r="AJ631" s="519"/>
      <c r="AK631" s="519"/>
      <c r="AL631" s="520"/>
      <c r="AM631" s="520"/>
      <c r="AN631" s="520"/>
      <c r="AO631" s="520"/>
      <c r="AP631" s="552"/>
      <c r="AQ631" s="552"/>
      <c r="AR631" s="552"/>
      <c r="AS631" s="552"/>
      <c r="AT631" s="552"/>
    </row>
    <row r="632" spans="1:46" s="555" customFormat="1" ht="22.5" customHeight="1">
      <c r="A632" s="570"/>
      <c r="B632" s="568" t="s">
        <v>324</v>
      </c>
      <c r="C632" s="569"/>
      <c r="D632" s="570">
        <v>210</v>
      </c>
      <c r="E632" s="571" t="s">
        <v>319</v>
      </c>
      <c r="F632" s="1322">
        <f>K632</f>
        <v>1</v>
      </c>
      <c r="G632" s="527">
        <f>M634</f>
        <v>9492.23</v>
      </c>
      <c r="H632" s="527">
        <f>ROUND(F632*G632,2)</f>
        <v>9492.23</v>
      </c>
      <c r="I632" s="567"/>
      <c r="J632" s="309"/>
      <c r="K632" s="1149">
        <v>1</v>
      </c>
      <c r="L632" s="530"/>
      <c r="M632" s="530"/>
      <c r="N632" s="309"/>
      <c r="O632" s="778">
        <v>210</v>
      </c>
      <c r="P632" s="777"/>
      <c r="Q632" s="777"/>
      <c r="R632" s="751"/>
      <c r="S632" s="752"/>
      <c r="T632" s="796"/>
      <c r="U632" s="803">
        <v>0</v>
      </c>
      <c r="V632" s="803">
        <v>0</v>
      </c>
      <c r="W632" s="803">
        <v>0</v>
      </c>
      <c r="X632" s="858">
        <f>SUMIF('Summary-E'!O$4:O$50,D632,'Summary-E'!Q$4:Q$50)</f>
        <v>0.05</v>
      </c>
      <c r="Y632" s="310">
        <f>ROUND((R632+S632/'Summary-E'!$M$63)*X632,2)</f>
        <v>0</v>
      </c>
      <c r="Z632" s="858">
        <f t="shared" si="633"/>
        <v>1.05</v>
      </c>
      <c r="AA632" s="813">
        <f>ROUND(Y632*Z632,2)</f>
        <v>0</v>
      </c>
      <c r="AB632" s="447">
        <f>$AB$3</f>
        <v>0.05</v>
      </c>
      <c r="AC632" s="310">
        <f t="shared" si="641"/>
        <v>0</v>
      </c>
      <c r="AD632" s="717">
        <f>ROUND(AC632*'[1]Summary E&amp;M'!$R$94,2)</f>
        <v>0</v>
      </c>
      <c r="AE632" s="825">
        <f>ROUND($K632*$Y632,2)</f>
        <v>0</v>
      </c>
      <c r="AF632" s="825">
        <f>ROUND($K632*$AC632,2)</f>
        <v>0</v>
      </c>
      <c r="AG632" s="743"/>
      <c r="AH632" s="728"/>
      <c r="AI632" s="519">
        <f>$U632</f>
        <v>0</v>
      </c>
      <c r="AJ632" s="519">
        <f>$V632</f>
        <v>0</v>
      </c>
      <c r="AK632" s="519">
        <f>$W632</f>
        <v>0</v>
      </c>
      <c r="AL632" s="520">
        <f>ROUND(Y632*AI632+((Y632*(1+AI632))*AJ632)+((Y632*AI632+((Y632*(1+AI632))*AJ632))*AK632),2)</f>
        <v>0</v>
      </c>
      <c r="AM632" s="520">
        <f>AL632*$F632</f>
        <v>0</v>
      </c>
      <c r="AN632" s="520">
        <f>ROUND(AL632*Z632,2)</f>
        <v>0</v>
      </c>
      <c r="AO632" s="520">
        <f>AN632*$F632</f>
        <v>0</v>
      </c>
      <c r="AP632" s="552"/>
      <c r="AQ632" s="552"/>
      <c r="AR632" s="552"/>
      <c r="AS632" s="552"/>
      <c r="AT632" s="552"/>
    </row>
    <row r="633" spans="1:46" s="555" customFormat="1" ht="22.5" customHeight="1">
      <c r="A633" s="616"/>
      <c r="B633" s="573"/>
      <c r="C633" s="574"/>
      <c r="D633" s="575"/>
      <c r="E633" s="576"/>
      <c r="F633" s="1326"/>
      <c r="G633" s="577"/>
      <c r="H633" s="577"/>
      <c r="I633" s="578"/>
      <c r="J633" s="549"/>
      <c r="K633" s="1183"/>
      <c r="L633" s="550"/>
      <c r="M633" s="550"/>
      <c r="N633" s="549"/>
      <c r="O633" s="778"/>
      <c r="P633" s="777"/>
      <c r="Q633" s="777"/>
      <c r="R633" s="751"/>
      <c r="S633" s="752"/>
      <c r="T633" s="792"/>
      <c r="U633" s="803"/>
      <c r="V633" s="803"/>
      <c r="W633" s="803"/>
      <c r="X633" s="858">
        <f>SUMIF('Summary-E'!O$4:O$50,D633,'Summary-E'!Q$4:Q$50)</f>
        <v>0</v>
      </c>
      <c r="Y633" s="310">
        <f>ROUND((R633+S633/'Summary-E'!$M$63)*X633,2)</f>
        <v>0</v>
      </c>
      <c r="Z633" s="858">
        <f t="shared" si="633"/>
        <v>1.05</v>
      </c>
      <c r="AA633" s="816"/>
      <c r="AB633" s="552"/>
      <c r="AC633" s="310">
        <f t="shared" si="641"/>
        <v>0</v>
      </c>
      <c r="AD633" s="717">
        <f>ROUND(AC633*'[1]Summary E&amp;M'!$R$94,2)</f>
        <v>0</v>
      </c>
      <c r="AE633" s="835"/>
      <c r="AF633" s="835"/>
      <c r="AG633" s="738"/>
      <c r="AH633" s="737"/>
      <c r="AI633" s="552"/>
      <c r="AJ633" s="552"/>
      <c r="AK633" s="552"/>
      <c r="AL633" s="552"/>
      <c r="AM633" s="552"/>
      <c r="AN633" s="552"/>
      <c r="AO633" s="552"/>
      <c r="AP633" s="552"/>
      <c r="AQ633" s="552"/>
      <c r="AR633" s="552"/>
      <c r="AS633" s="552"/>
      <c r="AT633" s="552"/>
    </row>
    <row r="634" spans="1:46" s="711" customFormat="1" ht="22.5" customHeight="1">
      <c r="A634" s="973"/>
      <c r="B634" s="974" t="s">
        <v>429</v>
      </c>
      <c r="C634" s="979"/>
      <c r="D634" s="980"/>
      <c r="E634" s="976"/>
      <c r="F634" s="1317"/>
      <c r="G634" s="971"/>
      <c r="H634" s="971">
        <f>SUBTOTAL(9,H599:H633)</f>
        <v>59264.570000000007</v>
      </c>
      <c r="I634" s="981"/>
      <c r="J634" s="549"/>
      <c r="K634" s="1184"/>
      <c r="L634" s="550"/>
      <c r="M634" s="1051">
        <f>SUBTOTAL(9,M599:M632)</f>
        <v>9492.23</v>
      </c>
      <c r="N634" s="549"/>
      <c r="O634" s="784"/>
      <c r="P634" s="780"/>
      <c r="Q634" s="780"/>
      <c r="R634" s="751"/>
      <c r="S634" s="752"/>
      <c r="T634" s="792"/>
      <c r="U634" s="803">
        <v>0</v>
      </c>
      <c r="V634" s="803">
        <v>0</v>
      </c>
      <c r="W634" s="803">
        <v>0</v>
      </c>
      <c r="X634" s="858">
        <f>SUMIF('Summary-E'!O$4:O$50,D634,'Summary-E'!Q$4:Q$50)</f>
        <v>0</v>
      </c>
      <c r="Y634" s="310">
        <f>ROUND((R634+S634/'Summary-E'!$M$63)*X634,2)</f>
        <v>0</v>
      </c>
      <c r="Z634" s="858">
        <f t="shared" si="633"/>
        <v>1.05</v>
      </c>
      <c r="AA634" s="816"/>
      <c r="AB634" s="552"/>
      <c r="AC634" s="310">
        <f t="shared" si="641"/>
        <v>0</v>
      </c>
      <c r="AD634" s="717">
        <f>ROUND(AC634*'[1]Summary E&amp;M'!$R$94,2)</f>
        <v>0</v>
      </c>
      <c r="AE634" s="823">
        <f>SUBTOTAL(9,AE599:AE633)</f>
        <v>46895.62999999999</v>
      </c>
      <c r="AF634" s="823">
        <f>SUBTOTAL(9,AF599:AF633)</f>
        <v>7453.63</v>
      </c>
      <c r="AG634" s="614"/>
      <c r="AH634" s="730"/>
      <c r="AI634" s="713"/>
      <c r="AJ634" s="713"/>
      <c r="AK634" s="713"/>
      <c r="AL634" s="713"/>
      <c r="AM634" s="712">
        <f>SUBTOTAL(9,AM599:AM633)</f>
        <v>0</v>
      </c>
      <c r="AN634" s="713"/>
      <c r="AO634" s="712">
        <f>SUBTOTAL(9,AO599:AO633)</f>
        <v>0</v>
      </c>
      <c r="AP634" s="713"/>
      <c r="AQ634" s="713"/>
      <c r="AR634" s="713"/>
      <c r="AS634" s="713"/>
      <c r="AT634" s="713"/>
    </row>
    <row r="635" spans="1:46" s="555" customFormat="1" ht="22.5" customHeight="1">
      <c r="A635" s="545"/>
      <c r="B635" s="543"/>
      <c r="C635" s="544"/>
      <c r="D635" s="580"/>
      <c r="E635" s="581"/>
      <c r="F635" s="1320"/>
      <c r="G635" s="547"/>
      <c r="H635" s="547"/>
      <c r="I635" s="548"/>
      <c r="J635" s="549"/>
      <c r="K635" s="1179"/>
      <c r="L635" s="550"/>
      <c r="M635" s="550"/>
      <c r="N635" s="549"/>
      <c r="O635" s="778"/>
      <c r="P635" s="777"/>
      <c r="Q635" s="777"/>
      <c r="R635" s="751"/>
      <c r="S635" s="752"/>
      <c r="T635" s="792"/>
      <c r="U635" s="803"/>
      <c r="V635" s="803"/>
      <c r="W635" s="803"/>
      <c r="X635" s="858">
        <f>SUMIF('Summary-E'!O$4:O$50,D635,'Summary-E'!Q$4:Q$50)</f>
        <v>0</v>
      </c>
      <c r="Y635" s="310">
        <f>ROUND((R635+S635/'Summary-E'!$M$63)*X635,2)</f>
        <v>0</v>
      </c>
      <c r="Z635" s="858">
        <f t="shared" si="633"/>
        <v>1.05</v>
      </c>
      <c r="AA635" s="816"/>
      <c r="AB635" s="552"/>
      <c r="AC635" s="310">
        <f t="shared" si="641"/>
        <v>0</v>
      </c>
      <c r="AD635" s="717">
        <f>ROUND(AC635*'[1]Summary E&amp;M'!$R$94,2)</f>
        <v>0</v>
      </c>
      <c r="AE635" s="832"/>
      <c r="AF635" s="832"/>
      <c r="AG635" s="614"/>
      <c r="AH635" s="737"/>
      <c r="AI635" s="552"/>
      <c r="AJ635" s="552"/>
      <c r="AK635" s="552"/>
      <c r="AL635" s="552"/>
      <c r="AM635" s="553"/>
      <c r="AN635" s="552"/>
      <c r="AO635" s="553"/>
      <c r="AP635" s="552"/>
      <c r="AQ635" s="552"/>
      <c r="AR635" s="552"/>
      <c r="AS635" s="552"/>
      <c r="AT635" s="552"/>
    </row>
    <row r="636" spans="1:46" s="555" customFormat="1" ht="22.5" customHeight="1">
      <c r="A636" s="620" t="s">
        <v>413</v>
      </c>
      <c r="B636" s="1474" t="s">
        <v>735</v>
      </c>
      <c r="C636" s="1475"/>
      <c r="D636" s="450"/>
      <c r="E636" s="524"/>
      <c r="F636" s="1314"/>
      <c r="G636" s="527"/>
      <c r="H636" s="527"/>
      <c r="I636" s="567"/>
      <c r="J636" s="309"/>
      <c r="K636" s="1149"/>
      <c r="L636" s="530"/>
      <c r="M636" s="530"/>
      <c r="N636" s="309"/>
      <c r="O636" s="778"/>
      <c r="P636" s="777"/>
      <c r="Q636" s="777"/>
      <c r="R636" s="751"/>
      <c r="S636" s="752"/>
      <c r="T636" s="792"/>
      <c r="U636" s="803">
        <v>0</v>
      </c>
      <c r="V636" s="803">
        <v>0</v>
      </c>
      <c r="W636" s="803">
        <v>0</v>
      </c>
      <c r="X636" s="858">
        <f>SUMIF('Summary-E'!O$4:O$50,D636,'Summary-E'!Q$4:Q$50)</f>
        <v>0</v>
      </c>
      <c r="Y636" s="310">
        <f>ROUND((R636+S636/'Summary-E'!$M$63)*X636,2)</f>
        <v>0</v>
      </c>
      <c r="Z636" s="858">
        <f t="shared" si="633"/>
        <v>1.05</v>
      </c>
      <c r="AA636" s="816"/>
      <c r="AB636" s="552"/>
      <c r="AC636" s="310">
        <f t="shared" si="641"/>
        <v>0</v>
      </c>
      <c r="AD636" s="717">
        <f>ROUND(AC636*'[1]Summary E&amp;M'!$R$94,2)</f>
        <v>0</v>
      </c>
      <c r="AE636" s="825">
        <f t="shared" ref="AE636:AE656" si="671">ROUND($K636*$Y636,2)</f>
        <v>0</v>
      </c>
      <c r="AF636" s="825">
        <f t="shared" ref="AF636:AF656" si="672">ROUND($K636*$AC636,2)</f>
        <v>0</v>
      </c>
      <c r="AG636" s="743"/>
      <c r="AH636" s="737"/>
      <c r="AI636" s="552"/>
      <c r="AJ636" s="552"/>
      <c r="AK636" s="552"/>
      <c r="AL636" s="552"/>
      <c r="AM636" s="552"/>
      <c r="AN636" s="552"/>
      <c r="AO636" s="552"/>
      <c r="AP636" s="552"/>
      <c r="AQ636" s="552"/>
      <c r="AR636" s="552"/>
      <c r="AS636" s="552"/>
      <c r="AT636" s="552"/>
    </row>
    <row r="637" spans="1:46" s="555" customFormat="1" ht="22.5" customHeight="1">
      <c r="A637" s="620"/>
      <c r="B637" s="531" t="s">
        <v>697</v>
      </c>
      <c r="C637" s="523" t="s">
        <v>747</v>
      </c>
      <c r="D637" s="1204" t="s">
        <v>154</v>
      </c>
      <c r="E637" s="525" t="s">
        <v>319</v>
      </c>
      <c r="F637" s="1315">
        <f>K637</f>
        <v>2</v>
      </c>
      <c r="G637" s="527">
        <f t="shared" ref="G637:G654" si="673">ROUNDUP(AA637,2)</f>
        <v>37.799999999999997</v>
      </c>
      <c r="H637" s="528">
        <f>ROUND(F637*G637,2)</f>
        <v>75.599999999999994</v>
      </c>
      <c r="I637" s="529"/>
      <c r="J637" s="309"/>
      <c r="K637" s="1175">
        <v>2</v>
      </c>
      <c r="L637" s="530">
        <f t="shared" ref="L637:L655" si="674">ROUND(AD637,2)</f>
        <v>5.25</v>
      </c>
      <c r="M637" s="530">
        <f t="shared" ref="M637:M655" si="675">ROUND(L637*F637,2)</f>
        <v>10.5</v>
      </c>
      <c r="N637" s="309"/>
      <c r="O637" s="778" t="s">
        <v>154</v>
      </c>
      <c r="P637" s="777"/>
      <c r="Q637" s="777"/>
      <c r="R637" s="751">
        <v>36</v>
      </c>
      <c r="S637" s="752"/>
      <c r="T637" s="792">
        <v>4</v>
      </c>
      <c r="U637" s="803">
        <v>0</v>
      </c>
      <c r="V637" s="803">
        <v>0</v>
      </c>
      <c r="W637" s="803">
        <v>0</v>
      </c>
      <c r="X637" s="858">
        <v>1</v>
      </c>
      <c r="Y637" s="310">
        <f>ROUND((R637+S637/'Summary-E'!$M$63)*X637,2)</f>
        <v>36</v>
      </c>
      <c r="Z637" s="858">
        <f t="shared" si="633"/>
        <v>1.05</v>
      </c>
      <c r="AA637" s="813">
        <f t="shared" ref="AA637:AA654" si="676">ROUND(Y637*Z637,2)</f>
        <v>37.799999999999997</v>
      </c>
      <c r="AB637" s="447">
        <f t="shared" ref="AB637:AB654" si="677">$AB$3</f>
        <v>0.05</v>
      </c>
      <c r="AC637" s="310">
        <f t="shared" si="641"/>
        <v>4.2</v>
      </c>
      <c r="AD637" s="717">
        <f>ROUND(AC637*'[6]Summary E&amp;M'!$R$94,2)</f>
        <v>5.25</v>
      </c>
      <c r="AE637" s="826">
        <f t="shared" si="671"/>
        <v>72</v>
      </c>
      <c r="AF637" s="826">
        <f t="shared" si="672"/>
        <v>8.4</v>
      </c>
      <c r="AG637" s="744"/>
      <c r="AH637" s="728"/>
      <c r="AI637" s="519">
        <f t="shared" ref="AI637:AI654" si="678">$U637</f>
        <v>0</v>
      </c>
      <c r="AJ637" s="519">
        <f t="shared" ref="AJ637:AJ654" si="679">$V637</f>
        <v>0</v>
      </c>
      <c r="AK637" s="519">
        <f t="shared" ref="AK637:AK654" si="680">$W637</f>
        <v>0</v>
      </c>
      <c r="AL637" s="520">
        <f>ROUND(Y637*AI637+((Y637*(1+AI637))*AJ637)+((Y637*AI637+((Y637*(1+AI637))*AJ637))*AK637),2)</f>
        <v>0</v>
      </c>
      <c r="AM637" s="520">
        <f>AL637*$F637</f>
        <v>0</v>
      </c>
      <c r="AN637" s="520">
        <f>ROUND(AL637*Z637,2)</f>
        <v>0</v>
      </c>
      <c r="AO637" s="520">
        <f>AN637*$F637</f>
        <v>0</v>
      </c>
      <c r="AP637" s="719"/>
      <c r="AQ637" s="719"/>
      <c r="AR637" s="719"/>
      <c r="AS637" s="719"/>
      <c r="AT637" s="719"/>
    </row>
    <row r="638" spans="1:46" s="555" customFormat="1" ht="22.5" customHeight="1">
      <c r="A638" s="620"/>
      <c r="B638" s="531" t="s">
        <v>697</v>
      </c>
      <c r="C638" s="523" t="s">
        <v>698</v>
      </c>
      <c r="D638" s="1204" t="s">
        <v>154</v>
      </c>
      <c r="E638" s="525" t="s">
        <v>319</v>
      </c>
      <c r="F638" s="1315">
        <f>K638</f>
        <v>27</v>
      </c>
      <c r="G638" s="527">
        <f t="shared" si="673"/>
        <v>35.700000000000003</v>
      </c>
      <c r="H638" s="528">
        <f>ROUND(F638*G638,2)</f>
        <v>963.9</v>
      </c>
      <c r="I638" s="529"/>
      <c r="J638" s="309"/>
      <c r="K638" s="1175">
        <v>27</v>
      </c>
      <c r="L638" s="530">
        <f t="shared" si="674"/>
        <v>5.25</v>
      </c>
      <c r="M638" s="530">
        <f t="shared" si="675"/>
        <v>141.75</v>
      </c>
      <c r="N638" s="309"/>
      <c r="O638" s="778" t="s">
        <v>154</v>
      </c>
      <c r="P638" s="777"/>
      <c r="Q638" s="777"/>
      <c r="R638" s="751">
        <v>34</v>
      </c>
      <c r="S638" s="752"/>
      <c r="T638" s="792">
        <v>4</v>
      </c>
      <c r="U638" s="803">
        <v>0</v>
      </c>
      <c r="V638" s="803">
        <v>0</v>
      </c>
      <c r="W638" s="803">
        <v>0</v>
      </c>
      <c r="X638" s="858">
        <v>1</v>
      </c>
      <c r="Y638" s="310">
        <f>ROUND((R638+S638/'Summary-E'!$M$63)*X638,2)</f>
        <v>34</v>
      </c>
      <c r="Z638" s="858">
        <f t="shared" si="633"/>
        <v>1.05</v>
      </c>
      <c r="AA638" s="813">
        <f t="shared" si="676"/>
        <v>35.700000000000003</v>
      </c>
      <c r="AB638" s="447">
        <f t="shared" si="677"/>
        <v>0.05</v>
      </c>
      <c r="AC638" s="310">
        <f t="shared" si="641"/>
        <v>4.2</v>
      </c>
      <c r="AD638" s="717">
        <f>ROUND(AC638*'[6]Summary E&amp;M'!$R$94,2)</f>
        <v>5.25</v>
      </c>
      <c r="AE638" s="826">
        <f t="shared" si="671"/>
        <v>918</v>
      </c>
      <c r="AF638" s="826">
        <f t="shared" si="672"/>
        <v>113.4</v>
      </c>
      <c r="AG638" s="744"/>
      <c r="AH638" s="728"/>
      <c r="AI638" s="519">
        <f t="shared" si="678"/>
        <v>0</v>
      </c>
      <c r="AJ638" s="519">
        <f t="shared" si="679"/>
        <v>0</v>
      </c>
      <c r="AK638" s="519">
        <f t="shared" si="680"/>
        <v>0</v>
      </c>
      <c r="AL638" s="520">
        <f>ROUND(Y638*AI638+((Y638*(1+AI638))*AJ638)+((Y638*AI638+((Y638*(1+AI638))*AJ638))*AK638),2)</f>
        <v>0</v>
      </c>
      <c r="AM638" s="520">
        <f>AL638*$F638</f>
        <v>0</v>
      </c>
      <c r="AN638" s="520">
        <f>ROUND(AL638*Z638,2)</f>
        <v>0</v>
      </c>
      <c r="AO638" s="520">
        <f>AN638*$F638</f>
        <v>0</v>
      </c>
      <c r="AP638" s="719"/>
      <c r="AQ638" s="719"/>
      <c r="AR638" s="719"/>
      <c r="AS638" s="719"/>
      <c r="AT638" s="719"/>
    </row>
    <row r="639" spans="1:46" s="555" customFormat="1" ht="22.5" customHeight="1">
      <c r="A639" s="620"/>
      <c r="B639" s="531" t="s">
        <v>697</v>
      </c>
      <c r="C639" s="523" t="s">
        <v>1035</v>
      </c>
      <c r="D639" s="1204" t="s">
        <v>154</v>
      </c>
      <c r="E639" s="525" t="s">
        <v>319</v>
      </c>
      <c r="F639" s="1315">
        <f>K639</f>
        <v>5</v>
      </c>
      <c r="G639" s="527">
        <f>ROUNDUP(AA639,2)</f>
        <v>31.5</v>
      </c>
      <c r="H639" s="528">
        <f>ROUND(F639*G639,2)</f>
        <v>157.5</v>
      </c>
      <c r="I639" s="529"/>
      <c r="J639" s="309"/>
      <c r="K639" s="1175">
        <v>5</v>
      </c>
      <c r="L639" s="530">
        <f>ROUND(AD639,2)</f>
        <v>5.25</v>
      </c>
      <c r="M639" s="530">
        <f t="shared" si="675"/>
        <v>26.25</v>
      </c>
      <c r="N639" s="309"/>
      <c r="O639" s="778" t="s">
        <v>154</v>
      </c>
      <c r="P639" s="777"/>
      <c r="Q639" s="777"/>
      <c r="R639" s="751">
        <v>30</v>
      </c>
      <c r="S639" s="752"/>
      <c r="T639" s="792">
        <v>4</v>
      </c>
      <c r="U639" s="803">
        <v>0</v>
      </c>
      <c r="V639" s="803">
        <v>0</v>
      </c>
      <c r="W639" s="803">
        <v>0</v>
      </c>
      <c r="X639" s="858">
        <v>1</v>
      </c>
      <c r="Y639" s="310">
        <f>ROUND((R639+S639/'Summary-E'!$M$63)*X639,2)</f>
        <v>30</v>
      </c>
      <c r="Z639" s="858">
        <f t="shared" si="633"/>
        <v>1.05</v>
      </c>
      <c r="AA639" s="813">
        <f>ROUND(Y639*Z639,2)</f>
        <v>31.5</v>
      </c>
      <c r="AB639" s="447">
        <f t="shared" si="677"/>
        <v>0.05</v>
      </c>
      <c r="AC639" s="310">
        <f>ROUND((T639*(1+AB639)),2)</f>
        <v>4.2</v>
      </c>
      <c r="AD639" s="717">
        <f>ROUND(AC639*'[6]Summary E&amp;M'!$R$94,2)</f>
        <v>5.25</v>
      </c>
      <c r="AE639" s="826">
        <f t="shared" si="671"/>
        <v>150</v>
      </c>
      <c r="AF639" s="826">
        <f t="shared" si="672"/>
        <v>21</v>
      </c>
      <c r="AG639" s="744"/>
      <c r="AH639" s="728"/>
      <c r="AI639" s="519">
        <f t="shared" si="678"/>
        <v>0</v>
      </c>
      <c r="AJ639" s="519">
        <f t="shared" si="679"/>
        <v>0</v>
      </c>
      <c r="AK639" s="519">
        <f t="shared" si="680"/>
        <v>0</v>
      </c>
      <c r="AL639" s="520">
        <f>ROUND(Y639*AI639+((Y639*(1+AI639))*AJ639)+((Y639*AI639+((Y639*(1+AI639))*AJ639))*AK639),2)</f>
        <v>0</v>
      </c>
      <c r="AM639" s="520">
        <f>AL639*$F639</f>
        <v>0</v>
      </c>
      <c r="AN639" s="520">
        <f>ROUND(AL639*Z639,2)</f>
        <v>0</v>
      </c>
      <c r="AO639" s="520">
        <f>AN639*$F639</f>
        <v>0</v>
      </c>
      <c r="AP639" s="719"/>
      <c r="AQ639" s="719"/>
      <c r="AR639" s="719"/>
      <c r="AS639" s="719"/>
      <c r="AT639" s="719"/>
    </row>
    <row r="640" spans="1:46" s="555" customFormat="1" ht="22.5" customHeight="1">
      <c r="A640" s="620"/>
      <c r="B640" s="531" t="s">
        <v>699</v>
      </c>
      <c r="C640" s="523" t="s">
        <v>336</v>
      </c>
      <c r="D640" s="1202" t="s">
        <v>1127</v>
      </c>
      <c r="E640" s="525" t="s">
        <v>319</v>
      </c>
      <c r="F640" s="1315">
        <f>K640</f>
        <v>25</v>
      </c>
      <c r="G640" s="527">
        <f t="shared" si="673"/>
        <v>7.88</v>
      </c>
      <c r="H640" s="528">
        <f>ROUND(F640*G640,2)</f>
        <v>197</v>
      </c>
      <c r="I640" s="529"/>
      <c r="J640" s="309"/>
      <c r="K640" s="1175">
        <v>25</v>
      </c>
      <c r="L640" s="530">
        <f t="shared" si="674"/>
        <v>4.5999999999999996</v>
      </c>
      <c r="M640" s="530">
        <f t="shared" si="675"/>
        <v>115</v>
      </c>
      <c r="N640" s="309"/>
      <c r="O640" s="778" t="s">
        <v>129</v>
      </c>
      <c r="P640" s="777"/>
      <c r="Q640" s="777"/>
      <c r="R640" s="751">
        <v>7.5</v>
      </c>
      <c r="S640" s="752"/>
      <c r="T640" s="783">
        <v>3.5</v>
      </c>
      <c r="U640" s="803">
        <v>0</v>
      </c>
      <c r="V640" s="803">
        <v>0</v>
      </c>
      <c r="W640" s="803">
        <v>0</v>
      </c>
      <c r="X640" s="858">
        <v>1</v>
      </c>
      <c r="Y640" s="310">
        <f>ROUND((R640+S640/'Summary-E'!$M$63)*X640,2)</f>
        <v>7.5</v>
      </c>
      <c r="Z640" s="858">
        <f t="shared" si="633"/>
        <v>1.05</v>
      </c>
      <c r="AA640" s="813">
        <f t="shared" si="676"/>
        <v>7.88</v>
      </c>
      <c r="AB640" s="447">
        <f t="shared" si="677"/>
        <v>0.05</v>
      </c>
      <c r="AC640" s="310">
        <f t="shared" si="641"/>
        <v>3.68</v>
      </c>
      <c r="AD640" s="717">
        <f>ROUND(AC640*'[6]Summary E&amp;M'!$R$94,2)</f>
        <v>4.5999999999999996</v>
      </c>
      <c r="AE640" s="826">
        <f t="shared" si="671"/>
        <v>187.5</v>
      </c>
      <c r="AF640" s="826">
        <f t="shared" si="672"/>
        <v>92</v>
      </c>
      <c r="AG640" s="744"/>
      <c r="AH640" s="728"/>
      <c r="AI640" s="519">
        <f t="shared" si="678"/>
        <v>0</v>
      </c>
      <c r="AJ640" s="519">
        <f t="shared" si="679"/>
        <v>0</v>
      </c>
      <c r="AK640" s="519">
        <f t="shared" si="680"/>
        <v>0</v>
      </c>
      <c r="AL640" s="520">
        <f>ROUND(Y640*AI640+((Y640*(1+AI640))*AJ640)+((Y640*AI640+((Y640*(1+AI640))*AJ640))*AK640),2)</f>
        <v>0</v>
      </c>
      <c r="AM640" s="520">
        <f>AL640*$F640</f>
        <v>0</v>
      </c>
      <c r="AN640" s="520">
        <f>ROUND(AL640*Z640,2)</f>
        <v>0</v>
      </c>
      <c r="AO640" s="520">
        <f>AN640*$F640</f>
        <v>0</v>
      </c>
      <c r="AP640" s="719"/>
      <c r="AQ640" s="719"/>
      <c r="AR640" s="719"/>
      <c r="AS640" s="719"/>
      <c r="AT640" s="719"/>
    </row>
    <row r="641" spans="1:47" s="555" customFormat="1" ht="22.5" customHeight="1">
      <c r="A641" s="451"/>
      <c r="B641" s="531" t="s">
        <v>1016</v>
      </c>
      <c r="C641" s="523" t="s">
        <v>786</v>
      </c>
      <c r="D641" s="525">
        <v>121</v>
      </c>
      <c r="E641" s="525" t="s">
        <v>321</v>
      </c>
      <c r="F641" s="1314">
        <f>ROUND(K641*'Summary-E'!$K$61,0)</f>
        <v>23</v>
      </c>
      <c r="G641" s="527">
        <f t="shared" si="673"/>
        <v>13.63</v>
      </c>
      <c r="H641" s="528">
        <f>ROUND(F641*G641,2)</f>
        <v>313.49</v>
      </c>
      <c r="I641" s="529"/>
      <c r="J641" s="309"/>
      <c r="K641" s="1175">
        <v>22</v>
      </c>
      <c r="L641" s="530">
        <f>ROUND(AD641,2)</f>
        <v>1.58</v>
      </c>
      <c r="M641" s="530">
        <f t="shared" si="675"/>
        <v>36.340000000000003</v>
      </c>
      <c r="N641" s="309"/>
      <c r="O641" s="778">
        <v>121</v>
      </c>
      <c r="P641" s="777"/>
      <c r="Q641" s="777"/>
      <c r="R641" s="751"/>
      <c r="S641" s="752">
        <v>270000</v>
      </c>
      <c r="T641" s="792">
        <v>1.2</v>
      </c>
      <c r="U641" s="803">
        <v>0</v>
      </c>
      <c r="V641" s="803">
        <v>0</v>
      </c>
      <c r="W641" s="803">
        <v>0</v>
      </c>
      <c r="X641" s="858">
        <v>1</v>
      </c>
      <c r="Y641" s="310">
        <f>ROUND((R641+S641/'Summary-E'!$M$63)*X641,2)</f>
        <v>12.98</v>
      </c>
      <c r="Z641" s="858">
        <f t="shared" si="633"/>
        <v>1.05</v>
      </c>
      <c r="AA641" s="813">
        <f>ROUND(Y641*Z641,2)</f>
        <v>13.63</v>
      </c>
      <c r="AB641" s="447">
        <f t="shared" si="677"/>
        <v>0.05</v>
      </c>
      <c r="AC641" s="310">
        <f t="shared" si="641"/>
        <v>1.26</v>
      </c>
      <c r="AD641" s="717">
        <f>ROUND(AC641*'[6]Summary E&amp;M'!$R$94,2)</f>
        <v>1.58</v>
      </c>
      <c r="AE641" s="826">
        <f t="shared" si="671"/>
        <v>285.56</v>
      </c>
      <c r="AF641" s="826">
        <f t="shared" si="672"/>
        <v>27.72</v>
      </c>
      <c r="AG641" s="744"/>
      <c r="AH641" s="732"/>
      <c r="AI641" s="723"/>
      <c r="AJ641" s="519">
        <f>$U641</f>
        <v>0</v>
      </c>
      <c r="AK641" s="519">
        <f>$V641</f>
        <v>0</v>
      </c>
      <c r="AL641" s="519">
        <f>$W641</f>
        <v>0</v>
      </c>
      <c r="AM641" s="520">
        <f>ROUND(Y641*AJ641+((Y641*(1+AJ641))*AK641)+((Y641*AJ641+((Y641*(1+AJ641))*AK641))*AL641),2)</f>
        <v>0</v>
      </c>
      <c r="AN641" s="520">
        <f>AM641*$F641</f>
        <v>0</v>
      </c>
      <c r="AO641" s="520">
        <f>ROUND(AM641*Z641,2)</f>
        <v>0</v>
      </c>
      <c r="AP641" s="520">
        <f>AO641*$F641</f>
        <v>0</v>
      </c>
      <c r="AQ641" s="719"/>
      <c r="AR641" s="719"/>
      <c r="AS641" s="719"/>
      <c r="AT641" s="719"/>
      <c r="AU641" s="643"/>
    </row>
    <row r="642" spans="1:47" s="555" customFormat="1" ht="22.5" customHeight="1">
      <c r="A642" s="451"/>
      <c r="B642" s="531" t="s">
        <v>1017</v>
      </c>
      <c r="C642" s="523" t="s">
        <v>786</v>
      </c>
      <c r="D642" s="525">
        <v>121</v>
      </c>
      <c r="E642" s="524" t="s">
        <v>321</v>
      </c>
      <c r="F642" s="1314">
        <f>ROUND(K642*'Summary-E'!$K$61,0)</f>
        <v>74</v>
      </c>
      <c r="G642" s="527">
        <f t="shared" si="673"/>
        <v>20.190000000000001</v>
      </c>
      <c r="H642" s="527">
        <f>F642*G642</f>
        <v>1494.0600000000002</v>
      </c>
      <c r="I642" s="567"/>
      <c r="J642" s="582"/>
      <c r="K642" s="1149">
        <v>70</v>
      </c>
      <c r="L642" s="530">
        <f>ROUND(AD642,2)</f>
        <v>4.5999999999999996</v>
      </c>
      <c r="M642" s="530">
        <f t="shared" si="675"/>
        <v>340.4</v>
      </c>
      <c r="N642" s="1053"/>
      <c r="O642" s="776" t="s">
        <v>131</v>
      </c>
      <c r="P642" s="777"/>
      <c r="Q642" s="777"/>
      <c r="R642" s="751"/>
      <c r="S642" s="752">
        <v>400000</v>
      </c>
      <c r="T642" s="792">
        <v>3.5</v>
      </c>
      <c r="U642" s="803">
        <v>0</v>
      </c>
      <c r="V642" s="803">
        <v>0</v>
      </c>
      <c r="W642" s="803">
        <v>0</v>
      </c>
      <c r="X642" s="858">
        <v>1</v>
      </c>
      <c r="Y642" s="310">
        <f>ROUND((R642+S642/'Summary-E'!$M$63)*X642,2)</f>
        <v>19.23</v>
      </c>
      <c r="Z642" s="858">
        <f t="shared" si="633"/>
        <v>1.05</v>
      </c>
      <c r="AA642" s="813">
        <f>ROUND(Y642*Z642,2)</f>
        <v>20.190000000000001</v>
      </c>
      <c r="AB642" s="447">
        <f t="shared" si="677"/>
        <v>0.05</v>
      </c>
      <c r="AC642" s="310">
        <f t="shared" si="641"/>
        <v>3.68</v>
      </c>
      <c r="AD642" s="717">
        <f>ROUND(AC642*'[6]Summary E&amp;M'!$R$94,2)</f>
        <v>4.5999999999999996</v>
      </c>
      <c r="AE642" s="825">
        <f t="shared" si="671"/>
        <v>1346.1</v>
      </c>
      <c r="AF642" s="825">
        <f t="shared" si="672"/>
        <v>257.60000000000002</v>
      </c>
      <c r="AG642" s="743"/>
      <c r="AH642" s="728"/>
      <c r="AI642" s="519">
        <f>$U642</f>
        <v>0</v>
      </c>
      <c r="AJ642" s="519">
        <f>$V642</f>
        <v>0</v>
      </c>
      <c r="AK642" s="519">
        <f>$W642</f>
        <v>0</v>
      </c>
      <c r="AL642" s="520">
        <f>ROUND(Y642*AI642+((Y642*(1+AI642))*AJ642)+((Y642*AI642+((Y642*(1+AI642))*AJ642))*AK642),2)</f>
        <v>0</v>
      </c>
      <c r="AM642" s="520">
        <f>AL642*$F642</f>
        <v>0</v>
      </c>
      <c r="AN642" s="520">
        <f>ROUND(AL642*Z642,2)</f>
        <v>0</v>
      </c>
      <c r="AO642" s="520">
        <f>AN642*$F642</f>
        <v>0</v>
      </c>
      <c r="AP642" s="552"/>
      <c r="AQ642" s="552"/>
      <c r="AR642" s="552"/>
      <c r="AS642" s="552"/>
      <c r="AT642" s="552"/>
    </row>
    <row r="643" spans="1:47" s="555" customFormat="1" ht="22.5" customHeight="1">
      <c r="A643" s="451"/>
      <c r="B643" s="531" t="s">
        <v>734</v>
      </c>
      <c r="C643" s="566" t="s">
        <v>1019</v>
      </c>
      <c r="D643" s="525">
        <v>121</v>
      </c>
      <c r="E643" s="524" t="s">
        <v>321</v>
      </c>
      <c r="F643" s="1314">
        <f>ROUND(K643*'Summary-E'!$K$61,0)</f>
        <v>210</v>
      </c>
      <c r="G643" s="527">
        <f t="shared" si="673"/>
        <v>3.74</v>
      </c>
      <c r="H643" s="527">
        <f t="shared" ref="H643:H654" si="681">ROUND(F643*G643,2)</f>
        <v>785.4</v>
      </c>
      <c r="I643" s="567"/>
      <c r="J643" s="309"/>
      <c r="K643" s="1149">
        <v>200</v>
      </c>
      <c r="L643" s="530">
        <f t="shared" si="674"/>
        <v>1.05</v>
      </c>
      <c r="M643" s="530">
        <f t="shared" si="675"/>
        <v>220.5</v>
      </c>
      <c r="N643" s="309"/>
      <c r="O643" s="776">
        <v>121</v>
      </c>
      <c r="P643" s="777"/>
      <c r="Q643" s="777"/>
      <c r="R643" s="751"/>
      <c r="S643" s="752">
        <v>74000</v>
      </c>
      <c r="T643" s="792">
        <v>0.8</v>
      </c>
      <c r="U643" s="803">
        <v>0</v>
      </c>
      <c r="V643" s="803">
        <v>0</v>
      </c>
      <c r="W643" s="803">
        <v>0</v>
      </c>
      <c r="X643" s="858">
        <v>1</v>
      </c>
      <c r="Y643" s="310">
        <f>ROUND((R643+S643/'Summary-E'!$M$63)*X643,2)</f>
        <v>3.56</v>
      </c>
      <c r="Z643" s="858">
        <f t="shared" si="633"/>
        <v>1.05</v>
      </c>
      <c r="AA643" s="813">
        <f t="shared" si="676"/>
        <v>3.74</v>
      </c>
      <c r="AB643" s="447">
        <f t="shared" si="677"/>
        <v>0.05</v>
      </c>
      <c r="AC643" s="310">
        <f t="shared" si="641"/>
        <v>0.84</v>
      </c>
      <c r="AD643" s="717">
        <f>ROUND(AC643*'[6]Summary E&amp;M'!$R$94,2)</f>
        <v>1.05</v>
      </c>
      <c r="AE643" s="825">
        <f t="shared" si="671"/>
        <v>712</v>
      </c>
      <c r="AF643" s="825">
        <f t="shared" si="672"/>
        <v>168</v>
      </c>
      <c r="AG643" s="743"/>
      <c r="AH643" s="728"/>
      <c r="AI643" s="519">
        <f t="shared" si="678"/>
        <v>0</v>
      </c>
      <c r="AJ643" s="519">
        <f t="shared" si="679"/>
        <v>0</v>
      </c>
      <c r="AK643" s="519">
        <f t="shared" si="680"/>
        <v>0</v>
      </c>
      <c r="AL643" s="520">
        <f>ROUND(Y643*AI643+((Y643*(1+AI643))*AJ643)+((Y643*AI643+((Y643*(1+AI643))*AJ643))*AK643),2)</f>
        <v>0</v>
      </c>
      <c r="AM643" s="520">
        <f>AL643*$F643</f>
        <v>0</v>
      </c>
      <c r="AN643" s="520">
        <f>ROUND(AL643*Z643,2)</f>
        <v>0</v>
      </c>
      <c r="AO643" s="520">
        <f>AN643*$F643</f>
        <v>0</v>
      </c>
      <c r="AP643" s="552"/>
      <c r="AQ643" s="552"/>
      <c r="AR643" s="552"/>
      <c r="AS643" s="552"/>
      <c r="AT643" s="552"/>
    </row>
    <row r="644" spans="1:47" s="555" customFormat="1" ht="22.5" customHeight="1">
      <c r="A644" s="620"/>
      <c r="B644" s="531" t="s">
        <v>403</v>
      </c>
      <c r="C644" s="523" t="s">
        <v>794</v>
      </c>
      <c r="D644" s="524" t="s">
        <v>1111</v>
      </c>
      <c r="E644" s="525" t="s">
        <v>321</v>
      </c>
      <c r="F644" s="1314">
        <f>ROUND(K644*'Summary-E'!$K$61,0)</f>
        <v>189</v>
      </c>
      <c r="G644" s="527">
        <f>ROUNDUP(AA644,2)</f>
        <v>1.3</v>
      </c>
      <c r="H644" s="528">
        <f>ROUND(F644*G644,2)</f>
        <v>245.7</v>
      </c>
      <c r="I644" s="529"/>
      <c r="J644" s="309"/>
      <c r="K644" s="1175">
        <v>180</v>
      </c>
      <c r="L644" s="530">
        <f>ROUND(AD644,2)</f>
        <v>0.79</v>
      </c>
      <c r="M644" s="530">
        <f t="shared" si="675"/>
        <v>149.31</v>
      </c>
      <c r="N644" s="309"/>
      <c r="O644" s="778" t="s">
        <v>131</v>
      </c>
      <c r="P644" s="777"/>
      <c r="Q644" s="777"/>
      <c r="R644" s="751">
        <v>1.24</v>
      </c>
      <c r="S644" s="752"/>
      <c r="T644" s="792">
        <v>0.6</v>
      </c>
      <c r="U644" s="803">
        <v>0</v>
      </c>
      <c r="V644" s="803">
        <v>0</v>
      </c>
      <c r="W644" s="803">
        <v>0</v>
      </c>
      <c r="X644" s="858">
        <v>1</v>
      </c>
      <c r="Y644" s="310">
        <f>ROUND((R644+S644/'Summary-E'!$M$63)*X644,2)</f>
        <v>1.24</v>
      </c>
      <c r="Z644" s="858">
        <f t="shared" si="633"/>
        <v>1.05</v>
      </c>
      <c r="AA644" s="813">
        <f>ROUND(Y644*Z644,2)</f>
        <v>1.3</v>
      </c>
      <c r="AB644" s="447">
        <f t="shared" si="677"/>
        <v>0.05</v>
      </c>
      <c r="AC644" s="310">
        <f>ROUND((T644*(1+AB644)),2)</f>
        <v>0.63</v>
      </c>
      <c r="AD644" s="717">
        <f>ROUND(AC644*'[6]Summary E&amp;M'!$R$94,2)</f>
        <v>0.79</v>
      </c>
      <c r="AE644" s="826">
        <f t="shared" si="671"/>
        <v>223.2</v>
      </c>
      <c r="AF644" s="826">
        <f t="shared" si="672"/>
        <v>113.4</v>
      </c>
      <c r="AG644" s="744"/>
      <c r="AH644" s="728"/>
      <c r="AI644" s="519">
        <f t="shared" si="678"/>
        <v>0</v>
      </c>
      <c r="AJ644" s="519">
        <f t="shared" si="679"/>
        <v>0</v>
      </c>
      <c r="AK644" s="519">
        <f t="shared" si="680"/>
        <v>0</v>
      </c>
      <c r="AL644" s="520">
        <f>ROUND(Y644*AI644+((Y644*(1+AI644))*AJ644)+((Y644*AI644+((Y644*(1+AI644))*AJ644))*AK644),2)</f>
        <v>0</v>
      </c>
      <c r="AM644" s="520">
        <f>AL644*$F644</f>
        <v>0</v>
      </c>
      <c r="AN644" s="520">
        <f>ROUND(AL644*Z644,2)</f>
        <v>0</v>
      </c>
      <c r="AO644" s="520">
        <f>AN644*$F644</f>
        <v>0</v>
      </c>
      <c r="AP644" s="719"/>
      <c r="AQ644" s="719"/>
      <c r="AR644" s="719"/>
      <c r="AS644" s="719"/>
      <c r="AT644" s="719"/>
    </row>
    <row r="645" spans="1:47" s="555" customFormat="1" ht="22.5" customHeight="1">
      <c r="A645" s="620"/>
      <c r="B645" s="531" t="s">
        <v>403</v>
      </c>
      <c r="C645" s="523" t="s">
        <v>329</v>
      </c>
      <c r="D645" s="524" t="s">
        <v>1111</v>
      </c>
      <c r="E645" s="525" t="s">
        <v>321</v>
      </c>
      <c r="F645" s="1314">
        <f>ROUND(K645*'Summary-E'!$K$61,0)</f>
        <v>546</v>
      </c>
      <c r="G645" s="527">
        <f t="shared" si="673"/>
        <v>0.77</v>
      </c>
      <c r="H645" s="528">
        <f t="shared" si="681"/>
        <v>420.42</v>
      </c>
      <c r="I645" s="529"/>
      <c r="J645" s="309"/>
      <c r="K645" s="1175">
        <v>520</v>
      </c>
      <c r="L645" s="530">
        <f t="shared" si="674"/>
        <v>0.79</v>
      </c>
      <c r="M645" s="530">
        <f t="shared" si="675"/>
        <v>431.34</v>
      </c>
      <c r="N645" s="309"/>
      <c r="O645" s="778" t="s">
        <v>131</v>
      </c>
      <c r="P645" s="777"/>
      <c r="Q645" s="777"/>
      <c r="R645" s="751">
        <v>0.73</v>
      </c>
      <c r="S645" s="752"/>
      <c r="T645" s="792">
        <v>0.6</v>
      </c>
      <c r="U645" s="803">
        <v>0</v>
      </c>
      <c r="V645" s="803">
        <v>0</v>
      </c>
      <c r="W645" s="803">
        <v>0</v>
      </c>
      <c r="X645" s="858">
        <v>1</v>
      </c>
      <c r="Y645" s="310">
        <f>ROUND((R645+S645/'Summary-E'!$M$63)*X645,2)</f>
        <v>0.73</v>
      </c>
      <c r="Z645" s="858">
        <f t="shared" ref="Z645:Z708" si="682">$Z$4</f>
        <v>1.05</v>
      </c>
      <c r="AA645" s="813">
        <f t="shared" si="676"/>
        <v>0.77</v>
      </c>
      <c r="AB645" s="447">
        <f t="shared" si="677"/>
        <v>0.05</v>
      </c>
      <c r="AC645" s="310">
        <f t="shared" si="641"/>
        <v>0.63</v>
      </c>
      <c r="AD645" s="717">
        <f>ROUND(AC645*'[6]Summary E&amp;M'!$R$94,2)</f>
        <v>0.79</v>
      </c>
      <c r="AE645" s="826">
        <f t="shared" si="671"/>
        <v>379.6</v>
      </c>
      <c r="AF645" s="826">
        <f t="shared" si="672"/>
        <v>327.60000000000002</v>
      </c>
      <c r="AG645" s="744"/>
      <c r="AH645" s="728"/>
      <c r="AI645" s="519">
        <f t="shared" si="678"/>
        <v>0</v>
      </c>
      <c r="AJ645" s="519">
        <f t="shared" si="679"/>
        <v>0</v>
      </c>
      <c r="AK645" s="519">
        <f t="shared" si="680"/>
        <v>0</v>
      </c>
      <c r="AL645" s="520">
        <f>ROUND(Y645*AI645+((Y645*(1+AI645))*AJ645)+((Y645*AI645+((Y645*(1+AI645))*AJ645))*AK645),2)</f>
        <v>0</v>
      </c>
      <c r="AM645" s="520">
        <f>AL645*$F645</f>
        <v>0</v>
      </c>
      <c r="AN645" s="520">
        <f>ROUND(AL645*Z645,2)</f>
        <v>0</v>
      </c>
      <c r="AO645" s="520">
        <f>AN645*$F645</f>
        <v>0</v>
      </c>
      <c r="AP645" s="719"/>
      <c r="AQ645" s="719"/>
      <c r="AR645" s="719"/>
      <c r="AS645" s="719"/>
      <c r="AT645" s="719"/>
    </row>
    <row r="646" spans="1:47" s="555" customFormat="1" ht="22.5" customHeight="1">
      <c r="A646" s="451"/>
      <c r="B646" s="531" t="s">
        <v>793</v>
      </c>
      <c r="C646" s="523" t="s">
        <v>794</v>
      </c>
      <c r="D646" s="524" t="s">
        <v>1113</v>
      </c>
      <c r="E646" s="525" t="s">
        <v>321</v>
      </c>
      <c r="F646" s="1314">
        <f>ROUND(K646*'Summary-E'!$K$61,0)</f>
        <v>32</v>
      </c>
      <c r="G646" s="527">
        <f t="shared" si="673"/>
        <v>2.8</v>
      </c>
      <c r="H646" s="528">
        <f t="shared" si="681"/>
        <v>89.6</v>
      </c>
      <c r="I646" s="529"/>
      <c r="J646" s="309"/>
      <c r="K646" s="1175">
        <v>30</v>
      </c>
      <c r="L646" s="530">
        <f t="shared" si="674"/>
        <v>0.79</v>
      </c>
      <c r="M646" s="530">
        <f t="shared" si="675"/>
        <v>25.28</v>
      </c>
      <c r="N646" s="309"/>
      <c r="O646" s="778" t="s">
        <v>131</v>
      </c>
      <c r="P646" s="777"/>
      <c r="Q646" s="777"/>
      <c r="R646" s="751"/>
      <c r="S646" s="752">
        <v>55500</v>
      </c>
      <c r="T646" s="792">
        <v>0.6</v>
      </c>
      <c r="U646" s="803">
        <v>0</v>
      </c>
      <c r="V646" s="803">
        <v>0</v>
      </c>
      <c r="W646" s="803">
        <v>0</v>
      </c>
      <c r="X646" s="858">
        <v>1</v>
      </c>
      <c r="Y646" s="310">
        <f>ROUND((R646+S646/'Summary-E'!$M$63)*X646,2)</f>
        <v>2.67</v>
      </c>
      <c r="Z646" s="858">
        <f t="shared" si="682"/>
        <v>1.05</v>
      </c>
      <c r="AA646" s="813">
        <f t="shared" si="676"/>
        <v>2.8</v>
      </c>
      <c r="AB646" s="447">
        <f t="shared" si="677"/>
        <v>0.05</v>
      </c>
      <c r="AC646" s="310">
        <f t="shared" si="641"/>
        <v>0.63</v>
      </c>
      <c r="AD646" s="717">
        <f>ROUND(AC646*'[6]Summary E&amp;M'!$R$94,2)</f>
        <v>0.79</v>
      </c>
      <c r="AE646" s="826">
        <f t="shared" si="671"/>
        <v>80.099999999999994</v>
      </c>
      <c r="AF646" s="826">
        <f t="shared" si="672"/>
        <v>18.899999999999999</v>
      </c>
      <c r="AG646" s="744"/>
      <c r="AH646" s="732"/>
      <c r="AI646" s="723"/>
      <c r="AJ646" s="519">
        <f>$U646</f>
        <v>0</v>
      </c>
      <c r="AK646" s="519">
        <f>$V646</f>
        <v>0</v>
      </c>
      <c r="AL646" s="519">
        <f>$W646</f>
        <v>0</v>
      </c>
      <c r="AM646" s="520">
        <f>ROUND(Y646*AJ646+((Y646*(1+AJ646))*AK646)+((Y646*AJ646+((Y646*(1+AJ646))*AK646))*AL646),2)</f>
        <v>0</v>
      </c>
      <c r="AN646" s="520">
        <f>AM646*$F646</f>
        <v>0</v>
      </c>
      <c r="AO646" s="520">
        <f>ROUND(AM646*Z646,2)</f>
        <v>0</v>
      </c>
      <c r="AP646" s="520">
        <f>AO646*$F646</f>
        <v>0</v>
      </c>
      <c r="AQ646" s="719"/>
      <c r="AR646" s="719"/>
      <c r="AS646" s="719"/>
      <c r="AT646" s="719"/>
      <c r="AU646" s="643"/>
    </row>
    <row r="647" spans="1:47" s="555" customFormat="1" ht="22.5" customHeight="1">
      <c r="A647" s="620"/>
      <c r="B647" s="568" t="s">
        <v>333</v>
      </c>
      <c r="C647" s="1062"/>
      <c r="D647" s="571" t="s">
        <v>1113</v>
      </c>
      <c r="E647" s="570" t="s">
        <v>322</v>
      </c>
      <c r="F647" s="1315">
        <f>K647</f>
        <v>1</v>
      </c>
      <c r="G647" s="527">
        <f t="shared" si="673"/>
        <v>924.77</v>
      </c>
      <c r="H647" s="528">
        <f t="shared" si="681"/>
        <v>924.77</v>
      </c>
      <c r="I647" s="529"/>
      <c r="J647" s="309"/>
      <c r="K647" s="1175">
        <v>1</v>
      </c>
      <c r="L647" s="530">
        <f t="shared" si="674"/>
        <v>238.34</v>
      </c>
      <c r="M647" s="530">
        <f t="shared" si="675"/>
        <v>238.34</v>
      </c>
      <c r="N647" s="309"/>
      <c r="O647" s="778" t="s">
        <v>683</v>
      </c>
      <c r="P647" s="777">
        <v>0.3</v>
      </c>
      <c r="Q647" s="777"/>
      <c r="R647" s="751">
        <f>ROUND(SUM(AE641:AE646)*P647,2)</f>
        <v>907.97</v>
      </c>
      <c r="S647" s="752"/>
      <c r="T647" s="792">
        <f>R647*0.2</f>
        <v>181.59400000000002</v>
      </c>
      <c r="U647" s="803">
        <v>0</v>
      </c>
      <c r="V647" s="803">
        <v>0</v>
      </c>
      <c r="W647" s="803">
        <v>0</v>
      </c>
      <c r="X647" s="858">
        <f>SUMIF('Summary-E'!O$4:O$50,D647,'Summary-E'!Q$4:Q$50)</f>
        <v>0.97</v>
      </c>
      <c r="Y647" s="310">
        <f>ROUND((R647+S647/'Summary-E'!$M$63)*X647,2)</f>
        <v>880.73</v>
      </c>
      <c r="Z647" s="858">
        <f t="shared" si="682"/>
        <v>1.05</v>
      </c>
      <c r="AA647" s="813">
        <f t="shared" si="676"/>
        <v>924.77</v>
      </c>
      <c r="AB647" s="447">
        <f t="shared" si="677"/>
        <v>0.05</v>
      </c>
      <c r="AC647" s="310">
        <f t="shared" si="641"/>
        <v>190.67</v>
      </c>
      <c r="AD647" s="717">
        <f>ROUND(AC647*'[6]Summary E&amp;M'!$R$94,2)</f>
        <v>238.34</v>
      </c>
      <c r="AE647" s="826">
        <f t="shared" si="671"/>
        <v>880.73</v>
      </c>
      <c r="AF647" s="826">
        <f t="shared" si="672"/>
        <v>190.67</v>
      </c>
      <c r="AG647" s="744"/>
      <c r="AH647" s="728"/>
      <c r="AI647" s="519">
        <f t="shared" si="678"/>
        <v>0</v>
      </c>
      <c r="AJ647" s="519">
        <f t="shared" si="679"/>
        <v>0</v>
      </c>
      <c r="AK647" s="519">
        <f t="shared" si="680"/>
        <v>0</v>
      </c>
      <c r="AL647" s="520">
        <f t="shared" ref="AL647:AL654" si="683">ROUND(Y647*AI647+((Y647*(1+AI647))*AJ647)+((Y647*AI647+((Y647*(1+AI647))*AJ647))*AK647),2)</f>
        <v>0</v>
      </c>
      <c r="AM647" s="520">
        <f t="shared" ref="AM647:AM654" si="684">AL647*$F647</f>
        <v>0</v>
      </c>
      <c r="AN647" s="520">
        <f t="shared" ref="AN647:AN654" si="685">ROUND(AL647*Z647,2)</f>
        <v>0</v>
      </c>
      <c r="AO647" s="520">
        <f t="shared" ref="AO647:AO654" si="686">AN647*$F647</f>
        <v>0</v>
      </c>
      <c r="AP647" s="719"/>
      <c r="AQ647" s="719"/>
      <c r="AR647" s="719"/>
      <c r="AS647" s="719"/>
      <c r="AT647" s="719"/>
    </row>
    <row r="648" spans="1:47" s="555" customFormat="1" ht="22.5" customHeight="1">
      <c r="A648" s="620"/>
      <c r="B648" s="531" t="s">
        <v>334</v>
      </c>
      <c r="C648" s="523"/>
      <c r="D648" s="525" t="s">
        <v>139</v>
      </c>
      <c r="E648" s="525" t="s">
        <v>322</v>
      </c>
      <c r="F648" s="1315">
        <f>K648</f>
        <v>1</v>
      </c>
      <c r="G648" s="527">
        <f t="shared" si="673"/>
        <v>462.38</v>
      </c>
      <c r="H648" s="528">
        <f t="shared" si="681"/>
        <v>462.38</v>
      </c>
      <c r="I648" s="529"/>
      <c r="J648" s="309"/>
      <c r="K648" s="1175">
        <v>1</v>
      </c>
      <c r="L648" s="530">
        <f t="shared" si="674"/>
        <v>178.75</v>
      </c>
      <c r="M648" s="530">
        <f t="shared" si="675"/>
        <v>178.75</v>
      </c>
      <c r="N648" s="309"/>
      <c r="O648" s="778" t="s">
        <v>130</v>
      </c>
      <c r="P648" s="777">
        <v>0.15</v>
      </c>
      <c r="Q648" s="777"/>
      <c r="R648" s="751">
        <f>ROUND(SUM(AE641:AE646)*P648,2)</f>
        <v>453.98</v>
      </c>
      <c r="S648" s="752"/>
      <c r="T648" s="792">
        <f>R648*0.3</f>
        <v>136.19399999999999</v>
      </c>
      <c r="U648" s="803">
        <v>0</v>
      </c>
      <c r="V648" s="803">
        <v>0</v>
      </c>
      <c r="W648" s="803">
        <v>0</v>
      </c>
      <c r="X648" s="858">
        <f>SUMIF('Summary-E'!O$4:O$50,D648,'Summary-E'!Q$4:Q$50)</f>
        <v>0.97</v>
      </c>
      <c r="Y648" s="310">
        <f>ROUND((R648+S648/'Summary-E'!$M$63)*X648,2)</f>
        <v>440.36</v>
      </c>
      <c r="Z648" s="858">
        <f t="shared" si="682"/>
        <v>1.05</v>
      </c>
      <c r="AA648" s="813">
        <f t="shared" si="676"/>
        <v>462.38</v>
      </c>
      <c r="AB648" s="447">
        <f t="shared" si="677"/>
        <v>0.05</v>
      </c>
      <c r="AC648" s="310">
        <f t="shared" si="641"/>
        <v>143</v>
      </c>
      <c r="AD648" s="717">
        <f>ROUND(AC648*'[6]Summary E&amp;M'!$R$94,2)</f>
        <v>178.75</v>
      </c>
      <c r="AE648" s="826">
        <f t="shared" si="671"/>
        <v>440.36</v>
      </c>
      <c r="AF648" s="826">
        <f t="shared" si="672"/>
        <v>143</v>
      </c>
      <c r="AG648" s="744"/>
      <c r="AH648" s="728"/>
      <c r="AI648" s="519">
        <f t="shared" si="678"/>
        <v>0</v>
      </c>
      <c r="AJ648" s="519">
        <f t="shared" si="679"/>
        <v>0</v>
      </c>
      <c r="AK648" s="519">
        <f t="shared" si="680"/>
        <v>0</v>
      </c>
      <c r="AL648" s="520">
        <f t="shared" si="683"/>
        <v>0</v>
      </c>
      <c r="AM648" s="520">
        <f t="shared" si="684"/>
        <v>0</v>
      </c>
      <c r="AN648" s="520">
        <f t="shared" si="685"/>
        <v>0</v>
      </c>
      <c r="AO648" s="520">
        <f t="shared" si="686"/>
        <v>0</v>
      </c>
      <c r="AP648" s="719"/>
      <c r="AQ648" s="719"/>
      <c r="AR648" s="719"/>
      <c r="AS648" s="719"/>
      <c r="AT648" s="719"/>
    </row>
    <row r="649" spans="1:47" s="555" customFormat="1" ht="22.5" customHeight="1">
      <c r="A649" s="620"/>
      <c r="B649" s="531" t="s">
        <v>332</v>
      </c>
      <c r="C649" s="566" t="s">
        <v>1268</v>
      </c>
      <c r="D649" s="525">
        <v>131</v>
      </c>
      <c r="E649" s="525" t="s">
        <v>321</v>
      </c>
      <c r="F649" s="1314">
        <f>ROUND(K649*'Summary-E'!$K$61,0)</f>
        <v>1638</v>
      </c>
      <c r="G649" s="527">
        <f t="shared" si="673"/>
        <v>2.2599999999999998</v>
      </c>
      <c r="H649" s="528">
        <f t="shared" si="681"/>
        <v>3701.88</v>
      </c>
      <c r="I649" s="529"/>
      <c r="J649" s="309"/>
      <c r="K649" s="1175">
        <v>1560</v>
      </c>
      <c r="L649" s="530">
        <f t="shared" si="674"/>
        <v>0.2</v>
      </c>
      <c r="M649" s="530">
        <f t="shared" si="675"/>
        <v>327.60000000000002</v>
      </c>
      <c r="N649" s="309"/>
      <c r="O649" s="778">
        <v>131</v>
      </c>
      <c r="P649" s="777"/>
      <c r="Q649" s="777"/>
      <c r="R649" s="751"/>
      <c r="S649" s="752">
        <f>37100+7600</f>
        <v>44700</v>
      </c>
      <c r="T649" s="792">
        <v>0.15</v>
      </c>
      <c r="U649" s="803">
        <v>0</v>
      </c>
      <c r="V649" s="803">
        <v>0</v>
      </c>
      <c r="W649" s="803">
        <v>0</v>
      </c>
      <c r="X649" s="858">
        <v>1</v>
      </c>
      <c r="Y649" s="310">
        <f>ROUND((R649+S649/'Summary-E'!$M$63)*X649,2)</f>
        <v>2.15</v>
      </c>
      <c r="Z649" s="858">
        <f t="shared" si="682"/>
        <v>1.05</v>
      </c>
      <c r="AA649" s="813">
        <f t="shared" si="676"/>
        <v>2.2599999999999998</v>
      </c>
      <c r="AB649" s="447">
        <f t="shared" si="677"/>
        <v>0.05</v>
      </c>
      <c r="AC649" s="310">
        <f t="shared" si="641"/>
        <v>0.16</v>
      </c>
      <c r="AD649" s="717">
        <f>ROUND(AC649*'[6]Summary E&amp;M'!$R$94,2)</f>
        <v>0.2</v>
      </c>
      <c r="AE649" s="826">
        <f t="shared" si="671"/>
        <v>3354</v>
      </c>
      <c r="AF649" s="826">
        <f t="shared" si="672"/>
        <v>249.6</v>
      </c>
      <c r="AG649" s="744"/>
      <c r="AH649" s="728"/>
      <c r="AI649" s="519">
        <f t="shared" si="678"/>
        <v>0</v>
      </c>
      <c r="AJ649" s="519">
        <f t="shared" si="679"/>
        <v>0</v>
      </c>
      <c r="AK649" s="519">
        <f t="shared" si="680"/>
        <v>0</v>
      </c>
      <c r="AL649" s="520">
        <f t="shared" si="683"/>
        <v>0</v>
      </c>
      <c r="AM649" s="520">
        <f t="shared" si="684"/>
        <v>0</v>
      </c>
      <c r="AN649" s="520">
        <f t="shared" si="685"/>
        <v>0</v>
      </c>
      <c r="AO649" s="520">
        <f t="shared" si="686"/>
        <v>0</v>
      </c>
      <c r="AP649" s="719"/>
      <c r="AQ649" s="719"/>
      <c r="AR649" s="719"/>
      <c r="AS649" s="719"/>
      <c r="AT649" s="719"/>
    </row>
    <row r="650" spans="1:47" s="555" customFormat="1" ht="22.5" customHeight="1">
      <c r="A650" s="620"/>
      <c r="B650" s="531" t="s">
        <v>332</v>
      </c>
      <c r="C650" s="566" t="s">
        <v>1271</v>
      </c>
      <c r="D650" s="525">
        <v>131</v>
      </c>
      <c r="E650" s="525" t="s">
        <v>321</v>
      </c>
      <c r="F650" s="1314">
        <f>ROUND(K650*'Summary-E'!$K$61,0)</f>
        <v>788</v>
      </c>
      <c r="G650" s="527">
        <f t="shared" si="673"/>
        <v>1.43</v>
      </c>
      <c r="H650" s="528">
        <f t="shared" si="681"/>
        <v>1126.8399999999999</v>
      </c>
      <c r="I650" s="529"/>
      <c r="J650" s="309"/>
      <c r="K650" s="1175">
        <v>750</v>
      </c>
      <c r="L650" s="530">
        <f t="shared" si="674"/>
        <v>0.14000000000000001</v>
      </c>
      <c r="M650" s="530">
        <f t="shared" si="675"/>
        <v>110.32</v>
      </c>
      <c r="N650" s="309"/>
      <c r="O650" s="778">
        <v>131</v>
      </c>
      <c r="P650" s="777"/>
      <c r="Q650" s="777"/>
      <c r="R650" s="751"/>
      <c r="S650" s="752">
        <f>23540+4700</f>
        <v>28240</v>
      </c>
      <c r="T650" s="792">
        <v>0.1</v>
      </c>
      <c r="U650" s="803">
        <v>0</v>
      </c>
      <c r="V650" s="803">
        <v>0</v>
      </c>
      <c r="W650" s="803">
        <v>0</v>
      </c>
      <c r="X650" s="858">
        <v>1</v>
      </c>
      <c r="Y650" s="310">
        <f>ROUND((R650+S650/'Summary-E'!$M$63)*X650,2)</f>
        <v>1.36</v>
      </c>
      <c r="Z650" s="858">
        <f t="shared" si="682"/>
        <v>1.05</v>
      </c>
      <c r="AA650" s="813">
        <f t="shared" si="676"/>
        <v>1.43</v>
      </c>
      <c r="AB650" s="447">
        <f t="shared" si="677"/>
        <v>0.05</v>
      </c>
      <c r="AC650" s="310">
        <f t="shared" si="641"/>
        <v>0.11</v>
      </c>
      <c r="AD650" s="717">
        <f>ROUND(AC650*'[6]Summary E&amp;M'!$R$94,2)</f>
        <v>0.14000000000000001</v>
      </c>
      <c r="AE650" s="826">
        <f t="shared" si="671"/>
        <v>1020</v>
      </c>
      <c r="AF650" s="826">
        <f t="shared" si="672"/>
        <v>82.5</v>
      </c>
      <c r="AG650" s="744"/>
      <c r="AH650" s="728"/>
      <c r="AI650" s="519">
        <f t="shared" si="678"/>
        <v>0</v>
      </c>
      <c r="AJ650" s="519">
        <f t="shared" si="679"/>
        <v>0</v>
      </c>
      <c r="AK650" s="519">
        <f t="shared" si="680"/>
        <v>0</v>
      </c>
      <c r="AL650" s="520">
        <f t="shared" si="683"/>
        <v>0</v>
      </c>
      <c r="AM650" s="520">
        <f t="shared" si="684"/>
        <v>0</v>
      </c>
      <c r="AN650" s="520">
        <f t="shared" si="685"/>
        <v>0</v>
      </c>
      <c r="AO650" s="520">
        <f t="shared" si="686"/>
        <v>0</v>
      </c>
      <c r="AP650" s="719"/>
      <c r="AQ650" s="719"/>
      <c r="AR650" s="719"/>
      <c r="AS650" s="719"/>
      <c r="AT650" s="719"/>
    </row>
    <row r="651" spans="1:47" s="555" customFormat="1" ht="22.5" customHeight="1">
      <c r="A651" s="620"/>
      <c r="B651" s="531" t="s">
        <v>332</v>
      </c>
      <c r="C651" s="566" t="s">
        <v>433</v>
      </c>
      <c r="D651" s="525">
        <v>131</v>
      </c>
      <c r="E651" s="525" t="s">
        <v>321</v>
      </c>
      <c r="F651" s="1314">
        <f>ROUND(K651*'Summary-E'!$K$61,0)</f>
        <v>200</v>
      </c>
      <c r="G651" s="527">
        <f t="shared" ref="G651" si="687">ROUNDUP(AA651,2)</f>
        <v>1.1599999999999999</v>
      </c>
      <c r="H651" s="528">
        <f t="shared" ref="H651" si="688">ROUND(F651*G651,2)</f>
        <v>232</v>
      </c>
      <c r="I651" s="529"/>
      <c r="J651" s="309"/>
      <c r="K651" s="1175">
        <v>190</v>
      </c>
      <c r="L651" s="530">
        <f t="shared" ref="L651" si="689">ROUND(AD651,2)</f>
        <v>0.14000000000000001</v>
      </c>
      <c r="M651" s="530">
        <f t="shared" ref="M651" si="690">ROUND(L651*F651,2)</f>
        <v>28</v>
      </c>
      <c r="N651" s="309"/>
      <c r="O651" s="778">
        <v>131</v>
      </c>
      <c r="P651" s="777"/>
      <c r="Q651" s="777"/>
      <c r="R651" s="751"/>
      <c r="S651" s="752">
        <f>3*7600</f>
        <v>22800</v>
      </c>
      <c r="T651" s="792">
        <v>0.1</v>
      </c>
      <c r="U651" s="803">
        <v>0</v>
      </c>
      <c r="V651" s="803">
        <v>0</v>
      </c>
      <c r="W651" s="803">
        <v>0</v>
      </c>
      <c r="X651" s="858">
        <v>1</v>
      </c>
      <c r="Y651" s="310">
        <f>ROUND((R651+S651/'Summary-E'!$M$63)*X651,2)</f>
        <v>1.1000000000000001</v>
      </c>
      <c r="Z651" s="858">
        <f t="shared" si="682"/>
        <v>1.05</v>
      </c>
      <c r="AA651" s="813">
        <f t="shared" ref="AA651" si="691">ROUND(Y651*Z651,2)</f>
        <v>1.1599999999999999</v>
      </c>
      <c r="AB651" s="447">
        <f t="shared" si="677"/>
        <v>0.05</v>
      </c>
      <c r="AC651" s="310">
        <f t="shared" ref="AC651" si="692">ROUND((T651*(1+AB651)),2)</f>
        <v>0.11</v>
      </c>
      <c r="AD651" s="717">
        <f>ROUND(AC651*'[6]Summary E&amp;M'!$R$94,2)</f>
        <v>0.14000000000000001</v>
      </c>
      <c r="AE651" s="826">
        <f t="shared" si="671"/>
        <v>209</v>
      </c>
      <c r="AF651" s="826">
        <f t="shared" si="672"/>
        <v>20.9</v>
      </c>
      <c r="AG651" s="744"/>
      <c r="AH651" s="728"/>
      <c r="AI651" s="519">
        <f t="shared" si="678"/>
        <v>0</v>
      </c>
      <c r="AJ651" s="519">
        <f t="shared" si="679"/>
        <v>0</v>
      </c>
      <c r="AK651" s="519">
        <f t="shared" si="680"/>
        <v>0</v>
      </c>
      <c r="AL651" s="520">
        <f t="shared" ref="AL651" si="693">ROUND(Y651*AI651+((Y651*(1+AI651))*AJ651)+((Y651*AI651+((Y651*(1+AI651))*AJ651))*AK651),2)</f>
        <v>0</v>
      </c>
      <c r="AM651" s="520">
        <f t="shared" ref="AM651" si="694">AL651*$F651</f>
        <v>0</v>
      </c>
      <c r="AN651" s="520">
        <f t="shared" ref="AN651" si="695">ROUND(AL651*Z651,2)</f>
        <v>0</v>
      </c>
      <c r="AO651" s="520">
        <f t="shared" ref="AO651" si="696">AN651*$F651</f>
        <v>0</v>
      </c>
      <c r="AP651" s="719"/>
      <c r="AQ651" s="719"/>
      <c r="AR651" s="719"/>
      <c r="AS651" s="719"/>
      <c r="AT651" s="719"/>
    </row>
    <row r="652" spans="1:47" s="555" customFormat="1" ht="22.5" customHeight="1">
      <c r="A652" s="620"/>
      <c r="B652" s="531" t="s">
        <v>332</v>
      </c>
      <c r="C652" s="566" t="s">
        <v>736</v>
      </c>
      <c r="D652" s="525">
        <v>131</v>
      </c>
      <c r="E652" s="525" t="s">
        <v>321</v>
      </c>
      <c r="F652" s="1314">
        <f>ROUND(K652*'Summary-E'!$K$61,0)</f>
        <v>1418</v>
      </c>
      <c r="G652" s="527">
        <f t="shared" si="673"/>
        <v>0.71</v>
      </c>
      <c r="H652" s="528">
        <f t="shared" si="681"/>
        <v>1006.78</v>
      </c>
      <c r="I652" s="529"/>
      <c r="J652" s="309"/>
      <c r="K652" s="1175">
        <v>1350</v>
      </c>
      <c r="L652" s="530">
        <f t="shared" si="674"/>
        <v>0.14000000000000001</v>
      </c>
      <c r="M652" s="530">
        <f t="shared" si="675"/>
        <v>198.52</v>
      </c>
      <c r="N652" s="309"/>
      <c r="O652" s="778">
        <v>131</v>
      </c>
      <c r="P652" s="777"/>
      <c r="Q652" s="777"/>
      <c r="R652" s="751"/>
      <c r="S652" s="752">
        <f>3*4700</f>
        <v>14100</v>
      </c>
      <c r="T652" s="792">
        <v>0.1</v>
      </c>
      <c r="U652" s="803">
        <v>0</v>
      </c>
      <c r="V652" s="803">
        <v>0</v>
      </c>
      <c r="W652" s="803">
        <v>0</v>
      </c>
      <c r="X652" s="858">
        <v>1</v>
      </c>
      <c r="Y652" s="310">
        <f>ROUND((R652+S652/'Summary-E'!$M$63)*X652,2)</f>
        <v>0.68</v>
      </c>
      <c r="Z652" s="858">
        <f t="shared" si="682"/>
        <v>1.05</v>
      </c>
      <c r="AA652" s="813">
        <f t="shared" si="676"/>
        <v>0.71</v>
      </c>
      <c r="AB652" s="447">
        <f t="shared" si="677"/>
        <v>0.05</v>
      </c>
      <c r="AC652" s="310">
        <f t="shared" si="641"/>
        <v>0.11</v>
      </c>
      <c r="AD652" s="717">
        <f>ROUND(AC652*'[6]Summary E&amp;M'!$R$94,2)</f>
        <v>0.14000000000000001</v>
      </c>
      <c r="AE652" s="826">
        <f t="shared" si="671"/>
        <v>918</v>
      </c>
      <c r="AF652" s="826">
        <f t="shared" si="672"/>
        <v>148.5</v>
      </c>
      <c r="AG652" s="744"/>
      <c r="AH652" s="728"/>
      <c r="AI652" s="519">
        <f t="shared" si="678"/>
        <v>0</v>
      </c>
      <c r="AJ652" s="519">
        <f t="shared" si="679"/>
        <v>0</v>
      </c>
      <c r="AK652" s="519">
        <f t="shared" si="680"/>
        <v>0</v>
      </c>
      <c r="AL652" s="520">
        <f t="shared" si="683"/>
        <v>0</v>
      </c>
      <c r="AM652" s="520">
        <f t="shared" si="684"/>
        <v>0</v>
      </c>
      <c r="AN652" s="520">
        <f t="shared" si="685"/>
        <v>0</v>
      </c>
      <c r="AO652" s="520">
        <f t="shared" si="686"/>
        <v>0</v>
      </c>
      <c r="AP652" s="719"/>
      <c r="AQ652" s="719"/>
      <c r="AR652" s="719"/>
      <c r="AS652" s="719"/>
      <c r="AT652" s="719"/>
    </row>
    <row r="653" spans="1:47" s="555" customFormat="1" ht="22.5" customHeight="1">
      <c r="A653" s="570"/>
      <c r="B653" s="531" t="s">
        <v>122</v>
      </c>
      <c r="C653" s="569"/>
      <c r="D653" s="525" t="s">
        <v>690</v>
      </c>
      <c r="E653" s="571" t="s">
        <v>322</v>
      </c>
      <c r="F653" s="1322">
        <f>K653</f>
        <v>1</v>
      </c>
      <c r="G653" s="527">
        <f t="shared" si="673"/>
        <v>168.08</v>
      </c>
      <c r="H653" s="528">
        <f t="shared" si="681"/>
        <v>168.08</v>
      </c>
      <c r="I653" s="567"/>
      <c r="J653" s="309"/>
      <c r="K653" s="1149">
        <v>1</v>
      </c>
      <c r="L653" s="530">
        <f t="shared" si="674"/>
        <v>21.66</v>
      </c>
      <c r="M653" s="530">
        <f t="shared" si="675"/>
        <v>21.66</v>
      </c>
      <c r="N653" s="309"/>
      <c r="O653" s="778" t="s">
        <v>690</v>
      </c>
      <c r="P653" s="777">
        <v>0.03</v>
      </c>
      <c r="Q653" s="777"/>
      <c r="R653" s="751">
        <f>ROUND(SUM(AE649:AE652)*P653,2)</f>
        <v>165.03</v>
      </c>
      <c r="S653" s="752"/>
      <c r="T653" s="792">
        <f>ROUND(R653*10%,2)</f>
        <v>16.5</v>
      </c>
      <c r="U653" s="803">
        <v>0</v>
      </c>
      <c r="V653" s="803">
        <v>0</v>
      </c>
      <c r="W653" s="803">
        <v>0</v>
      </c>
      <c r="X653" s="858">
        <f>SUMIF('Summary-E'!O$4:O$50,D653,'Summary-E'!Q$4:Q$50)</f>
        <v>0.97</v>
      </c>
      <c r="Y653" s="310">
        <f>ROUND((R653+S653/'Summary-E'!$M$63)*X653,2)</f>
        <v>160.08000000000001</v>
      </c>
      <c r="Z653" s="858">
        <f t="shared" si="682"/>
        <v>1.05</v>
      </c>
      <c r="AA653" s="813">
        <f t="shared" si="676"/>
        <v>168.08</v>
      </c>
      <c r="AB653" s="447">
        <f t="shared" si="677"/>
        <v>0.05</v>
      </c>
      <c r="AC653" s="310">
        <f t="shared" si="641"/>
        <v>17.329999999999998</v>
      </c>
      <c r="AD653" s="717">
        <f>ROUND(AC653*'[6]Summary E&amp;M'!$R$94,2)</f>
        <v>21.66</v>
      </c>
      <c r="AE653" s="825">
        <f t="shared" si="671"/>
        <v>160.08000000000001</v>
      </c>
      <c r="AF653" s="825">
        <f t="shared" si="672"/>
        <v>17.329999999999998</v>
      </c>
      <c r="AG653" s="743"/>
      <c r="AH653" s="728"/>
      <c r="AI653" s="519">
        <f t="shared" si="678"/>
        <v>0</v>
      </c>
      <c r="AJ653" s="519">
        <f t="shared" si="679"/>
        <v>0</v>
      </c>
      <c r="AK653" s="519">
        <f t="shared" si="680"/>
        <v>0</v>
      </c>
      <c r="AL653" s="520">
        <f t="shared" si="683"/>
        <v>0</v>
      </c>
      <c r="AM653" s="520">
        <f t="shared" si="684"/>
        <v>0</v>
      </c>
      <c r="AN653" s="520">
        <f t="shared" si="685"/>
        <v>0</v>
      </c>
      <c r="AO653" s="520">
        <f t="shared" si="686"/>
        <v>0</v>
      </c>
      <c r="AP653" s="552"/>
      <c r="AQ653" s="552"/>
      <c r="AR653" s="552"/>
      <c r="AS653" s="552"/>
      <c r="AT653" s="552"/>
    </row>
    <row r="654" spans="1:47" s="555" customFormat="1" ht="22.5" customHeight="1">
      <c r="A654" s="570"/>
      <c r="B654" s="568" t="s">
        <v>401</v>
      </c>
      <c r="C654" s="569"/>
      <c r="D654" s="570">
        <v>159</v>
      </c>
      <c r="E654" s="571" t="s">
        <v>322</v>
      </c>
      <c r="F654" s="1322">
        <f>K654</f>
        <v>1</v>
      </c>
      <c r="G654" s="527">
        <f t="shared" si="673"/>
        <v>577.29999999999995</v>
      </c>
      <c r="H654" s="527">
        <f t="shared" si="681"/>
        <v>577.29999999999995</v>
      </c>
      <c r="I654" s="567"/>
      <c r="J654" s="309"/>
      <c r="K654" s="1149">
        <v>1</v>
      </c>
      <c r="L654" s="530">
        <f t="shared" si="674"/>
        <v>111.59</v>
      </c>
      <c r="M654" s="530">
        <f t="shared" si="675"/>
        <v>111.59</v>
      </c>
      <c r="N654" s="309"/>
      <c r="O654" s="778">
        <v>159</v>
      </c>
      <c r="P654" s="777">
        <v>0.05</v>
      </c>
      <c r="Q654" s="777"/>
      <c r="R654" s="751">
        <f>ROUND(SUM(AE637:AE653)*P654,2)</f>
        <v>566.80999999999995</v>
      </c>
      <c r="S654" s="752"/>
      <c r="T654" s="792">
        <f>R654*0.15</f>
        <v>85.021499999999989</v>
      </c>
      <c r="U654" s="803">
        <v>0</v>
      </c>
      <c r="V654" s="803">
        <v>0</v>
      </c>
      <c r="W654" s="803">
        <v>0</v>
      </c>
      <c r="X654" s="858">
        <f>SUMIF('Summary-E'!O$4:O$50,D654,'Summary-E'!Q$4:Q$50)</f>
        <v>0.97</v>
      </c>
      <c r="Y654" s="310">
        <f>ROUND((R654+S654/'Summary-E'!$M$63)*X654,2)</f>
        <v>549.80999999999995</v>
      </c>
      <c r="Z654" s="858">
        <f t="shared" si="682"/>
        <v>1.05</v>
      </c>
      <c r="AA654" s="813">
        <f t="shared" si="676"/>
        <v>577.29999999999995</v>
      </c>
      <c r="AB654" s="447">
        <f t="shared" si="677"/>
        <v>0.05</v>
      </c>
      <c r="AC654" s="310">
        <f t="shared" si="641"/>
        <v>89.27</v>
      </c>
      <c r="AD654" s="717">
        <f>ROUND(AC654*'[6]Summary E&amp;M'!$R$94,2)</f>
        <v>111.59</v>
      </c>
      <c r="AE654" s="825">
        <f t="shared" si="671"/>
        <v>549.80999999999995</v>
      </c>
      <c r="AF654" s="825">
        <f t="shared" si="672"/>
        <v>89.27</v>
      </c>
      <c r="AG654" s="743"/>
      <c r="AH654" s="728"/>
      <c r="AI654" s="519">
        <f t="shared" si="678"/>
        <v>0</v>
      </c>
      <c r="AJ654" s="519">
        <f t="shared" si="679"/>
        <v>0</v>
      </c>
      <c r="AK654" s="519">
        <f t="shared" si="680"/>
        <v>0</v>
      </c>
      <c r="AL654" s="520">
        <f t="shared" si="683"/>
        <v>0</v>
      </c>
      <c r="AM654" s="520">
        <f t="shared" si="684"/>
        <v>0</v>
      </c>
      <c r="AN654" s="520">
        <f t="shared" si="685"/>
        <v>0</v>
      </c>
      <c r="AO654" s="520">
        <f t="shared" si="686"/>
        <v>0</v>
      </c>
      <c r="AP654" s="552"/>
      <c r="AQ654" s="552"/>
      <c r="AR654" s="552"/>
      <c r="AS654" s="552"/>
      <c r="AT654" s="552"/>
    </row>
    <row r="655" spans="1:47" s="555" customFormat="1" ht="22.5" customHeight="1">
      <c r="A655" s="570"/>
      <c r="B655" s="568"/>
      <c r="C655" s="569"/>
      <c r="D655" s="1082"/>
      <c r="E655" s="571"/>
      <c r="F655" s="1314"/>
      <c r="G655" s="527"/>
      <c r="H655" s="527"/>
      <c r="I655" s="567"/>
      <c r="J655" s="309"/>
      <c r="K655" s="1149"/>
      <c r="L655" s="530">
        <f t="shared" si="674"/>
        <v>0</v>
      </c>
      <c r="M655" s="530">
        <f t="shared" si="675"/>
        <v>0</v>
      </c>
      <c r="N655" s="309"/>
      <c r="O655" s="778"/>
      <c r="P655" s="777"/>
      <c r="Q655" s="777"/>
      <c r="R655" s="751"/>
      <c r="S655" s="752"/>
      <c r="T655" s="792"/>
      <c r="U655" s="803">
        <v>0</v>
      </c>
      <c r="V655" s="803">
        <v>0</v>
      </c>
      <c r="W655" s="803">
        <v>0</v>
      </c>
      <c r="X655" s="858">
        <f>SUMIF('Summary-E'!O$4:O$50,D655,'Summary-E'!Q$4:Q$50)</f>
        <v>0</v>
      </c>
      <c r="Y655" s="310">
        <f>ROUND((R655+S655/'Summary-E'!$M$63)*X655,2)</f>
        <v>0</v>
      </c>
      <c r="Z655" s="858">
        <f t="shared" si="682"/>
        <v>1.05</v>
      </c>
      <c r="AA655" s="813"/>
      <c r="AB655" s="447"/>
      <c r="AC655" s="310">
        <f t="shared" si="641"/>
        <v>0</v>
      </c>
      <c r="AD655" s="717">
        <f>ROUND(AC655*'[1]Summary E&amp;M'!$R$94,2)</f>
        <v>0</v>
      </c>
      <c r="AE655" s="825">
        <f t="shared" si="671"/>
        <v>0</v>
      </c>
      <c r="AF655" s="825">
        <f t="shared" si="672"/>
        <v>0</v>
      </c>
      <c r="AG655" s="743"/>
      <c r="AH655" s="728"/>
      <c r="AI655" s="519"/>
      <c r="AJ655" s="519"/>
      <c r="AK655" s="519"/>
      <c r="AL655" s="520"/>
      <c r="AM655" s="520"/>
      <c r="AN655" s="520"/>
      <c r="AO655" s="520"/>
      <c r="AP655" s="552"/>
      <c r="AQ655" s="552"/>
      <c r="AR655" s="552"/>
      <c r="AS655" s="552"/>
      <c r="AT655" s="552"/>
    </row>
    <row r="656" spans="1:47" s="555" customFormat="1" ht="22.5" customHeight="1">
      <c r="A656" s="570"/>
      <c r="B656" s="568" t="s">
        <v>324</v>
      </c>
      <c r="C656" s="569"/>
      <c r="D656" s="525">
        <v>210</v>
      </c>
      <c r="E656" s="571" t="s">
        <v>319</v>
      </c>
      <c r="F656" s="1322">
        <f>K656</f>
        <v>1</v>
      </c>
      <c r="G656" s="527">
        <f>M658</f>
        <v>2711.45</v>
      </c>
      <c r="H656" s="527">
        <f>ROUND(F656*G656,2)</f>
        <v>2711.45</v>
      </c>
      <c r="I656" s="567"/>
      <c r="J656" s="309"/>
      <c r="K656" s="1149">
        <v>1</v>
      </c>
      <c r="L656" s="530"/>
      <c r="M656" s="530"/>
      <c r="N656" s="309"/>
      <c r="O656" s="778">
        <v>210</v>
      </c>
      <c r="P656" s="777"/>
      <c r="Q656" s="777"/>
      <c r="R656" s="751"/>
      <c r="S656" s="752"/>
      <c r="T656" s="796"/>
      <c r="U656" s="803">
        <v>0</v>
      </c>
      <c r="V656" s="803">
        <v>0</v>
      </c>
      <c r="W656" s="803">
        <v>0</v>
      </c>
      <c r="X656" s="858">
        <f>SUMIF('Summary-E'!O$4:O$50,D656,'Summary-E'!Q$4:Q$50)</f>
        <v>0.05</v>
      </c>
      <c r="Y656" s="310">
        <f>ROUND((R656+S656/'Summary-E'!$M$63)*X656,2)</f>
        <v>0</v>
      </c>
      <c r="Z656" s="858">
        <f t="shared" si="682"/>
        <v>1.05</v>
      </c>
      <c r="AA656" s="813">
        <f>ROUND(Y656*Z656,2)</f>
        <v>0</v>
      </c>
      <c r="AB656" s="447">
        <f>$AB$3</f>
        <v>0.05</v>
      </c>
      <c r="AC656" s="310">
        <f t="shared" si="641"/>
        <v>0</v>
      </c>
      <c r="AD656" s="717">
        <f>ROUND(AC656*'[1]Summary E&amp;M'!$R$94,2)</f>
        <v>0</v>
      </c>
      <c r="AE656" s="825">
        <f t="shared" si="671"/>
        <v>0</v>
      </c>
      <c r="AF656" s="825">
        <f t="shared" si="672"/>
        <v>0</v>
      </c>
      <c r="AG656" s="743"/>
      <c r="AH656" s="728"/>
      <c r="AI656" s="519">
        <f>$U656</f>
        <v>0</v>
      </c>
      <c r="AJ656" s="519">
        <f>$V656</f>
        <v>0</v>
      </c>
      <c r="AK656" s="519">
        <f>$W656</f>
        <v>0</v>
      </c>
      <c r="AL656" s="520">
        <f>ROUND(Y656*AI656+((Y656*(1+AI656))*AJ656)+((Y656*AI656+((Y656*(1+AI656))*AJ656))*AK656),2)</f>
        <v>0</v>
      </c>
      <c r="AM656" s="520">
        <f>AL656*$F656</f>
        <v>0</v>
      </c>
      <c r="AN656" s="520">
        <f>ROUND(AL656*Z656,2)</f>
        <v>0</v>
      </c>
      <c r="AO656" s="520">
        <f>AN656*$F656</f>
        <v>0</v>
      </c>
      <c r="AP656" s="552"/>
      <c r="AQ656" s="552"/>
      <c r="AR656" s="552"/>
      <c r="AS656" s="552"/>
      <c r="AT656" s="552"/>
    </row>
    <row r="657" spans="1:46" s="555" customFormat="1" ht="22.5" customHeight="1">
      <c r="A657" s="616"/>
      <c r="B657" s="573"/>
      <c r="C657" s="574"/>
      <c r="D657" s="575"/>
      <c r="E657" s="576"/>
      <c r="F657" s="1326"/>
      <c r="G657" s="577"/>
      <c r="H657" s="577"/>
      <c r="I657" s="578"/>
      <c r="J657" s="549"/>
      <c r="K657" s="1183"/>
      <c r="L657" s="550"/>
      <c r="M657" s="550"/>
      <c r="N657" s="549"/>
      <c r="O657" s="778"/>
      <c r="P657" s="777"/>
      <c r="Q657" s="777"/>
      <c r="R657" s="751"/>
      <c r="S657" s="752"/>
      <c r="T657" s="792"/>
      <c r="U657" s="803"/>
      <c r="V657" s="803"/>
      <c r="W657" s="803"/>
      <c r="X657" s="858">
        <f>SUMIF('Summary-E'!O$4:O$50,D657,'Summary-E'!Q$4:Q$50)</f>
        <v>0</v>
      </c>
      <c r="Y657" s="310">
        <f>ROUND((R657+S657/'Summary-E'!$M$63)*X657,2)</f>
        <v>0</v>
      </c>
      <c r="Z657" s="858">
        <f t="shared" si="682"/>
        <v>1.05</v>
      </c>
      <c r="AA657" s="816"/>
      <c r="AB657" s="552"/>
      <c r="AC657" s="310">
        <f t="shared" si="641"/>
        <v>0</v>
      </c>
      <c r="AD657" s="717">
        <f>ROUND(AC657*'[1]Summary E&amp;M'!$R$94,2)</f>
        <v>0</v>
      </c>
      <c r="AE657" s="835"/>
      <c r="AF657" s="825">
        <f>ROUND($F657*$AC657,2)</f>
        <v>0</v>
      </c>
      <c r="AG657" s="743"/>
      <c r="AH657" s="737"/>
      <c r="AI657" s="552"/>
      <c r="AJ657" s="552"/>
      <c r="AK657" s="552"/>
      <c r="AL657" s="552"/>
      <c r="AM657" s="552"/>
      <c r="AN657" s="552"/>
      <c r="AO657" s="552"/>
      <c r="AP657" s="552"/>
      <c r="AQ657" s="552"/>
      <c r="AR657" s="552"/>
      <c r="AS657" s="552"/>
      <c r="AT657" s="552"/>
    </row>
    <row r="658" spans="1:46" s="711" customFormat="1" ht="22.5" customHeight="1">
      <c r="A658" s="973"/>
      <c r="B658" s="974" t="s">
        <v>414</v>
      </c>
      <c r="C658" s="979"/>
      <c r="D658" s="980"/>
      <c r="E658" s="976"/>
      <c r="F658" s="1317"/>
      <c r="G658" s="971"/>
      <c r="H658" s="971">
        <f>SUBTOTAL(9,H636:H657)</f>
        <v>15654.150000000001</v>
      </c>
      <c r="I658" s="981"/>
      <c r="J658" s="549"/>
      <c r="K658" s="1184"/>
      <c r="L658" s="550"/>
      <c r="M658" s="1051">
        <f>SUBTOTAL(9,M636:M656)</f>
        <v>2711.45</v>
      </c>
      <c r="N658" s="549"/>
      <c r="O658" s="784"/>
      <c r="P658" s="780"/>
      <c r="Q658" s="780"/>
      <c r="R658" s="759"/>
      <c r="S658" s="752"/>
      <c r="T658" s="792"/>
      <c r="U658" s="803">
        <v>0</v>
      </c>
      <c r="V658" s="803">
        <v>0</v>
      </c>
      <c r="W658" s="803">
        <v>0</v>
      </c>
      <c r="X658" s="858">
        <f>SUMIF('Summary-E'!O$4:O$50,D658,'Summary-E'!Q$4:Q$50)</f>
        <v>0</v>
      </c>
      <c r="Y658" s="310">
        <f>ROUND((R658+S658/'Summary-E'!$M$63)*X658,2)</f>
        <v>0</v>
      </c>
      <c r="Z658" s="858">
        <f t="shared" si="682"/>
        <v>1.05</v>
      </c>
      <c r="AA658" s="816"/>
      <c r="AB658" s="552"/>
      <c r="AC658" s="310">
        <f t="shared" si="641"/>
        <v>0</v>
      </c>
      <c r="AD658" s="717">
        <f>ROUND(AC658*'[1]Summary E&amp;M'!$R$94,2)</f>
        <v>0</v>
      </c>
      <c r="AE658" s="823">
        <f>SUBTOTAL(9,AE636:AE657)</f>
        <v>11886.04</v>
      </c>
      <c r="AF658" s="823">
        <f>SUBTOTAL(9,AF636:AF657)</f>
        <v>2089.79</v>
      </c>
      <c r="AG658" s="614"/>
      <c r="AH658" s="730"/>
      <c r="AI658" s="713"/>
      <c r="AJ658" s="713"/>
      <c r="AK658" s="713"/>
      <c r="AL658" s="713"/>
      <c r="AM658" s="712">
        <f>SUBTOTAL(9,AM636:AM657)</f>
        <v>0</v>
      </c>
      <c r="AN658" s="713"/>
      <c r="AO658" s="712">
        <f>SUBTOTAL(9,AO636:AO657)</f>
        <v>0</v>
      </c>
      <c r="AP658" s="713"/>
      <c r="AQ658" s="713"/>
      <c r="AR658" s="713"/>
      <c r="AS658" s="713"/>
      <c r="AT658" s="713"/>
    </row>
    <row r="659" spans="1:46" s="555" customFormat="1" ht="22.5" customHeight="1">
      <c r="A659" s="619"/>
      <c r="B659" s="583"/>
      <c r="C659" s="584"/>
      <c r="D659" s="585"/>
      <c r="E659" s="581"/>
      <c r="F659" s="1327"/>
      <c r="G659" s="586"/>
      <c r="H659" s="586"/>
      <c r="I659" s="587"/>
      <c r="J659" s="549"/>
      <c r="K659" s="1185"/>
      <c r="L659" s="550"/>
      <c r="M659" s="550"/>
      <c r="N659" s="549"/>
      <c r="O659" s="776"/>
      <c r="P659" s="777"/>
      <c r="Q659" s="777"/>
      <c r="R659" s="751"/>
      <c r="S659" s="752"/>
      <c r="T659" s="792"/>
      <c r="U659" s="803"/>
      <c r="V659" s="803"/>
      <c r="W659" s="803"/>
      <c r="X659" s="858">
        <f>SUMIF('Summary-E'!O$4:O$50,D659,'Summary-E'!Q$4:Q$50)</f>
        <v>0</v>
      </c>
      <c r="Y659" s="310">
        <f>ROUND((R659+S659/'Summary-E'!$M$63)*X659,2)</f>
        <v>0</v>
      </c>
      <c r="Z659" s="858">
        <f t="shared" si="682"/>
        <v>1.05</v>
      </c>
      <c r="AA659" s="816"/>
      <c r="AB659" s="552"/>
      <c r="AC659" s="310">
        <f t="shared" si="641"/>
        <v>0</v>
      </c>
      <c r="AD659" s="717">
        <f>ROUND(AC659*'[1]Summary E&amp;M'!$R$94,2)</f>
        <v>0</v>
      </c>
      <c r="AE659" s="832"/>
      <c r="AF659" s="825">
        <f>ROUND($F659*$AC659,2)</f>
        <v>0</v>
      </c>
      <c r="AG659" s="743"/>
      <c r="AH659" s="737"/>
      <c r="AI659" s="552"/>
      <c r="AJ659" s="552"/>
      <c r="AK659" s="552"/>
      <c r="AL659" s="552"/>
      <c r="AM659" s="725"/>
      <c r="AN659" s="552"/>
      <c r="AO659" s="725"/>
      <c r="AP659" s="552"/>
      <c r="AQ659" s="552"/>
      <c r="AR659" s="552"/>
      <c r="AS659" s="552"/>
      <c r="AT659" s="552"/>
    </row>
    <row r="660" spans="1:46" s="555" customFormat="1" ht="22.5" customHeight="1">
      <c r="A660" s="620" t="s">
        <v>415</v>
      </c>
      <c r="B660" s="522" t="s">
        <v>748</v>
      </c>
      <c r="C660" s="566"/>
      <c r="D660" s="588"/>
      <c r="E660" s="524"/>
      <c r="F660" s="1314"/>
      <c r="G660" s="527"/>
      <c r="H660" s="527"/>
      <c r="I660" s="567"/>
      <c r="J660" s="309"/>
      <c r="K660" s="1149"/>
      <c r="L660" s="530"/>
      <c r="M660" s="530"/>
      <c r="N660" s="309"/>
      <c r="O660" s="776"/>
      <c r="P660" s="777"/>
      <c r="Q660" s="777"/>
      <c r="R660" s="751"/>
      <c r="S660" s="752"/>
      <c r="T660" s="792"/>
      <c r="U660" s="803">
        <v>0</v>
      </c>
      <c r="V660" s="803">
        <v>0</v>
      </c>
      <c r="W660" s="803">
        <v>0</v>
      </c>
      <c r="X660" s="858">
        <f>SUMIF('Summary-E'!O$4:O$50,D660,'Summary-E'!Q$4:Q$50)</f>
        <v>0</v>
      </c>
      <c r="Y660" s="310">
        <f>ROUND((R660+S660/'Summary-E'!$M$63)*X660,2)</f>
        <v>0</v>
      </c>
      <c r="Z660" s="858">
        <f t="shared" si="682"/>
        <v>1.05</v>
      </c>
      <c r="AA660" s="813">
        <f t="shared" ref="AA660:AA674" si="697">ROUND(Y660*Z660,2)</f>
        <v>0</v>
      </c>
      <c r="AB660" s="447">
        <f t="shared" ref="AB660:AB674" si="698">$AB$3</f>
        <v>0.05</v>
      </c>
      <c r="AC660" s="310">
        <f t="shared" si="641"/>
        <v>0</v>
      </c>
      <c r="AD660" s="717">
        <f>ROUND(AC660*'[1]Summary E&amp;M'!$R$94,2)</f>
        <v>0</v>
      </c>
      <c r="AE660" s="825">
        <f t="shared" ref="AE660:AE676" si="699">ROUND($K660*$Y660,2)</f>
        <v>0</v>
      </c>
      <c r="AF660" s="825">
        <f t="shared" ref="AF660:AF676" si="700">ROUND($K660*$AC660,2)</f>
        <v>0</v>
      </c>
      <c r="AG660" s="743"/>
      <c r="AH660" s="728"/>
      <c r="AI660" s="519">
        <f t="shared" ref="AI660:AI674" si="701">$U660</f>
        <v>0</v>
      </c>
      <c r="AJ660" s="519">
        <f t="shared" ref="AJ660:AJ674" si="702">$V660</f>
        <v>0</v>
      </c>
      <c r="AK660" s="519">
        <f t="shared" ref="AK660:AK674" si="703">$W660</f>
        <v>0</v>
      </c>
      <c r="AL660" s="520">
        <f t="shared" ref="AL660:AL674" si="704">ROUND(Y660*AI660+((Y660*(1+AI660))*AJ660)+((Y660*AI660+((Y660*(1+AI660))*AJ660))*AK660),2)</f>
        <v>0</v>
      </c>
      <c r="AM660" s="520">
        <f t="shared" ref="AM660:AM674" si="705">AL660*$F660</f>
        <v>0</v>
      </c>
      <c r="AN660" s="520">
        <f t="shared" ref="AN660:AN674" si="706">ROUND(AL660*Z660,2)</f>
        <v>0</v>
      </c>
      <c r="AO660" s="520">
        <f t="shared" ref="AO660:AO674" si="707">AN660*$F660</f>
        <v>0</v>
      </c>
      <c r="AP660" s="552"/>
      <c r="AQ660" s="552"/>
      <c r="AR660" s="552"/>
      <c r="AS660" s="552"/>
      <c r="AT660" s="552"/>
    </row>
    <row r="661" spans="1:46" s="555" customFormat="1" ht="22.5" customHeight="1">
      <c r="A661" s="451"/>
      <c r="B661" s="531" t="s">
        <v>480</v>
      </c>
      <c r="C661" s="566" t="s">
        <v>1055</v>
      </c>
      <c r="D661" s="1206">
        <v>186</v>
      </c>
      <c r="E661" s="524" t="s">
        <v>436</v>
      </c>
      <c r="F661" s="1322">
        <f>K661</f>
        <v>1</v>
      </c>
      <c r="G661" s="527">
        <f t="shared" ref="G661:G672" si="708">ROUNDUP(AA661,2)</f>
        <v>171.38</v>
      </c>
      <c r="H661" s="527">
        <f>ROUND(F661*G661,2)</f>
        <v>171.38</v>
      </c>
      <c r="I661" s="901"/>
      <c r="J661" s="309"/>
      <c r="K661" s="1149">
        <v>1</v>
      </c>
      <c r="L661" s="530">
        <f t="shared" ref="L661:L675" si="709">ROUND(AD661,2)</f>
        <v>52.5</v>
      </c>
      <c r="M661" s="530">
        <f t="shared" ref="M661:M675" si="710">ROUND(L661*F661,2)</f>
        <v>52.5</v>
      </c>
      <c r="N661" s="309"/>
      <c r="O661" s="776" t="s">
        <v>683</v>
      </c>
      <c r="P661" s="777"/>
      <c r="Q661" s="777"/>
      <c r="R661" s="751"/>
      <c r="S661" s="752">
        <v>3500000</v>
      </c>
      <c r="T661" s="792">
        <v>40</v>
      </c>
      <c r="U661" s="803">
        <v>0</v>
      </c>
      <c r="V661" s="803">
        <v>0</v>
      </c>
      <c r="W661" s="803">
        <v>0</v>
      </c>
      <c r="X661" s="858">
        <f>SUMIF('Summary-E'!O$4:O$50,D661,'Summary-E'!Q$4:Q$50)</f>
        <v>0.97</v>
      </c>
      <c r="Y661" s="310">
        <f>ROUND((R661+S661/'[7]Summary E&amp;M'!$M$104)*X661,2)</f>
        <v>163.22</v>
      </c>
      <c r="Z661" s="858">
        <f t="shared" si="682"/>
        <v>1.05</v>
      </c>
      <c r="AA661" s="813">
        <f t="shared" si="697"/>
        <v>171.38</v>
      </c>
      <c r="AB661" s="447">
        <f t="shared" si="698"/>
        <v>0.05</v>
      </c>
      <c r="AC661" s="310">
        <f t="shared" si="641"/>
        <v>42</v>
      </c>
      <c r="AD661" s="717">
        <f>ROUND(AC661*'[11]Summary E&amp;M'!$R$94,2)</f>
        <v>52.5</v>
      </c>
      <c r="AE661" s="825">
        <f t="shared" si="699"/>
        <v>163.22</v>
      </c>
      <c r="AF661" s="825">
        <f t="shared" si="700"/>
        <v>42</v>
      </c>
      <c r="AG661" s="743"/>
      <c r="AH661" s="728"/>
      <c r="AI661" s="519">
        <f t="shared" si="701"/>
        <v>0</v>
      </c>
      <c r="AJ661" s="519">
        <f t="shared" si="702"/>
        <v>0</v>
      </c>
      <c r="AK661" s="519">
        <f t="shared" si="703"/>
        <v>0</v>
      </c>
      <c r="AL661" s="520">
        <f t="shared" si="704"/>
        <v>0</v>
      </c>
      <c r="AM661" s="520">
        <f t="shared" si="705"/>
        <v>0</v>
      </c>
      <c r="AN661" s="520">
        <f t="shared" si="706"/>
        <v>0</v>
      </c>
      <c r="AO661" s="520">
        <f t="shared" si="707"/>
        <v>0</v>
      </c>
      <c r="AP661" s="552"/>
      <c r="AQ661" s="552"/>
      <c r="AR661" s="552"/>
      <c r="AS661" s="552"/>
      <c r="AT661" s="552"/>
    </row>
    <row r="662" spans="1:46" s="555" customFormat="1" ht="22.5" customHeight="1">
      <c r="A662" s="451"/>
      <c r="B662" s="531" t="s">
        <v>737</v>
      </c>
      <c r="C662" s="566" t="s">
        <v>1056</v>
      </c>
      <c r="D662" s="1206">
        <v>186</v>
      </c>
      <c r="E662" s="524" t="s">
        <v>436</v>
      </c>
      <c r="F662" s="1322">
        <f>K662</f>
        <v>1</v>
      </c>
      <c r="G662" s="527">
        <f t="shared" si="708"/>
        <v>58.76</v>
      </c>
      <c r="H662" s="527">
        <f>ROUND(F662*G662,2)</f>
        <v>58.76</v>
      </c>
      <c r="I662" s="901"/>
      <c r="J662" s="309"/>
      <c r="K662" s="1149">
        <v>1</v>
      </c>
      <c r="L662" s="530">
        <f t="shared" si="709"/>
        <v>39.380000000000003</v>
      </c>
      <c r="M662" s="530">
        <f t="shared" si="710"/>
        <v>39.380000000000003</v>
      </c>
      <c r="N662" s="309"/>
      <c r="O662" s="776" t="s">
        <v>683</v>
      </c>
      <c r="P662" s="777"/>
      <c r="Q662" s="777"/>
      <c r="R662" s="751"/>
      <c r="S662" s="752">
        <v>1200000</v>
      </c>
      <c r="T662" s="792">
        <v>30</v>
      </c>
      <c r="U662" s="803">
        <v>0</v>
      </c>
      <c r="V662" s="803">
        <v>0</v>
      </c>
      <c r="W662" s="803">
        <v>0</v>
      </c>
      <c r="X662" s="858">
        <f>SUMIF('Summary-E'!O$4:O$50,D662,'Summary-E'!Q$4:Q$50)</f>
        <v>0.97</v>
      </c>
      <c r="Y662" s="310">
        <f>ROUND((R662+S662/'[7]Summary E&amp;M'!$M$104)*X662,2)</f>
        <v>55.96</v>
      </c>
      <c r="Z662" s="858">
        <f t="shared" si="682"/>
        <v>1.05</v>
      </c>
      <c r="AA662" s="813">
        <f t="shared" si="697"/>
        <v>58.76</v>
      </c>
      <c r="AB662" s="447">
        <f t="shared" si="698"/>
        <v>0.05</v>
      </c>
      <c r="AC662" s="310">
        <f t="shared" si="641"/>
        <v>31.5</v>
      </c>
      <c r="AD662" s="717">
        <f>ROUND(AC662*'[11]Summary E&amp;M'!$R$94,2)</f>
        <v>39.380000000000003</v>
      </c>
      <c r="AE662" s="825">
        <f t="shared" si="699"/>
        <v>55.96</v>
      </c>
      <c r="AF662" s="825">
        <f t="shared" si="700"/>
        <v>31.5</v>
      </c>
      <c r="AG662" s="743"/>
      <c r="AH662" s="728"/>
      <c r="AI662" s="519">
        <f t="shared" si="701"/>
        <v>0</v>
      </c>
      <c r="AJ662" s="519">
        <f t="shared" si="702"/>
        <v>0</v>
      </c>
      <c r="AK662" s="519">
        <f t="shared" si="703"/>
        <v>0</v>
      </c>
      <c r="AL662" s="520">
        <f t="shared" si="704"/>
        <v>0</v>
      </c>
      <c r="AM662" s="520">
        <f t="shared" si="705"/>
        <v>0</v>
      </c>
      <c r="AN662" s="520">
        <f t="shared" si="706"/>
        <v>0</v>
      </c>
      <c r="AO662" s="520">
        <f t="shared" si="707"/>
        <v>0</v>
      </c>
      <c r="AP662" s="552"/>
      <c r="AQ662" s="552"/>
      <c r="AR662" s="552"/>
      <c r="AS662" s="552"/>
      <c r="AT662" s="552"/>
    </row>
    <row r="663" spans="1:46" s="555" customFormat="1" ht="22.5" customHeight="1">
      <c r="A663" s="451"/>
      <c r="B663" s="531" t="s">
        <v>737</v>
      </c>
      <c r="C663" s="566" t="s">
        <v>1057</v>
      </c>
      <c r="D663" s="1206">
        <v>186</v>
      </c>
      <c r="E663" s="524" t="s">
        <v>436</v>
      </c>
      <c r="F663" s="1322">
        <f>K663</f>
        <v>1</v>
      </c>
      <c r="G663" s="527">
        <f t="shared" si="708"/>
        <v>39.18</v>
      </c>
      <c r="H663" s="527">
        <f>ROUND(F663*G663,2)</f>
        <v>39.18</v>
      </c>
      <c r="I663" s="901"/>
      <c r="J663" s="309"/>
      <c r="K663" s="1149">
        <v>1</v>
      </c>
      <c r="L663" s="530">
        <f t="shared" si="709"/>
        <v>26.25</v>
      </c>
      <c r="M663" s="530">
        <f t="shared" si="710"/>
        <v>26.25</v>
      </c>
      <c r="N663" s="309"/>
      <c r="O663" s="776" t="s">
        <v>683</v>
      </c>
      <c r="P663" s="777"/>
      <c r="Q663" s="777"/>
      <c r="R663" s="751"/>
      <c r="S663" s="752">
        <v>800000</v>
      </c>
      <c r="T663" s="792">
        <v>20</v>
      </c>
      <c r="U663" s="803">
        <v>0</v>
      </c>
      <c r="V663" s="803">
        <v>0</v>
      </c>
      <c r="W663" s="803">
        <v>0</v>
      </c>
      <c r="X663" s="858">
        <f>SUMIF('Summary-E'!O$4:O$50,D663,'Summary-E'!Q$4:Q$50)</f>
        <v>0.97</v>
      </c>
      <c r="Y663" s="310">
        <f>ROUND((R663+S663/'[7]Summary E&amp;M'!$M$104)*X663,2)</f>
        <v>37.31</v>
      </c>
      <c r="Z663" s="858">
        <f t="shared" si="682"/>
        <v>1.05</v>
      </c>
      <c r="AA663" s="813">
        <f t="shared" si="697"/>
        <v>39.18</v>
      </c>
      <c r="AB663" s="447">
        <f t="shared" si="698"/>
        <v>0.05</v>
      </c>
      <c r="AC663" s="310">
        <f t="shared" si="641"/>
        <v>21</v>
      </c>
      <c r="AD663" s="717">
        <f>ROUND(AC663*'[11]Summary E&amp;M'!$R$94,2)</f>
        <v>26.25</v>
      </c>
      <c r="AE663" s="825">
        <f t="shared" si="699"/>
        <v>37.31</v>
      </c>
      <c r="AF663" s="825">
        <f t="shared" si="700"/>
        <v>21</v>
      </c>
      <c r="AG663" s="743"/>
      <c r="AH663" s="728"/>
      <c r="AI663" s="519">
        <f t="shared" si="701"/>
        <v>0</v>
      </c>
      <c r="AJ663" s="519">
        <f t="shared" si="702"/>
        <v>0</v>
      </c>
      <c r="AK663" s="519">
        <f t="shared" si="703"/>
        <v>0</v>
      </c>
      <c r="AL663" s="520">
        <f t="shared" si="704"/>
        <v>0</v>
      </c>
      <c r="AM663" s="520">
        <f t="shared" si="705"/>
        <v>0</v>
      </c>
      <c r="AN663" s="520">
        <f t="shared" si="706"/>
        <v>0</v>
      </c>
      <c r="AO663" s="520">
        <f t="shared" si="707"/>
        <v>0</v>
      </c>
      <c r="AP663" s="552"/>
      <c r="AQ663" s="552"/>
      <c r="AR663" s="552"/>
      <c r="AS663" s="552"/>
      <c r="AT663" s="552"/>
    </row>
    <row r="664" spans="1:46" s="555" customFormat="1" ht="22.5" customHeight="1">
      <c r="A664" s="451"/>
      <c r="B664" s="531" t="s">
        <v>621</v>
      </c>
      <c r="C664" s="566"/>
      <c r="D664" s="1206">
        <v>186</v>
      </c>
      <c r="E664" s="524" t="s">
        <v>436</v>
      </c>
      <c r="F664" s="1322">
        <f>K664</f>
        <v>14</v>
      </c>
      <c r="G664" s="527">
        <f t="shared" si="708"/>
        <v>3.42</v>
      </c>
      <c r="H664" s="527">
        <f>ROUND(F664*G664,2)</f>
        <v>47.88</v>
      </c>
      <c r="I664" s="901"/>
      <c r="J664" s="309"/>
      <c r="K664" s="1149">
        <v>14</v>
      </c>
      <c r="L664" s="530">
        <f t="shared" si="709"/>
        <v>3.94</v>
      </c>
      <c r="M664" s="530">
        <f t="shared" si="710"/>
        <v>55.16</v>
      </c>
      <c r="N664" s="309"/>
      <c r="O664" s="776" t="s">
        <v>683</v>
      </c>
      <c r="P664" s="777"/>
      <c r="Q664" s="777"/>
      <c r="R664" s="751"/>
      <c r="S664" s="752">
        <v>67800</v>
      </c>
      <c r="T664" s="792">
        <v>3</v>
      </c>
      <c r="U664" s="803">
        <v>0</v>
      </c>
      <c r="V664" s="803">
        <v>0</v>
      </c>
      <c r="W664" s="803">
        <v>0</v>
      </c>
      <c r="X664" s="858">
        <v>1</v>
      </c>
      <c r="Y664" s="310">
        <f>ROUND((R664+S664/'[7]Summary E&amp;M'!$M$104)*X664,2)</f>
        <v>3.26</v>
      </c>
      <c r="Z664" s="858">
        <f t="shared" si="682"/>
        <v>1.05</v>
      </c>
      <c r="AA664" s="813">
        <f t="shared" si="697"/>
        <v>3.42</v>
      </c>
      <c r="AB664" s="447">
        <f t="shared" si="698"/>
        <v>0.05</v>
      </c>
      <c r="AC664" s="310">
        <f t="shared" si="641"/>
        <v>3.15</v>
      </c>
      <c r="AD664" s="717">
        <f>ROUND(AC664*'[11]Summary E&amp;M'!$R$94,2)</f>
        <v>3.94</v>
      </c>
      <c r="AE664" s="825">
        <f t="shared" si="699"/>
        <v>45.64</v>
      </c>
      <c r="AF664" s="825">
        <f t="shared" si="700"/>
        <v>44.1</v>
      </c>
      <c r="AG664" s="743"/>
      <c r="AH664" s="728"/>
      <c r="AI664" s="519">
        <f t="shared" si="701"/>
        <v>0</v>
      </c>
      <c r="AJ664" s="519">
        <f t="shared" si="702"/>
        <v>0</v>
      </c>
      <c r="AK664" s="519">
        <f t="shared" si="703"/>
        <v>0</v>
      </c>
      <c r="AL664" s="520">
        <f t="shared" si="704"/>
        <v>0</v>
      </c>
      <c r="AM664" s="520">
        <f t="shared" si="705"/>
        <v>0</v>
      </c>
      <c r="AN664" s="520">
        <f t="shared" si="706"/>
        <v>0</v>
      </c>
      <c r="AO664" s="520">
        <f t="shared" si="707"/>
        <v>0</v>
      </c>
      <c r="AP664" s="552"/>
      <c r="AQ664" s="552"/>
      <c r="AR664" s="552"/>
      <c r="AS664" s="552"/>
      <c r="AT664" s="552"/>
    </row>
    <row r="665" spans="1:46" s="555" customFormat="1" ht="22.5" customHeight="1">
      <c r="A665" s="451"/>
      <c r="B665" s="531" t="s">
        <v>998</v>
      </c>
      <c r="C665" s="566"/>
      <c r="D665" s="1206">
        <v>186</v>
      </c>
      <c r="E665" s="524" t="s">
        <v>436</v>
      </c>
      <c r="F665" s="1322">
        <f>K665</f>
        <v>29</v>
      </c>
      <c r="G665" s="527">
        <f>ROUNDUP(AA665,2)</f>
        <v>27.87</v>
      </c>
      <c r="H665" s="527">
        <f>ROUND(F665*G665,2)</f>
        <v>808.23</v>
      </c>
      <c r="I665" s="901"/>
      <c r="J665" s="309"/>
      <c r="K665" s="1149">
        <v>29</v>
      </c>
      <c r="L665" s="530">
        <f>ROUND(AD665,2)</f>
        <v>4.5999999999999996</v>
      </c>
      <c r="M665" s="530">
        <f t="shared" si="710"/>
        <v>133.4</v>
      </c>
      <c r="N665" s="309"/>
      <c r="O665" s="776" t="s">
        <v>683</v>
      </c>
      <c r="P665" s="777"/>
      <c r="Q665" s="777"/>
      <c r="R665" s="751"/>
      <c r="S665" s="752">
        <v>552000</v>
      </c>
      <c r="T665" s="792">
        <v>3.5</v>
      </c>
      <c r="U665" s="803">
        <v>0</v>
      </c>
      <c r="V665" s="803">
        <v>0</v>
      </c>
      <c r="W665" s="803">
        <v>0</v>
      </c>
      <c r="X665" s="858">
        <v>1</v>
      </c>
      <c r="Y665" s="310">
        <f>ROUND((R665+S665/'[7]Summary E&amp;M'!$M$104)*X665,2)</f>
        <v>26.54</v>
      </c>
      <c r="Z665" s="858">
        <f t="shared" si="682"/>
        <v>1.05</v>
      </c>
      <c r="AA665" s="813">
        <f>ROUND(Y665*Z665,2)</f>
        <v>27.87</v>
      </c>
      <c r="AB665" s="447">
        <f t="shared" si="698"/>
        <v>0.05</v>
      </c>
      <c r="AC665" s="310">
        <f>ROUND((T665*(1+AB665)),2)</f>
        <v>3.68</v>
      </c>
      <c r="AD665" s="717">
        <f>ROUND(AC665*'[11]Summary E&amp;M'!$R$94,2)</f>
        <v>4.5999999999999996</v>
      </c>
      <c r="AE665" s="825">
        <f t="shared" si="699"/>
        <v>769.66</v>
      </c>
      <c r="AF665" s="825">
        <f t="shared" si="700"/>
        <v>106.72</v>
      </c>
      <c r="AG665" s="743"/>
      <c r="AH665" s="728"/>
      <c r="AI665" s="519">
        <f t="shared" si="701"/>
        <v>0</v>
      </c>
      <c r="AJ665" s="519">
        <f t="shared" si="702"/>
        <v>0</v>
      </c>
      <c r="AK665" s="519">
        <f t="shared" si="703"/>
        <v>0</v>
      </c>
      <c r="AL665" s="520">
        <f t="shared" si="704"/>
        <v>0</v>
      </c>
      <c r="AM665" s="520">
        <f t="shared" si="705"/>
        <v>0</v>
      </c>
      <c r="AN665" s="520">
        <f t="shared" si="706"/>
        <v>0</v>
      </c>
      <c r="AO665" s="520">
        <f t="shared" si="707"/>
        <v>0</v>
      </c>
      <c r="AP665" s="552"/>
      <c r="AQ665" s="552"/>
      <c r="AR665" s="552"/>
      <c r="AS665" s="552"/>
      <c r="AT665" s="552"/>
    </row>
    <row r="666" spans="1:46" s="555" customFormat="1" ht="22.5" customHeight="1">
      <c r="A666" s="451"/>
      <c r="B666" s="531" t="s">
        <v>743</v>
      </c>
      <c r="C666" s="566" t="s">
        <v>182</v>
      </c>
      <c r="D666" s="525">
        <v>121</v>
      </c>
      <c r="E666" s="524" t="s">
        <v>321</v>
      </c>
      <c r="F666" s="1314">
        <f>ROUND(K666*'Summary-E'!$K$61,0)</f>
        <v>16</v>
      </c>
      <c r="G666" s="527">
        <f t="shared" si="708"/>
        <v>20.7</v>
      </c>
      <c r="H666" s="527">
        <f>F666*G666</f>
        <v>331.2</v>
      </c>
      <c r="I666" s="901"/>
      <c r="J666" s="582"/>
      <c r="K666" s="1149">
        <v>15</v>
      </c>
      <c r="L666" s="530">
        <f t="shared" si="709"/>
        <v>2.1</v>
      </c>
      <c r="M666" s="530">
        <f t="shared" si="710"/>
        <v>33.6</v>
      </c>
      <c r="N666" s="1053"/>
      <c r="O666" s="776" t="s">
        <v>131</v>
      </c>
      <c r="P666" s="777"/>
      <c r="Q666" s="777"/>
      <c r="R666" s="751"/>
      <c r="S666" s="752">
        <v>410000</v>
      </c>
      <c r="T666" s="792">
        <v>1.6</v>
      </c>
      <c r="U666" s="803">
        <v>0</v>
      </c>
      <c r="V666" s="803">
        <v>0</v>
      </c>
      <c r="W666" s="803">
        <v>0</v>
      </c>
      <c r="X666" s="858">
        <v>1</v>
      </c>
      <c r="Y666" s="310">
        <f>ROUND((R666+S666/'[7]Summary E&amp;M'!$M$104)*X666,2)</f>
        <v>19.71</v>
      </c>
      <c r="Z666" s="858">
        <f t="shared" si="682"/>
        <v>1.05</v>
      </c>
      <c r="AA666" s="813">
        <f t="shared" si="697"/>
        <v>20.7</v>
      </c>
      <c r="AB666" s="447">
        <f t="shared" si="698"/>
        <v>0.05</v>
      </c>
      <c r="AC666" s="310">
        <f t="shared" ref="AC666:AC723" si="711">ROUND((T666*(1+AB666)),2)</f>
        <v>1.68</v>
      </c>
      <c r="AD666" s="717">
        <f>ROUND(AC666*'[11]Summary E&amp;M'!$R$94,2)</f>
        <v>2.1</v>
      </c>
      <c r="AE666" s="825">
        <f t="shared" si="699"/>
        <v>295.64999999999998</v>
      </c>
      <c r="AF666" s="825">
        <f t="shared" si="700"/>
        <v>25.2</v>
      </c>
      <c r="AG666" s="743"/>
      <c r="AH666" s="728"/>
      <c r="AI666" s="519">
        <f t="shared" si="701"/>
        <v>0</v>
      </c>
      <c r="AJ666" s="519">
        <f t="shared" si="702"/>
        <v>0</v>
      </c>
      <c r="AK666" s="519">
        <f t="shared" si="703"/>
        <v>0</v>
      </c>
      <c r="AL666" s="520">
        <f t="shared" si="704"/>
        <v>0</v>
      </c>
      <c r="AM666" s="520">
        <f t="shared" si="705"/>
        <v>0</v>
      </c>
      <c r="AN666" s="520">
        <f t="shared" si="706"/>
        <v>0</v>
      </c>
      <c r="AO666" s="520">
        <f t="shared" si="707"/>
        <v>0</v>
      </c>
      <c r="AP666" s="552"/>
      <c r="AQ666" s="552"/>
      <c r="AR666" s="552"/>
      <c r="AS666" s="552"/>
      <c r="AT666" s="552"/>
    </row>
    <row r="667" spans="1:46" s="555" customFormat="1" ht="22.5" customHeight="1">
      <c r="A667" s="451"/>
      <c r="B667" s="531" t="s">
        <v>744</v>
      </c>
      <c r="C667" s="566" t="s">
        <v>182</v>
      </c>
      <c r="D667" s="525">
        <v>121</v>
      </c>
      <c r="E667" s="524" t="s">
        <v>321</v>
      </c>
      <c r="F667" s="1314">
        <f>ROUND(K667*'Summary-E'!$K$61,0)</f>
        <v>147</v>
      </c>
      <c r="G667" s="527">
        <f t="shared" si="708"/>
        <v>13.93</v>
      </c>
      <c r="H667" s="527">
        <f>F667*G667</f>
        <v>2047.71</v>
      </c>
      <c r="I667" s="901"/>
      <c r="J667" s="582"/>
      <c r="K667" s="1149">
        <v>140</v>
      </c>
      <c r="L667" s="530">
        <f t="shared" si="709"/>
        <v>1.58</v>
      </c>
      <c r="M667" s="530">
        <f t="shared" si="710"/>
        <v>232.26</v>
      </c>
      <c r="N667" s="1053"/>
      <c r="O667" s="776" t="s">
        <v>131</v>
      </c>
      <c r="P667" s="777"/>
      <c r="Q667" s="777"/>
      <c r="R667" s="751"/>
      <c r="S667" s="752">
        <v>276000</v>
      </c>
      <c r="T667" s="792">
        <v>1.2</v>
      </c>
      <c r="U667" s="803">
        <v>0</v>
      </c>
      <c r="V667" s="803">
        <v>0</v>
      </c>
      <c r="W667" s="803">
        <v>0</v>
      </c>
      <c r="X667" s="858">
        <v>1</v>
      </c>
      <c r="Y667" s="310">
        <f>ROUND((R667+S667/'[7]Summary E&amp;M'!$M$104)*X667,2)</f>
        <v>13.27</v>
      </c>
      <c r="Z667" s="858">
        <f t="shared" si="682"/>
        <v>1.05</v>
      </c>
      <c r="AA667" s="813">
        <f t="shared" si="697"/>
        <v>13.93</v>
      </c>
      <c r="AB667" s="447">
        <f t="shared" si="698"/>
        <v>0.05</v>
      </c>
      <c r="AC667" s="310">
        <f t="shared" si="711"/>
        <v>1.26</v>
      </c>
      <c r="AD667" s="717">
        <f>ROUND(AC667*'[11]Summary E&amp;M'!$R$94,2)</f>
        <v>1.58</v>
      </c>
      <c r="AE667" s="825">
        <f t="shared" si="699"/>
        <v>1857.8</v>
      </c>
      <c r="AF667" s="825">
        <f t="shared" si="700"/>
        <v>176.4</v>
      </c>
      <c r="AG667" s="743"/>
      <c r="AH667" s="728"/>
      <c r="AI667" s="519">
        <f t="shared" si="701"/>
        <v>0</v>
      </c>
      <c r="AJ667" s="519">
        <f t="shared" si="702"/>
        <v>0</v>
      </c>
      <c r="AK667" s="519">
        <f t="shared" si="703"/>
        <v>0</v>
      </c>
      <c r="AL667" s="520">
        <f t="shared" si="704"/>
        <v>0</v>
      </c>
      <c r="AM667" s="520">
        <f t="shared" si="705"/>
        <v>0</v>
      </c>
      <c r="AN667" s="520">
        <f t="shared" si="706"/>
        <v>0</v>
      </c>
      <c r="AO667" s="520">
        <f t="shared" si="707"/>
        <v>0</v>
      </c>
      <c r="AP667" s="552"/>
      <c r="AQ667" s="552"/>
      <c r="AR667" s="552"/>
      <c r="AS667" s="552"/>
      <c r="AT667" s="552"/>
    </row>
    <row r="668" spans="1:46" s="555" customFormat="1" ht="22.5" customHeight="1">
      <c r="A668" s="451"/>
      <c r="B668" s="531" t="s">
        <v>988</v>
      </c>
      <c r="C668" s="566" t="s">
        <v>182</v>
      </c>
      <c r="D668" s="525">
        <v>121</v>
      </c>
      <c r="E668" s="524" t="s">
        <v>321</v>
      </c>
      <c r="F668" s="1314">
        <f>ROUND(K668*'Summary-E'!$K$61,0)</f>
        <v>16</v>
      </c>
      <c r="G668" s="527">
        <f t="shared" si="708"/>
        <v>11.16</v>
      </c>
      <c r="H668" s="527">
        <f>F668*G668</f>
        <v>178.56</v>
      </c>
      <c r="I668" s="901"/>
      <c r="J668" s="582"/>
      <c r="K668" s="1149">
        <v>15</v>
      </c>
      <c r="L668" s="530">
        <f t="shared" si="709"/>
        <v>3.68</v>
      </c>
      <c r="M668" s="530">
        <f t="shared" si="710"/>
        <v>58.88</v>
      </c>
      <c r="N668" s="1053"/>
      <c r="O668" s="776" t="s">
        <v>131</v>
      </c>
      <c r="P668" s="777"/>
      <c r="Q668" s="777"/>
      <c r="R668" s="751"/>
      <c r="S668" s="752">
        <f>149000+72000</f>
        <v>221000</v>
      </c>
      <c r="T668" s="792">
        <v>2.8</v>
      </c>
      <c r="U668" s="803">
        <v>0</v>
      </c>
      <c r="V668" s="803">
        <v>0</v>
      </c>
      <c r="W668" s="803">
        <v>0</v>
      </c>
      <c r="X668" s="858">
        <v>1</v>
      </c>
      <c r="Y668" s="310">
        <f>ROUND((R668+S668/'[7]Summary E&amp;M'!$M$104)*X668,2)</f>
        <v>10.63</v>
      </c>
      <c r="Z668" s="858">
        <f t="shared" si="682"/>
        <v>1.05</v>
      </c>
      <c r="AA668" s="813">
        <f t="shared" si="697"/>
        <v>11.16</v>
      </c>
      <c r="AB668" s="447">
        <f t="shared" si="698"/>
        <v>0.05</v>
      </c>
      <c r="AC668" s="310">
        <f t="shared" si="711"/>
        <v>2.94</v>
      </c>
      <c r="AD668" s="717">
        <f>ROUND(AC668*'[11]Summary E&amp;M'!$R$94,2)</f>
        <v>3.68</v>
      </c>
      <c r="AE668" s="825">
        <f t="shared" si="699"/>
        <v>159.44999999999999</v>
      </c>
      <c r="AF668" s="825">
        <f t="shared" si="700"/>
        <v>44.1</v>
      </c>
      <c r="AG668" s="743"/>
      <c r="AH668" s="728"/>
      <c r="AI668" s="519">
        <f t="shared" si="701"/>
        <v>0</v>
      </c>
      <c r="AJ668" s="519">
        <f t="shared" si="702"/>
        <v>0</v>
      </c>
      <c r="AK668" s="519">
        <f t="shared" si="703"/>
        <v>0</v>
      </c>
      <c r="AL668" s="520">
        <f t="shared" si="704"/>
        <v>0</v>
      </c>
      <c r="AM668" s="520">
        <f t="shared" si="705"/>
        <v>0</v>
      </c>
      <c r="AN668" s="520">
        <f t="shared" si="706"/>
        <v>0</v>
      </c>
      <c r="AO668" s="520">
        <f t="shared" si="707"/>
        <v>0</v>
      </c>
      <c r="AP668" s="552"/>
      <c r="AQ668" s="552"/>
      <c r="AR668" s="552"/>
      <c r="AS668" s="552"/>
      <c r="AT668" s="552"/>
    </row>
    <row r="669" spans="1:46" s="555" customFormat="1" ht="22.5" customHeight="1">
      <c r="A669" s="451"/>
      <c r="B669" s="531" t="s">
        <v>995</v>
      </c>
      <c r="C669" s="566" t="s">
        <v>182</v>
      </c>
      <c r="D669" s="525">
        <v>121</v>
      </c>
      <c r="E669" s="524" t="s">
        <v>321</v>
      </c>
      <c r="F669" s="1314">
        <f>ROUND(K669*'Summary-E'!$K$61,0)</f>
        <v>53</v>
      </c>
      <c r="G669" s="527">
        <f t="shared" si="708"/>
        <v>5.81</v>
      </c>
      <c r="H669" s="527">
        <f>F669*G669</f>
        <v>307.93</v>
      </c>
      <c r="I669" s="901"/>
      <c r="J669" s="582"/>
      <c r="K669" s="1149">
        <v>50</v>
      </c>
      <c r="L669" s="530">
        <f t="shared" si="709"/>
        <v>1.58</v>
      </c>
      <c r="M669" s="530">
        <f t="shared" si="710"/>
        <v>83.74</v>
      </c>
      <c r="N669" s="1053"/>
      <c r="O669" s="776" t="s">
        <v>131</v>
      </c>
      <c r="P669" s="777"/>
      <c r="Q669" s="777"/>
      <c r="R669" s="751"/>
      <c r="S669" s="752">
        <v>115000</v>
      </c>
      <c r="T669" s="792">
        <v>1.2</v>
      </c>
      <c r="U669" s="803">
        <v>0</v>
      </c>
      <c r="V669" s="803">
        <v>0</v>
      </c>
      <c r="W669" s="803">
        <v>0</v>
      </c>
      <c r="X669" s="858">
        <v>1</v>
      </c>
      <c r="Y669" s="310">
        <f>ROUND((R669+S669/'[7]Summary E&amp;M'!$M$104)*X669,2)</f>
        <v>5.53</v>
      </c>
      <c r="Z669" s="858">
        <f t="shared" si="682"/>
        <v>1.05</v>
      </c>
      <c r="AA669" s="813">
        <f t="shared" si="697"/>
        <v>5.81</v>
      </c>
      <c r="AB669" s="447">
        <f t="shared" si="698"/>
        <v>0.05</v>
      </c>
      <c r="AC669" s="310">
        <f t="shared" si="711"/>
        <v>1.26</v>
      </c>
      <c r="AD669" s="717">
        <f>ROUND(AC669*'[11]Summary E&amp;M'!$R$94,2)</f>
        <v>1.58</v>
      </c>
      <c r="AE669" s="825">
        <f t="shared" si="699"/>
        <v>276.5</v>
      </c>
      <c r="AF669" s="825">
        <f t="shared" si="700"/>
        <v>63</v>
      </c>
      <c r="AG669" s="743"/>
      <c r="AH669" s="728"/>
      <c r="AI669" s="519">
        <f t="shared" si="701"/>
        <v>0</v>
      </c>
      <c r="AJ669" s="519">
        <f t="shared" si="702"/>
        <v>0</v>
      </c>
      <c r="AK669" s="519">
        <f t="shared" si="703"/>
        <v>0</v>
      </c>
      <c r="AL669" s="520">
        <f t="shared" si="704"/>
        <v>0</v>
      </c>
      <c r="AM669" s="520">
        <f t="shared" si="705"/>
        <v>0</v>
      </c>
      <c r="AN669" s="520">
        <f t="shared" si="706"/>
        <v>0</v>
      </c>
      <c r="AO669" s="520">
        <f t="shared" si="707"/>
        <v>0</v>
      </c>
      <c r="AP669" s="552"/>
      <c r="AQ669" s="552"/>
      <c r="AR669" s="552"/>
      <c r="AS669" s="552"/>
      <c r="AT669" s="552"/>
    </row>
    <row r="670" spans="1:46" s="555" customFormat="1" ht="22.5" customHeight="1">
      <c r="A670" s="451"/>
      <c r="B670" s="531" t="s">
        <v>419</v>
      </c>
      <c r="C670" s="566" t="s">
        <v>182</v>
      </c>
      <c r="D670" s="525" t="s">
        <v>1111</v>
      </c>
      <c r="E670" s="524" t="s">
        <v>321</v>
      </c>
      <c r="F670" s="1314">
        <f>ROUND(K670*'Summary-E'!$K$61,0)</f>
        <v>746</v>
      </c>
      <c r="G670" s="527">
        <f t="shared" si="708"/>
        <v>0.77</v>
      </c>
      <c r="H670" s="527">
        <f>F670*G670</f>
        <v>574.41999999999996</v>
      </c>
      <c r="I670" s="901"/>
      <c r="J670" s="582"/>
      <c r="K670" s="1149">
        <f>K664*30+K665*10</f>
        <v>710</v>
      </c>
      <c r="L670" s="530">
        <f t="shared" si="709"/>
        <v>0.4</v>
      </c>
      <c r="M670" s="530">
        <f t="shared" si="710"/>
        <v>298.39999999999998</v>
      </c>
      <c r="N670" s="1053"/>
      <c r="O670" s="776" t="s">
        <v>131</v>
      </c>
      <c r="P670" s="777"/>
      <c r="Q670" s="777"/>
      <c r="R670" s="751">
        <v>0.73</v>
      </c>
      <c r="S670" s="752"/>
      <c r="T670" s="792">
        <v>0.3</v>
      </c>
      <c r="U670" s="803">
        <v>0</v>
      </c>
      <c r="V670" s="803">
        <v>0</v>
      </c>
      <c r="W670" s="803">
        <v>0</v>
      </c>
      <c r="X670" s="858">
        <v>1</v>
      </c>
      <c r="Y670" s="310">
        <f>ROUND((R670+S670/'[7]Summary E&amp;M'!$M$104)*X670,2)</f>
        <v>0.73</v>
      </c>
      <c r="Z670" s="858">
        <f t="shared" si="682"/>
        <v>1.05</v>
      </c>
      <c r="AA670" s="813">
        <f t="shared" si="697"/>
        <v>0.77</v>
      </c>
      <c r="AB670" s="447">
        <f t="shared" si="698"/>
        <v>0.05</v>
      </c>
      <c r="AC670" s="310">
        <f t="shared" si="711"/>
        <v>0.32</v>
      </c>
      <c r="AD670" s="717">
        <f>ROUND(AC670*'[11]Summary E&amp;M'!$R$94,2)</f>
        <v>0.4</v>
      </c>
      <c r="AE670" s="825">
        <f t="shared" si="699"/>
        <v>518.29999999999995</v>
      </c>
      <c r="AF670" s="825">
        <f t="shared" si="700"/>
        <v>227.2</v>
      </c>
      <c r="AG670" s="743"/>
      <c r="AH670" s="728"/>
      <c r="AI670" s="519">
        <f t="shared" si="701"/>
        <v>0</v>
      </c>
      <c r="AJ670" s="519">
        <f t="shared" si="702"/>
        <v>0</v>
      </c>
      <c r="AK670" s="519">
        <f t="shared" si="703"/>
        <v>0</v>
      </c>
      <c r="AL670" s="520">
        <f t="shared" si="704"/>
        <v>0</v>
      </c>
      <c r="AM670" s="520">
        <f t="shared" si="705"/>
        <v>0</v>
      </c>
      <c r="AN670" s="520">
        <f t="shared" si="706"/>
        <v>0</v>
      </c>
      <c r="AO670" s="520">
        <f t="shared" si="707"/>
        <v>0</v>
      </c>
      <c r="AP670" s="552"/>
      <c r="AQ670" s="552"/>
      <c r="AR670" s="552"/>
      <c r="AS670" s="552"/>
      <c r="AT670" s="552"/>
    </row>
    <row r="671" spans="1:46" s="555" customFormat="1" ht="22.5" customHeight="1">
      <c r="A671" s="638"/>
      <c r="B671" s="997" t="s">
        <v>435</v>
      </c>
      <c r="C671" s="566"/>
      <c r="D671" s="525" t="s">
        <v>1111</v>
      </c>
      <c r="E671" s="524" t="s">
        <v>322</v>
      </c>
      <c r="F671" s="1322">
        <f>K671</f>
        <v>1</v>
      </c>
      <c r="G671" s="527">
        <f t="shared" si="708"/>
        <v>949.56</v>
      </c>
      <c r="H671" s="527">
        <f>ROUND(F671*G671,2)</f>
        <v>949.56</v>
      </c>
      <c r="I671" s="962"/>
      <c r="J671" s="590"/>
      <c r="K671" s="1149">
        <v>1</v>
      </c>
      <c r="L671" s="530">
        <f t="shared" si="709"/>
        <v>122.36</v>
      </c>
      <c r="M671" s="530">
        <f t="shared" si="710"/>
        <v>122.36</v>
      </c>
      <c r="N671" s="590"/>
      <c r="O671" s="776" t="s">
        <v>139</v>
      </c>
      <c r="P671" s="777">
        <v>0.3</v>
      </c>
      <c r="Q671" s="777"/>
      <c r="R671" s="751">
        <f>ROUND((SUM(AE666:AE670))*P671,2)</f>
        <v>932.31</v>
      </c>
      <c r="S671" s="752"/>
      <c r="T671" s="792">
        <f>ROUND(R671*10%,2)</f>
        <v>93.23</v>
      </c>
      <c r="U671" s="803">
        <v>0</v>
      </c>
      <c r="V671" s="803">
        <v>0</v>
      </c>
      <c r="W671" s="803">
        <v>0</v>
      </c>
      <c r="X671" s="858">
        <f>SUMIF('Summary-E'!O$4:O$50,D671,'Summary-E'!Q$4:Q$50)</f>
        <v>0.97</v>
      </c>
      <c r="Y671" s="310">
        <f>ROUND((R671+S671/'[7]Summary E&amp;M'!$M$104)*X671,2)</f>
        <v>904.34</v>
      </c>
      <c r="Z671" s="858">
        <f t="shared" si="682"/>
        <v>1.05</v>
      </c>
      <c r="AA671" s="813">
        <f t="shared" si="697"/>
        <v>949.56</v>
      </c>
      <c r="AB671" s="447">
        <f t="shared" si="698"/>
        <v>0.05</v>
      </c>
      <c r="AC671" s="310">
        <f t="shared" si="711"/>
        <v>97.89</v>
      </c>
      <c r="AD671" s="717">
        <f>ROUND(AC671*'[11]Summary E&amp;M'!$R$94,2)</f>
        <v>122.36</v>
      </c>
      <c r="AE671" s="825">
        <f t="shared" si="699"/>
        <v>904.34</v>
      </c>
      <c r="AF671" s="825">
        <f t="shared" si="700"/>
        <v>97.89</v>
      </c>
      <c r="AG671" s="743"/>
      <c r="AH671" s="728"/>
      <c r="AI671" s="519">
        <f t="shared" si="701"/>
        <v>0</v>
      </c>
      <c r="AJ671" s="519">
        <f t="shared" si="702"/>
        <v>0</v>
      </c>
      <c r="AK671" s="519">
        <f t="shared" si="703"/>
        <v>0</v>
      </c>
      <c r="AL671" s="520">
        <f t="shared" si="704"/>
        <v>0</v>
      </c>
      <c r="AM671" s="520">
        <f t="shared" si="705"/>
        <v>0</v>
      </c>
      <c r="AN671" s="520">
        <f t="shared" si="706"/>
        <v>0</v>
      </c>
      <c r="AO671" s="520">
        <f t="shared" si="707"/>
        <v>0</v>
      </c>
      <c r="AP671" s="552"/>
      <c r="AQ671" s="552"/>
      <c r="AR671" s="552"/>
      <c r="AS671" s="552"/>
      <c r="AT671" s="552"/>
    </row>
    <row r="672" spans="1:46" s="555" customFormat="1" ht="22.5" customHeight="1">
      <c r="A672" s="638"/>
      <c r="B672" s="997" t="s">
        <v>718</v>
      </c>
      <c r="C672" s="566"/>
      <c r="D672" s="525" t="s">
        <v>139</v>
      </c>
      <c r="E672" s="524" t="s">
        <v>322</v>
      </c>
      <c r="F672" s="1322">
        <f>K672</f>
        <v>1</v>
      </c>
      <c r="G672" s="527">
        <f t="shared" si="708"/>
        <v>474.79</v>
      </c>
      <c r="H672" s="527">
        <f>ROUND(F672*G672,2)</f>
        <v>474.79</v>
      </c>
      <c r="I672" s="962"/>
      <c r="J672" s="590"/>
      <c r="K672" s="1149">
        <v>1</v>
      </c>
      <c r="L672" s="530">
        <f t="shared" si="709"/>
        <v>61.19</v>
      </c>
      <c r="M672" s="530">
        <f t="shared" si="710"/>
        <v>61.19</v>
      </c>
      <c r="N672" s="590"/>
      <c r="O672" s="776" t="s">
        <v>139</v>
      </c>
      <c r="P672" s="777">
        <v>0.15</v>
      </c>
      <c r="Q672" s="777"/>
      <c r="R672" s="751">
        <f>ROUND((SUM(AE666:AE670))*P672,2)</f>
        <v>466.16</v>
      </c>
      <c r="S672" s="752"/>
      <c r="T672" s="792">
        <f>ROUND(R672*10%,2)</f>
        <v>46.62</v>
      </c>
      <c r="U672" s="803">
        <v>0</v>
      </c>
      <c r="V672" s="803">
        <v>0</v>
      </c>
      <c r="W672" s="803">
        <v>0</v>
      </c>
      <c r="X672" s="858">
        <f>SUMIF('Summary-E'!O$4:O$50,D672,'Summary-E'!Q$4:Q$50)</f>
        <v>0.97</v>
      </c>
      <c r="Y672" s="310">
        <f>ROUND((R672+S672/'[7]Summary E&amp;M'!$M$104)*X672,2)</f>
        <v>452.18</v>
      </c>
      <c r="Z672" s="858">
        <f t="shared" si="682"/>
        <v>1.05</v>
      </c>
      <c r="AA672" s="813">
        <f t="shared" si="697"/>
        <v>474.79</v>
      </c>
      <c r="AB672" s="447">
        <f t="shared" si="698"/>
        <v>0.05</v>
      </c>
      <c r="AC672" s="310">
        <f t="shared" si="711"/>
        <v>48.95</v>
      </c>
      <c r="AD672" s="717">
        <f>ROUND(AC672*'[11]Summary E&amp;M'!$R$94,2)</f>
        <v>61.19</v>
      </c>
      <c r="AE672" s="825">
        <f t="shared" si="699"/>
        <v>452.18</v>
      </c>
      <c r="AF672" s="825">
        <f t="shared" si="700"/>
        <v>48.95</v>
      </c>
      <c r="AG672" s="743"/>
      <c r="AH672" s="728"/>
      <c r="AI672" s="519">
        <f t="shared" si="701"/>
        <v>0</v>
      </c>
      <c r="AJ672" s="519">
        <f t="shared" si="702"/>
        <v>0</v>
      </c>
      <c r="AK672" s="519">
        <f t="shared" si="703"/>
        <v>0</v>
      </c>
      <c r="AL672" s="520">
        <f t="shared" si="704"/>
        <v>0</v>
      </c>
      <c r="AM672" s="520">
        <f t="shared" si="705"/>
        <v>0</v>
      </c>
      <c r="AN672" s="520">
        <f t="shared" si="706"/>
        <v>0</v>
      </c>
      <c r="AO672" s="520">
        <f t="shared" si="707"/>
        <v>0</v>
      </c>
      <c r="AP672" s="552"/>
      <c r="AQ672" s="552"/>
      <c r="AR672" s="552"/>
      <c r="AS672" s="552"/>
      <c r="AT672" s="552"/>
    </row>
    <row r="673" spans="1:46" s="555" customFormat="1" ht="22.5" customHeight="1">
      <c r="A673" s="570"/>
      <c r="B673" s="568" t="s">
        <v>745</v>
      </c>
      <c r="C673" s="569"/>
      <c r="D673" s="1206">
        <v>186</v>
      </c>
      <c r="E673" s="524" t="s">
        <v>322</v>
      </c>
      <c r="F673" s="1322">
        <f>K673</f>
        <v>1</v>
      </c>
      <c r="G673" s="999" t="s">
        <v>119</v>
      </c>
      <c r="H673" s="1000"/>
      <c r="I673" s="420" t="s">
        <v>137</v>
      </c>
      <c r="J673" s="309"/>
      <c r="K673" s="1175">
        <v>1</v>
      </c>
      <c r="L673" s="530">
        <f t="shared" si="709"/>
        <v>0</v>
      </c>
      <c r="M673" s="530">
        <f t="shared" si="710"/>
        <v>0</v>
      </c>
      <c r="N673" s="309"/>
      <c r="O673" s="776">
        <v>159</v>
      </c>
      <c r="P673" s="777"/>
      <c r="Q673" s="785"/>
      <c r="R673" s="751"/>
      <c r="S673" s="752"/>
      <c r="T673" s="792"/>
      <c r="U673" s="803">
        <v>0</v>
      </c>
      <c r="V673" s="803">
        <v>0</v>
      </c>
      <c r="W673" s="803">
        <v>0</v>
      </c>
      <c r="X673" s="858">
        <f>SUMIF('Summary-E'!O$4:O$50,D673,'Summary-E'!Q$4:Q$50)</f>
        <v>0.97</v>
      </c>
      <c r="Y673" s="310">
        <f>ROUND((R673+S673/'[7]Summary E&amp;M'!$M$104)*X673,2)</f>
        <v>0</v>
      </c>
      <c r="Z673" s="858">
        <f t="shared" si="682"/>
        <v>1.05</v>
      </c>
      <c r="AA673" s="813">
        <f t="shared" si="697"/>
        <v>0</v>
      </c>
      <c r="AB673" s="447">
        <f t="shared" si="698"/>
        <v>0.05</v>
      </c>
      <c r="AC673" s="310">
        <f t="shared" si="711"/>
        <v>0</v>
      </c>
      <c r="AD673" s="717">
        <f>ROUND(AC673*'[11]Summary E&amp;M'!$R$94,2)</f>
        <v>0</v>
      </c>
      <c r="AE673" s="825">
        <f t="shared" si="699"/>
        <v>0</v>
      </c>
      <c r="AF673" s="825">
        <f t="shared" si="700"/>
        <v>0</v>
      </c>
      <c r="AG673" s="743"/>
      <c r="AH673" s="728"/>
      <c r="AI673" s="519">
        <f t="shared" si="701"/>
        <v>0</v>
      </c>
      <c r="AJ673" s="519">
        <f t="shared" si="702"/>
        <v>0</v>
      </c>
      <c r="AK673" s="519">
        <f t="shared" si="703"/>
        <v>0</v>
      </c>
      <c r="AL673" s="520">
        <f t="shared" si="704"/>
        <v>0</v>
      </c>
      <c r="AM673" s="520">
        <f t="shared" si="705"/>
        <v>0</v>
      </c>
      <c r="AN673" s="520">
        <f t="shared" si="706"/>
        <v>0</v>
      </c>
      <c r="AO673" s="520">
        <f t="shared" si="707"/>
        <v>0</v>
      </c>
      <c r="AP673" s="552"/>
      <c r="AQ673" s="552"/>
      <c r="AR673" s="552"/>
      <c r="AS673" s="552"/>
      <c r="AT673" s="552"/>
    </row>
    <row r="674" spans="1:46" s="555" customFormat="1" ht="22.5" customHeight="1">
      <c r="A674" s="570"/>
      <c r="B674" s="568" t="s">
        <v>401</v>
      </c>
      <c r="C674" s="569"/>
      <c r="D674" s="570">
        <v>159</v>
      </c>
      <c r="E674" s="571" t="s">
        <v>322</v>
      </c>
      <c r="F674" s="1322">
        <f>K674</f>
        <v>1</v>
      </c>
      <c r="G674" s="527">
        <f>ROUNDUP(AA674,2)</f>
        <v>273.61</v>
      </c>
      <c r="H674" s="527">
        <f>ROUND(F674*G674,2)</f>
        <v>273.61</v>
      </c>
      <c r="I674" s="901"/>
      <c r="J674" s="309"/>
      <c r="K674" s="1149">
        <v>1</v>
      </c>
      <c r="L674" s="530">
        <f t="shared" si="709"/>
        <v>35.25</v>
      </c>
      <c r="M674" s="530">
        <f t="shared" si="710"/>
        <v>35.25</v>
      </c>
      <c r="N674" s="309"/>
      <c r="O674" s="776">
        <v>159</v>
      </c>
      <c r="P674" s="777">
        <v>0.05</v>
      </c>
      <c r="Q674" s="777"/>
      <c r="R674" s="751">
        <f>ROUND((SUM(AE662:AE673))*P674,2)</f>
        <v>268.64</v>
      </c>
      <c r="S674" s="752"/>
      <c r="T674" s="792">
        <f>ROUND(R674*10%,2)</f>
        <v>26.86</v>
      </c>
      <c r="U674" s="803">
        <v>0</v>
      </c>
      <c r="V674" s="803">
        <v>0</v>
      </c>
      <c r="W674" s="803">
        <v>0</v>
      </c>
      <c r="X674" s="858">
        <f>SUMIF('Summary-E'!O$4:O$50,D674,'Summary-E'!Q$4:Q$50)</f>
        <v>0.97</v>
      </c>
      <c r="Y674" s="310">
        <f>ROUND((R674+S674/'[7]Summary E&amp;M'!$M$104)*X674,2)</f>
        <v>260.58</v>
      </c>
      <c r="Z674" s="858">
        <f t="shared" si="682"/>
        <v>1.05</v>
      </c>
      <c r="AA674" s="813">
        <f t="shared" si="697"/>
        <v>273.61</v>
      </c>
      <c r="AB674" s="447">
        <f t="shared" si="698"/>
        <v>0.05</v>
      </c>
      <c r="AC674" s="310">
        <f t="shared" si="711"/>
        <v>28.2</v>
      </c>
      <c r="AD674" s="717">
        <f>ROUND(AC674*'[11]Summary E&amp;M'!$R$94,2)</f>
        <v>35.25</v>
      </c>
      <c r="AE674" s="825">
        <f t="shared" si="699"/>
        <v>260.58</v>
      </c>
      <c r="AF674" s="825">
        <f t="shared" si="700"/>
        <v>28.2</v>
      </c>
      <c r="AG674" s="743"/>
      <c r="AH674" s="728"/>
      <c r="AI674" s="519">
        <f t="shared" si="701"/>
        <v>0</v>
      </c>
      <c r="AJ674" s="519">
        <f t="shared" si="702"/>
        <v>0</v>
      </c>
      <c r="AK674" s="519">
        <f t="shared" si="703"/>
        <v>0</v>
      </c>
      <c r="AL674" s="520">
        <f t="shared" si="704"/>
        <v>0</v>
      </c>
      <c r="AM674" s="520">
        <f t="shared" si="705"/>
        <v>0</v>
      </c>
      <c r="AN674" s="520">
        <f t="shared" si="706"/>
        <v>0</v>
      </c>
      <c r="AO674" s="520">
        <f t="shared" si="707"/>
        <v>0</v>
      </c>
      <c r="AP674" s="552"/>
      <c r="AQ674" s="552"/>
      <c r="AR674" s="552"/>
      <c r="AS674" s="552"/>
      <c r="AT674" s="552"/>
    </row>
    <row r="675" spans="1:46" s="555" customFormat="1" ht="22.5" customHeight="1">
      <c r="A675" s="638"/>
      <c r="B675" s="997"/>
      <c r="C675" s="566"/>
      <c r="D675" s="525"/>
      <c r="E675" s="524"/>
      <c r="F675" s="1314"/>
      <c r="G675" s="527"/>
      <c r="H675" s="527"/>
      <c r="I675" s="962"/>
      <c r="J675" s="590"/>
      <c r="K675" s="1149"/>
      <c r="L675" s="530">
        <f t="shared" si="709"/>
        <v>0</v>
      </c>
      <c r="M675" s="530">
        <f t="shared" si="710"/>
        <v>0</v>
      </c>
      <c r="N675" s="590"/>
      <c r="O675" s="776"/>
      <c r="P675" s="777"/>
      <c r="Q675" s="777"/>
      <c r="R675" s="751"/>
      <c r="S675" s="752"/>
      <c r="T675" s="792"/>
      <c r="U675" s="803"/>
      <c r="V675" s="803"/>
      <c r="W675" s="803"/>
      <c r="X675" s="858">
        <f>SUMIF('Summary-E'!O$4:O$50,D675,'Summary-E'!Q$4:Q$50)</f>
        <v>0</v>
      </c>
      <c r="Y675" s="310">
        <f>ROUND((R675+S675/'Summary-E'!$M$63)*X675,2)</f>
        <v>0</v>
      </c>
      <c r="Z675" s="858">
        <f t="shared" si="682"/>
        <v>1.05</v>
      </c>
      <c r="AA675" s="813"/>
      <c r="AB675" s="447"/>
      <c r="AC675" s="310">
        <f t="shared" si="711"/>
        <v>0</v>
      </c>
      <c r="AD675" s="717">
        <f>ROUND(AC675*'[1]Summary E&amp;M'!$R$94,2)</f>
        <v>0</v>
      </c>
      <c r="AE675" s="825">
        <f t="shared" si="699"/>
        <v>0</v>
      </c>
      <c r="AF675" s="825">
        <f t="shared" si="700"/>
        <v>0</v>
      </c>
      <c r="AG675" s="743"/>
      <c r="AH675" s="728"/>
      <c r="AI675" s="519"/>
      <c r="AJ675" s="519"/>
      <c r="AK675" s="519"/>
      <c r="AL675" s="520"/>
      <c r="AM675" s="520"/>
      <c r="AN675" s="520"/>
      <c r="AO675" s="520"/>
      <c r="AP675" s="552"/>
      <c r="AQ675" s="552"/>
      <c r="AR675" s="552"/>
      <c r="AS675" s="552"/>
      <c r="AT675" s="552"/>
    </row>
    <row r="676" spans="1:46" s="555" customFormat="1" ht="22.5" customHeight="1">
      <c r="A676" s="570"/>
      <c r="B676" s="568" t="s">
        <v>324</v>
      </c>
      <c r="C676" s="569"/>
      <c r="D676" s="525">
        <v>210</v>
      </c>
      <c r="E676" s="571" t="s">
        <v>319</v>
      </c>
      <c r="F676" s="1322">
        <f>K676</f>
        <v>1</v>
      </c>
      <c r="G676" s="527">
        <f>M678</f>
        <v>1232.3699999999999</v>
      </c>
      <c r="H676" s="527">
        <f>ROUND(F676*G676,2)</f>
        <v>1232.3699999999999</v>
      </c>
      <c r="I676" s="901"/>
      <c r="J676" s="309"/>
      <c r="K676" s="1149">
        <v>1</v>
      </c>
      <c r="L676" s="530"/>
      <c r="M676" s="530"/>
      <c r="N676" s="309"/>
      <c r="O676" s="776">
        <v>210</v>
      </c>
      <c r="P676" s="777"/>
      <c r="Q676" s="777"/>
      <c r="R676" s="751"/>
      <c r="S676" s="752"/>
      <c r="T676" s="796"/>
      <c r="U676" s="803">
        <v>0</v>
      </c>
      <c r="V676" s="803">
        <v>0</v>
      </c>
      <c r="W676" s="803">
        <v>0</v>
      </c>
      <c r="X676" s="858">
        <f>SUMIF('Summary-E'!O$4:O$50,D676,'Summary-E'!Q$4:Q$50)</f>
        <v>0.05</v>
      </c>
      <c r="Y676" s="310">
        <f>ROUND((R676+S676/'Summary-E'!$M$63)*X676,2)</f>
        <v>0</v>
      </c>
      <c r="Z676" s="858">
        <f t="shared" si="682"/>
        <v>1.05</v>
      </c>
      <c r="AA676" s="813">
        <f>ROUND(Y676*Z676,2)</f>
        <v>0</v>
      </c>
      <c r="AB676" s="447">
        <f>$AB$3</f>
        <v>0.05</v>
      </c>
      <c r="AC676" s="310">
        <f t="shared" si="711"/>
        <v>0</v>
      </c>
      <c r="AD676" s="717">
        <f>ROUND(AC676*'[1]Summary E&amp;M'!$R$94,2)</f>
        <v>0</v>
      </c>
      <c r="AE676" s="825">
        <f t="shared" si="699"/>
        <v>0</v>
      </c>
      <c r="AF676" s="825">
        <f t="shared" si="700"/>
        <v>0</v>
      </c>
      <c r="AG676" s="743"/>
      <c r="AH676" s="728"/>
      <c r="AI676" s="519">
        <f>$U676</f>
        <v>0</v>
      </c>
      <c r="AJ676" s="519">
        <f>$V676</f>
        <v>0</v>
      </c>
      <c r="AK676" s="519">
        <f>$W676</f>
        <v>0</v>
      </c>
      <c r="AL676" s="520">
        <f>ROUND(Y676*AI676+((Y676*(1+AI676))*AJ676)+((Y676*AI676+((Y676*(1+AI676))*AJ676))*AK676),2)</f>
        <v>0</v>
      </c>
      <c r="AM676" s="520">
        <f>AL676*$F676</f>
        <v>0</v>
      </c>
      <c r="AN676" s="520">
        <f>ROUND(AL676*Z676,2)</f>
        <v>0</v>
      </c>
      <c r="AO676" s="520">
        <f>AN676*$F676</f>
        <v>0</v>
      </c>
      <c r="AP676" s="552"/>
      <c r="AQ676" s="552"/>
      <c r="AR676" s="552"/>
      <c r="AS676" s="552"/>
      <c r="AT676" s="552"/>
    </row>
    <row r="677" spans="1:46" s="555" customFormat="1" ht="22.5" customHeight="1">
      <c r="A677" s="639"/>
      <c r="B677" s="591"/>
      <c r="C677" s="592"/>
      <c r="D677" s="593"/>
      <c r="E677" s="594"/>
      <c r="F677" s="1325"/>
      <c r="G677" s="541"/>
      <c r="H677" s="541"/>
      <c r="I677" s="595"/>
      <c r="J677" s="549"/>
      <c r="K677" s="1182"/>
      <c r="L677" s="550"/>
      <c r="M677" s="550"/>
      <c r="N677" s="549"/>
      <c r="O677" s="776"/>
      <c r="P677" s="777"/>
      <c r="Q677" s="777"/>
      <c r="R677" s="751"/>
      <c r="S677" s="752"/>
      <c r="T677" s="796"/>
      <c r="U677" s="803"/>
      <c r="V677" s="803"/>
      <c r="W677" s="803"/>
      <c r="X677" s="858">
        <f>SUMIF('Summary-E'!O$4:O$50,D677,'Summary-E'!Q$4:Q$50)</f>
        <v>0</v>
      </c>
      <c r="Y677" s="310">
        <f>ROUND((R677+S677/'Summary-E'!$M$63)*X677,2)</f>
        <v>0</v>
      </c>
      <c r="Z677" s="858">
        <f t="shared" si="682"/>
        <v>1.05</v>
      </c>
      <c r="AA677" s="816"/>
      <c r="AB677" s="552"/>
      <c r="AC677" s="310">
        <f t="shared" si="711"/>
        <v>0</v>
      </c>
      <c r="AD677" s="717">
        <f>ROUND(AC677*'[1]Summary E&amp;M'!$R$94,2)</f>
        <v>0</v>
      </c>
      <c r="AE677" s="836"/>
      <c r="AF677" s="836"/>
      <c r="AG677" s="743"/>
      <c r="AH677" s="737"/>
      <c r="AI677" s="552"/>
      <c r="AJ677" s="552"/>
      <c r="AK677" s="552"/>
      <c r="AL677" s="552"/>
      <c r="AM677" s="552"/>
      <c r="AN677" s="552"/>
      <c r="AO677" s="552"/>
      <c r="AP677" s="552"/>
      <c r="AQ677" s="552"/>
      <c r="AR677" s="552"/>
      <c r="AS677" s="552"/>
      <c r="AT677" s="552"/>
    </row>
    <row r="678" spans="1:46" s="711" customFormat="1" ht="22.5" customHeight="1">
      <c r="A678" s="973"/>
      <c r="B678" s="974" t="s">
        <v>416</v>
      </c>
      <c r="C678" s="979"/>
      <c r="D678" s="980"/>
      <c r="E678" s="976"/>
      <c r="F678" s="1317"/>
      <c r="G678" s="971"/>
      <c r="H678" s="971">
        <f>SUBTOTAL(9,H660:H677)</f>
        <v>7495.579999999999</v>
      </c>
      <c r="I678" s="981"/>
      <c r="J678" s="599"/>
      <c r="K678" s="1184"/>
      <c r="L678" s="600"/>
      <c r="M678" s="1051">
        <f>SUBTOTAL(9,M660:M676)</f>
        <v>1232.3699999999999</v>
      </c>
      <c r="N678" s="599"/>
      <c r="O678" s="779"/>
      <c r="P678" s="780"/>
      <c r="Q678" s="780"/>
      <c r="R678" s="751"/>
      <c r="S678" s="752"/>
      <c r="T678" s="796"/>
      <c r="U678" s="803">
        <v>0</v>
      </c>
      <c r="V678" s="803">
        <v>0</v>
      </c>
      <c r="W678" s="803">
        <v>0</v>
      </c>
      <c r="X678" s="858">
        <f>SUMIF('Summary-E'!O$4:O$50,D678,'Summary-E'!Q$4:Q$50)</f>
        <v>0</v>
      </c>
      <c r="Y678" s="310">
        <f>ROUND((R678+S678/'Summary-E'!$M$63)*X678,2)</f>
        <v>0</v>
      </c>
      <c r="Z678" s="858">
        <f t="shared" si="682"/>
        <v>1.05</v>
      </c>
      <c r="AA678" s="816"/>
      <c r="AB678" s="552"/>
      <c r="AC678" s="310">
        <f t="shared" si="711"/>
        <v>0</v>
      </c>
      <c r="AD678" s="717">
        <f>ROUND(AC678*'[1]Summary E&amp;M'!$R$94,2)</f>
        <v>0</v>
      </c>
      <c r="AE678" s="823">
        <f>SUBTOTAL(9,AE660:AE677)</f>
        <v>5796.59</v>
      </c>
      <c r="AF678" s="823">
        <f>SUBTOTAL(9,AF660:AF677)</f>
        <v>956.2600000000001</v>
      </c>
      <c r="AG678" s="614"/>
      <c r="AH678" s="730"/>
      <c r="AI678" s="713"/>
      <c r="AJ678" s="713"/>
      <c r="AK678" s="713"/>
      <c r="AL678" s="713"/>
      <c r="AM678" s="712">
        <f>SUBTOTAL(9,AM660:AM677)</f>
        <v>0</v>
      </c>
      <c r="AN678" s="713"/>
      <c r="AO678" s="712">
        <f>SUBTOTAL(9,AO660:AO677)</f>
        <v>0</v>
      </c>
      <c r="AP678" s="713"/>
      <c r="AQ678" s="713"/>
      <c r="AR678" s="713"/>
      <c r="AS678" s="713"/>
      <c r="AT678" s="713"/>
    </row>
    <row r="679" spans="1:46" s="555" customFormat="1" ht="22.5" customHeight="1">
      <c r="A679" s="451"/>
      <c r="B679" s="522"/>
      <c r="C679" s="572"/>
      <c r="D679" s="596"/>
      <c r="E679" s="597"/>
      <c r="F679" s="1327"/>
      <c r="G679" s="527"/>
      <c r="H679" s="541"/>
      <c r="I679" s="598"/>
      <c r="J679" s="599"/>
      <c r="K679" s="1185"/>
      <c r="L679" s="600"/>
      <c r="M679" s="600"/>
      <c r="N679" s="599"/>
      <c r="O679" s="776"/>
      <c r="P679" s="777"/>
      <c r="Q679" s="777"/>
      <c r="R679" s="751"/>
      <c r="S679" s="752"/>
      <c r="T679" s="792"/>
      <c r="U679" s="803"/>
      <c r="V679" s="803"/>
      <c r="W679" s="803"/>
      <c r="X679" s="858">
        <f>SUMIF('Summary-E'!O$4:O$50,D679,'Summary-E'!Q$4:Q$50)</f>
        <v>0</v>
      </c>
      <c r="Y679" s="310">
        <f>ROUND((R679+S679/'Summary-E'!$M$63)*X679,2)</f>
        <v>0</v>
      </c>
      <c r="Z679" s="858">
        <f t="shared" si="682"/>
        <v>1.05</v>
      </c>
      <c r="AA679" s="813"/>
      <c r="AB679" s="447"/>
      <c r="AC679" s="310">
        <f t="shared" si="711"/>
        <v>0</v>
      </c>
      <c r="AD679" s="717">
        <f>ROUND(AC679*'[1]Summary E&amp;M'!$R$94,2)</f>
        <v>0</v>
      </c>
      <c r="AE679" s="825">
        <f t="shared" ref="AE679:AE690" si="712">ROUND($K679*$Y679,2)</f>
        <v>0</v>
      </c>
      <c r="AF679" s="825">
        <f t="shared" ref="AF679:AF690" si="713">ROUND($K679*$AC679,2)</f>
        <v>0</v>
      </c>
      <c r="AG679" s="743"/>
      <c r="AH679" s="728"/>
      <c r="AI679" s="519"/>
      <c r="AJ679" s="519"/>
      <c r="AK679" s="519"/>
      <c r="AL679" s="520"/>
      <c r="AM679" s="520"/>
      <c r="AN679" s="520"/>
      <c r="AO679" s="520"/>
      <c r="AP679" s="552"/>
      <c r="AQ679" s="552"/>
      <c r="AR679" s="552"/>
      <c r="AS679" s="552"/>
      <c r="AT679" s="552"/>
    </row>
    <row r="680" spans="1:46" s="555" customFormat="1" ht="22.5" customHeight="1">
      <c r="A680" s="620" t="s">
        <v>421</v>
      </c>
      <c r="B680" s="522" t="s">
        <v>623</v>
      </c>
      <c r="C680" s="566"/>
      <c r="D680" s="525"/>
      <c r="E680" s="524"/>
      <c r="F680" s="1314"/>
      <c r="G680" s="527"/>
      <c r="H680" s="527"/>
      <c r="I680" s="567"/>
      <c r="J680" s="309"/>
      <c r="K680" s="1149"/>
      <c r="L680" s="530"/>
      <c r="M680" s="530"/>
      <c r="N680" s="309"/>
      <c r="O680" s="776"/>
      <c r="P680" s="777"/>
      <c r="Q680" s="777"/>
      <c r="R680" s="751"/>
      <c r="S680" s="752"/>
      <c r="T680" s="792"/>
      <c r="U680" s="803">
        <v>0</v>
      </c>
      <c r="V680" s="803">
        <v>0</v>
      </c>
      <c r="W680" s="803">
        <v>0</v>
      </c>
      <c r="X680" s="858">
        <f>SUMIF('Summary-E'!O$4:O$50,D680,'Summary-E'!Q$4:Q$50)</f>
        <v>0</v>
      </c>
      <c r="Y680" s="310">
        <f>ROUND((R680+S680/'Summary-E'!$M$63)*X680,2)</f>
        <v>0</v>
      </c>
      <c r="Z680" s="858">
        <f t="shared" si="682"/>
        <v>1.05</v>
      </c>
      <c r="AA680" s="813">
        <f t="shared" ref="AA680:AA688" si="714">ROUND(Y680*Z680,2)</f>
        <v>0</v>
      </c>
      <c r="AB680" s="447">
        <f t="shared" ref="AB680:AB688" si="715">$AB$3</f>
        <v>0.05</v>
      </c>
      <c r="AC680" s="310">
        <f t="shared" si="711"/>
        <v>0</v>
      </c>
      <c r="AD680" s="717">
        <f>ROUND(AC680*'[1]Summary E&amp;M'!$R$94,2)</f>
        <v>0</v>
      </c>
      <c r="AE680" s="825">
        <f t="shared" si="712"/>
        <v>0</v>
      </c>
      <c r="AF680" s="825">
        <f t="shared" si="713"/>
        <v>0</v>
      </c>
      <c r="AG680" s="743"/>
      <c r="AH680" s="728"/>
      <c r="AI680" s="519">
        <f t="shared" ref="AI680:AI688" si="716">$U680</f>
        <v>0</v>
      </c>
      <c r="AJ680" s="519">
        <f t="shared" ref="AJ680:AJ688" si="717">$V680</f>
        <v>0</v>
      </c>
      <c r="AK680" s="519">
        <f t="shared" ref="AK680:AK688" si="718">$W680</f>
        <v>0</v>
      </c>
      <c r="AL680" s="520">
        <f t="shared" ref="AL680:AL688" si="719">ROUND(Y680*AI680+((Y680*(1+AI680))*AJ680)+((Y680*AI680+((Y680*(1+AI680))*AJ680))*AK680),2)</f>
        <v>0</v>
      </c>
      <c r="AM680" s="520">
        <f t="shared" ref="AM680:AM688" si="720">AL680*$F680</f>
        <v>0</v>
      </c>
      <c r="AN680" s="520">
        <f t="shared" ref="AN680:AN688" si="721">ROUND(AL680*Z680,2)</f>
        <v>0</v>
      </c>
      <c r="AO680" s="520">
        <f t="shared" ref="AO680:AO688" si="722">AN680*$F680</f>
        <v>0</v>
      </c>
      <c r="AP680" s="552"/>
      <c r="AQ680" s="552"/>
      <c r="AR680" s="552"/>
      <c r="AS680" s="552"/>
      <c r="AT680" s="552"/>
    </row>
    <row r="681" spans="1:46" s="555" customFormat="1" ht="22.5" customHeight="1">
      <c r="A681" s="638"/>
      <c r="B681" s="997" t="s">
        <v>624</v>
      </c>
      <c r="C681" s="566"/>
      <c r="D681" s="1206">
        <v>186</v>
      </c>
      <c r="E681" s="524" t="s">
        <v>436</v>
      </c>
      <c r="F681" s="1314"/>
      <c r="G681" s="589" t="s">
        <v>119</v>
      </c>
      <c r="H681" s="998"/>
      <c r="I681" s="434" t="s">
        <v>137</v>
      </c>
      <c r="J681" s="590"/>
      <c r="K681" s="1149"/>
      <c r="L681" s="530"/>
      <c r="M681" s="530"/>
      <c r="N681" s="590"/>
      <c r="O681" s="776">
        <v>186</v>
      </c>
      <c r="P681" s="777"/>
      <c r="Q681" s="777"/>
      <c r="R681" s="751"/>
      <c r="S681" s="752"/>
      <c r="T681" s="792"/>
      <c r="U681" s="803">
        <v>0</v>
      </c>
      <c r="V681" s="803">
        <v>0</v>
      </c>
      <c r="W681" s="803">
        <v>0</v>
      </c>
      <c r="X681" s="858">
        <f>SUMIF('Summary-E'!O$4:O$50,D681,'Summary-E'!Q$4:Q$50)</f>
        <v>0.97</v>
      </c>
      <c r="Y681" s="310">
        <f>ROUND((R681+S681/'Summary-E'!$M$63)*X681,2)</f>
        <v>0</v>
      </c>
      <c r="Z681" s="858">
        <f t="shared" si="682"/>
        <v>1.05</v>
      </c>
      <c r="AA681" s="813">
        <f t="shared" si="714"/>
        <v>0</v>
      </c>
      <c r="AB681" s="447">
        <f t="shared" si="715"/>
        <v>0.05</v>
      </c>
      <c r="AC681" s="310">
        <f t="shared" si="711"/>
        <v>0</v>
      </c>
      <c r="AD681" s="717">
        <f>ROUND(AC681*'[1]Summary E&amp;M'!$R$94,2)</f>
        <v>0</v>
      </c>
      <c r="AE681" s="825">
        <f t="shared" si="712"/>
        <v>0</v>
      </c>
      <c r="AF681" s="825">
        <f t="shared" si="713"/>
        <v>0</v>
      </c>
      <c r="AG681" s="743"/>
      <c r="AH681" s="728"/>
      <c r="AI681" s="519">
        <f t="shared" si="716"/>
        <v>0</v>
      </c>
      <c r="AJ681" s="519">
        <f t="shared" si="717"/>
        <v>0</v>
      </c>
      <c r="AK681" s="519">
        <f t="shared" si="718"/>
        <v>0</v>
      </c>
      <c r="AL681" s="520">
        <f t="shared" si="719"/>
        <v>0</v>
      </c>
      <c r="AM681" s="520">
        <f t="shared" si="720"/>
        <v>0</v>
      </c>
      <c r="AN681" s="520">
        <f t="shared" si="721"/>
        <v>0</v>
      </c>
      <c r="AO681" s="520">
        <f t="shared" si="722"/>
        <v>0</v>
      </c>
      <c r="AP681" s="552"/>
      <c r="AQ681" s="552"/>
      <c r="AR681" s="552"/>
      <c r="AS681" s="552"/>
      <c r="AT681" s="552"/>
    </row>
    <row r="682" spans="1:46" s="555" customFormat="1" ht="22.5" customHeight="1">
      <c r="A682" s="451"/>
      <c r="B682" s="531" t="s">
        <v>622</v>
      </c>
      <c r="C682" s="566"/>
      <c r="D682" s="1206">
        <v>186</v>
      </c>
      <c r="E682" s="524" t="s">
        <v>436</v>
      </c>
      <c r="F682" s="1322">
        <f>K682</f>
        <v>23</v>
      </c>
      <c r="G682" s="527">
        <f t="shared" ref="G682:G687" si="723">ROUND(AA682,2)</f>
        <v>6.53</v>
      </c>
      <c r="H682" s="527">
        <f>ROUND(F682*G682,2)</f>
        <v>150.19</v>
      </c>
      <c r="I682" s="901"/>
      <c r="J682" s="309"/>
      <c r="K682" s="1149">
        <v>23</v>
      </c>
      <c r="L682" s="530">
        <f t="shared" ref="L682:L689" si="724">ROUND(AD682,2)</f>
        <v>4.5999999999999996</v>
      </c>
      <c r="M682" s="530">
        <f t="shared" ref="M682:M689" si="725">ROUND(L682*F682,2)</f>
        <v>105.8</v>
      </c>
      <c r="N682" s="309"/>
      <c r="O682" s="776" t="s">
        <v>683</v>
      </c>
      <c r="P682" s="777"/>
      <c r="Q682" s="777"/>
      <c r="R682" s="751"/>
      <c r="S682" s="752">
        <v>129300</v>
      </c>
      <c r="T682" s="792">
        <v>3.5</v>
      </c>
      <c r="U682" s="803">
        <v>0</v>
      </c>
      <c r="V682" s="803">
        <v>0</v>
      </c>
      <c r="W682" s="803">
        <v>0</v>
      </c>
      <c r="X682" s="858">
        <v>1</v>
      </c>
      <c r="Y682" s="310">
        <f>ROUND((R682+S682/'Summary-E'!$M$63)*X682,2)</f>
        <v>6.22</v>
      </c>
      <c r="Z682" s="858">
        <f t="shared" si="682"/>
        <v>1.05</v>
      </c>
      <c r="AA682" s="813">
        <f t="shared" si="714"/>
        <v>6.53</v>
      </c>
      <c r="AB682" s="447">
        <f t="shared" si="715"/>
        <v>0.05</v>
      </c>
      <c r="AC682" s="310">
        <f t="shared" si="711"/>
        <v>3.68</v>
      </c>
      <c r="AD682" s="717">
        <f>ROUND(AC682*'[1]Summary E&amp;M'!$R$94,2)</f>
        <v>4.5999999999999996</v>
      </c>
      <c r="AE682" s="825">
        <f t="shared" si="712"/>
        <v>143.06</v>
      </c>
      <c r="AF682" s="825">
        <f t="shared" si="713"/>
        <v>84.64</v>
      </c>
      <c r="AG682" s="743"/>
      <c r="AH682" s="728"/>
      <c r="AI682" s="519">
        <f t="shared" si="716"/>
        <v>0</v>
      </c>
      <c r="AJ682" s="519">
        <f t="shared" si="717"/>
        <v>0</v>
      </c>
      <c r="AK682" s="519">
        <f t="shared" si="718"/>
        <v>0</v>
      </c>
      <c r="AL682" s="520">
        <f t="shared" si="719"/>
        <v>0</v>
      </c>
      <c r="AM682" s="520">
        <f t="shared" si="720"/>
        <v>0</v>
      </c>
      <c r="AN682" s="520">
        <f t="shared" si="721"/>
        <v>0</v>
      </c>
      <c r="AO682" s="520">
        <f t="shared" si="722"/>
        <v>0</v>
      </c>
      <c r="AP682" s="552"/>
      <c r="AQ682" s="552"/>
      <c r="AR682" s="552"/>
      <c r="AS682" s="552"/>
      <c r="AT682" s="552"/>
    </row>
    <row r="683" spans="1:46" s="555" customFormat="1" ht="22.5" customHeight="1">
      <c r="A683" s="451"/>
      <c r="B683" s="531" t="s">
        <v>999</v>
      </c>
      <c r="C683" s="566"/>
      <c r="D683" s="1206">
        <v>186</v>
      </c>
      <c r="E683" s="524" t="s">
        <v>436</v>
      </c>
      <c r="F683" s="1322">
        <f>K683</f>
        <v>59</v>
      </c>
      <c r="G683" s="527">
        <f t="shared" si="723"/>
        <v>11.45</v>
      </c>
      <c r="H683" s="527">
        <f>ROUND(F683*G683,2)</f>
        <v>675.55</v>
      </c>
      <c r="I683" s="901"/>
      <c r="J683" s="309"/>
      <c r="K683" s="1149">
        <v>59</v>
      </c>
      <c r="L683" s="530">
        <f>ROUND(AD683,2)</f>
        <v>4.5999999999999996</v>
      </c>
      <c r="M683" s="530">
        <f t="shared" si="725"/>
        <v>271.39999999999998</v>
      </c>
      <c r="N683" s="309"/>
      <c r="O683" s="776" t="s">
        <v>683</v>
      </c>
      <c r="P683" s="777"/>
      <c r="Q683" s="777"/>
      <c r="R683" s="751"/>
      <c r="S683" s="752">
        <f>2*162000*0.7</f>
        <v>226800</v>
      </c>
      <c r="T683" s="792">
        <v>3.5</v>
      </c>
      <c r="U683" s="803">
        <v>0</v>
      </c>
      <c r="V683" s="803">
        <v>0</v>
      </c>
      <c r="W683" s="803">
        <v>0</v>
      </c>
      <c r="X683" s="858">
        <v>1</v>
      </c>
      <c r="Y683" s="310">
        <f>ROUND((R683+S683/'Summary-E'!$M$63)*X683,2)</f>
        <v>10.9</v>
      </c>
      <c r="Z683" s="858">
        <f t="shared" si="682"/>
        <v>1.05</v>
      </c>
      <c r="AA683" s="813">
        <f>ROUND(Y683*Z683,2)</f>
        <v>11.45</v>
      </c>
      <c r="AB683" s="447">
        <f t="shared" si="715"/>
        <v>0.05</v>
      </c>
      <c r="AC683" s="310">
        <f>ROUND((T683*(1+AB683)),2)</f>
        <v>3.68</v>
      </c>
      <c r="AD683" s="717">
        <f>ROUND(AC683*'[1]Summary E&amp;M'!$R$94,2)</f>
        <v>4.5999999999999996</v>
      </c>
      <c r="AE683" s="825">
        <f t="shared" si="712"/>
        <v>643.1</v>
      </c>
      <c r="AF683" s="825">
        <f t="shared" si="713"/>
        <v>217.12</v>
      </c>
      <c r="AG683" s="743"/>
      <c r="AH683" s="728"/>
      <c r="AI683" s="519">
        <f t="shared" si="716"/>
        <v>0</v>
      </c>
      <c r="AJ683" s="519">
        <f t="shared" si="717"/>
        <v>0</v>
      </c>
      <c r="AK683" s="519">
        <f t="shared" si="718"/>
        <v>0</v>
      </c>
      <c r="AL683" s="520">
        <f>ROUND(Y683*AI683+((Y683*(1+AI683))*AJ683)+((Y683*AI683+((Y683*(1+AI683))*AJ683))*AK683),2)</f>
        <v>0</v>
      </c>
      <c r="AM683" s="520">
        <f>AL683*$F683</f>
        <v>0</v>
      </c>
      <c r="AN683" s="520">
        <f>ROUND(AL683*Z683,2)</f>
        <v>0</v>
      </c>
      <c r="AO683" s="520">
        <f>AN683*$F683</f>
        <v>0</v>
      </c>
      <c r="AP683" s="552"/>
      <c r="AQ683" s="552"/>
      <c r="AR683" s="552"/>
      <c r="AS683" s="552"/>
      <c r="AT683" s="552"/>
    </row>
    <row r="684" spans="1:46" s="555" customFormat="1" ht="22.5" customHeight="1">
      <c r="A684" s="451"/>
      <c r="B684" s="531" t="s">
        <v>419</v>
      </c>
      <c r="C684" s="566" t="s">
        <v>182</v>
      </c>
      <c r="D684" s="525" t="s">
        <v>1111</v>
      </c>
      <c r="E684" s="524" t="s">
        <v>321</v>
      </c>
      <c r="F684" s="1314">
        <f>ROUND(K684*'Summary-E'!$K$61,0)</f>
        <v>1680</v>
      </c>
      <c r="G684" s="527">
        <f t="shared" si="723"/>
        <v>0.61</v>
      </c>
      <c r="H684" s="527">
        <f>ROUND(F684*G684,2)</f>
        <v>1024.8</v>
      </c>
      <c r="I684" s="901"/>
      <c r="J684" s="309"/>
      <c r="K684" s="1149">
        <v>1600</v>
      </c>
      <c r="L684" s="530">
        <f t="shared" si="724"/>
        <v>0.4</v>
      </c>
      <c r="M684" s="530">
        <f t="shared" si="725"/>
        <v>672</v>
      </c>
      <c r="N684" s="309"/>
      <c r="O684" s="776" t="s">
        <v>147</v>
      </c>
      <c r="P684" s="777"/>
      <c r="Q684" s="777"/>
      <c r="R684" s="751"/>
      <c r="S684" s="752">
        <v>12000</v>
      </c>
      <c r="T684" s="792">
        <v>0.3</v>
      </c>
      <c r="U684" s="803">
        <v>0</v>
      </c>
      <c r="V684" s="803">
        <v>0</v>
      </c>
      <c r="W684" s="803">
        <v>0</v>
      </c>
      <c r="X684" s="858">
        <v>1</v>
      </c>
      <c r="Y684" s="310">
        <f>ROUND((R684+S684/'Summary-E'!$M$63)*X684,2)</f>
        <v>0.57999999999999996</v>
      </c>
      <c r="Z684" s="858">
        <f t="shared" si="682"/>
        <v>1.05</v>
      </c>
      <c r="AA684" s="813">
        <f t="shared" si="714"/>
        <v>0.61</v>
      </c>
      <c r="AB684" s="447">
        <f t="shared" si="715"/>
        <v>0.05</v>
      </c>
      <c r="AC684" s="310">
        <f t="shared" si="711"/>
        <v>0.32</v>
      </c>
      <c r="AD684" s="717">
        <f>ROUND(AC684*'[1]Summary E&amp;M'!$R$94,2)</f>
        <v>0.4</v>
      </c>
      <c r="AE684" s="825">
        <f t="shared" si="712"/>
        <v>928</v>
      </c>
      <c r="AF684" s="825">
        <f t="shared" si="713"/>
        <v>512</v>
      </c>
      <c r="AG684" s="743"/>
      <c r="AH684" s="728"/>
      <c r="AI684" s="519">
        <f t="shared" si="716"/>
        <v>0</v>
      </c>
      <c r="AJ684" s="519">
        <f t="shared" si="717"/>
        <v>0</v>
      </c>
      <c r="AK684" s="519">
        <f t="shared" si="718"/>
        <v>0</v>
      </c>
      <c r="AL684" s="520">
        <f t="shared" si="719"/>
        <v>0</v>
      </c>
      <c r="AM684" s="520">
        <f t="shared" si="720"/>
        <v>0</v>
      </c>
      <c r="AN684" s="520">
        <f t="shared" si="721"/>
        <v>0</v>
      </c>
      <c r="AO684" s="520">
        <f t="shared" si="722"/>
        <v>0</v>
      </c>
      <c r="AP684" s="552"/>
      <c r="AQ684" s="552"/>
      <c r="AR684" s="552"/>
      <c r="AS684" s="552"/>
      <c r="AT684" s="552"/>
    </row>
    <row r="685" spans="1:46" s="555" customFormat="1" ht="22.5" customHeight="1">
      <c r="A685" s="570"/>
      <c r="B685" s="568" t="s">
        <v>333</v>
      </c>
      <c r="C685" s="569"/>
      <c r="D685" s="525" t="s">
        <v>1111</v>
      </c>
      <c r="E685" s="571" t="s">
        <v>322</v>
      </c>
      <c r="F685" s="1322">
        <f>K685</f>
        <v>1</v>
      </c>
      <c r="G685" s="527">
        <f t="shared" si="723"/>
        <v>283.55</v>
      </c>
      <c r="H685" s="527">
        <f>F685*G685</f>
        <v>283.55</v>
      </c>
      <c r="I685" s="901"/>
      <c r="J685" s="582"/>
      <c r="K685" s="1149">
        <v>1</v>
      </c>
      <c r="L685" s="530">
        <f t="shared" si="724"/>
        <v>36.54</v>
      </c>
      <c r="M685" s="530">
        <f t="shared" si="725"/>
        <v>36.54</v>
      </c>
      <c r="N685" s="1053"/>
      <c r="O685" s="776" t="s">
        <v>683</v>
      </c>
      <c r="P685" s="777">
        <v>0.3</v>
      </c>
      <c r="Q685" s="777"/>
      <c r="R685" s="751">
        <f>ROUND(SUM(AE684:AE684)*P685,2)</f>
        <v>278.39999999999998</v>
      </c>
      <c r="S685" s="752"/>
      <c r="T685" s="792">
        <f>ROUND(R685*10%,2)</f>
        <v>27.84</v>
      </c>
      <c r="U685" s="803">
        <v>0</v>
      </c>
      <c r="V685" s="803">
        <v>0</v>
      </c>
      <c r="W685" s="803">
        <v>0</v>
      </c>
      <c r="X685" s="858">
        <f>SUMIF('Summary-E'!O$4:O$50,D685,'Summary-E'!Q$4:Q$50)</f>
        <v>0.97</v>
      </c>
      <c r="Y685" s="310">
        <f>ROUND((R685+S685/'Summary-E'!$M$63)*X685,2)</f>
        <v>270.05</v>
      </c>
      <c r="Z685" s="858">
        <f t="shared" si="682"/>
        <v>1.05</v>
      </c>
      <c r="AA685" s="813">
        <f t="shared" si="714"/>
        <v>283.55</v>
      </c>
      <c r="AB685" s="447">
        <f t="shared" si="715"/>
        <v>0.05</v>
      </c>
      <c r="AC685" s="310">
        <f t="shared" si="711"/>
        <v>29.23</v>
      </c>
      <c r="AD685" s="717">
        <f>ROUND(AC685*'[1]Summary E&amp;M'!$R$94,2)</f>
        <v>36.54</v>
      </c>
      <c r="AE685" s="825">
        <f t="shared" si="712"/>
        <v>270.05</v>
      </c>
      <c r="AF685" s="825">
        <f t="shared" si="713"/>
        <v>29.23</v>
      </c>
      <c r="AG685" s="743"/>
      <c r="AH685" s="728"/>
      <c r="AI685" s="519">
        <f t="shared" si="716"/>
        <v>0</v>
      </c>
      <c r="AJ685" s="519">
        <f t="shared" si="717"/>
        <v>0</v>
      </c>
      <c r="AK685" s="519">
        <f t="shared" si="718"/>
        <v>0</v>
      </c>
      <c r="AL685" s="520">
        <f t="shared" si="719"/>
        <v>0</v>
      </c>
      <c r="AM685" s="520">
        <f t="shared" si="720"/>
        <v>0</v>
      </c>
      <c r="AN685" s="520">
        <f t="shared" si="721"/>
        <v>0</v>
      </c>
      <c r="AO685" s="520">
        <f t="shared" si="722"/>
        <v>0</v>
      </c>
      <c r="AP685" s="552"/>
      <c r="AQ685" s="552"/>
      <c r="AR685" s="552"/>
      <c r="AS685" s="552"/>
      <c r="AT685" s="552"/>
    </row>
    <row r="686" spans="1:46" s="555" customFormat="1" ht="22.5" customHeight="1">
      <c r="A686" s="638"/>
      <c r="B686" s="997" t="s">
        <v>718</v>
      </c>
      <c r="C686" s="566"/>
      <c r="D686" s="525" t="s">
        <v>139</v>
      </c>
      <c r="E686" s="524" t="s">
        <v>322</v>
      </c>
      <c r="F686" s="1322">
        <f>K686</f>
        <v>1</v>
      </c>
      <c r="G686" s="527">
        <f t="shared" si="723"/>
        <v>141.77000000000001</v>
      </c>
      <c r="H686" s="527">
        <f>ROUND(F686*G686,2)</f>
        <v>141.77000000000001</v>
      </c>
      <c r="I686" s="962"/>
      <c r="J686" s="590"/>
      <c r="K686" s="1149">
        <v>1</v>
      </c>
      <c r="L686" s="530">
        <f t="shared" si="724"/>
        <v>18.28</v>
      </c>
      <c r="M686" s="530">
        <f t="shared" si="725"/>
        <v>18.28</v>
      </c>
      <c r="N686" s="590"/>
      <c r="O686" s="776" t="s">
        <v>130</v>
      </c>
      <c r="P686" s="777">
        <v>0.15</v>
      </c>
      <c r="Q686" s="777"/>
      <c r="R686" s="751">
        <f>ROUND(SUM(AE684:AE684)*P686,2)</f>
        <v>139.19999999999999</v>
      </c>
      <c r="S686" s="752"/>
      <c r="T686" s="792">
        <f>ROUND(R686*10%,2)</f>
        <v>13.92</v>
      </c>
      <c r="U686" s="803">
        <v>0</v>
      </c>
      <c r="V686" s="803">
        <v>0</v>
      </c>
      <c r="W686" s="803">
        <v>0</v>
      </c>
      <c r="X686" s="858">
        <f>SUMIF('Summary-E'!O$4:O$50,D686,'Summary-E'!Q$4:Q$50)</f>
        <v>0.97</v>
      </c>
      <c r="Y686" s="310">
        <f>ROUND((R686+S686/'Summary-E'!$M$63)*X686,2)</f>
        <v>135.02000000000001</v>
      </c>
      <c r="Z686" s="858">
        <f t="shared" si="682"/>
        <v>1.05</v>
      </c>
      <c r="AA686" s="813">
        <f t="shared" si="714"/>
        <v>141.77000000000001</v>
      </c>
      <c r="AB686" s="447">
        <f t="shared" si="715"/>
        <v>0.05</v>
      </c>
      <c r="AC686" s="310">
        <f t="shared" si="711"/>
        <v>14.62</v>
      </c>
      <c r="AD686" s="717">
        <f>ROUND(AC686*'[1]Summary E&amp;M'!$R$94,2)</f>
        <v>18.28</v>
      </c>
      <c r="AE686" s="825">
        <f t="shared" si="712"/>
        <v>135.02000000000001</v>
      </c>
      <c r="AF686" s="825">
        <f t="shared" si="713"/>
        <v>14.62</v>
      </c>
      <c r="AG686" s="743"/>
      <c r="AH686" s="728"/>
      <c r="AI686" s="519">
        <f t="shared" si="716"/>
        <v>0</v>
      </c>
      <c r="AJ686" s="519">
        <f t="shared" si="717"/>
        <v>0</v>
      </c>
      <c r="AK686" s="519">
        <f t="shared" si="718"/>
        <v>0</v>
      </c>
      <c r="AL686" s="520">
        <f t="shared" si="719"/>
        <v>0</v>
      </c>
      <c r="AM686" s="520">
        <f t="shared" si="720"/>
        <v>0</v>
      </c>
      <c r="AN686" s="520">
        <f t="shared" si="721"/>
        <v>0</v>
      </c>
      <c r="AO686" s="520">
        <f t="shared" si="722"/>
        <v>0</v>
      </c>
      <c r="AP686" s="552"/>
      <c r="AQ686" s="552"/>
      <c r="AR686" s="552"/>
      <c r="AS686" s="552"/>
      <c r="AT686" s="552"/>
    </row>
    <row r="687" spans="1:46" s="555" customFormat="1" ht="22.5" customHeight="1">
      <c r="A687" s="570"/>
      <c r="B687" s="568" t="s">
        <v>401</v>
      </c>
      <c r="C687" s="569"/>
      <c r="D687" s="570">
        <v>159</v>
      </c>
      <c r="E687" s="571" t="s">
        <v>322</v>
      </c>
      <c r="F687" s="1322">
        <f>K687</f>
        <v>1</v>
      </c>
      <c r="G687" s="527">
        <f t="shared" si="723"/>
        <v>64.75</v>
      </c>
      <c r="H687" s="527">
        <f>ROUND(F687*G687,2)</f>
        <v>64.75</v>
      </c>
      <c r="I687" s="901"/>
      <c r="J687" s="309"/>
      <c r="K687" s="1149">
        <v>1</v>
      </c>
      <c r="L687" s="530">
        <f t="shared" si="724"/>
        <v>0</v>
      </c>
      <c r="M687" s="530">
        <f t="shared" si="725"/>
        <v>0</v>
      </c>
      <c r="N687" s="309"/>
      <c r="O687" s="776">
        <v>159</v>
      </c>
      <c r="P687" s="777">
        <v>0.03</v>
      </c>
      <c r="Q687" s="777"/>
      <c r="R687" s="751">
        <f>ROUND((SUM(AE682:AE686))*P687,2)</f>
        <v>63.58</v>
      </c>
      <c r="S687" s="752"/>
      <c r="T687" s="792"/>
      <c r="U687" s="803">
        <v>0</v>
      </c>
      <c r="V687" s="803">
        <v>0</v>
      </c>
      <c r="W687" s="803">
        <v>0</v>
      </c>
      <c r="X687" s="858">
        <f>SUMIF('Summary-E'!O$4:O$50,D687,'Summary-E'!Q$4:Q$50)</f>
        <v>0.97</v>
      </c>
      <c r="Y687" s="310">
        <f>ROUND((R687+S687/'Summary-E'!$M$63)*X687,2)</f>
        <v>61.67</v>
      </c>
      <c r="Z687" s="858">
        <f t="shared" si="682"/>
        <v>1.05</v>
      </c>
      <c r="AA687" s="813">
        <f t="shared" si="714"/>
        <v>64.75</v>
      </c>
      <c r="AB687" s="447">
        <f t="shared" si="715"/>
        <v>0.05</v>
      </c>
      <c r="AC687" s="310">
        <f t="shared" si="711"/>
        <v>0</v>
      </c>
      <c r="AD687" s="717">
        <f>ROUND(AC687*'[1]Summary E&amp;M'!$R$94,2)</f>
        <v>0</v>
      </c>
      <c r="AE687" s="825">
        <f t="shared" si="712"/>
        <v>61.67</v>
      </c>
      <c r="AF687" s="825">
        <f t="shared" si="713"/>
        <v>0</v>
      </c>
      <c r="AG687" s="743"/>
      <c r="AH687" s="728"/>
      <c r="AI687" s="519">
        <f t="shared" si="716"/>
        <v>0</v>
      </c>
      <c r="AJ687" s="519">
        <f t="shared" si="717"/>
        <v>0</v>
      </c>
      <c r="AK687" s="519">
        <f t="shared" si="718"/>
        <v>0</v>
      </c>
      <c r="AL687" s="520">
        <f t="shared" si="719"/>
        <v>0</v>
      </c>
      <c r="AM687" s="520">
        <f t="shared" si="720"/>
        <v>0</v>
      </c>
      <c r="AN687" s="520">
        <f t="shared" si="721"/>
        <v>0</v>
      </c>
      <c r="AO687" s="520">
        <f t="shared" si="722"/>
        <v>0</v>
      </c>
      <c r="AP687" s="552"/>
      <c r="AQ687" s="552"/>
      <c r="AR687" s="552"/>
      <c r="AS687" s="552"/>
      <c r="AT687" s="552"/>
    </row>
    <row r="688" spans="1:46" s="555" customFormat="1" ht="22.5" customHeight="1">
      <c r="A688" s="570"/>
      <c r="B688" s="568" t="s">
        <v>627</v>
      </c>
      <c r="C688" s="569"/>
      <c r="D688" s="570"/>
      <c r="E688" s="571" t="s">
        <v>322</v>
      </c>
      <c r="F688" s="1322">
        <f>K688</f>
        <v>1</v>
      </c>
      <c r="G688" s="589" t="s">
        <v>119</v>
      </c>
      <c r="H688" s="998"/>
      <c r="I688" s="435" t="s">
        <v>137</v>
      </c>
      <c r="J688" s="309"/>
      <c r="K688" s="1149">
        <v>1</v>
      </c>
      <c r="L688" s="530">
        <f t="shared" si="724"/>
        <v>0</v>
      </c>
      <c r="M688" s="530">
        <f t="shared" si="725"/>
        <v>0</v>
      </c>
      <c r="N688" s="309"/>
      <c r="O688" s="776">
        <v>159</v>
      </c>
      <c r="P688" s="777">
        <v>0.03</v>
      </c>
      <c r="Q688" s="777"/>
      <c r="R688" s="751"/>
      <c r="S688" s="752"/>
      <c r="T688" s="792"/>
      <c r="U688" s="803">
        <v>0</v>
      </c>
      <c r="V688" s="803">
        <v>0</v>
      </c>
      <c r="W688" s="803">
        <v>0</v>
      </c>
      <c r="X688" s="858">
        <f>SUMIF('Summary-E'!O$4:O$50,D688,'Summary-E'!Q$4:Q$50)</f>
        <v>0</v>
      </c>
      <c r="Y688" s="310">
        <f>ROUND((R688+S688/'Summary-E'!$M$63)*X688,2)</f>
        <v>0</v>
      </c>
      <c r="Z688" s="858">
        <f t="shared" si="682"/>
        <v>1.05</v>
      </c>
      <c r="AA688" s="813">
        <f t="shared" si="714"/>
        <v>0</v>
      </c>
      <c r="AB688" s="447">
        <f t="shared" si="715"/>
        <v>0.05</v>
      </c>
      <c r="AC688" s="310">
        <f t="shared" si="711"/>
        <v>0</v>
      </c>
      <c r="AD688" s="717">
        <f>ROUND(AC688*'[1]Summary E&amp;M'!$R$94,2)</f>
        <v>0</v>
      </c>
      <c r="AE688" s="825">
        <f t="shared" si="712"/>
        <v>0</v>
      </c>
      <c r="AF688" s="825">
        <f t="shared" si="713"/>
        <v>0</v>
      </c>
      <c r="AG688" s="743"/>
      <c r="AH688" s="728"/>
      <c r="AI688" s="519">
        <f t="shared" si="716"/>
        <v>0</v>
      </c>
      <c r="AJ688" s="519">
        <f t="shared" si="717"/>
        <v>0</v>
      </c>
      <c r="AK688" s="519">
        <f t="shared" si="718"/>
        <v>0</v>
      </c>
      <c r="AL688" s="520">
        <f t="shared" si="719"/>
        <v>0</v>
      </c>
      <c r="AM688" s="520">
        <f t="shared" si="720"/>
        <v>0</v>
      </c>
      <c r="AN688" s="520">
        <f t="shared" si="721"/>
        <v>0</v>
      </c>
      <c r="AO688" s="520">
        <f t="shared" si="722"/>
        <v>0</v>
      </c>
      <c r="AP688" s="552"/>
      <c r="AQ688" s="552"/>
      <c r="AR688" s="552"/>
      <c r="AS688" s="552"/>
      <c r="AT688" s="552"/>
    </row>
    <row r="689" spans="1:46" s="555" customFormat="1" ht="22.5" customHeight="1">
      <c r="A689" s="620"/>
      <c r="B689" s="522"/>
      <c r="C689" s="566"/>
      <c r="D689" s="525"/>
      <c r="E689" s="524"/>
      <c r="F689" s="1314"/>
      <c r="G689" s="527"/>
      <c r="H689" s="527"/>
      <c r="I689" s="901"/>
      <c r="J689" s="309"/>
      <c r="K689" s="1149"/>
      <c r="L689" s="530">
        <f t="shared" si="724"/>
        <v>0</v>
      </c>
      <c r="M689" s="530">
        <f t="shared" si="725"/>
        <v>0</v>
      </c>
      <c r="N689" s="309"/>
      <c r="O689" s="776"/>
      <c r="P689" s="777"/>
      <c r="Q689" s="777"/>
      <c r="R689" s="751"/>
      <c r="S689" s="752"/>
      <c r="T689" s="792"/>
      <c r="U689" s="803"/>
      <c r="V689" s="803"/>
      <c r="W689" s="803"/>
      <c r="X689" s="858">
        <f>SUMIF('Summary-E'!O$4:O$50,D689,'Summary-E'!Q$4:Q$50)</f>
        <v>0</v>
      </c>
      <c r="Y689" s="310">
        <f>ROUND((R689+S689/'Summary-E'!$M$63)*X689,2)</f>
        <v>0</v>
      </c>
      <c r="Z689" s="858">
        <f t="shared" si="682"/>
        <v>1.05</v>
      </c>
      <c r="AA689" s="817"/>
      <c r="AB689" s="726"/>
      <c r="AC689" s="310">
        <f t="shared" si="711"/>
        <v>0</v>
      </c>
      <c r="AD689" s="717">
        <f>ROUND(AC689*'[1]Summary E&amp;M'!$R$94,2)</f>
        <v>0</v>
      </c>
      <c r="AE689" s="825">
        <f t="shared" si="712"/>
        <v>0</v>
      </c>
      <c r="AF689" s="825">
        <f t="shared" si="713"/>
        <v>0</v>
      </c>
      <c r="AG689" s="743"/>
      <c r="AH689" s="728"/>
      <c r="AI689" s="519"/>
      <c r="AJ689" s="519"/>
      <c r="AK689" s="519"/>
      <c r="AL689" s="520"/>
      <c r="AM689" s="520"/>
      <c r="AN689" s="520"/>
      <c r="AO689" s="520"/>
      <c r="AP689" s="552"/>
      <c r="AQ689" s="552"/>
      <c r="AR689" s="552"/>
      <c r="AS689" s="552"/>
      <c r="AT689" s="552"/>
    </row>
    <row r="690" spans="1:46" s="555" customFormat="1" ht="22.5" customHeight="1">
      <c r="A690" s="570"/>
      <c r="B690" s="568" t="s">
        <v>324</v>
      </c>
      <c r="C690" s="569"/>
      <c r="D690" s="570">
        <v>210</v>
      </c>
      <c r="E690" s="571" t="s">
        <v>319</v>
      </c>
      <c r="F690" s="1322">
        <f>K690</f>
        <v>1</v>
      </c>
      <c r="G690" s="527">
        <f>M692</f>
        <v>1104.02</v>
      </c>
      <c r="H690" s="527">
        <f>ROUND(F690*G690,2)</f>
        <v>1104.02</v>
      </c>
      <c r="I690" s="901"/>
      <c r="J690" s="309"/>
      <c r="K690" s="1149">
        <v>1</v>
      </c>
      <c r="L690" s="530"/>
      <c r="M690" s="530"/>
      <c r="N690" s="309"/>
      <c r="O690" s="776">
        <v>210</v>
      </c>
      <c r="P690" s="777"/>
      <c r="Q690" s="777"/>
      <c r="R690" s="751"/>
      <c r="S690" s="752"/>
      <c r="T690" s="796"/>
      <c r="U690" s="803">
        <v>0</v>
      </c>
      <c r="V690" s="803">
        <v>0</v>
      </c>
      <c r="W690" s="803">
        <v>0</v>
      </c>
      <c r="X690" s="858">
        <f>SUMIF('Summary-E'!O$4:O$50,D690,'Summary-E'!Q$4:Q$50)</f>
        <v>0.05</v>
      </c>
      <c r="Y690" s="310">
        <f>ROUND((R690+S690/'Summary-E'!$M$63)*X690,2)</f>
        <v>0</v>
      </c>
      <c r="Z690" s="858">
        <f t="shared" si="682"/>
        <v>1.05</v>
      </c>
      <c r="AA690" s="813">
        <f>ROUND(Y690*Z690,2)</f>
        <v>0</v>
      </c>
      <c r="AB690" s="447">
        <f>$AB$3</f>
        <v>0.05</v>
      </c>
      <c r="AC690" s="310">
        <f t="shared" si="711"/>
        <v>0</v>
      </c>
      <c r="AD690" s="717">
        <f>ROUND(AC690*'[1]Summary E&amp;M'!$R$94,2)</f>
        <v>0</v>
      </c>
      <c r="AE690" s="825">
        <f t="shared" si="712"/>
        <v>0</v>
      </c>
      <c r="AF690" s="825">
        <f t="shared" si="713"/>
        <v>0</v>
      </c>
      <c r="AG690" s="743"/>
      <c r="AH690" s="728"/>
      <c r="AI690" s="519">
        <f>$U690</f>
        <v>0</v>
      </c>
      <c r="AJ690" s="519">
        <f>$V690</f>
        <v>0</v>
      </c>
      <c r="AK690" s="519">
        <f>$W690</f>
        <v>0</v>
      </c>
      <c r="AL690" s="520">
        <f>ROUND(Y690*AI690+((Y690*(1+AI690))*AJ690)+((Y690*AI690+((Y690*(1+AI690))*AJ690))*AK690),2)</f>
        <v>0</v>
      </c>
      <c r="AM690" s="520">
        <f>AL690*$F690</f>
        <v>0</v>
      </c>
      <c r="AN690" s="520">
        <f>ROUND(AL690*Z690,2)</f>
        <v>0</v>
      </c>
      <c r="AO690" s="520">
        <f>AN690*$F690</f>
        <v>0</v>
      </c>
      <c r="AP690" s="552"/>
      <c r="AQ690" s="552"/>
      <c r="AR690" s="552"/>
      <c r="AS690" s="552"/>
      <c r="AT690" s="552"/>
    </row>
    <row r="691" spans="1:46" s="555" customFormat="1" ht="22.5" customHeight="1">
      <c r="A691" s="620"/>
      <c r="B691" s="522"/>
      <c r="C691" s="566"/>
      <c r="D691" s="588"/>
      <c r="E691" s="524"/>
      <c r="F691" s="1314"/>
      <c r="G691" s="527"/>
      <c r="H691" s="527"/>
      <c r="I691" s="567"/>
      <c r="J691" s="309"/>
      <c r="K691" s="1149"/>
      <c r="L691" s="530"/>
      <c r="M691" s="602"/>
      <c r="N691" s="309"/>
      <c r="O691" s="776"/>
      <c r="P691" s="777"/>
      <c r="Q691" s="777"/>
      <c r="R691" s="751"/>
      <c r="S691" s="752"/>
      <c r="T691" s="796"/>
      <c r="U691" s="803"/>
      <c r="V691" s="803"/>
      <c r="W691" s="803"/>
      <c r="X691" s="858">
        <f>SUMIF('Summary-E'!O$4:O$50,D691,'Summary-E'!Q$4:Q$50)</f>
        <v>0</v>
      </c>
      <c r="Y691" s="310">
        <f>ROUND((R691+S691/'Summary-E'!$M$63)*X691,2)</f>
        <v>0</v>
      </c>
      <c r="Z691" s="858">
        <f t="shared" si="682"/>
        <v>1.05</v>
      </c>
      <c r="AA691" s="817"/>
      <c r="AB691" s="726"/>
      <c r="AC691" s="310">
        <f t="shared" si="711"/>
        <v>0</v>
      </c>
      <c r="AD691" s="717">
        <f>ROUND(AC691*'[1]Summary E&amp;M'!$R$94,2)</f>
        <v>0</v>
      </c>
      <c r="AE691" s="836"/>
      <c r="AF691" s="836"/>
      <c r="AG691" s="743"/>
      <c r="AH691" s="728"/>
      <c r="AI691" s="519"/>
      <c r="AJ691" s="519"/>
      <c r="AK691" s="519"/>
      <c r="AL691" s="520"/>
      <c r="AM691" s="520"/>
      <c r="AN691" s="520"/>
      <c r="AO691" s="520"/>
      <c r="AP691" s="552"/>
      <c r="AQ691" s="552"/>
      <c r="AR691" s="552"/>
      <c r="AS691" s="552"/>
      <c r="AT691" s="552"/>
    </row>
    <row r="692" spans="1:46" s="711" customFormat="1" ht="22.5" customHeight="1">
      <c r="A692" s="973"/>
      <c r="B692" s="974" t="s">
        <v>422</v>
      </c>
      <c r="C692" s="979"/>
      <c r="D692" s="980"/>
      <c r="E692" s="976"/>
      <c r="F692" s="1317"/>
      <c r="G692" s="971"/>
      <c r="H692" s="971">
        <f>SUBTOTAL(9,H680:H691)</f>
        <v>3444.63</v>
      </c>
      <c r="I692" s="981"/>
      <c r="J692" s="599"/>
      <c r="K692" s="1184"/>
      <c r="L692" s="600"/>
      <c r="M692" s="1051">
        <f>SUBTOTAL(9,M680:M690)</f>
        <v>1104.02</v>
      </c>
      <c r="N692" s="599"/>
      <c r="O692" s="779"/>
      <c r="P692" s="780"/>
      <c r="Q692" s="780"/>
      <c r="R692" s="759"/>
      <c r="S692" s="760"/>
      <c r="T692" s="796"/>
      <c r="U692" s="803">
        <v>0</v>
      </c>
      <c r="V692" s="803">
        <v>0</v>
      </c>
      <c r="W692" s="803">
        <v>0</v>
      </c>
      <c r="X692" s="858">
        <f>SUMIF('Summary-E'!O$4:O$50,D692,'Summary-E'!Q$4:Q$50)</f>
        <v>0</v>
      </c>
      <c r="Y692" s="310">
        <f>ROUND((R692+S692/'Summary-E'!$M$63)*X692,2)</f>
        <v>0</v>
      </c>
      <c r="Z692" s="858">
        <f t="shared" si="682"/>
        <v>1.05</v>
      </c>
      <c r="AA692" s="816"/>
      <c r="AB692" s="552"/>
      <c r="AC692" s="310">
        <f t="shared" si="711"/>
        <v>0</v>
      </c>
      <c r="AD692" s="717">
        <f>ROUND(AC692*'[1]Summary E&amp;M'!$R$94,2)</f>
        <v>0</v>
      </c>
      <c r="AE692" s="823">
        <f>SUBTOTAL(9,AE680:AE691)</f>
        <v>2180.9</v>
      </c>
      <c r="AF692" s="823">
        <f>SUBTOTAL(9,AF680:AF691)</f>
        <v>857.61</v>
      </c>
      <c r="AG692" s="614"/>
      <c r="AH692" s="730"/>
      <c r="AI692" s="713"/>
      <c r="AJ692" s="713"/>
      <c r="AK692" s="713"/>
      <c r="AL692" s="713"/>
      <c r="AM692" s="712">
        <f>SUBTOTAL(9,AM680:AM691)</f>
        <v>0</v>
      </c>
      <c r="AN692" s="713"/>
      <c r="AO692" s="712">
        <f>SUBTOTAL(9,AO680:AO691)</f>
        <v>0</v>
      </c>
      <c r="AP692" s="713"/>
      <c r="AQ692" s="713"/>
      <c r="AR692" s="713"/>
      <c r="AS692" s="713"/>
      <c r="AT692" s="713"/>
    </row>
    <row r="693" spans="1:46" s="555" customFormat="1" ht="22.5" customHeight="1">
      <c r="A693" s="451"/>
      <c r="B693" s="522"/>
      <c r="C693" s="572"/>
      <c r="D693" s="603"/>
      <c r="E693" s="540"/>
      <c r="F693" s="1328"/>
      <c r="G693" s="527"/>
      <c r="H693" s="541"/>
      <c r="I693" s="598"/>
      <c r="J693" s="599"/>
      <c r="K693" s="1173"/>
      <c r="L693" s="600"/>
      <c r="M693" s="604"/>
      <c r="N693" s="599"/>
      <c r="O693" s="776"/>
      <c r="P693" s="777"/>
      <c r="Q693" s="777"/>
      <c r="R693" s="751"/>
      <c r="S693" s="752"/>
      <c r="T693" s="796"/>
      <c r="U693" s="803"/>
      <c r="V693" s="803"/>
      <c r="W693" s="803"/>
      <c r="X693" s="858">
        <f>SUMIF('Summary-E'!O$4:O$50,D693,'Summary-E'!Q$4:Q$50)</f>
        <v>0</v>
      </c>
      <c r="Y693" s="310">
        <f>ROUND((R693+S693/'Summary-E'!$M$63)*X693,2)</f>
        <v>0</v>
      </c>
      <c r="Z693" s="858">
        <f t="shared" si="682"/>
        <v>1.05</v>
      </c>
      <c r="AA693" s="813"/>
      <c r="AB693" s="429"/>
      <c r="AC693" s="310">
        <f t="shared" si="711"/>
        <v>0</v>
      </c>
      <c r="AD693" s="717">
        <f>ROUND(AC693*'[1]Summary E&amp;M'!$R$94,2)</f>
        <v>0</v>
      </c>
      <c r="AE693" s="835"/>
      <c r="AF693" s="835"/>
      <c r="AG693" s="738"/>
      <c r="AH693" s="739"/>
      <c r="AI693" s="553"/>
      <c r="AJ693" s="552"/>
      <c r="AK693" s="552"/>
      <c r="AL693" s="552"/>
      <c r="AM693" s="552"/>
      <c r="AN693" s="552"/>
      <c r="AO693" s="553"/>
      <c r="AP693" s="552"/>
      <c r="AQ693" s="553"/>
      <c r="AR693" s="552"/>
      <c r="AS693" s="552"/>
      <c r="AT693" s="552"/>
    </row>
    <row r="694" spans="1:46" s="555" customFormat="1" ht="22.5" customHeight="1">
      <c r="A694" s="620" t="s">
        <v>520</v>
      </c>
      <c r="B694" s="522" t="s">
        <v>417</v>
      </c>
      <c r="C694" s="566"/>
      <c r="D694" s="588"/>
      <c r="E694" s="523"/>
      <c r="F694" s="1328"/>
      <c r="G694" s="605"/>
      <c r="H694" s="605"/>
      <c r="I694" s="606"/>
      <c r="J694" s="428"/>
      <c r="K694" s="1173"/>
      <c r="L694" s="960"/>
      <c r="M694" s="1052"/>
      <c r="N694" s="428"/>
      <c r="O694" s="786"/>
      <c r="P694" s="777"/>
      <c r="Q694" s="777"/>
      <c r="R694" s="751"/>
      <c r="S694" s="752"/>
      <c r="T694" s="796"/>
      <c r="U694" s="803">
        <v>0</v>
      </c>
      <c r="V694" s="803">
        <v>0</v>
      </c>
      <c r="W694" s="803">
        <v>0</v>
      </c>
      <c r="X694" s="858">
        <f>SUMIF('Summary-E'!O$4:O$50,D694,'Summary-E'!Q$4:Q$50)</f>
        <v>0</v>
      </c>
      <c r="Y694" s="310">
        <f>ROUND((R694+S694/'Summary-E'!$M$63)*X694,2)</f>
        <v>0</v>
      </c>
      <c r="Z694" s="858">
        <f t="shared" si="682"/>
        <v>1.05</v>
      </c>
      <c r="AA694" s="813">
        <f>ROUND(Y694*Z694,2)</f>
        <v>0</v>
      </c>
      <c r="AB694" s="447">
        <f t="shared" ref="AB694:AB714" si="726">$AB$3</f>
        <v>0.05</v>
      </c>
      <c r="AC694" s="310">
        <f t="shared" si="711"/>
        <v>0</v>
      </c>
      <c r="AD694" s="717">
        <f>ROUND(AC694*'[1]Summary E&amp;M'!$R$94,2)</f>
        <v>0</v>
      </c>
      <c r="AE694" s="825">
        <f t="shared" ref="AE694:AE716" si="727">ROUND($K694*$Y694,2)</f>
        <v>0</v>
      </c>
      <c r="AF694" s="825">
        <f t="shared" ref="AF694:AF716" si="728">ROUND($K694*$AC694,2)</f>
        <v>0</v>
      </c>
      <c r="AG694" s="743"/>
      <c r="AH694" s="728"/>
      <c r="AI694" s="519">
        <f t="shared" ref="AI694:AI714" si="729">$U694</f>
        <v>0</v>
      </c>
      <c r="AJ694" s="519">
        <f t="shared" ref="AJ694:AJ714" si="730">$V694</f>
        <v>0</v>
      </c>
      <c r="AK694" s="519">
        <f t="shared" ref="AK694:AK714" si="731">$W694</f>
        <v>0</v>
      </c>
      <c r="AL694" s="520">
        <f>ROUND(Y694*AI694+((Y694*(1+AI694))*AJ694)+((Y694*AI694+((Y694*(1+AI694))*AJ694))*AK694),2)</f>
        <v>0</v>
      </c>
      <c r="AM694" s="520">
        <f>AL694*$F694</f>
        <v>0</v>
      </c>
      <c r="AN694" s="520">
        <f>ROUND(AL694*Z694,2)</f>
        <v>0</v>
      </c>
      <c r="AO694" s="520">
        <f>AN694*$F694</f>
        <v>0</v>
      </c>
      <c r="AP694" s="718"/>
      <c r="AQ694" s="718"/>
      <c r="AR694" s="718"/>
      <c r="AS694" s="718"/>
      <c r="AT694" s="718"/>
    </row>
    <row r="695" spans="1:46" s="555" customFormat="1" ht="22.5" customHeight="1">
      <c r="A695" s="620"/>
      <c r="B695" s="531" t="s">
        <v>425</v>
      </c>
      <c r="C695" s="566"/>
      <c r="D695" s="996" t="s">
        <v>1130</v>
      </c>
      <c r="E695" s="524" t="s">
        <v>418</v>
      </c>
      <c r="F695" s="1322">
        <f>K695</f>
        <v>1</v>
      </c>
      <c r="G695" s="527">
        <f>ROUND(AA695,2)</f>
        <v>285.18</v>
      </c>
      <c r="H695" s="527">
        <f>F695*G695</f>
        <v>285.18</v>
      </c>
      <c r="I695" s="567"/>
      <c r="J695" s="582"/>
      <c r="K695" s="1149">
        <v>1</v>
      </c>
      <c r="L695" s="530">
        <f>ROUND(AD695,2)</f>
        <v>19.690000000000001</v>
      </c>
      <c r="M695" s="530">
        <f>ROUND(L695*F695,2)</f>
        <v>19.690000000000001</v>
      </c>
      <c r="N695" s="309"/>
      <c r="O695" s="786" t="s">
        <v>135</v>
      </c>
      <c r="P695" s="777"/>
      <c r="Q695" s="777"/>
      <c r="R695" s="751">
        <v>280</v>
      </c>
      <c r="S695" s="752"/>
      <c r="T695" s="792">
        <v>15</v>
      </c>
      <c r="U695" s="803">
        <v>0</v>
      </c>
      <c r="V695" s="803">
        <v>0</v>
      </c>
      <c r="W695" s="803">
        <v>0</v>
      </c>
      <c r="X695" s="858">
        <f>SUMIF('Summary-E'!O$4:O$50,D695,'Summary-E'!Q$4:Q$50)</f>
        <v>0.97</v>
      </c>
      <c r="Y695" s="310">
        <f>ROUND((R695+S695/'Summary-E'!$M$63)*X695,2)</f>
        <v>271.60000000000002</v>
      </c>
      <c r="Z695" s="858">
        <f t="shared" si="682"/>
        <v>1.05</v>
      </c>
      <c r="AA695" s="813">
        <f>ROUND(Y695*Z695,2)</f>
        <v>285.18</v>
      </c>
      <c r="AB695" s="447">
        <f t="shared" si="726"/>
        <v>0.05</v>
      </c>
      <c r="AC695" s="310">
        <f t="shared" si="711"/>
        <v>15.75</v>
      </c>
      <c r="AD695" s="717">
        <f>ROUND(AC695*'[1]Summary E&amp;M'!$R$94,2)</f>
        <v>19.690000000000001</v>
      </c>
      <c r="AE695" s="825">
        <f t="shared" si="727"/>
        <v>271.60000000000002</v>
      </c>
      <c r="AF695" s="825">
        <f t="shared" si="728"/>
        <v>15.75</v>
      </c>
      <c r="AG695" s="743"/>
      <c r="AH695" s="728"/>
      <c r="AI695" s="519">
        <f t="shared" si="729"/>
        <v>0</v>
      </c>
      <c r="AJ695" s="519">
        <f t="shared" si="730"/>
        <v>0</v>
      </c>
      <c r="AK695" s="519">
        <f t="shared" si="731"/>
        <v>0</v>
      </c>
      <c r="AL695" s="520">
        <f>ROUND(Y695*AI695+((Y695*(1+AI695))*AJ695)+((Y695*AI695+((Y695*(1+AI695))*AJ695))*AK695),2)</f>
        <v>0</v>
      </c>
      <c r="AM695" s="520">
        <f>AL695*$F695</f>
        <v>0</v>
      </c>
      <c r="AN695" s="520">
        <f>ROUND(AL695*Z695,2)</f>
        <v>0</v>
      </c>
      <c r="AO695" s="520">
        <f>AN695*$F695</f>
        <v>0</v>
      </c>
      <c r="AP695" s="552"/>
      <c r="AQ695" s="552"/>
      <c r="AR695" s="552"/>
      <c r="AS695" s="552"/>
      <c r="AT695" s="552"/>
    </row>
    <row r="696" spans="1:46" s="555" customFormat="1" ht="22.5" customHeight="1">
      <c r="A696" s="620"/>
      <c r="B696" s="997" t="s">
        <v>989</v>
      </c>
      <c r="C696" s="566"/>
      <c r="D696" s="996"/>
      <c r="E696" s="524"/>
      <c r="F696" s="1322"/>
      <c r="G696" s="527"/>
      <c r="H696" s="527"/>
      <c r="I696" s="567"/>
      <c r="J696" s="582"/>
      <c r="K696" s="1149"/>
      <c r="L696" s="530"/>
      <c r="M696" s="530"/>
      <c r="N696" s="309"/>
      <c r="O696" s="786"/>
      <c r="P696" s="777"/>
      <c r="Q696" s="777"/>
      <c r="R696" s="751"/>
      <c r="S696" s="752"/>
      <c r="T696" s="792"/>
      <c r="U696" s="803"/>
      <c r="V696" s="803"/>
      <c r="W696" s="803"/>
      <c r="X696" s="858">
        <f>SUMIF('Summary-E'!O$4:O$50,D696,'Summary-E'!Q$4:Q$50)</f>
        <v>0</v>
      </c>
      <c r="Y696" s="310">
        <f>ROUND((R696+S696/'Summary-E'!$M$63)*X696,2)</f>
        <v>0</v>
      </c>
      <c r="Z696" s="858">
        <f t="shared" si="682"/>
        <v>1.05</v>
      </c>
      <c r="AA696" s="813"/>
      <c r="AB696" s="447"/>
      <c r="AC696" s="310"/>
      <c r="AD696" s="717"/>
      <c r="AE696" s="825"/>
      <c r="AF696" s="825"/>
      <c r="AG696" s="743"/>
      <c r="AH696" s="728"/>
      <c r="AI696" s="519"/>
      <c r="AJ696" s="519"/>
      <c r="AK696" s="519"/>
      <c r="AL696" s="520"/>
      <c r="AM696" s="520"/>
      <c r="AN696" s="520"/>
      <c r="AO696" s="520"/>
      <c r="AP696" s="552"/>
      <c r="AQ696" s="552"/>
      <c r="AR696" s="552"/>
      <c r="AS696" s="552"/>
      <c r="AT696" s="552"/>
    </row>
    <row r="697" spans="1:46" s="555" customFormat="1" ht="27.75" customHeight="1">
      <c r="A697" s="620"/>
      <c r="B697" s="1152" t="s">
        <v>1255</v>
      </c>
      <c r="C697" s="566" t="s">
        <v>1256</v>
      </c>
      <c r="D697" s="996" t="s">
        <v>1130</v>
      </c>
      <c r="E697" s="524" t="s">
        <v>635</v>
      </c>
      <c r="F697" s="1322">
        <f t="shared" ref="F697:F706" si="732">K697</f>
        <v>3</v>
      </c>
      <c r="G697" s="527">
        <f t="shared" ref="G697:G711" si="733">ROUND(AA697,2)</f>
        <v>1008.7</v>
      </c>
      <c r="H697" s="527">
        <f t="shared" ref="H697:H706" si="734">F697*G697</f>
        <v>3026.1000000000004</v>
      </c>
      <c r="I697" s="567"/>
      <c r="J697" s="582"/>
      <c r="K697" s="1149">
        <v>3</v>
      </c>
      <c r="L697" s="530"/>
      <c r="M697" s="530"/>
      <c r="N697" s="309"/>
      <c r="O697" s="786" t="s">
        <v>135</v>
      </c>
      <c r="P697" s="777"/>
      <c r="Q697" s="777"/>
      <c r="R697" s="751"/>
      <c r="S697" s="752">
        <v>19982000</v>
      </c>
      <c r="T697" s="792">
        <v>15</v>
      </c>
      <c r="U697" s="803">
        <v>0</v>
      </c>
      <c r="V697" s="803">
        <v>0</v>
      </c>
      <c r="W697" s="803">
        <v>0</v>
      </c>
      <c r="X697" s="858">
        <v>1</v>
      </c>
      <c r="Y697" s="310">
        <f>ROUND((R697+S697/'Summary-E'!$M$63)*X697,2)</f>
        <v>960.67</v>
      </c>
      <c r="Z697" s="858">
        <f t="shared" si="682"/>
        <v>1.05</v>
      </c>
      <c r="AA697" s="813">
        <f t="shared" ref="AA697:AA711" si="735">ROUND(Y697*Z697,2)</f>
        <v>1008.7</v>
      </c>
      <c r="AB697" s="447">
        <f t="shared" ref="AB697:AB704" si="736">$AB$3</f>
        <v>0.05</v>
      </c>
      <c r="AC697" s="310">
        <f t="shared" ref="AC697:AC704" si="737">ROUND((T697*(1+AB697)),2)</f>
        <v>15.75</v>
      </c>
      <c r="AD697" s="717">
        <f>ROUND(AC697*'[1]Summary E&amp;M'!$R$94,2)</f>
        <v>19.690000000000001</v>
      </c>
      <c r="AE697" s="825">
        <f t="shared" ref="AE697:AE704" si="738">ROUND($K697*$Y697,2)</f>
        <v>2882.01</v>
      </c>
      <c r="AF697" s="825">
        <f t="shared" ref="AF697:AF704" si="739">ROUND($K697*$AC697,2)</f>
        <v>47.25</v>
      </c>
      <c r="AG697" s="743"/>
      <c r="AH697" s="728"/>
      <c r="AI697" s="519">
        <f t="shared" ref="AI697:AI704" si="740">$U697</f>
        <v>0</v>
      </c>
      <c r="AJ697" s="519">
        <f t="shared" ref="AJ697:AJ704" si="741">$V697</f>
        <v>0</v>
      </c>
      <c r="AK697" s="519">
        <f t="shared" ref="AK697:AK704" si="742">$W697</f>
        <v>0</v>
      </c>
      <c r="AL697" s="520">
        <f t="shared" ref="AL697:AL707" si="743">ROUND(Y697*AI697+((Y697*(1+AI697))*AJ697)+((Y697*AI697+((Y697*(1+AI697))*AJ697))*AK697),2)</f>
        <v>0</v>
      </c>
      <c r="AM697" s="520">
        <f t="shared" ref="AM697:AM707" si="744">AL697*$F697</f>
        <v>0</v>
      </c>
      <c r="AN697" s="520">
        <f t="shared" ref="AN697:AN707" si="745">ROUND(AL697*Z697,2)</f>
        <v>0</v>
      </c>
      <c r="AO697" s="520">
        <f t="shared" ref="AO697:AO707" si="746">AN697*$F697</f>
        <v>0</v>
      </c>
      <c r="AP697" s="552"/>
      <c r="AQ697" s="552"/>
      <c r="AR697" s="552"/>
      <c r="AS697" s="552"/>
      <c r="AT697" s="552"/>
    </row>
    <row r="698" spans="1:46" s="555" customFormat="1" ht="22.5" customHeight="1">
      <c r="A698" s="620"/>
      <c r="B698" s="1150" t="s">
        <v>1253</v>
      </c>
      <c r="C698" s="566" t="s">
        <v>1254</v>
      </c>
      <c r="D698" s="996" t="s">
        <v>1130</v>
      </c>
      <c r="E698" s="524" t="s">
        <v>635</v>
      </c>
      <c r="F698" s="1322">
        <f t="shared" si="732"/>
        <v>1</v>
      </c>
      <c r="G698" s="527">
        <f t="shared" si="733"/>
        <v>398.04</v>
      </c>
      <c r="H698" s="527">
        <f t="shared" si="734"/>
        <v>398.04</v>
      </c>
      <c r="I698" s="567"/>
      <c r="J698" s="582"/>
      <c r="K698" s="1149">
        <v>1</v>
      </c>
      <c r="L698" s="530"/>
      <c r="M698" s="530"/>
      <c r="N698" s="309"/>
      <c r="O698" s="786" t="s">
        <v>135</v>
      </c>
      <c r="P698" s="777"/>
      <c r="Q698" s="777"/>
      <c r="R698" s="751"/>
      <c r="S698" s="752">
        <v>7885000</v>
      </c>
      <c r="T698" s="792">
        <v>15</v>
      </c>
      <c r="U698" s="803">
        <v>0</v>
      </c>
      <c r="V698" s="803">
        <v>0</v>
      </c>
      <c r="W698" s="803">
        <v>0</v>
      </c>
      <c r="X698" s="858">
        <v>1</v>
      </c>
      <c r="Y698" s="310">
        <f>ROUND((R698+S698/'Summary-E'!$M$63)*X698,2)</f>
        <v>379.09</v>
      </c>
      <c r="Z698" s="858">
        <f t="shared" si="682"/>
        <v>1.05</v>
      </c>
      <c r="AA698" s="813">
        <f t="shared" si="735"/>
        <v>398.04</v>
      </c>
      <c r="AB698" s="447">
        <f t="shared" si="736"/>
        <v>0.05</v>
      </c>
      <c r="AC698" s="310">
        <f t="shared" si="737"/>
        <v>15.75</v>
      </c>
      <c r="AD698" s="717">
        <f>ROUND(AC698*'[1]Summary E&amp;M'!$R$94,2)</f>
        <v>19.690000000000001</v>
      </c>
      <c r="AE698" s="825">
        <f t="shared" si="738"/>
        <v>379.09</v>
      </c>
      <c r="AF698" s="825">
        <f t="shared" si="739"/>
        <v>15.75</v>
      </c>
      <c r="AG698" s="743"/>
      <c r="AH698" s="728"/>
      <c r="AI698" s="519">
        <f t="shared" si="740"/>
        <v>0</v>
      </c>
      <c r="AJ698" s="519">
        <f t="shared" si="741"/>
        <v>0</v>
      </c>
      <c r="AK698" s="519">
        <f t="shared" si="742"/>
        <v>0</v>
      </c>
      <c r="AL698" s="520">
        <f t="shared" si="743"/>
        <v>0</v>
      </c>
      <c r="AM698" s="520">
        <f t="shared" si="744"/>
        <v>0</v>
      </c>
      <c r="AN698" s="520">
        <f t="shared" si="745"/>
        <v>0</v>
      </c>
      <c r="AO698" s="520">
        <f t="shared" si="746"/>
        <v>0</v>
      </c>
      <c r="AP698" s="552"/>
      <c r="AQ698" s="552"/>
      <c r="AR698" s="552"/>
      <c r="AS698" s="552"/>
      <c r="AT698" s="552"/>
    </row>
    <row r="699" spans="1:46" s="555" customFormat="1" ht="22.5" customHeight="1">
      <c r="A699" s="620"/>
      <c r="B699" s="1150" t="s">
        <v>1257</v>
      </c>
      <c r="C699" s="566" t="s">
        <v>1258</v>
      </c>
      <c r="D699" s="996" t="s">
        <v>1130</v>
      </c>
      <c r="E699" s="524" t="s">
        <v>635</v>
      </c>
      <c r="F699" s="1322">
        <f t="shared" ref="F699" si="747">K699</f>
        <v>1</v>
      </c>
      <c r="G699" s="527">
        <f t="shared" ref="G699" si="748">ROUND(AA699,2)</f>
        <v>398.04</v>
      </c>
      <c r="H699" s="527">
        <f t="shared" ref="H699" si="749">F699*G699</f>
        <v>398.04</v>
      </c>
      <c r="I699" s="567"/>
      <c r="J699" s="582"/>
      <c r="K699" s="1149">
        <v>1</v>
      </c>
      <c r="L699" s="530"/>
      <c r="M699" s="530"/>
      <c r="N699" s="309"/>
      <c r="O699" s="786" t="s">
        <v>135</v>
      </c>
      <c r="P699" s="777"/>
      <c r="Q699" s="777"/>
      <c r="R699" s="751"/>
      <c r="S699" s="752">
        <v>7885000</v>
      </c>
      <c r="T699" s="792">
        <v>15</v>
      </c>
      <c r="U699" s="803">
        <v>0</v>
      </c>
      <c r="V699" s="803">
        <v>0</v>
      </c>
      <c r="W699" s="803">
        <v>0</v>
      </c>
      <c r="X699" s="858">
        <v>1</v>
      </c>
      <c r="Y699" s="310">
        <f>ROUND((R699+S699/'Summary-E'!$M$63)*X699,2)</f>
        <v>379.09</v>
      </c>
      <c r="Z699" s="858">
        <f t="shared" si="682"/>
        <v>1.05</v>
      </c>
      <c r="AA699" s="813">
        <f t="shared" ref="AA699" si="750">ROUND(Y699*Z699,2)</f>
        <v>398.04</v>
      </c>
      <c r="AB699" s="447">
        <f t="shared" si="736"/>
        <v>0.05</v>
      </c>
      <c r="AC699" s="310">
        <f t="shared" ref="AC699" si="751">ROUND((T699*(1+AB699)),2)</f>
        <v>15.75</v>
      </c>
      <c r="AD699" s="717">
        <f>ROUND(AC699*'[1]Summary E&amp;M'!$R$94,2)</f>
        <v>19.690000000000001</v>
      </c>
      <c r="AE699" s="825">
        <f t="shared" si="738"/>
        <v>379.09</v>
      </c>
      <c r="AF699" s="825">
        <f t="shared" si="739"/>
        <v>15.75</v>
      </c>
      <c r="AG699" s="743"/>
      <c r="AH699" s="728"/>
      <c r="AI699" s="519">
        <f t="shared" si="740"/>
        <v>0</v>
      </c>
      <c r="AJ699" s="519">
        <f t="shared" si="741"/>
        <v>0</v>
      </c>
      <c r="AK699" s="519">
        <f t="shared" si="742"/>
        <v>0</v>
      </c>
      <c r="AL699" s="520">
        <f t="shared" ref="AL699" si="752">ROUND(Y699*AI699+((Y699*(1+AI699))*AJ699)+((Y699*AI699+((Y699*(1+AI699))*AJ699))*AK699),2)</f>
        <v>0</v>
      </c>
      <c r="AM699" s="520">
        <f t="shared" ref="AM699" si="753">AL699*$F699</f>
        <v>0</v>
      </c>
      <c r="AN699" s="520">
        <f t="shared" ref="AN699" si="754">ROUND(AL699*Z699,2)</f>
        <v>0</v>
      </c>
      <c r="AO699" s="520">
        <f t="shared" ref="AO699" si="755">AN699*$F699</f>
        <v>0</v>
      </c>
      <c r="AP699" s="552"/>
      <c r="AQ699" s="552"/>
      <c r="AR699" s="552"/>
      <c r="AS699" s="552"/>
      <c r="AT699" s="552"/>
    </row>
    <row r="700" spans="1:46" s="555" customFormat="1" ht="22.5" customHeight="1">
      <c r="A700" s="620"/>
      <c r="B700" s="1150" t="s">
        <v>1251</v>
      </c>
      <c r="C700" s="566" t="s">
        <v>1252</v>
      </c>
      <c r="D700" s="996" t="s">
        <v>1130</v>
      </c>
      <c r="E700" s="524" t="s">
        <v>635</v>
      </c>
      <c r="F700" s="1322">
        <f t="shared" si="732"/>
        <v>1</v>
      </c>
      <c r="G700" s="527">
        <f t="shared" si="733"/>
        <v>355.29</v>
      </c>
      <c r="H700" s="527">
        <f t="shared" si="734"/>
        <v>355.29</v>
      </c>
      <c r="I700" s="567"/>
      <c r="J700" s="582"/>
      <c r="K700" s="1149">
        <v>1</v>
      </c>
      <c r="L700" s="530"/>
      <c r="M700" s="530"/>
      <c r="N700" s="309"/>
      <c r="O700" s="786" t="s">
        <v>135</v>
      </c>
      <c r="P700" s="777"/>
      <c r="Q700" s="777"/>
      <c r="R700" s="751"/>
      <c r="S700" s="752">
        <v>7038000</v>
      </c>
      <c r="T700" s="792">
        <v>15</v>
      </c>
      <c r="U700" s="803">
        <v>0</v>
      </c>
      <c r="V700" s="803">
        <v>0</v>
      </c>
      <c r="W700" s="803">
        <v>0</v>
      </c>
      <c r="X700" s="858">
        <v>1</v>
      </c>
      <c r="Y700" s="310">
        <f>ROUND((R700+S700/'Summary-E'!$M$63)*X700,2)</f>
        <v>338.37</v>
      </c>
      <c r="Z700" s="858">
        <f t="shared" si="682"/>
        <v>1.05</v>
      </c>
      <c r="AA700" s="813">
        <f t="shared" si="735"/>
        <v>355.29</v>
      </c>
      <c r="AB700" s="447">
        <f t="shared" si="736"/>
        <v>0.05</v>
      </c>
      <c r="AC700" s="310">
        <f t="shared" si="737"/>
        <v>15.75</v>
      </c>
      <c r="AD700" s="717">
        <f>ROUND(AC700*'[1]Summary E&amp;M'!$R$94,2)</f>
        <v>19.690000000000001</v>
      </c>
      <c r="AE700" s="825">
        <f t="shared" si="738"/>
        <v>338.37</v>
      </c>
      <c r="AF700" s="825">
        <f t="shared" si="739"/>
        <v>15.75</v>
      </c>
      <c r="AG700" s="743"/>
      <c r="AH700" s="728"/>
      <c r="AI700" s="519">
        <f t="shared" si="740"/>
        <v>0</v>
      </c>
      <c r="AJ700" s="519">
        <f t="shared" si="741"/>
        <v>0</v>
      </c>
      <c r="AK700" s="519">
        <f t="shared" si="742"/>
        <v>0</v>
      </c>
      <c r="AL700" s="520">
        <f t="shared" si="743"/>
        <v>0</v>
      </c>
      <c r="AM700" s="520">
        <f t="shared" si="744"/>
        <v>0</v>
      </c>
      <c r="AN700" s="520">
        <f t="shared" si="745"/>
        <v>0</v>
      </c>
      <c r="AO700" s="520">
        <f t="shared" si="746"/>
        <v>0</v>
      </c>
      <c r="AP700" s="552"/>
      <c r="AQ700" s="552"/>
      <c r="AR700" s="552"/>
      <c r="AS700" s="552"/>
      <c r="AT700" s="552"/>
    </row>
    <row r="701" spans="1:46" s="555" customFormat="1" ht="22.5" customHeight="1">
      <c r="A701" s="620"/>
      <c r="B701" s="997" t="s">
        <v>1245</v>
      </c>
      <c r="C701" s="566" t="s">
        <v>1250</v>
      </c>
      <c r="D701" s="996" t="s">
        <v>1130</v>
      </c>
      <c r="E701" s="524" t="s">
        <v>635</v>
      </c>
      <c r="F701" s="1322">
        <f t="shared" si="732"/>
        <v>1</v>
      </c>
      <c r="G701" s="527">
        <f t="shared" si="733"/>
        <v>733.54</v>
      </c>
      <c r="H701" s="527">
        <f t="shared" si="734"/>
        <v>733.54</v>
      </c>
      <c r="I701" s="567"/>
      <c r="J701" s="582"/>
      <c r="K701" s="1149">
        <v>1</v>
      </c>
      <c r="L701" s="530"/>
      <c r="M701" s="530"/>
      <c r="N701" s="309"/>
      <c r="O701" s="786" t="s">
        <v>135</v>
      </c>
      <c r="P701" s="777"/>
      <c r="Q701" s="777"/>
      <c r="R701" s="751"/>
      <c r="S701" s="752">
        <v>14531000</v>
      </c>
      <c r="T701" s="792">
        <v>15</v>
      </c>
      <c r="U701" s="803">
        <v>0</v>
      </c>
      <c r="V701" s="803">
        <v>0</v>
      </c>
      <c r="W701" s="803">
        <v>0</v>
      </c>
      <c r="X701" s="858">
        <v>1</v>
      </c>
      <c r="Y701" s="310">
        <f>ROUND((R701+S701/'Summary-E'!$M$63)*X701,2)</f>
        <v>698.61</v>
      </c>
      <c r="Z701" s="858">
        <f t="shared" si="682"/>
        <v>1.05</v>
      </c>
      <c r="AA701" s="813">
        <f t="shared" si="735"/>
        <v>733.54</v>
      </c>
      <c r="AB701" s="447">
        <f t="shared" si="736"/>
        <v>0.05</v>
      </c>
      <c r="AC701" s="310">
        <f t="shared" si="737"/>
        <v>15.75</v>
      </c>
      <c r="AD701" s="717">
        <f>ROUND(AC701*'[1]Summary E&amp;M'!$R$94,2)</f>
        <v>19.690000000000001</v>
      </c>
      <c r="AE701" s="825">
        <f t="shared" si="738"/>
        <v>698.61</v>
      </c>
      <c r="AF701" s="825">
        <f t="shared" si="739"/>
        <v>15.75</v>
      </c>
      <c r="AG701" s="743"/>
      <c r="AH701" s="728"/>
      <c r="AI701" s="519">
        <f t="shared" si="740"/>
        <v>0</v>
      </c>
      <c r="AJ701" s="519">
        <f t="shared" si="741"/>
        <v>0</v>
      </c>
      <c r="AK701" s="519">
        <f t="shared" si="742"/>
        <v>0</v>
      </c>
      <c r="AL701" s="520">
        <f t="shared" si="743"/>
        <v>0</v>
      </c>
      <c r="AM701" s="520">
        <f t="shared" si="744"/>
        <v>0</v>
      </c>
      <c r="AN701" s="520">
        <f t="shared" si="745"/>
        <v>0</v>
      </c>
      <c r="AO701" s="520">
        <f t="shared" si="746"/>
        <v>0</v>
      </c>
      <c r="AP701" s="552"/>
      <c r="AQ701" s="552"/>
      <c r="AR701" s="552"/>
      <c r="AS701" s="552"/>
      <c r="AT701" s="552"/>
    </row>
    <row r="702" spans="1:46" s="555" customFormat="1" ht="22.5" customHeight="1">
      <c r="A702" s="620"/>
      <c r="B702" s="997" t="s">
        <v>1248</v>
      </c>
      <c r="C702" s="566" t="s">
        <v>1249</v>
      </c>
      <c r="D702" s="996" t="s">
        <v>1130</v>
      </c>
      <c r="E702" s="524" t="s">
        <v>635</v>
      </c>
      <c r="F702" s="1322">
        <f t="shared" si="732"/>
        <v>1</v>
      </c>
      <c r="G702" s="527">
        <f t="shared" si="733"/>
        <v>1458.89</v>
      </c>
      <c r="H702" s="527">
        <f t="shared" si="734"/>
        <v>1458.89</v>
      </c>
      <c r="I702" s="567"/>
      <c r="J702" s="582"/>
      <c r="K702" s="1149">
        <v>1</v>
      </c>
      <c r="L702" s="530"/>
      <c r="M702" s="530"/>
      <c r="N702" s="309"/>
      <c r="O702" s="786" t="s">
        <v>135</v>
      </c>
      <c r="P702" s="777"/>
      <c r="Q702" s="777"/>
      <c r="R702" s="751"/>
      <c r="S702" s="752">
        <v>28900000</v>
      </c>
      <c r="T702" s="792">
        <v>15</v>
      </c>
      <c r="U702" s="803">
        <v>0</v>
      </c>
      <c r="V702" s="803">
        <v>0</v>
      </c>
      <c r="W702" s="803">
        <v>0</v>
      </c>
      <c r="X702" s="858">
        <v>1</v>
      </c>
      <c r="Y702" s="310">
        <f>ROUND((R702+S702/'Summary-E'!$M$63)*X702,2)</f>
        <v>1389.42</v>
      </c>
      <c r="Z702" s="858">
        <f t="shared" si="682"/>
        <v>1.05</v>
      </c>
      <c r="AA702" s="813">
        <f t="shared" si="735"/>
        <v>1458.89</v>
      </c>
      <c r="AB702" s="447">
        <f t="shared" si="736"/>
        <v>0.05</v>
      </c>
      <c r="AC702" s="310">
        <f t="shared" si="737"/>
        <v>15.75</v>
      </c>
      <c r="AD702" s="717">
        <f>ROUND(AC702*'[1]Summary E&amp;M'!$R$94,2)</f>
        <v>19.690000000000001</v>
      </c>
      <c r="AE702" s="825">
        <f t="shared" si="738"/>
        <v>1389.42</v>
      </c>
      <c r="AF702" s="825">
        <f t="shared" si="739"/>
        <v>15.75</v>
      </c>
      <c r="AG702" s="743"/>
      <c r="AH702" s="728"/>
      <c r="AI702" s="519">
        <f t="shared" si="740"/>
        <v>0</v>
      </c>
      <c r="AJ702" s="519">
        <f t="shared" si="741"/>
        <v>0</v>
      </c>
      <c r="AK702" s="519">
        <f t="shared" si="742"/>
        <v>0</v>
      </c>
      <c r="AL702" s="520">
        <f t="shared" si="743"/>
        <v>0</v>
      </c>
      <c r="AM702" s="520">
        <f t="shared" si="744"/>
        <v>0</v>
      </c>
      <c r="AN702" s="520">
        <f t="shared" si="745"/>
        <v>0</v>
      </c>
      <c r="AO702" s="520">
        <f t="shared" si="746"/>
        <v>0</v>
      </c>
      <c r="AP702" s="552"/>
      <c r="AQ702" s="552"/>
      <c r="AR702" s="552"/>
      <c r="AS702" s="552"/>
      <c r="AT702" s="552"/>
    </row>
    <row r="703" spans="1:46" s="555" customFormat="1" ht="22.5" customHeight="1">
      <c r="A703" s="620"/>
      <c r="B703" s="997" t="s">
        <v>1246</v>
      </c>
      <c r="C703" s="566" t="s">
        <v>1247</v>
      </c>
      <c r="D703" s="996" t="s">
        <v>1130</v>
      </c>
      <c r="E703" s="524" t="s">
        <v>635</v>
      </c>
      <c r="F703" s="1322">
        <f t="shared" ref="F703" si="756">K703</f>
        <v>1</v>
      </c>
      <c r="G703" s="527">
        <f t="shared" ref="G703" si="757">ROUND(AA703,2)</f>
        <v>1228.6500000000001</v>
      </c>
      <c r="H703" s="527">
        <f t="shared" ref="H703" si="758">F703*G703</f>
        <v>1228.6500000000001</v>
      </c>
      <c r="I703" s="567"/>
      <c r="J703" s="582"/>
      <c r="K703" s="1149">
        <v>1</v>
      </c>
      <c r="L703" s="530"/>
      <c r="M703" s="530"/>
      <c r="N703" s="309"/>
      <c r="O703" s="786" t="s">
        <v>135</v>
      </c>
      <c r="P703" s="777"/>
      <c r="Q703" s="777"/>
      <c r="R703" s="751"/>
      <c r="S703" s="752">
        <v>24339000</v>
      </c>
      <c r="T703" s="792">
        <v>15</v>
      </c>
      <c r="U703" s="803">
        <v>0</v>
      </c>
      <c r="V703" s="803">
        <v>0</v>
      </c>
      <c r="W703" s="803">
        <v>0</v>
      </c>
      <c r="X703" s="858">
        <v>1</v>
      </c>
      <c r="Y703" s="310">
        <f>ROUND((R703+S703/'Summary-E'!$M$63)*X703,2)</f>
        <v>1170.1400000000001</v>
      </c>
      <c r="Z703" s="858">
        <f t="shared" si="682"/>
        <v>1.05</v>
      </c>
      <c r="AA703" s="813">
        <f t="shared" ref="AA703" si="759">ROUND(Y703*Z703,2)</f>
        <v>1228.6500000000001</v>
      </c>
      <c r="AB703" s="447">
        <f t="shared" si="736"/>
        <v>0.05</v>
      </c>
      <c r="AC703" s="310">
        <f t="shared" ref="AC703" si="760">ROUND((T703*(1+AB703)),2)</f>
        <v>15.75</v>
      </c>
      <c r="AD703" s="717">
        <f>ROUND(AC703*'[1]Summary E&amp;M'!$R$94,2)</f>
        <v>19.690000000000001</v>
      </c>
      <c r="AE703" s="825">
        <f t="shared" si="738"/>
        <v>1170.1400000000001</v>
      </c>
      <c r="AF703" s="825">
        <f t="shared" si="739"/>
        <v>15.75</v>
      </c>
      <c r="AG703" s="743"/>
      <c r="AH703" s="728"/>
      <c r="AI703" s="519">
        <f t="shared" si="740"/>
        <v>0</v>
      </c>
      <c r="AJ703" s="519">
        <f t="shared" si="741"/>
        <v>0</v>
      </c>
      <c r="AK703" s="519">
        <f t="shared" si="742"/>
        <v>0</v>
      </c>
      <c r="AL703" s="520">
        <f t="shared" ref="AL703" si="761">ROUND(Y703*AI703+((Y703*(1+AI703))*AJ703)+((Y703*AI703+((Y703*(1+AI703))*AJ703))*AK703),2)</f>
        <v>0</v>
      </c>
      <c r="AM703" s="520">
        <f t="shared" ref="AM703" si="762">AL703*$F703</f>
        <v>0</v>
      </c>
      <c r="AN703" s="520">
        <f t="shared" ref="AN703" si="763">ROUND(AL703*Z703,2)</f>
        <v>0</v>
      </c>
      <c r="AO703" s="520">
        <f t="shared" ref="AO703" si="764">AN703*$F703</f>
        <v>0</v>
      </c>
      <c r="AP703" s="552"/>
      <c r="AQ703" s="552"/>
      <c r="AR703" s="552"/>
      <c r="AS703" s="552"/>
      <c r="AT703" s="552"/>
    </row>
    <row r="704" spans="1:46" s="555" customFormat="1" ht="22.5" customHeight="1">
      <c r="A704" s="620"/>
      <c r="B704" s="997" t="s">
        <v>990</v>
      </c>
      <c r="C704" s="566"/>
      <c r="D704" s="996" t="s">
        <v>1130</v>
      </c>
      <c r="E704" s="524" t="s">
        <v>635</v>
      </c>
      <c r="F704" s="1322">
        <f t="shared" si="732"/>
        <v>1</v>
      </c>
      <c r="G704" s="527">
        <f t="shared" si="733"/>
        <v>731.98</v>
      </c>
      <c r="H704" s="527">
        <f t="shared" si="734"/>
        <v>731.98</v>
      </c>
      <c r="I704" s="567"/>
      <c r="J704" s="582"/>
      <c r="K704" s="1149">
        <v>1</v>
      </c>
      <c r="L704" s="530"/>
      <c r="M704" s="530"/>
      <c r="N704" s="309"/>
      <c r="O704" s="786" t="s">
        <v>135</v>
      </c>
      <c r="P704" s="777"/>
      <c r="Q704" s="777"/>
      <c r="R704" s="751"/>
      <c r="S704" s="752">
        <v>14500000</v>
      </c>
      <c r="T704" s="792">
        <v>15</v>
      </c>
      <c r="U704" s="803">
        <v>0</v>
      </c>
      <c r="V704" s="803">
        <v>0</v>
      </c>
      <c r="W704" s="803">
        <v>0</v>
      </c>
      <c r="X704" s="858">
        <v>1</v>
      </c>
      <c r="Y704" s="310">
        <f>ROUND((R704+S704/'Summary-E'!$M$63)*X704,2)</f>
        <v>697.12</v>
      </c>
      <c r="Z704" s="858">
        <f t="shared" si="682"/>
        <v>1.05</v>
      </c>
      <c r="AA704" s="813">
        <f t="shared" si="735"/>
        <v>731.98</v>
      </c>
      <c r="AB704" s="447">
        <f t="shared" si="736"/>
        <v>0.05</v>
      </c>
      <c r="AC704" s="310">
        <f t="shared" si="737"/>
        <v>15.75</v>
      </c>
      <c r="AD704" s="717">
        <f>ROUND(AC704*'[1]Summary E&amp;M'!$R$94,2)</f>
        <v>19.690000000000001</v>
      </c>
      <c r="AE704" s="825">
        <f t="shared" si="738"/>
        <v>697.12</v>
      </c>
      <c r="AF704" s="825">
        <f t="shared" si="739"/>
        <v>15.75</v>
      </c>
      <c r="AG704" s="743"/>
      <c r="AH704" s="728"/>
      <c r="AI704" s="519">
        <f t="shared" si="740"/>
        <v>0</v>
      </c>
      <c r="AJ704" s="519">
        <f t="shared" si="741"/>
        <v>0</v>
      </c>
      <c r="AK704" s="519">
        <f t="shared" si="742"/>
        <v>0</v>
      </c>
      <c r="AL704" s="520">
        <f t="shared" si="743"/>
        <v>0</v>
      </c>
      <c r="AM704" s="520">
        <f t="shared" si="744"/>
        <v>0</v>
      </c>
      <c r="AN704" s="520">
        <f t="shared" si="745"/>
        <v>0</v>
      </c>
      <c r="AO704" s="520">
        <f t="shared" si="746"/>
        <v>0</v>
      </c>
      <c r="AP704" s="552"/>
      <c r="AQ704" s="552"/>
      <c r="AR704" s="552"/>
      <c r="AS704" s="552"/>
      <c r="AT704" s="552"/>
    </row>
    <row r="705" spans="1:68" s="555" customFormat="1" ht="22.5" customHeight="1">
      <c r="A705" s="620"/>
      <c r="B705" s="531" t="s">
        <v>992</v>
      </c>
      <c r="C705" s="566" t="s">
        <v>1259</v>
      </c>
      <c r="D705" s="996" t="s">
        <v>1130</v>
      </c>
      <c r="E705" s="524" t="s">
        <v>418</v>
      </c>
      <c r="F705" s="1322">
        <f t="shared" si="732"/>
        <v>35</v>
      </c>
      <c r="G705" s="527">
        <f t="shared" si="733"/>
        <v>10.65</v>
      </c>
      <c r="H705" s="527">
        <f t="shared" si="734"/>
        <v>372.75</v>
      </c>
      <c r="I705" s="567"/>
      <c r="J705" s="582"/>
      <c r="K705" s="1149">
        <v>35</v>
      </c>
      <c r="L705" s="530">
        <f t="shared" ref="L705:L711" si="765">ROUND(AD705,2)</f>
        <v>4.5999999999999996</v>
      </c>
      <c r="M705" s="530">
        <f t="shared" ref="M705:M715" si="766">ROUND(L705*F705,2)</f>
        <v>161</v>
      </c>
      <c r="N705" s="1053"/>
      <c r="O705" s="786" t="s">
        <v>135</v>
      </c>
      <c r="P705" s="777"/>
      <c r="Q705" s="777"/>
      <c r="R705" s="751"/>
      <c r="S705" s="752">
        <v>211000</v>
      </c>
      <c r="T705" s="792">
        <v>3.5</v>
      </c>
      <c r="U705" s="803">
        <v>0</v>
      </c>
      <c r="V705" s="803">
        <v>0</v>
      </c>
      <c r="W705" s="803">
        <v>0</v>
      </c>
      <c r="X705" s="858">
        <v>1</v>
      </c>
      <c r="Y705" s="310">
        <f>ROUND((R705+S705/'Summary-E'!$M$63)*X705,2)</f>
        <v>10.14</v>
      </c>
      <c r="Z705" s="858">
        <f t="shared" si="682"/>
        <v>1.05</v>
      </c>
      <c r="AA705" s="813">
        <f t="shared" si="735"/>
        <v>10.65</v>
      </c>
      <c r="AB705" s="447">
        <f t="shared" si="726"/>
        <v>0.05</v>
      </c>
      <c r="AC705" s="310">
        <f t="shared" si="711"/>
        <v>3.68</v>
      </c>
      <c r="AD705" s="717">
        <f>ROUND(AC705*'[1]Summary E&amp;M'!$R$94,2)</f>
        <v>4.5999999999999996</v>
      </c>
      <c r="AE705" s="825">
        <f t="shared" si="727"/>
        <v>354.9</v>
      </c>
      <c r="AF705" s="825">
        <f t="shared" si="728"/>
        <v>128.80000000000001</v>
      </c>
      <c r="AG705" s="743"/>
      <c r="AH705" s="728"/>
      <c r="AI705" s="519">
        <f t="shared" si="729"/>
        <v>0</v>
      </c>
      <c r="AJ705" s="519">
        <f t="shared" si="730"/>
        <v>0</v>
      </c>
      <c r="AK705" s="519">
        <f t="shared" si="731"/>
        <v>0</v>
      </c>
      <c r="AL705" s="520">
        <f t="shared" si="743"/>
        <v>0</v>
      </c>
      <c r="AM705" s="520">
        <f t="shared" si="744"/>
        <v>0</v>
      </c>
      <c r="AN705" s="520">
        <f t="shared" si="745"/>
        <v>0</v>
      </c>
      <c r="AO705" s="520">
        <f t="shared" si="746"/>
        <v>0</v>
      </c>
      <c r="AP705" s="552"/>
      <c r="AQ705" s="552"/>
      <c r="AR705" s="552"/>
      <c r="AS705" s="552"/>
      <c r="AT705" s="552"/>
    </row>
    <row r="706" spans="1:68" s="555" customFormat="1" ht="22.5" customHeight="1">
      <c r="A706" s="620"/>
      <c r="B706" s="531" t="s">
        <v>993</v>
      </c>
      <c r="C706" s="566" t="s">
        <v>1260</v>
      </c>
      <c r="D706" s="1055" t="s">
        <v>1130</v>
      </c>
      <c r="E706" s="525" t="s">
        <v>418</v>
      </c>
      <c r="F706" s="1322">
        <f t="shared" si="732"/>
        <v>12</v>
      </c>
      <c r="G706" s="527">
        <f>ROUND(AA706,2)</f>
        <v>15.25</v>
      </c>
      <c r="H706" s="527">
        <f t="shared" si="734"/>
        <v>183</v>
      </c>
      <c r="I706" s="567"/>
      <c r="J706" s="582"/>
      <c r="K706" s="1149">
        <v>12</v>
      </c>
      <c r="L706" s="530">
        <f>ROUND(AD706,2)</f>
        <v>5.25</v>
      </c>
      <c r="M706" s="530">
        <f t="shared" si="766"/>
        <v>63</v>
      </c>
      <c r="N706" s="1053"/>
      <c r="O706" s="786" t="s">
        <v>135</v>
      </c>
      <c r="P706" s="777"/>
      <c r="Q706" s="777"/>
      <c r="R706" s="751"/>
      <c r="S706" s="752">
        <v>302000</v>
      </c>
      <c r="T706" s="792">
        <v>4</v>
      </c>
      <c r="U706" s="803">
        <v>0</v>
      </c>
      <c r="V706" s="803">
        <v>0</v>
      </c>
      <c r="W706" s="803">
        <v>0</v>
      </c>
      <c r="X706" s="858">
        <v>1</v>
      </c>
      <c r="Y706" s="310">
        <f>ROUND((R706+S706/'Summary-E'!$M$63)*X706,2)</f>
        <v>14.52</v>
      </c>
      <c r="Z706" s="858">
        <f t="shared" si="682"/>
        <v>1.05</v>
      </c>
      <c r="AA706" s="813">
        <f>ROUND(Y706*Z706,2)</f>
        <v>15.25</v>
      </c>
      <c r="AB706" s="447">
        <f t="shared" si="726"/>
        <v>0.05</v>
      </c>
      <c r="AC706" s="310">
        <f>ROUND((T706*(1+AB706)),2)</f>
        <v>4.2</v>
      </c>
      <c r="AD706" s="717">
        <f>ROUND(AC706*'[1]Summary E&amp;M'!$R$94,2)</f>
        <v>5.25</v>
      </c>
      <c r="AE706" s="825">
        <f t="shared" si="727"/>
        <v>174.24</v>
      </c>
      <c r="AF706" s="825">
        <f t="shared" si="728"/>
        <v>50.4</v>
      </c>
      <c r="AG706" s="743"/>
      <c r="AH706" s="728"/>
      <c r="AI706" s="519">
        <f t="shared" si="729"/>
        <v>0</v>
      </c>
      <c r="AJ706" s="519">
        <f t="shared" si="730"/>
        <v>0</v>
      </c>
      <c r="AK706" s="519">
        <f t="shared" si="731"/>
        <v>0</v>
      </c>
      <c r="AL706" s="520">
        <f t="shared" si="743"/>
        <v>0</v>
      </c>
      <c r="AM706" s="520">
        <f t="shared" si="744"/>
        <v>0</v>
      </c>
      <c r="AN706" s="520">
        <f t="shared" si="745"/>
        <v>0</v>
      </c>
      <c r="AO706" s="520">
        <f t="shared" si="746"/>
        <v>0</v>
      </c>
      <c r="AP706" s="552"/>
      <c r="AQ706" s="552"/>
      <c r="AR706" s="552"/>
      <c r="AS706" s="552"/>
      <c r="AT706" s="552"/>
    </row>
    <row r="707" spans="1:68" s="555" customFormat="1" ht="22.5" customHeight="1">
      <c r="A707" s="620"/>
      <c r="B707" s="531" t="s">
        <v>403</v>
      </c>
      <c r="C707" s="523" t="s">
        <v>329</v>
      </c>
      <c r="D707" s="193" t="s">
        <v>1111</v>
      </c>
      <c r="E707" s="525" t="s">
        <v>321</v>
      </c>
      <c r="F707" s="1314">
        <f>ROUND(K707*'Summary-E'!$K$61,0)</f>
        <v>861</v>
      </c>
      <c r="G707" s="527">
        <f t="shared" si="733"/>
        <v>0.77</v>
      </c>
      <c r="H707" s="527">
        <f>ROUND(F707*G707,2)</f>
        <v>662.97</v>
      </c>
      <c r="I707" s="567"/>
      <c r="J707" s="309"/>
      <c r="K707" s="1149">
        <v>819.69999999999993</v>
      </c>
      <c r="L707" s="530">
        <f t="shared" si="765"/>
        <v>0.66</v>
      </c>
      <c r="M707" s="530">
        <f t="shared" si="766"/>
        <v>568.26</v>
      </c>
      <c r="N707" s="309"/>
      <c r="O707" s="776" t="s">
        <v>131</v>
      </c>
      <c r="P707" s="777"/>
      <c r="Q707" s="777"/>
      <c r="R707" s="751">
        <v>0.73</v>
      </c>
      <c r="S707" s="752"/>
      <c r="T707" s="783">
        <v>0.5</v>
      </c>
      <c r="U707" s="803">
        <v>0</v>
      </c>
      <c r="V707" s="803">
        <v>0</v>
      </c>
      <c r="W707" s="803">
        <v>0</v>
      </c>
      <c r="X707" s="858">
        <v>1</v>
      </c>
      <c r="Y707" s="310">
        <f>ROUND((R707+S707/'Summary-E'!$M$63)*X707,2)</f>
        <v>0.73</v>
      </c>
      <c r="Z707" s="858">
        <f t="shared" si="682"/>
        <v>1.05</v>
      </c>
      <c r="AA707" s="813">
        <f t="shared" si="735"/>
        <v>0.77</v>
      </c>
      <c r="AB707" s="447">
        <f t="shared" si="726"/>
        <v>0.05</v>
      </c>
      <c r="AC707" s="310">
        <f t="shared" si="711"/>
        <v>0.53</v>
      </c>
      <c r="AD707" s="717">
        <f>ROUND(AC707*'[1]Summary E&amp;M'!$R$94,2)</f>
        <v>0.66</v>
      </c>
      <c r="AE707" s="825">
        <f t="shared" si="727"/>
        <v>598.38</v>
      </c>
      <c r="AF707" s="825">
        <f t="shared" si="728"/>
        <v>434.44</v>
      </c>
      <c r="AG707" s="743"/>
      <c r="AH707" s="728"/>
      <c r="AI707" s="519">
        <f t="shared" si="729"/>
        <v>0</v>
      </c>
      <c r="AJ707" s="519">
        <f t="shared" si="730"/>
        <v>0</v>
      </c>
      <c r="AK707" s="519">
        <f t="shared" si="731"/>
        <v>0</v>
      </c>
      <c r="AL707" s="520">
        <f t="shared" si="743"/>
        <v>0</v>
      </c>
      <c r="AM707" s="520">
        <f t="shared" si="744"/>
        <v>0</v>
      </c>
      <c r="AN707" s="520">
        <f t="shared" si="745"/>
        <v>0</v>
      </c>
      <c r="AO707" s="520">
        <f t="shared" si="746"/>
        <v>0</v>
      </c>
      <c r="AP707" s="552"/>
      <c r="AQ707" s="552"/>
      <c r="AR707" s="552"/>
      <c r="AS707" s="552"/>
      <c r="AT707" s="552"/>
    </row>
    <row r="708" spans="1:68" s="555" customFormat="1" ht="22.5" customHeight="1">
      <c r="A708" s="451"/>
      <c r="B708" s="531" t="s">
        <v>994</v>
      </c>
      <c r="C708" s="523" t="s">
        <v>329</v>
      </c>
      <c r="D708" s="1065" t="s">
        <v>1113</v>
      </c>
      <c r="E708" s="525" t="s">
        <v>321</v>
      </c>
      <c r="F708" s="1314">
        <f>ROUND(K708*'Summary-E'!$K$61,0)</f>
        <v>88</v>
      </c>
      <c r="G708" s="527">
        <f t="shared" si="733"/>
        <v>0.74</v>
      </c>
      <c r="H708" s="528">
        <f>ROUND(F708*G708,2)</f>
        <v>65.12</v>
      </c>
      <c r="I708" s="529"/>
      <c r="J708" s="309"/>
      <c r="K708" s="1175">
        <v>84</v>
      </c>
      <c r="L708" s="530">
        <f t="shared" si="765"/>
        <v>0.66</v>
      </c>
      <c r="M708" s="530">
        <f t="shared" si="766"/>
        <v>58.08</v>
      </c>
      <c r="N708" s="309"/>
      <c r="O708" s="778" t="s">
        <v>131</v>
      </c>
      <c r="P708" s="777"/>
      <c r="Q708" s="777"/>
      <c r="R708" s="751">
        <v>0.7</v>
      </c>
      <c r="S708" s="752"/>
      <c r="T708" s="783">
        <v>0.5</v>
      </c>
      <c r="U708" s="803">
        <v>0</v>
      </c>
      <c r="V708" s="803">
        <v>0</v>
      </c>
      <c r="W708" s="803">
        <v>0</v>
      </c>
      <c r="X708" s="858">
        <v>1</v>
      </c>
      <c r="Y708" s="310">
        <f>ROUND((R708+S708/'Summary-E'!$M$63)*X708,2)</f>
        <v>0.7</v>
      </c>
      <c r="Z708" s="858">
        <f t="shared" si="682"/>
        <v>1.05</v>
      </c>
      <c r="AA708" s="813">
        <f t="shared" si="735"/>
        <v>0.74</v>
      </c>
      <c r="AB708" s="447">
        <f t="shared" si="726"/>
        <v>0.05</v>
      </c>
      <c r="AC708" s="310">
        <f t="shared" si="711"/>
        <v>0.53</v>
      </c>
      <c r="AD708" s="717">
        <f>ROUND(AC708*'[1]Summary E&amp;M'!$R$94,2)</f>
        <v>0.66</v>
      </c>
      <c r="AE708" s="826">
        <f t="shared" si="727"/>
        <v>58.8</v>
      </c>
      <c r="AF708" s="826">
        <f t="shared" si="728"/>
        <v>44.52</v>
      </c>
      <c r="AG708" s="744"/>
      <c r="AH708" s="732"/>
      <c r="AI708" s="723"/>
      <c r="AJ708" s="519">
        <f>$U708</f>
        <v>0</v>
      </c>
      <c r="AK708" s="519">
        <f>$V708</f>
        <v>0</v>
      </c>
      <c r="AL708" s="519">
        <f>$W708</f>
        <v>0</v>
      </c>
      <c r="AM708" s="520">
        <f>ROUND(Y708*AJ708+((Y708*(1+AJ708))*AK708)+((Y708*AJ708+((Y708*(1+AJ708))*AK708))*AL708),2)</f>
        <v>0</v>
      </c>
      <c r="AN708" s="520">
        <f>AM708*$F708</f>
        <v>0</v>
      </c>
      <c r="AO708" s="520">
        <f>ROUND(AM708*Z708,2)</f>
        <v>0</v>
      </c>
      <c r="AP708" s="520">
        <f>AO708*$F708</f>
        <v>0</v>
      </c>
      <c r="AQ708" s="719"/>
      <c r="AR708" s="719"/>
      <c r="AS708" s="719"/>
      <c r="AT708" s="719"/>
      <c r="AU708" s="643"/>
    </row>
    <row r="709" spans="1:68" s="555" customFormat="1" ht="22.5" customHeight="1">
      <c r="A709" s="570"/>
      <c r="B709" s="568" t="s">
        <v>333</v>
      </c>
      <c r="C709" s="569"/>
      <c r="D709" s="1063" t="s">
        <v>1113</v>
      </c>
      <c r="E709" s="570" t="s">
        <v>322</v>
      </c>
      <c r="F709" s="1322">
        <f>K709</f>
        <v>1</v>
      </c>
      <c r="G709" s="527">
        <f t="shared" si="733"/>
        <v>182.83</v>
      </c>
      <c r="H709" s="527">
        <f>F709*G709</f>
        <v>182.83</v>
      </c>
      <c r="I709" s="567"/>
      <c r="J709" s="582"/>
      <c r="K709" s="1149">
        <v>1</v>
      </c>
      <c r="L709" s="530">
        <f t="shared" si="765"/>
        <v>23.56</v>
      </c>
      <c r="M709" s="530">
        <f t="shared" si="766"/>
        <v>23.56</v>
      </c>
      <c r="N709" s="1053"/>
      <c r="O709" s="776" t="s">
        <v>683</v>
      </c>
      <c r="P709" s="777">
        <v>0.3</v>
      </c>
      <c r="Q709" s="777"/>
      <c r="R709" s="751">
        <f>ROUND(SUM(AE707:AE707)*P709,2)</f>
        <v>179.51</v>
      </c>
      <c r="S709" s="752"/>
      <c r="T709" s="792">
        <f>ROUND(R709*10%,2)</f>
        <v>17.95</v>
      </c>
      <c r="U709" s="803">
        <v>0</v>
      </c>
      <c r="V709" s="803">
        <v>0</v>
      </c>
      <c r="W709" s="803">
        <v>0</v>
      </c>
      <c r="X709" s="858">
        <f>SUMIF('Summary-E'!O$4:O$50,D709,'Summary-E'!Q$4:Q$50)</f>
        <v>0.97</v>
      </c>
      <c r="Y709" s="310">
        <f>ROUND((R709+S709/'Summary-E'!$M$63)*X709,2)</f>
        <v>174.12</v>
      </c>
      <c r="Z709" s="858">
        <f t="shared" ref="Z709:Z772" si="767">$Z$4</f>
        <v>1.05</v>
      </c>
      <c r="AA709" s="813">
        <f t="shared" si="735"/>
        <v>182.83</v>
      </c>
      <c r="AB709" s="447">
        <f t="shared" si="726"/>
        <v>0.05</v>
      </c>
      <c r="AC709" s="310">
        <f t="shared" si="711"/>
        <v>18.850000000000001</v>
      </c>
      <c r="AD709" s="717">
        <f>ROUND(AC709*'[1]Summary E&amp;M'!$R$94,2)</f>
        <v>23.56</v>
      </c>
      <c r="AE709" s="825">
        <f t="shared" si="727"/>
        <v>174.12</v>
      </c>
      <c r="AF709" s="825">
        <f t="shared" si="728"/>
        <v>18.850000000000001</v>
      </c>
      <c r="AG709" s="743"/>
      <c r="AH709" s="728"/>
      <c r="AI709" s="519">
        <f t="shared" si="729"/>
        <v>0</v>
      </c>
      <c r="AJ709" s="519">
        <f t="shared" si="730"/>
        <v>0</v>
      </c>
      <c r="AK709" s="519">
        <f t="shared" si="731"/>
        <v>0</v>
      </c>
      <c r="AL709" s="520">
        <f t="shared" ref="AL709:AL714" si="768">ROUND(Y709*AI709+((Y709*(1+AI709))*AJ709)+((Y709*AI709+((Y709*(1+AI709))*AJ709))*AK709),2)</f>
        <v>0</v>
      </c>
      <c r="AM709" s="520">
        <f t="shared" ref="AM709:AM714" si="769">AL709*$F709</f>
        <v>0</v>
      </c>
      <c r="AN709" s="520">
        <f t="shared" ref="AN709:AN714" si="770">ROUND(AL709*Z709,2)</f>
        <v>0</v>
      </c>
      <c r="AO709" s="520">
        <f t="shared" ref="AO709:AO714" si="771">AN709*$F709</f>
        <v>0</v>
      </c>
      <c r="AP709" s="552"/>
      <c r="AQ709" s="552"/>
      <c r="AR709" s="552"/>
      <c r="AS709" s="552"/>
      <c r="AT709" s="552"/>
    </row>
    <row r="710" spans="1:68" s="555" customFormat="1" ht="22.5" customHeight="1">
      <c r="A710" s="638"/>
      <c r="B710" s="997" t="s">
        <v>718</v>
      </c>
      <c r="C710" s="566"/>
      <c r="D710" s="525" t="s">
        <v>139</v>
      </c>
      <c r="E710" s="524" t="s">
        <v>322</v>
      </c>
      <c r="F710" s="1322">
        <f>K710</f>
        <v>1</v>
      </c>
      <c r="G710" s="527">
        <f t="shared" si="733"/>
        <v>91.42</v>
      </c>
      <c r="H710" s="527">
        <f>ROUND(F710*G710,2)</f>
        <v>91.42</v>
      </c>
      <c r="I710" s="589"/>
      <c r="J710" s="590"/>
      <c r="K710" s="1149">
        <v>1</v>
      </c>
      <c r="L710" s="530">
        <f t="shared" si="765"/>
        <v>11.79</v>
      </c>
      <c r="M710" s="530">
        <f t="shared" si="766"/>
        <v>11.79</v>
      </c>
      <c r="N710" s="590"/>
      <c r="O710" s="776" t="s">
        <v>139</v>
      </c>
      <c r="P710" s="777">
        <v>0.15</v>
      </c>
      <c r="Q710" s="777"/>
      <c r="R710" s="751">
        <f>ROUND(SUM(AE707:AE707)*P710,2)</f>
        <v>89.76</v>
      </c>
      <c r="S710" s="752"/>
      <c r="T710" s="792">
        <f>ROUND(R710*10%,2)</f>
        <v>8.98</v>
      </c>
      <c r="U710" s="803">
        <v>0</v>
      </c>
      <c r="V710" s="803">
        <v>0</v>
      </c>
      <c r="W710" s="803">
        <v>0</v>
      </c>
      <c r="X710" s="858">
        <f>SUMIF('Summary-E'!O$4:O$50,D710,'Summary-E'!Q$4:Q$50)</f>
        <v>0.97</v>
      </c>
      <c r="Y710" s="310">
        <f>ROUND((R710+S710/'Summary-E'!$M$63)*X710,2)</f>
        <v>87.07</v>
      </c>
      <c r="Z710" s="858">
        <f t="shared" si="767"/>
        <v>1.05</v>
      </c>
      <c r="AA710" s="813">
        <f t="shared" si="735"/>
        <v>91.42</v>
      </c>
      <c r="AB710" s="447">
        <f t="shared" si="726"/>
        <v>0.05</v>
      </c>
      <c r="AC710" s="310">
        <f t="shared" si="711"/>
        <v>9.43</v>
      </c>
      <c r="AD710" s="717">
        <f>ROUND(AC710*'[1]Summary E&amp;M'!$R$94,2)</f>
        <v>11.79</v>
      </c>
      <c r="AE710" s="825">
        <f t="shared" si="727"/>
        <v>87.07</v>
      </c>
      <c r="AF710" s="825">
        <f t="shared" si="728"/>
        <v>9.43</v>
      </c>
      <c r="AG710" s="743"/>
      <c r="AH710" s="728"/>
      <c r="AI710" s="519">
        <f t="shared" si="729"/>
        <v>0</v>
      </c>
      <c r="AJ710" s="519">
        <f t="shared" si="730"/>
        <v>0</v>
      </c>
      <c r="AK710" s="519">
        <f t="shared" si="731"/>
        <v>0</v>
      </c>
      <c r="AL710" s="520">
        <f t="shared" si="768"/>
        <v>0</v>
      </c>
      <c r="AM710" s="520">
        <f t="shared" si="769"/>
        <v>0</v>
      </c>
      <c r="AN710" s="520">
        <f t="shared" si="770"/>
        <v>0</v>
      </c>
      <c r="AO710" s="520">
        <f t="shared" si="771"/>
        <v>0</v>
      </c>
      <c r="AP710" s="552"/>
      <c r="AQ710" s="552"/>
      <c r="AR710" s="552"/>
      <c r="AS710" s="552"/>
      <c r="AT710" s="552"/>
    </row>
    <row r="711" spans="1:68" s="555" customFormat="1" ht="22.5" customHeight="1">
      <c r="A711" s="451"/>
      <c r="B711" s="531" t="s">
        <v>1297</v>
      </c>
      <c r="C711" s="566"/>
      <c r="D711" s="570">
        <v>131</v>
      </c>
      <c r="E711" s="524" t="s">
        <v>321</v>
      </c>
      <c r="F711" s="1314">
        <f>ROUND(K711*'Summary-E'!$K$61,0)</f>
        <v>893</v>
      </c>
      <c r="G711" s="527">
        <f t="shared" si="733"/>
        <v>1.55</v>
      </c>
      <c r="H711" s="527">
        <f>F711*G711</f>
        <v>1384.15</v>
      </c>
      <c r="I711" s="567"/>
      <c r="J711" s="582"/>
      <c r="K711" s="1149">
        <v>850</v>
      </c>
      <c r="L711" s="530">
        <f t="shared" si="765"/>
        <v>0.66</v>
      </c>
      <c r="M711" s="530">
        <f t="shared" si="766"/>
        <v>589.38</v>
      </c>
      <c r="N711" s="1053"/>
      <c r="O711" s="786">
        <v>131</v>
      </c>
      <c r="P711" s="777"/>
      <c r="Q711" s="777"/>
      <c r="R711" s="751">
        <v>1.48</v>
      </c>
      <c r="S711" s="752"/>
      <c r="T711" s="792">
        <v>0.5</v>
      </c>
      <c r="U711" s="803">
        <v>0</v>
      </c>
      <c r="V711" s="803">
        <v>0</v>
      </c>
      <c r="W711" s="803">
        <v>0</v>
      </c>
      <c r="X711" s="858">
        <v>1</v>
      </c>
      <c r="Y711" s="310">
        <f>ROUND((R711+S711/'Summary-E'!$M$63)*X711,2)</f>
        <v>1.48</v>
      </c>
      <c r="Z711" s="858">
        <f t="shared" si="767"/>
        <v>1.05</v>
      </c>
      <c r="AA711" s="813">
        <f t="shared" si="735"/>
        <v>1.55</v>
      </c>
      <c r="AB711" s="447">
        <f t="shared" si="726"/>
        <v>0.05</v>
      </c>
      <c r="AC711" s="310">
        <f t="shared" si="711"/>
        <v>0.53</v>
      </c>
      <c r="AD711" s="717">
        <f>ROUND(AC711*'[1]Summary E&amp;M'!$R$94,2)</f>
        <v>0.66</v>
      </c>
      <c r="AE711" s="825">
        <f t="shared" si="727"/>
        <v>1258</v>
      </c>
      <c r="AF711" s="825">
        <f t="shared" si="728"/>
        <v>450.5</v>
      </c>
      <c r="AG711" s="743"/>
      <c r="AH711" s="728"/>
      <c r="AI711" s="519">
        <f t="shared" si="729"/>
        <v>0</v>
      </c>
      <c r="AJ711" s="519">
        <f t="shared" si="730"/>
        <v>0</v>
      </c>
      <c r="AK711" s="519">
        <f t="shared" si="731"/>
        <v>0</v>
      </c>
      <c r="AL711" s="520">
        <f t="shared" si="768"/>
        <v>0</v>
      </c>
      <c r="AM711" s="520">
        <f t="shared" si="769"/>
        <v>0</v>
      </c>
      <c r="AN711" s="520">
        <f t="shared" si="770"/>
        <v>0</v>
      </c>
      <c r="AO711" s="520">
        <f t="shared" si="771"/>
        <v>0</v>
      </c>
      <c r="AP711" s="552"/>
      <c r="AQ711" s="552"/>
      <c r="AR711" s="552"/>
      <c r="AS711" s="552"/>
      <c r="AT711" s="552"/>
    </row>
    <row r="712" spans="1:68" s="555" customFormat="1" ht="22.5" customHeight="1">
      <c r="A712" s="451"/>
      <c r="B712" s="531" t="s">
        <v>121</v>
      </c>
      <c r="C712" s="566"/>
      <c r="D712" s="570">
        <v>131</v>
      </c>
      <c r="E712" s="524" t="s">
        <v>321</v>
      </c>
      <c r="F712" s="1314">
        <f>ROUND(K712*'Summary-E'!$K$61,0)</f>
        <v>263</v>
      </c>
      <c r="G712" s="527">
        <f t="shared" ref="G712" si="772">ROUND(AA712,2)</f>
        <v>1.55</v>
      </c>
      <c r="H712" s="527">
        <f>F712*G712</f>
        <v>407.65000000000003</v>
      </c>
      <c r="I712" s="567"/>
      <c r="J712" s="582"/>
      <c r="K712" s="1149">
        <v>250</v>
      </c>
      <c r="L712" s="530">
        <f t="shared" ref="L712" si="773">ROUND(AD712,2)</f>
        <v>0.66</v>
      </c>
      <c r="M712" s="530">
        <f t="shared" ref="M712" si="774">ROUND(L712*F712,2)</f>
        <v>173.58</v>
      </c>
      <c r="N712" s="1053"/>
      <c r="O712" s="786">
        <v>131</v>
      </c>
      <c r="P712" s="777"/>
      <c r="Q712" s="777"/>
      <c r="R712" s="751">
        <v>1.48</v>
      </c>
      <c r="S712" s="752"/>
      <c r="T712" s="792">
        <v>0.5</v>
      </c>
      <c r="U712" s="803">
        <v>0</v>
      </c>
      <c r="V712" s="803">
        <v>0</v>
      </c>
      <c r="W712" s="803">
        <v>0</v>
      </c>
      <c r="X712" s="858">
        <v>1</v>
      </c>
      <c r="Y712" s="310">
        <f>ROUND((R712+S712/'Summary-E'!$M$63)*X712,2)</f>
        <v>1.48</v>
      </c>
      <c r="Z712" s="858">
        <f t="shared" si="767"/>
        <v>1.05</v>
      </c>
      <c r="AA712" s="813">
        <f t="shared" ref="AA712" si="775">ROUND(Y712*Z712,2)</f>
        <v>1.55</v>
      </c>
      <c r="AB712" s="447">
        <f t="shared" si="726"/>
        <v>0.05</v>
      </c>
      <c r="AC712" s="310">
        <f t="shared" ref="AC712" si="776">ROUND((T712*(1+AB712)),2)</f>
        <v>0.53</v>
      </c>
      <c r="AD712" s="717">
        <f>ROUND(AC712*'[1]Summary E&amp;M'!$R$94,2)</f>
        <v>0.66</v>
      </c>
      <c r="AE712" s="825">
        <f t="shared" si="727"/>
        <v>370</v>
      </c>
      <c r="AF712" s="825">
        <f t="shared" si="728"/>
        <v>132.5</v>
      </c>
      <c r="AG712" s="743"/>
      <c r="AH712" s="728"/>
      <c r="AI712" s="519">
        <f t="shared" si="729"/>
        <v>0</v>
      </c>
      <c r="AJ712" s="519">
        <f t="shared" si="730"/>
        <v>0</v>
      </c>
      <c r="AK712" s="519">
        <f t="shared" si="731"/>
        <v>0</v>
      </c>
      <c r="AL712" s="520">
        <f t="shared" si="768"/>
        <v>0</v>
      </c>
      <c r="AM712" s="520">
        <f t="shared" si="769"/>
        <v>0</v>
      </c>
      <c r="AN712" s="520">
        <f t="shared" si="770"/>
        <v>0</v>
      </c>
      <c r="AO712" s="520">
        <f t="shared" si="771"/>
        <v>0</v>
      </c>
      <c r="AP712" s="552"/>
      <c r="AQ712" s="552"/>
      <c r="AR712" s="552"/>
      <c r="AS712" s="552"/>
      <c r="AT712" s="552"/>
    </row>
    <row r="713" spans="1:68" s="555" customFormat="1" ht="22.5" customHeight="1">
      <c r="A713" s="570"/>
      <c r="B713" s="568" t="s">
        <v>401</v>
      </c>
      <c r="C713" s="569"/>
      <c r="D713" s="570">
        <v>159</v>
      </c>
      <c r="E713" s="571" t="s">
        <v>322</v>
      </c>
      <c r="F713" s="1322">
        <f>K713</f>
        <v>1</v>
      </c>
      <c r="G713" s="527">
        <f>ROUND(AA713,2)</f>
        <v>333.39</v>
      </c>
      <c r="H713" s="527">
        <f>ROUND(F713*G713,2)</f>
        <v>333.39</v>
      </c>
      <c r="I713" s="567"/>
      <c r="J713" s="309"/>
      <c r="K713" s="1149">
        <v>1</v>
      </c>
      <c r="L713" s="530">
        <f>ROUND(AD713,2)</f>
        <v>42.96</v>
      </c>
      <c r="M713" s="530">
        <f t="shared" si="766"/>
        <v>42.96</v>
      </c>
      <c r="N713" s="309"/>
      <c r="O713" s="776">
        <v>159</v>
      </c>
      <c r="P713" s="777">
        <v>0.03</v>
      </c>
      <c r="Q713" s="777"/>
      <c r="R713" s="751">
        <f>ROUND(SUM(AE695:AE711)*P713,2)</f>
        <v>327.33</v>
      </c>
      <c r="S713" s="752"/>
      <c r="T713" s="792">
        <f>R713*0.1</f>
        <v>32.732999999999997</v>
      </c>
      <c r="U713" s="803">
        <v>0</v>
      </c>
      <c r="V713" s="803">
        <v>0</v>
      </c>
      <c r="W713" s="803">
        <v>0</v>
      </c>
      <c r="X713" s="858">
        <f>SUMIF('Summary-E'!O$4:O$50,D713,'Summary-E'!Q$4:Q$50)</f>
        <v>0.97</v>
      </c>
      <c r="Y713" s="310">
        <f>ROUND((R713+S713/'Summary-E'!$M$63)*X713,2)</f>
        <v>317.51</v>
      </c>
      <c r="Z713" s="858">
        <f t="shared" si="767"/>
        <v>1.05</v>
      </c>
      <c r="AA713" s="813">
        <f>ROUND(Y713*Z713,2)</f>
        <v>333.39</v>
      </c>
      <c r="AB713" s="447">
        <f t="shared" si="726"/>
        <v>0.05</v>
      </c>
      <c r="AC713" s="310">
        <f t="shared" si="711"/>
        <v>34.369999999999997</v>
      </c>
      <c r="AD713" s="717">
        <f>ROUND(AC713*'[1]Summary E&amp;M'!$R$94,2)</f>
        <v>42.96</v>
      </c>
      <c r="AE713" s="825">
        <f t="shared" si="727"/>
        <v>317.51</v>
      </c>
      <c r="AF713" s="825">
        <f t="shared" si="728"/>
        <v>34.369999999999997</v>
      </c>
      <c r="AG713" s="743"/>
      <c r="AH713" s="728"/>
      <c r="AI713" s="519">
        <f t="shared" si="729"/>
        <v>0</v>
      </c>
      <c r="AJ713" s="519">
        <f t="shared" si="730"/>
        <v>0</v>
      </c>
      <c r="AK713" s="519">
        <f t="shared" si="731"/>
        <v>0</v>
      </c>
      <c r="AL713" s="520">
        <f t="shared" si="768"/>
        <v>0</v>
      </c>
      <c r="AM713" s="520">
        <f t="shared" si="769"/>
        <v>0</v>
      </c>
      <c r="AN713" s="520">
        <f t="shared" si="770"/>
        <v>0</v>
      </c>
      <c r="AO713" s="520">
        <f t="shared" si="771"/>
        <v>0</v>
      </c>
      <c r="AP713" s="552"/>
      <c r="AQ713" s="552"/>
      <c r="AR713" s="552"/>
      <c r="AS713" s="552"/>
      <c r="AT713" s="552"/>
    </row>
    <row r="714" spans="1:68" s="555" customFormat="1" ht="22.5" customHeight="1">
      <c r="A714" s="570"/>
      <c r="B714" s="568" t="s">
        <v>327</v>
      </c>
      <c r="C714" s="569"/>
      <c r="D714" s="570" t="s">
        <v>134</v>
      </c>
      <c r="E714" s="571" t="s">
        <v>319</v>
      </c>
      <c r="F714" s="1322">
        <f>K714</f>
        <v>1</v>
      </c>
      <c r="G714" s="527">
        <f>ROUND(AA714,2)</f>
        <v>91.67</v>
      </c>
      <c r="H714" s="527">
        <f>ROUND(F714*G714,2)</f>
        <v>91.67</v>
      </c>
      <c r="I714" s="567"/>
      <c r="J714" s="309"/>
      <c r="K714" s="1149">
        <v>1</v>
      </c>
      <c r="L714" s="530">
        <f>ROUND(AD714,2)</f>
        <v>26.25</v>
      </c>
      <c r="M714" s="530">
        <f t="shared" si="766"/>
        <v>26.25</v>
      </c>
      <c r="N714" s="309"/>
      <c r="O714" s="776" t="s">
        <v>134</v>
      </c>
      <c r="P714" s="777"/>
      <c r="Q714" s="777"/>
      <c r="R714" s="751">
        <v>90</v>
      </c>
      <c r="S714" s="752"/>
      <c r="T714" s="792">
        <v>20</v>
      </c>
      <c r="U714" s="803">
        <v>0</v>
      </c>
      <c r="V714" s="803">
        <v>0</v>
      </c>
      <c r="W714" s="803">
        <v>0</v>
      </c>
      <c r="X714" s="858">
        <f>SUMIF('Summary-E'!O$4:O$50,D714,'Summary-E'!Q$4:Q$50)</f>
        <v>0.97</v>
      </c>
      <c r="Y714" s="310">
        <f>ROUND((R714+S714/'Summary-E'!$M$63)*X714,2)</f>
        <v>87.3</v>
      </c>
      <c r="Z714" s="858">
        <f t="shared" si="767"/>
        <v>1.05</v>
      </c>
      <c r="AA714" s="813">
        <f>ROUND(Y714*Z714,2)</f>
        <v>91.67</v>
      </c>
      <c r="AB714" s="447">
        <f t="shared" si="726"/>
        <v>0.05</v>
      </c>
      <c r="AC714" s="310">
        <f t="shared" si="711"/>
        <v>21</v>
      </c>
      <c r="AD714" s="717">
        <f>ROUND(AC714*'[1]Summary E&amp;M'!$R$94,2)</f>
        <v>26.25</v>
      </c>
      <c r="AE714" s="825">
        <f t="shared" si="727"/>
        <v>87.3</v>
      </c>
      <c r="AF714" s="825">
        <f t="shared" si="728"/>
        <v>21</v>
      </c>
      <c r="AG714" s="743"/>
      <c r="AH714" s="728"/>
      <c r="AI714" s="519">
        <f t="shared" si="729"/>
        <v>0</v>
      </c>
      <c r="AJ714" s="519">
        <f t="shared" si="730"/>
        <v>0</v>
      </c>
      <c r="AK714" s="519">
        <f t="shared" si="731"/>
        <v>0</v>
      </c>
      <c r="AL714" s="520">
        <f t="shared" si="768"/>
        <v>0</v>
      </c>
      <c r="AM714" s="520">
        <f t="shared" si="769"/>
        <v>0</v>
      </c>
      <c r="AN714" s="520">
        <f t="shared" si="770"/>
        <v>0</v>
      </c>
      <c r="AO714" s="520">
        <f t="shared" si="771"/>
        <v>0</v>
      </c>
      <c r="AP714" s="552"/>
      <c r="AQ714" s="552"/>
      <c r="AR714" s="552"/>
      <c r="AS714" s="552"/>
      <c r="AT714" s="552"/>
    </row>
    <row r="715" spans="1:68" s="555" customFormat="1" ht="22.5" customHeight="1">
      <c r="A715" s="451"/>
      <c r="B715" s="531"/>
      <c r="C715" s="566"/>
      <c r="D715" s="525"/>
      <c r="E715" s="524"/>
      <c r="F715" s="1314"/>
      <c r="G715" s="527"/>
      <c r="H715" s="527"/>
      <c r="I715" s="567"/>
      <c r="J715" s="582"/>
      <c r="K715" s="1149"/>
      <c r="L715" s="530">
        <f>ROUND(AD715,2)</f>
        <v>0</v>
      </c>
      <c r="M715" s="530">
        <f t="shared" si="766"/>
        <v>0</v>
      </c>
      <c r="N715" s="1053"/>
      <c r="O715" s="786"/>
      <c r="P715" s="777"/>
      <c r="Q715" s="777"/>
      <c r="R715" s="751"/>
      <c r="S715" s="752"/>
      <c r="T715" s="792"/>
      <c r="U715" s="803"/>
      <c r="V715" s="803"/>
      <c r="W715" s="803"/>
      <c r="X715" s="858">
        <f>SUMIF('Summary-E'!O$4:O$50,D715,'Summary-E'!Q$4:Q$50)</f>
        <v>0</v>
      </c>
      <c r="Y715" s="310">
        <f>ROUND((R715+S715/'Summary-E'!$M$63)*X715,2)</f>
        <v>0</v>
      </c>
      <c r="Z715" s="858">
        <f t="shared" si="767"/>
        <v>1.05</v>
      </c>
      <c r="AA715" s="813"/>
      <c r="AB715" s="447"/>
      <c r="AC715" s="310">
        <f t="shared" si="711"/>
        <v>0</v>
      </c>
      <c r="AD715" s="717">
        <f>ROUND(AC715*'[1]Summary E&amp;M'!$R$94,2)</f>
        <v>0</v>
      </c>
      <c r="AE715" s="825">
        <f t="shared" si="727"/>
        <v>0</v>
      </c>
      <c r="AF715" s="825">
        <f t="shared" si="728"/>
        <v>0</v>
      </c>
      <c r="AG715" s="743"/>
      <c r="AH715" s="728"/>
      <c r="AI715" s="519"/>
      <c r="AJ715" s="519"/>
      <c r="AK715" s="519"/>
      <c r="AL715" s="520"/>
      <c r="AM715" s="520"/>
      <c r="AN715" s="520"/>
      <c r="AO715" s="520"/>
      <c r="AP715" s="552"/>
      <c r="AQ715" s="552"/>
      <c r="AR715" s="552"/>
      <c r="AS715" s="552"/>
      <c r="AT715" s="552"/>
    </row>
    <row r="716" spans="1:68" s="711" customFormat="1" ht="22.5" customHeight="1">
      <c r="A716" s="570"/>
      <c r="B716" s="568" t="s">
        <v>324</v>
      </c>
      <c r="C716" s="569"/>
      <c r="D716" s="570">
        <v>210</v>
      </c>
      <c r="E716" s="571" t="s">
        <v>319</v>
      </c>
      <c r="F716" s="1322">
        <f>K716</f>
        <v>1</v>
      </c>
      <c r="G716" s="527">
        <f>M718</f>
        <v>1737.55</v>
      </c>
      <c r="H716" s="527">
        <f>F716*G716</f>
        <v>1737.55</v>
      </c>
      <c r="I716" s="567"/>
      <c r="J716" s="582"/>
      <c r="K716" s="1149">
        <v>1</v>
      </c>
      <c r="L716" s="530"/>
      <c r="M716" s="530"/>
      <c r="N716" s="1053"/>
      <c r="O716" s="786">
        <v>210</v>
      </c>
      <c r="P716" s="777"/>
      <c r="Q716" s="777"/>
      <c r="R716" s="751"/>
      <c r="S716" s="752"/>
      <c r="T716" s="796"/>
      <c r="U716" s="803">
        <v>0</v>
      </c>
      <c r="V716" s="803">
        <v>0</v>
      </c>
      <c r="W716" s="803">
        <v>0</v>
      </c>
      <c r="X716" s="858">
        <f>SUMIF('Summary-E'!O$4:O$50,D716,'Summary-E'!Q$4:Q$50)</f>
        <v>0.05</v>
      </c>
      <c r="Y716" s="310">
        <f>ROUND((R716+S716/'Summary-E'!$M$63)*X716,2)</f>
        <v>0</v>
      </c>
      <c r="Z716" s="858">
        <f t="shared" si="767"/>
        <v>1.05</v>
      </c>
      <c r="AA716" s="813">
        <f>ROUND(Y716*Z716,2)</f>
        <v>0</v>
      </c>
      <c r="AB716" s="447">
        <f>$AB$3</f>
        <v>0.05</v>
      </c>
      <c r="AC716" s="310">
        <f t="shared" si="711"/>
        <v>0</v>
      </c>
      <c r="AD716" s="717">
        <f>ROUND(AC716*'[1]Summary E&amp;M'!$R$94,2)</f>
        <v>0</v>
      </c>
      <c r="AE716" s="825">
        <f t="shared" si="727"/>
        <v>0</v>
      </c>
      <c r="AF716" s="825">
        <f t="shared" si="728"/>
        <v>0</v>
      </c>
      <c r="AG716" s="743"/>
      <c r="AH716" s="728"/>
      <c r="AI716" s="519">
        <f>$U716</f>
        <v>0</v>
      </c>
      <c r="AJ716" s="519">
        <f>$V716</f>
        <v>0</v>
      </c>
      <c r="AK716" s="519">
        <f>$W716</f>
        <v>0</v>
      </c>
      <c r="AL716" s="520">
        <f>ROUND(Y716*AI716+((Y716*(1+AI716))*AJ716)+((Y716*AI716+((Y716*(1+AI716))*AJ716))*AK716),2)</f>
        <v>0</v>
      </c>
      <c r="AM716" s="520">
        <f>AL716*$F716</f>
        <v>0</v>
      </c>
      <c r="AN716" s="520">
        <f>ROUND(AL716*Z716,2)</f>
        <v>0</v>
      </c>
      <c r="AO716" s="520">
        <f>AN716*$F716</f>
        <v>0</v>
      </c>
      <c r="AP716" s="552"/>
      <c r="AQ716" s="552"/>
      <c r="AR716" s="552"/>
      <c r="AS716" s="552"/>
      <c r="AT716" s="552"/>
      <c r="AU716" s="555"/>
      <c r="AV716" s="555"/>
      <c r="AW716" s="555"/>
      <c r="AX716" s="555"/>
      <c r="AY716" s="555"/>
      <c r="AZ716" s="555"/>
      <c r="BA716" s="555"/>
      <c r="BB716" s="555"/>
      <c r="BC716" s="555"/>
      <c r="BD716" s="555"/>
      <c r="BE716" s="555"/>
      <c r="BF716" s="555"/>
      <c r="BG716" s="555"/>
      <c r="BH716" s="555"/>
      <c r="BI716" s="555"/>
      <c r="BJ716" s="555"/>
      <c r="BK716" s="555"/>
      <c r="BL716" s="555"/>
      <c r="BM716" s="555"/>
      <c r="BN716" s="555"/>
      <c r="BO716" s="555"/>
      <c r="BP716" s="555"/>
    </row>
    <row r="717" spans="1:68" s="555" customFormat="1" ht="22.5" customHeight="1">
      <c r="A717" s="616"/>
      <c r="B717" s="573"/>
      <c r="C717" s="574"/>
      <c r="D717" s="575"/>
      <c r="E717" s="576"/>
      <c r="F717" s="1326"/>
      <c r="G717" s="607"/>
      <c r="H717" s="608"/>
      <c r="I717" s="578"/>
      <c r="J717" s="609"/>
      <c r="K717" s="1183"/>
      <c r="L717" s="610"/>
      <c r="M717" s="610"/>
      <c r="N717" s="1053"/>
      <c r="O717" s="786"/>
      <c r="P717" s="777"/>
      <c r="Q717" s="777"/>
      <c r="R717" s="751"/>
      <c r="S717" s="752"/>
      <c r="T717" s="796"/>
      <c r="U717" s="803"/>
      <c r="V717" s="803"/>
      <c r="W717" s="803"/>
      <c r="X717" s="858">
        <f>SUMIF('Summary-E'!O$4:O$50,D717,'Summary-E'!Q$4:Q$50)</f>
        <v>0</v>
      </c>
      <c r="Y717" s="310">
        <f>ROUND((R717+S717/'Summary-E'!$M$63)*X717,2)</f>
        <v>0</v>
      </c>
      <c r="Z717" s="858">
        <f t="shared" si="767"/>
        <v>1.05</v>
      </c>
      <c r="AA717" s="818"/>
      <c r="AB717" s="310"/>
      <c r="AC717" s="310">
        <f t="shared" si="711"/>
        <v>0</v>
      </c>
      <c r="AD717" s="717">
        <f>ROUND(AC717*'[1]Summary E&amp;M'!$R$94,2)</f>
        <v>0</v>
      </c>
      <c r="AE717" s="835"/>
      <c r="AF717" s="835"/>
      <c r="AG717" s="738"/>
      <c r="AH717" s="737"/>
      <c r="AI717" s="552"/>
      <c r="AJ717" s="552"/>
      <c r="AK717" s="552"/>
      <c r="AL717" s="552"/>
      <c r="AM717" s="552"/>
      <c r="AN717" s="552"/>
      <c r="AO717" s="552"/>
      <c r="AP717" s="552"/>
      <c r="AQ717" s="552"/>
      <c r="AR717" s="552"/>
      <c r="AS717" s="552"/>
      <c r="AT717" s="552"/>
    </row>
    <row r="718" spans="1:68" s="711" customFormat="1" ht="22.5" customHeight="1">
      <c r="A718" s="973"/>
      <c r="B718" s="974" t="s">
        <v>521</v>
      </c>
      <c r="C718" s="979"/>
      <c r="D718" s="980"/>
      <c r="E718" s="976"/>
      <c r="F718" s="1317"/>
      <c r="G718" s="982"/>
      <c r="H718" s="971">
        <f>SUBTOTAL(9,H694:H717)</f>
        <v>14128.21</v>
      </c>
      <c r="I718" s="981"/>
      <c r="J718" s="609"/>
      <c r="K718" s="1184"/>
      <c r="L718" s="600"/>
      <c r="M718" s="1051">
        <f>SUBTOTAL(9,M694:M716)</f>
        <v>1737.55</v>
      </c>
      <c r="N718" s="1054"/>
      <c r="O718" s="787"/>
      <c r="P718" s="780"/>
      <c r="Q718" s="780"/>
      <c r="R718" s="759"/>
      <c r="S718" s="760"/>
      <c r="T718" s="797"/>
      <c r="U718" s="806"/>
      <c r="V718" s="806"/>
      <c r="W718" s="803"/>
      <c r="X718" s="858">
        <f>SUMIF('Summary-E'!O$4:O$50,D718,'Summary-E'!Q$4:Q$50)</f>
        <v>0</v>
      </c>
      <c r="Y718" s="310">
        <f>ROUND((R718+S718/'Summary-E'!$M$63)*X718,2)</f>
        <v>0</v>
      </c>
      <c r="Z718" s="858">
        <f t="shared" si="767"/>
        <v>1.05</v>
      </c>
      <c r="AA718" s="818"/>
      <c r="AB718" s="310"/>
      <c r="AC718" s="310">
        <f t="shared" si="711"/>
        <v>0</v>
      </c>
      <c r="AD718" s="717">
        <f>ROUND(AC718*'[1]Summary E&amp;M'!$R$94,2)</f>
        <v>0</v>
      </c>
      <c r="AE718" s="823">
        <f>SUBTOTAL(9,AE694:AE717)</f>
        <v>11685.769999999999</v>
      </c>
      <c r="AF718" s="823">
        <f>SUBTOTAL(9,AF694:AF717)</f>
        <v>1498.06</v>
      </c>
      <c r="AG718" s="614"/>
      <c r="AH718" s="730"/>
      <c r="AI718" s="846"/>
      <c r="AJ718" s="846"/>
      <c r="AK718" s="713"/>
      <c r="AL718" s="713"/>
      <c r="AM718" s="727">
        <f>SUBTOTAL(9,AM694:AM717)</f>
        <v>0</v>
      </c>
      <c r="AN718" s="713"/>
      <c r="AO718" s="727">
        <f>SUBTOTAL(9,AO694:AO717)</f>
        <v>0</v>
      </c>
      <c r="AP718" s="713"/>
      <c r="AQ718" s="713"/>
      <c r="AR718" s="713"/>
      <c r="AS718" s="713"/>
      <c r="AT718" s="713"/>
    </row>
    <row r="719" spans="1:68" s="555" customFormat="1" ht="22.5" customHeight="1">
      <c r="A719" s="545"/>
      <c r="B719" s="543"/>
      <c r="C719" s="544"/>
      <c r="D719" s="580"/>
      <c r="E719" s="546"/>
      <c r="F719" s="1329"/>
      <c r="G719" s="611"/>
      <c r="H719" s="612"/>
      <c r="I719" s="613"/>
      <c r="J719" s="582"/>
      <c r="K719" s="1186"/>
      <c r="L719" s="610"/>
      <c r="M719" s="610"/>
      <c r="N719" s="1053"/>
      <c r="O719" s="786"/>
      <c r="P719" s="777"/>
      <c r="Q719" s="777"/>
      <c r="R719" s="751"/>
      <c r="S719" s="752"/>
      <c r="T719" s="796"/>
      <c r="U719" s="803"/>
      <c r="V719" s="803"/>
      <c r="W719" s="803"/>
      <c r="X719" s="858">
        <f>SUMIF('Summary-E'!O$4:O$50,D719,'Summary-E'!Q$4:Q$50)</f>
        <v>0</v>
      </c>
      <c r="Y719" s="310">
        <f>ROUND((R719+S719/'Summary-E'!$M$63)*X719,2)</f>
        <v>0</v>
      </c>
      <c r="Z719" s="858">
        <f t="shared" si="767"/>
        <v>1.05</v>
      </c>
      <c r="AA719" s="818"/>
      <c r="AB719" s="310"/>
      <c r="AC719" s="310">
        <f t="shared" si="711"/>
        <v>0</v>
      </c>
      <c r="AD719" s="717">
        <f>ROUND(AC719*'[1]Summary E&amp;M'!$R$94,2)</f>
        <v>0</v>
      </c>
      <c r="AE719" s="832"/>
      <c r="AF719" s="832"/>
      <c r="AG719" s="614"/>
      <c r="AH719" s="737"/>
      <c r="AI719" s="552"/>
      <c r="AJ719" s="552"/>
      <c r="AK719" s="552"/>
      <c r="AL719" s="552"/>
      <c r="AM719" s="615"/>
      <c r="AN719" s="552"/>
      <c r="AO719" s="615"/>
      <c r="AP719" s="552"/>
      <c r="AQ719" s="552"/>
      <c r="AR719" s="552"/>
      <c r="AS719" s="552"/>
      <c r="AT719" s="552"/>
    </row>
    <row r="720" spans="1:68" s="555" customFormat="1" ht="22.5" customHeight="1">
      <c r="A720" s="620" t="s">
        <v>770</v>
      </c>
      <c r="B720" s="522" t="s">
        <v>338</v>
      </c>
      <c r="C720" s="566"/>
      <c r="D720" s="525"/>
      <c r="E720" s="523"/>
      <c r="F720" s="1328"/>
      <c r="G720" s="605"/>
      <c r="H720" s="605"/>
      <c r="I720" s="606"/>
      <c r="J720" s="428"/>
      <c r="K720" s="1173"/>
      <c r="L720" s="960"/>
      <c r="M720" s="960"/>
      <c r="N720" s="428"/>
      <c r="O720" s="786"/>
      <c r="P720" s="777"/>
      <c r="Q720" s="777"/>
      <c r="R720" s="751"/>
      <c r="S720" s="752"/>
      <c r="T720" s="792"/>
      <c r="U720" s="803">
        <v>0</v>
      </c>
      <c r="V720" s="803">
        <v>0</v>
      </c>
      <c r="W720" s="803">
        <v>0</v>
      </c>
      <c r="X720" s="858">
        <f>SUMIF('Summary-E'!O$4:O$50,D720,'Summary-E'!Q$4:Q$50)</f>
        <v>0</v>
      </c>
      <c r="Y720" s="310">
        <f>ROUND((R720+S720/'Summary-E'!$M$63)*X720,2)</f>
        <v>0</v>
      </c>
      <c r="Z720" s="858">
        <f t="shared" si="767"/>
        <v>1.05</v>
      </c>
      <c r="AA720" s="813">
        <f t="shared" ref="AA720:AA732" si="777">ROUND(Y720*Z720,2)</f>
        <v>0</v>
      </c>
      <c r="AB720" s="447">
        <f t="shared" ref="AB720:AB734" si="778">$AB$3</f>
        <v>0.05</v>
      </c>
      <c r="AC720" s="310">
        <f t="shared" si="711"/>
        <v>0</v>
      </c>
      <c r="AD720" s="717">
        <f>ROUND(AC720*'[1]Summary E&amp;M'!$R$94,2)</f>
        <v>0</v>
      </c>
      <c r="AE720" s="825">
        <f t="shared" ref="AE720:AE736" si="779">ROUND($K720*$Y720,2)</f>
        <v>0</v>
      </c>
      <c r="AF720" s="825">
        <f t="shared" ref="AF720:AF736" si="780">ROUND($K720*$AC720,2)</f>
        <v>0</v>
      </c>
      <c r="AG720" s="743"/>
      <c r="AH720" s="728"/>
      <c r="AI720" s="519">
        <f t="shared" ref="AI720:AI734" si="781">$U720</f>
        <v>0</v>
      </c>
      <c r="AJ720" s="519">
        <f t="shared" ref="AJ720:AJ734" si="782">$V720</f>
        <v>0</v>
      </c>
      <c r="AK720" s="519">
        <f t="shared" ref="AK720:AK734" si="783">$W720</f>
        <v>0</v>
      </c>
      <c r="AL720" s="520">
        <f t="shared" ref="AL720:AL734" si="784">ROUND(Y720*AI720+((Y720*(1+AI720))*AJ720)+((Y720*AI720+((Y720*(1+AI720))*AJ720))*AK720),2)</f>
        <v>0</v>
      </c>
      <c r="AM720" s="520">
        <f t="shared" ref="AM720:AM734" si="785">AL720*$F720</f>
        <v>0</v>
      </c>
      <c r="AN720" s="520">
        <f t="shared" ref="AN720:AN734" si="786">ROUND(AL720*Z720,2)</f>
        <v>0</v>
      </c>
      <c r="AO720" s="520">
        <f t="shared" ref="AO720:AO734" si="787">AN720*$F720</f>
        <v>0</v>
      </c>
      <c r="AP720" s="718"/>
      <c r="AQ720" s="718"/>
      <c r="AR720" s="718"/>
      <c r="AS720" s="718"/>
      <c r="AT720" s="718"/>
    </row>
    <row r="721" spans="1:68" s="555" customFormat="1" ht="22.5" customHeight="1">
      <c r="A721" s="620"/>
      <c r="B721" s="531" t="s">
        <v>1241</v>
      </c>
      <c r="C721" s="566"/>
      <c r="D721" s="525" t="s">
        <v>1129</v>
      </c>
      <c r="E721" s="524" t="s">
        <v>436</v>
      </c>
      <c r="F721" s="1322">
        <f>K721</f>
        <v>1</v>
      </c>
      <c r="G721" s="527">
        <f t="shared" ref="G721:G732" si="788">ROUND(AA721,2)</f>
        <v>1815.29</v>
      </c>
      <c r="H721" s="527">
        <f t="shared" ref="H721:H732" si="789">F721*G721</f>
        <v>1815.29</v>
      </c>
      <c r="I721" s="567"/>
      <c r="J721" s="582"/>
      <c r="K721" s="1149">
        <v>1</v>
      </c>
      <c r="L721" s="530">
        <f t="shared" ref="L721:L732" si="790">ROUND(AD721,2)</f>
        <v>39.380000000000003</v>
      </c>
      <c r="M721" s="530">
        <f t="shared" ref="M721:M735" si="791">ROUND(L721*F721,2)</f>
        <v>39.380000000000003</v>
      </c>
      <c r="N721" s="309"/>
      <c r="O721" s="786" t="s">
        <v>136</v>
      </c>
      <c r="P721" s="777"/>
      <c r="Q721" s="777"/>
      <c r="R721" s="751"/>
      <c r="S721" s="752">
        <v>35960000</v>
      </c>
      <c r="T721" s="792">
        <v>30</v>
      </c>
      <c r="U721" s="803">
        <v>0</v>
      </c>
      <c r="V721" s="803">
        <v>0</v>
      </c>
      <c r="W721" s="803">
        <v>0</v>
      </c>
      <c r="X721" s="858">
        <v>1</v>
      </c>
      <c r="Y721" s="310">
        <f>ROUND((R721+S721/'Summary-E'!$M$63)*X721,2)</f>
        <v>1728.85</v>
      </c>
      <c r="Z721" s="858">
        <f t="shared" si="767"/>
        <v>1.05</v>
      </c>
      <c r="AA721" s="813">
        <f t="shared" si="777"/>
        <v>1815.29</v>
      </c>
      <c r="AB721" s="447">
        <f t="shared" si="778"/>
        <v>0.05</v>
      </c>
      <c r="AC721" s="310">
        <f t="shared" si="711"/>
        <v>31.5</v>
      </c>
      <c r="AD721" s="717">
        <f>ROUND(AC721*'[1]Summary E&amp;M'!$R$94,2)</f>
        <v>39.380000000000003</v>
      </c>
      <c r="AE721" s="825">
        <f t="shared" si="779"/>
        <v>1728.85</v>
      </c>
      <c r="AF721" s="825">
        <f t="shared" si="780"/>
        <v>31.5</v>
      </c>
      <c r="AG721" s="743"/>
      <c r="AH721" s="728"/>
      <c r="AI721" s="519">
        <f t="shared" si="781"/>
        <v>0</v>
      </c>
      <c r="AJ721" s="519">
        <f t="shared" si="782"/>
        <v>0</v>
      </c>
      <c r="AK721" s="519">
        <f t="shared" si="783"/>
        <v>0</v>
      </c>
      <c r="AL721" s="520">
        <f t="shared" si="784"/>
        <v>0</v>
      </c>
      <c r="AM721" s="520">
        <f t="shared" si="785"/>
        <v>0</v>
      </c>
      <c r="AN721" s="520">
        <f t="shared" si="786"/>
        <v>0</v>
      </c>
      <c r="AO721" s="520">
        <f t="shared" si="787"/>
        <v>0</v>
      </c>
      <c r="AP721" s="552"/>
      <c r="AQ721" s="552"/>
      <c r="AR721" s="552"/>
      <c r="AS721" s="552"/>
      <c r="AT721" s="552"/>
    </row>
    <row r="722" spans="1:68" s="555" customFormat="1" ht="22.5" customHeight="1">
      <c r="A722" s="620"/>
      <c r="B722" s="997" t="s">
        <v>985</v>
      </c>
      <c r="C722" s="566"/>
      <c r="D722" s="525" t="s">
        <v>1129</v>
      </c>
      <c r="E722" s="524" t="s">
        <v>436</v>
      </c>
      <c r="F722" s="1322">
        <f>K722</f>
        <v>1</v>
      </c>
      <c r="G722" s="527">
        <f t="shared" si="788"/>
        <v>1410.94</v>
      </c>
      <c r="H722" s="527">
        <f t="shared" si="789"/>
        <v>1410.94</v>
      </c>
      <c r="I722" s="567"/>
      <c r="J722" s="582"/>
      <c r="K722" s="1149">
        <v>1</v>
      </c>
      <c r="L722" s="530">
        <f t="shared" si="790"/>
        <v>262.5</v>
      </c>
      <c r="M722" s="530">
        <f t="shared" si="791"/>
        <v>262.5</v>
      </c>
      <c r="N722" s="309"/>
      <c r="O722" s="786" t="s">
        <v>136</v>
      </c>
      <c r="P722" s="777"/>
      <c r="Q722" s="777"/>
      <c r="R722" s="751"/>
      <c r="S722" s="752">
        <v>27950000</v>
      </c>
      <c r="T722" s="792">
        <v>200</v>
      </c>
      <c r="U722" s="803">
        <v>0</v>
      </c>
      <c r="V722" s="803">
        <v>0</v>
      </c>
      <c r="W722" s="803">
        <v>0</v>
      </c>
      <c r="X722" s="858">
        <v>1</v>
      </c>
      <c r="Y722" s="310">
        <f>ROUND((R722+S722/'Summary-E'!$M$63)*X722,2)</f>
        <v>1343.75</v>
      </c>
      <c r="Z722" s="858">
        <f t="shared" si="767"/>
        <v>1.05</v>
      </c>
      <c r="AA722" s="813">
        <f t="shared" si="777"/>
        <v>1410.94</v>
      </c>
      <c r="AB722" s="447">
        <f t="shared" si="778"/>
        <v>0.05</v>
      </c>
      <c r="AC722" s="310">
        <f>ROUND((T722*(1+AB722)),2)</f>
        <v>210</v>
      </c>
      <c r="AD722" s="717">
        <f>ROUND(AC722*'[1]Summary E&amp;M'!$R$94,2)</f>
        <v>262.5</v>
      </c>
      <c r="AE722" s="825">
        <f>ROUND($K722*$Y722,2)</f>
        <v>1343.75</v>
      </c>
      <c r="AF722" s="825">
        <f>ROUND($K722*$AC722,2)</f>
        <v>210</v>
      </c>
      <c r="AG722" s="743"/>
      <c r="AH722" s="728"/>
      <c r="AI722" s="519">
        <f>$U722</f>
        <v>0</v>
      </c>
      <c r="AJ722" s="519">
        <f>$V722</f>
        <v>0</v>
      </c>
      <c r="AK722" s="519">
        <f>$W722</f>
        <v>0</v>
      </c>
      <c r="AL722" s="520">
        <f>ROUND(Y722*AI722+((Y722*(1+AI722))*AJ722)+((Y722*AI722+((Y722*(1+AI722))*AJ722))*AK722),2)</f>
        <v>0</v>
      </c>
      <c r="AM722" s="520">
        <f>AL722*$F722</f>
        <v>0</v>
      </c>
      <c r="AN722" s="520">
        <f>ROUND(AL722*Z722,2)</f>
        <v>0</v>
      </c>
      <c r="AO722" s="520">
        <f>AN722*$F722</f>
        <v>0</v>
      </c>
      <c r="AP722" s="552"/>
      <c r="AQ722" s="552"/>
      <c r="AR722" s="552"/>
      <c r="AS722" s="552"/>
      <c r="AT722" s="552"/>
    </row>
    <row r="723" spans="1:68" s="555" customFormat="1" ht="22.5" customHeight="1">
      <c r="A723" s="620"/>
      <c r="B723" s="531" t="s">
        <v>420</v>
      </c>
      <c r="C723" s="566"/>
      <c r="D723" s="525" t="s">
        <v>1129</v>
      </c>
      <c r="E723" s="524" t="s">
        <v>319</v>
      </c>
      <c r="F723" s="1322">
        <f>K723</f>
        <v>7</v>
      </c>
      <c r="G723" s="527">
        <f t="shared" si="788"/>
        <v>97.68</v>
      </c>
      <c r="H723" s="527">
        <f t="shared" si="789"/>
        <v>683.76</v>
      </c>
      <c r="I723" s="567"/>
      <c r="J723" s="582"/>
      <c r="K723" s="1149">
        <v>7</v>
      </c>
      <c r="L723" s="530">
        <f t="shared" si="790"/>
        <v>7.88</v>
      </c>
      <c r="M723" s="530">
        <f t="shared" si="791"/>
        <v>55.16</v>
      </c>
      <c r="N723" s="309"/>
      <c r="O723" s="786" t="s">
        <v>136</v>
      </c>
      <c r="P723" s="777"/>
      <c r="Q723" s="777"/>
      <c r="R723" s="751"/>
      <c r="S723" s="752">
        <v>1935000</v>
      </c>
      <c r="T723" s="792">
        <v>6</v>
      </c>
      <c r="U723" s="803">
        <v>0</v>
      </c>
      <c r="V723" s="803">
        <v>0</v>
      </c>
      <c r="W723" s="803">
        <v>0</v>
      </c>
      <c r="X723" s="858">
        <v>1</v>
      </c>
      <c r="Y723" s="310">
        <f>ROUND((R723+S723/'Summary-E'!$M$63)*X723,2)</f>
        <v>93.03</v>
      </c>
      <c r="Z723" s="858">
        <f t="shared" si="767"/>
        <v>1.05</v>
      </c>
      <c r="AA723" s="813">
        <f t="shared" si="777"/>
        <v>97.68</v>
      </c>
      <c r="AB723" s="447">
        <f t="shared" si="778"/>
        <v>0.05</v>
      </c>
      <c r="AC723" s="310">
        <f t="shared" si="711"/>
        <v>6.3</v>
      </c>
      <c r="AD723" s="717">
        <f>ROUND(AC723*'[1]Summary E&amp;M'!$R$94,2)</f>
        <v>7.88</v>
      </c>
      <c r="AE723" s="825">
        <f t="shared" si="779"/>
        <v>651.21</v>
      </c>
      <c r="AF723" s="825">
        <f t="shared" si="780"/>
        <v>44.1</v>
      </c>
      <c r="AG723" s="743"/>
      <c r="AH723" s="728"/>
      <c r="AI723" s="519">
        <f t="shared" si="781"/>
        <v>0</v>
      </c>
      <c r="AJ723" s="519">
        <f t="shared" si="782"/>
        <v>0</v>
      </c>
      <c r="AK723" s="519">
        <f t="shared" si="783"/>
        <v>0</v>
      </c>
      <c r="AL723" s="520">
        <f t="shared" si="784"/>
        <v>0</v>
      </c>
      <c r="AM723" s="520">
        <f t="shared" si="785"/>
        <v>0</v>
      </c>
      <c r="AN723" s="520">
        <f t="shared" si="786"/>
        <v>0</v>
      </c>
      <c r="AO723" s="520">
        <f t="shared" si="787"/>
        <v>0</v>
      </c>
      <c r="AP723" s="552"/>
      <c r="AQ723" s="552"/>
      <c r="AR723" s="552"/>
      <c r="AS723" s="552"/>
      <c r="AT723" s="552"/>
    </row>
    <row r="724" spans="1:68" s="555" customFormat="1" ht="22.5" customHeight="1">
      <c r="A724" s="620"/>
      <c r="B724" s="531" t="s">
        <v>986</v>
      </c>
      <c r="C724" s="566"/>
      <c r="D724" s="525" t="s">
        <v>1129</v>
      </c>
      <c r="E724" s="524" t="s">
        <v>319</v>
      </c>
      <c r="F724" s="1322">
        <f>K724</f>
        <v>47</v>
      </c>
      <c r="G724" s="527">
        <f t="shared" si="788"/>
        <v>26.05</v>
      </c>
      <c r="H724" s="527">
        <f t="shared" si="789"/>
        <v>1224.3500000000001</v>
      </c>
      <c r="I724" s="567"/>
      <c r="J724" s="582"/>
      <c r="K724" s="1149">
        <v>47</v>
      </c>
      <c r="L724" s="530">
        <f t="shared" si="790"/>
        <v>5.25</v>
      </c>
      <c r="M724" s="530">
        <f t="shared" si="791"/>
        <v>246.75</v>
      </c>
      <c r="N724" s="309"/>
      <c r="O724" s="786" t="s">
        <v>136</v>
      </c>
      <c r="P724" s="777"/>
      <c r="Q724" s="777"/>
      <c r="R724" s="751"/>
      <c r="S724" s="752">
        <v>516000</v>
      </c>
      <c r="T724" s="792">
        <v>4</v>
      </c>
      <c r="U724" s="803">
        <v>0</v>
      </c>
      <c r="V724" s="803">
        <v>0</v>
      </c>
      <c r="W724" s="803">
        <v>0</v>
      </c>
      <c r="X724" s="858">
        <v>1</v>
      </c>
      <c r="Y724" s="310">
        <f>ROUND((R724+S724/'Summary-E'!$M$63)*X724,2)</f>
        <v>24.81</v>
      </c>
      <c r="Z724" s="858">
        <f t="shared" si="767"/>
        <v>1.05</v>
      </c>
      <c r="AA724" s="813">
        <f t="shared" si="777"/>
        <v>26.05</v>
      </c>
      <c r="AB724" s="447">
        <f t="shared" si="778"/>
        <v>0.05</v>
      </c>
      <c r="AC724" s="310">
        <f>ROUND((T724*(1+AB724)),2)</f>
        <v>4.2</v>
      </c>
      <c r="AD724" s="717">
        <f>ROUND(AC724*'[1]Summary E&amp;M'!$R$94,2)</f>
        <v>5.25</v>
      </c>
      <c r="AE724" s="825">
        <f t="shared" si="779"/>
        <v>1166.07</v>
      </c>
      <c r="AF724" s="825">
        <f t="shared" si="780"/>
        <v>197.4</v>
      </c>
      <c r="AG724" s="743"/>
      <c r="AH724" s="728"/>
      <c r="AI724" s="519">
        <f t="shared" si="781"/>
        <v>0</v>
      </c>
      <c r="AJ724" s="519">
        <f t="shared" si="782"/>
        <v>0</v>
      </c>
      <c r="AK724" s="519">
        <f t="shared" si="783"/>
        <v>0</v>
      </c>
      <c r="AL724" s="520">
        <f t="shared" si="784"/>
        <v>0</v>
      </c>
      <c r="AM724" s="520">
        <f t="shared" si="785"/>
        <v>0</v>
      </c>
      <c r="AN724" s="520">
        <f t="shared" si="786"/>
        <v>0</v>
      </c>
      <c r="AO724" s="520">
        <f t="shared" si="787"/>
        <v>0</v>
      </c>
      <c r="AP724" s="552"/>
      <c r="AQ724" s="552"/>
      <c r="AR724" s="552"/>
      <c r="AS724" s="552"/>
      <c r="AT724" s="552"/>
    </row>
    <row r="725" spans="1:68" s="555" customFormat="1" ht="22.5" customHeight="1">
      <c r="A725" s="620"/>
      <c r="B725" s="531" t="s">
        <v>1237</v>
      </c>
      <c r="C725" s="566"/>
      <c r="D725" s="525" t="s">
        <v>1129</v>
      </c>
      <c r="E725" s="524" t="s">
        <v>319</v>
      </c>
      <c r="F725" s="1322">
        <f>K725</f>
        <v>2</v>
      </c>
      <c r="G725" s="527">
        <f t="shared" ref="G725" si="792">ROUND(AA725,2)</f>
        <v>14.11</v>
      </c>
      <c r="H725" s="527">
        <f t="shared" ref="H725" si="793">F725*G725</f>
        <v>28.22</v>
      </c>
      <c r="I725" s="567"/>
      <c r="J725" s="582"/>
      <c r="K725" s="1149">
        <v>2</v>
      </c>
      <c r="L725" s="530">
        <f t="shared" ref="L725" si="794">ROUND(AD725,2)</f>
        <v>5.25</v>
      </c>
      <c r="M725" s="530">
        <f t="shared" ref="M725" si="795">ROUND(L725*F725,2)</f>
        <v>10.5</v>
      </c>
      <c r="N725" s="309"/>
      <c r="O725" s="786" t="s">
        <v>136</v>
      </c>
      <c r="P725" s="777"/>
      <c r="Q725" s="777"/>
      <c r="R725" s="751"/>
      <c r="S725" s="752">
        <v>279500</v>
      </c>
      <c r="T725" s="792">
        <v>4</v>
      </c>
      <c r="U725" s="803">
        <v>0</v>
      </c>
      <c r="V725" s="803">
        <v>0</v>
      </c>
      <c r="W725" s="803">
        <v>0</v>
      </c>
      <c r="X725" s="858">
        <v>1</v>
      </c>
      <c r="Y725" s="310">
        <f>ROUND((R725+S725/'Summary-E'!$M$63)*X725,2)</f>
        <v>13.44</v>
      </c>
      <c r="Z725" s="858">
        <f t="shared" si="767"/>
        <v>1.05</v>
      </c>
      <c r="AA725" s="813">
        <f t="shared" ref="AA725" si="796">ROUND(Y725*Z725,2)</f>
        <v>14.11</v>
      </c>
      <c r="AB725" s="447">
        <f t="shared" si="778"/>
        <v>0.05</v>
      </c>
      <c r="AC725" s="310">
        <f>ROUND((T725*(1+AB725)),2)</f>
        <v>4.2</v>
      </c>
      <c r="AD725" s="717">
        <f>ROUND(AC725*'[1]Summary E&amp;M'!$R$94,2)</f>
        <v>5.25</v>
      </c>
      <c r="AE725" s="825">
        <f t="shared" si="779"/>
        <v>26.88</v>
      </c>
      <c r="AF725" s="825">
        <f t="shared" si="780"/>
        <v>8.4</v>
      </c>
      <c r="AG725" s="743"/>
      <c r="AH725" s="728"/>
      <c r="AI725" s="519">
        <f t="shared" si="781"/>
        <v>0</v>
      </c>
      <c r="AJ725" s="519">
        <f t="shared" si="782"/>
        <v>0</v>
      </c>
      <c r="AK725" s="519">
        <f t="shared" si="783"/>
        <v>0</v>
      </c>
      <c r="AL725" s="520">
        <f t="shared" ref="AL725" si="797">ROUND(Y725*AI725+((Y725*(1+AI725))*AJ725)+((Y725*AI725+((Y725*(1+AI725))*AJ725))*AK725),2)</f>
        <v>0</v>
      </c>
      <c r="AM725" s="520">
        <f t="shared" ref="AM725" si="798">AL725*$F725</f>
        <v>0</v>
      </c>
      <c r="AN725" s="520">
        <f t="shared" ref="AN725" si="799">ROUND(AL725*Z725,2)</f>
        <v>0</v>
      </c>
      <c r="AO725" s="520">
        <f t="shared" ref="AO725" si="800">AN725*$F725</f>
        <v>0</v>
      </c>
      <c r="AP725" s="552"/>
      <c r="AQ725" s="552"/>
      <c r="AR725" s="552"/>
      <c r="AS725" s="552"/>
      <c r="AT725" s="552"/>
    </row>
    <row r="726" spans="1:68" s="555" customFormat="1" ht="22.5" customHeight="1">
      <c r="A726" s="620"/>
      <c r="B726" s="1361" t="s">
        <v>781</v>
      </c>
      <c r="C726" s="1362" t="s">
        <v>1333</v>
      </c>
      <c r="D726" s="193" t="s">
        <v>1111</v>
      </c>
      <c r="E726" s="525" t="s">
        <v>321</v>
      </c>
      <c r="F726" s="1314">
        <f>ROUND(K726*'Summary-E'!$K$61,0)</f>
        <v>158</v>
      </c>
      <c r="G726" s="1359">
        <f t="shared" si="788"/>
        <v>1.41</v>
      </c>
      <c r="H726" s="1359">
        <f t="shared" si="789"/>
        <v>222.78</v>
      </c>
      <c r="I726" s="567"/>
      <c r="J726" s="582"/>
      <c r="K726" s="1175">
        <v>150</v>
      </c>
      <c r="L726" s="530">
        <f t="shared" si="790"/>
        <v>0.66</v>
      </c>
      <c r="M726" s="530">
        <f t="shared" si="791"/>
        <v>104.28</v>
      </c>
      <c r="N726" s="1053"/>
      <c r="O726" s="786" t="s">
        <v>131</v>
      </c>
      <c r="P726" s="777"/>
      <c r="Q726" s="785"/>
      <c r="R726" s="751"/>
      <c r="S726" s="752">
        <f>83400/3</f>
        <v>27800</v>
      </c>
      <c r="T726" s="783">
        <v>0.5</v>
      </c>
      <c r="U726" s="803">
        <v>0</v>
      </c>
      <c r="V726" s="803">
        <v>0</v>
      </c>
      <c r="W726" s="803">
        <v>0</v>
      </c>
      <c r="X726" s="858">
        <v>1</v>
      </c>
      <c r="Y726" s="310">
        <f>ROUND((R726+S726/'Summary-E'!$M$63)*X726,2)</f>
        <v>1.34</v>
      </c>
      <c r="Z726" s="858">
        <f t="shared" si="767"/>
        <v>1.05</v>
      </c>
      <c r="AA726" s="813">
        <f t="shared" si="777"/>
        <v>1.41</v>
      </c>
      <c r="AB726" s="447">
        <f t="shared" si="778"/>
        <v>0.05</v>
      </c>
      <c r="AC726" s="310">
        <f t="shared" ref="AC726:AC739" si="801">ROUND((T726*(1+AB726)),2)</f>
        <v>0.53</v>
      </c>
      <c r="AD726" s="717">
        <f>ROUND(AC726*'[1]Summary E&amp;M'!$R$94,2)</f>
        <v>0.66</v>
      </c>
      <c r="AE726" s="825">
        <f t="shared" si="779"/>
        <v>201</v>
      </c>
      <c r="AF726" s="825">
        <f t="shared" si="780"/>
        <v>79.5</v>
      </c>
      <c r="AG726" s="743"/>
      <c r="AH726" s="728"/>
      <c r="AI726" s="519">
        <f t="shared" si="781"/>
        <v>0</v>
      </c>
      <c r="AJ726" s="519">
        <f t="shared" si="782"/>
        <v>0</v>
      </c>
      <c r="AK726" s="519">
        <f t="shared" si="783"/>
        <v>0</v>
      </c>
      <c r="AL726" s="520">
        <f t="shared" si="784"/>
        <v>0</v>
      </c>
      <c r="AM726" s="520">
        <f t="shared" si="785"/>
        <v>0</v>
      </c>
      <c r="AN726" s="520">
        <f t="shared" si="786"/>
        <v>0</v>
      </c>
      <c r="AO726" s="520">
        <f t="shared" si="787"/>
        <v>0</v>
      </c>
      <c r="AP726" s="552"/>
      <c r="AQ726" s="552"/>
      <c r="AR726" s="552"/>
      <c r="AS726" s="552"/>
      <c r="AT726" s="552"/>
    </row>
    <row r="727" spans="1:68" s="555" customFormat="1" ht="22.5" customHeight="1">
      <c r="A727" s="620"/>
      <c r="B727" s="1361" t="s">
        <v>781</v>
      </c>
      <c r="C727" s="1362" t="s">
        <v>1332</v>
      </c>
      <c r="D727" s="193" t="s">
        <v>1111</v>
      </c>
      <c r="E727" s="525" t="s">
        <v>321</v>
      </c>
      <c r="F727" s="1314">
        <f>ROUND(K727*'Summary-E'!$K$61,0)</f>
        <v>533</v>
      </c>
      <c r="G727" s="1359">
        <f t="shared" ref="G727" si="802">ROUND(AA727,2)</f>
        <v>1</v>
      </c>
      <c r="H727" s="1359">
        <f t="shared" ref="H727" si="803">F727*G727</f>
        <v>533</v>
      </c>
      <c r="I727" s="567"/>
      <c r="J727" s="582"/>
      <c r="K727" s="1175">
        <f>127*4</f>
        <v>508</v>
      </c>
      <c r="L727" s="530">
        <f t="shared" ref="L727" si="804">ROUND(AD727,2)</f>
        <v>0.66</v>
      </c>
      <c r="M727" s="530">
        <f t="shared" ref="M727" si="805">ROUND(L727*F727,2)</f>
        <v>351.78</v>
      </c>
      <c r="N727" s="1053"/>
      <c r="O727" s="786" t="s">
        <v>131</v>
      </c>
      <c r="P727" s="777"/>
      <c r="Q727" s="785"/>
      <c r="R727" s="751"/>
      <c r="S727" s="752">
        <f>59000/3</f>
        <v>19666.666666666668</v>
      </c>
      <c r="T727" s="783">
        <v>0.5</v>
      </c>
      <c r="U727" s="803">
        <v>0</v>
      </c>
      <c r="V727" s="803">
        <v>0</v>
      </c>
      <c r="W727" s="803">
        <v>0</v>
      </c>
      <c r="X727" s="858">
        <v>1</v>
      </c>
      <c r="Y727" s="310">
        <f>ROUND((R727+S727/'Summary-E'!$M$63)*X727,2)</f>
        <v>0.95</v>
      </c>
      <c r="Z727" s="858">
        <f t="shared" si="767"/>
        <v>1.05</v>
      </c>
      <c r="AA727" s="813">
        <f t="shared" ref="AA727" si="806">ROUND(Y727*Z727,2)</f>
        <v>1</v>
      </c>
      <c r="AB727" s="447">
        <f t="shared" si="778"/>
        <v>0.05</v>
      </c>
      <c r="AC727" s="310">
        <f t="shared" ref="AC727" si="807">ROUND((T727*(1+AB727)),2)</f>
        <v>0.53</v>
      </c>
      <c r="AD727" s="717">
        <f>ROUND(AC727*'[1]Summary E&amp;M'!$R$94,2)</f>
        <v>0.66</v>
      </c>
      <c r="AE727" s="825">
        <f t="shared" si="779"/>
        <v>482.6</v>
      </c>
      <c r="AF727" s="825">
        <f t="shared" si="780"/>
        <v>269.24</v>
      </c>
      <c r="AG727" s="743"/>
      <c r="AH727" s="728"/>
      <c r="AI727" s="519">
        <f t="shared" si="781"/>
        <v>0</v>
      </c>
      <c r="AJ727" s="519">
        <f t="shared" si="782"/>
        <v>0</v>
      </c>
      <c r="AK727" s="519">
        <f t="shared" si="783"/>
        <v>0</v>
      </c>
      <c r="AL727" s="520">
        <f t="shared" ref="AL727" si="808">ROUND(Y727*AI727+((Y727*(1+AI727))*AJ727)+((Y727*AI727+((Y727*(1+AI727))*AJ727))*AK727),2)</f>
        <v>0</v>
      </c>
      <c r="AM727" s="520">
        <f t="shared" ref="AM727" si="809">AL727*$F727</f>
        <v>0</v>
      </c>
      <c r="AN727" s="520">
        <f t="shared" ref="AN727" si="810">ROUND(AL727*Z727,2)</f>
        <v>0</v>
      </c>
      <c r="AO727" s="520">
        <f t="shared" ref="AO727" si="811">AN727*$F727</f>
        <v>0</v>
      </c>
      <c r="AP727" s="552"/>
      <c r="AQ727" s="552"/>
      <c r="AR727" s="552"/>
      <c r="AS727" s="552"/>
      <c r="AT727" s="552"/>
    </row>
    <row r="728" spans="1:68" s="555" customFormat="1" ht="22.5" customHeight="1">
      <c r="A728" s="451"/>
      <c r="B728" s="568" t="s">
        <v>333</v>
      </c>
      <c r="C728" s="566"/>
      <c r="D728" s="1063" t="s">
        <v>1113</v>
      </c>
      <c r="E728" s="525" t="s">
        <v>322</v>
      </c>
      <c r="F728" s="1322">
        <f>K728</f>
        <v>1</v>
      </c>
      <c r="G728" s="527">
        <f t="shared" si="788"/>
        <v>208.88</v>
      </c>
      <c r="H728" s="527">
        <f t="shared" si="789"/>
        <v>208.88</v>
      </c>
      <c r="I728" s="567"/>
      <c r="J728" s="582"/>
      <c r="K728" s="1149">
        <v>1</v>
      </c>
      <c r="L728" s="530">
        <f t="shared" si="790"/>
        <v>32.299999999999997</v>
      </c>
      <c r="M728" s="530">
        <f t="shared" si="791"/>
        <v>32.299999999999997</v>
      </c>
      <c r="N728" s="1053"/>
      <c r="O728" s="786" t="s">
        <v>683</v>
      </c>
      <c r="P728" s="777">
        <v>0.3</v>
      </c>
      <c r="Q728" s="777"/>
      <c r="R728" s="751">
        <f>ROUND(SUM(AE726:AE727)*P728,2)</f>
        <v>205.08</v>
      </c>
      <c r="S728" s="752"/>
      <c r="T728" s="792">
        <f>ROUND(R728*12%,2)</f>
        <v>24.61</v>
      </c>
      <c r="U728" s="803">
        <v>0</v>
      </c>
      <c r="V728" s="803">
        <v>0</v>
      </c>
      <c r="W728" s="803">
        <v>0</v>
      </c>
      <c r="X728" s="858">
        <f>SUMIF('Summary-E'!O$4:O$50,D728,'Summary-E'!Q$4:Q$50)</f>
        <v>0.97</v>
      </c>
      <c r="Y728" s="310">
        <f>ROUND((R728+S728/'Summary-E'!$M$63)*X728,2)</f>
        <v>198.93</v>
      </c>
      <c r="Z728" s="858">
        <f t="shared" si="767"/>
        <v>1.05</v>
      </c>
      <c r="AA728" s="813">
        <f t="shared" si="777"/>
        <v>208.88</v>
      </c>
      <c r="AB728" s="447">
        <f t="shared" si="778"/>
        <v>0.05</v>
      </c>
      <c r="AC728" s="310">
        <f t="shared" si="801"/>
        <v>25.84</v>
      </c>
      <c r="AD728" s="717">
        <f>ROUND(AC728*'[1]Summary E&amp;M'!$R$94,2)</f>
        <v>32.299999999999997</v>
      </c>
      <c r="AE728" s="825">
        <f t="shared" si="779"/>
        <v>198.93</v>
      </c>
      <c r="AF728" s="825">
        <f t="shared" si="780"/>
        <v>25.84</v>
      </c>
      <c r="AG728" s="743"/>
      <c r="AH728" s="728"/>
      <c r="AI728" s="519">
        <f t="shared" si="781"/>
        <v>0</v>
      </c>
      <c r="AJ728" s="519">
        <f t="shared" si="782"/>
        <v>0</v>
      </c>
      <c r="AK728" s="519">
        <f t="shared" si="783"/>
        <v>0</v>
      </c>
      <c r="AL728" s="520">
        <f t="shared" si="784"/>
        <v>0</v>
      </c>
      <c r="AM728" s="520">
        <f t="shared" si="785"/>
        <v>0</v>
      </c>
      <c r="AN728" s="520">
        <f t="shared" si="786"/>
        <v>0</v>
      </c>
      <c r="AO728" s="520">
        <f t="shared" si="787"/>
        <v>0</v>
      </c>
      <c r="AP728" s="552"/>
      <c r="AQ728" s="552"/>
      <c r="AR728" s="552"/>
      <c r="AS728" s="552"/>
      <c r="AT728" s="552"/>
    </row>
    <row r="729" spans="1:68" s="555" customFormat="1" ht="22.5" customHeight="1">
      <c r="A729" s="570"/>
      <c r="B729" s="568" t="s">
        <v>120</v>
      </c>
      <c r="C729" s="569"/>
      <c r="D729" s="525" t="s">
        <v>139</v>
      </c>
      <c r="E729" s="570" t="s">
        <v>322</v>
      </c>
      <c r="F729" s="1322">
        <f>K729</f>
        <v>1</v>
      </c>
      <c r="G729" s="527">
        <f t="shared" si="788"/>
        <v>104.43</v>
      </c>
      <c r="H729" s="527">
        <f t="shared" si="789"/>
        <v>104.43</v>
      </c>
      <c r="I729" s="567"/>
      <c r="J729" s="582"/>
      <c r="K729" s="1149">
        <v>1</v>
      </c>
      <c r="L729" s="530">
        <f t="shared" si="790"/>
        <v>16.149999999999999</v>
      </c>
      <c r="M729" s="530">
        <f t="shared" si="791"/>
        <v>16.149999999999999</v>
      </c>
      <c r="N729" s="1053"/>
      <c r="O729" s="786" t="s">
        <v>130</v>
      </c>
      <c r="P729" s="777">
        <v>0.15</v>
      </c>
      <c r="Q729" s="777"/>
      <c r="R729" s="751">
        <f>ROUND(SUM(AE726:AE727)*P729,2)</f>
        <v>102.54</v>
      </c>
      <c r="S729" s="752"/>
      <c r="T729" s="792">
        <f>ROUND(R729*12%,2)</f>
        <v>12.3</v>
      </c>
      <c r="U729" s="803">
        <v>0</v>
      </c>
      <c r="V729" s="803">
        <v>0</v>
      </c>
      <c r="W729" s="803">
        <v>0</v>
      </c>
      <c r="X729" s="858">
        <f>SUMIF('Summary-E'!O$4:O$50,D729,'Summary-E'!Q$4:Q$50)</f>
        <v>0.97</v>
      </c>
      <c r="Y729" s="310">
        <f>ROUND((R729+S729/'Summary-E'!$M$63)*X729,2)</f>
        <v>99.46</v>
      </c>
      <c r="Z729" s="858">
        <f t="shared" si="767"/>
        <v>1.05</v>
      </c>
      <c r="AA729" s="813">
        <f t="shared" si="777"/>
        <v>104.43</v>
      </c>
      <c r="AB729" s="447">
        <f t="shared" si="778"/>
        <v>0.05</v>
      </c>
      <c r="AC729" s="310">
        <f t="shared" si="801"/>
        <v>12.92</v>
      </c>
      <c r="AD729" s="717">
        <f>ROUND(AC729*'[1]Summary E&amp;M'!$R$94,2)</f>
        <v>16.149999999999999</v>
      </c>
      <c r="AE729" s="825">
        <f t="shared" si="779"/>
        <v>99.46</v>
      </c>
      <c r="AF729" s="825">
        <f t="shared" si="780"/>
        <v>12.92</v>
      </c>
      <c r="AG729" s="743"/>
      <c r="AH729" s="728"/>
      <c r="AI729" s="519">
        <f t="shared" si="781"/>
        <v>0</v>
      </c>
      <c r="AJ729" s="519">
        <f t="shared" si="782"/>
        <v>0</v>
      </c>
      <c r="AK729" s="519">
        <f t="shared" si="783"/>
        <v>0</v>
      </c>
      <c r="AL729" s="520">
        <f t="shared" si="784"/>
        <v>0</v>
      </c>
      <c r="AM729" s="520">
        <f t="shared" si="785"/>
        <v>0</v>
      </c>
      <c r="AN729" s="520">
        <f t="shared" si="786"/>
        <v>0</v>
      </c>
      <c r="AO729" s="520">
        <f t="shared" si="787"/>
        <v>0</v>
      </c>
      <c r="AP729" s="552"/>
      <c r="AQ729" s="552"/>
      <c r="AR729" s="552"/>
      <c r="AS729" s="552"/>
      <c r="AT729" s="552"/>
    </row>
    <row r="730" spans="1:68" s="555" customFormat="1" ht="22.5" customHeight="1">
      <c r="A730" s="451"/>
      <c r="B730" s="531" t="s">
        <v>1000</v>
      </c>
      <c r="C730" s="566" t="s">
        <v>1242</v>
      </c>
      <c r="D730" s="570">
        <v>131</v>
      </c>
      <c r="E730" s="525" t="s">
        <v>321</v>
      </c>
      <c r="F730" s="1314">
        <f>ROUND(K730*'Summary-E'!$K$61,0)</f>
        <v>63</v>
      </c>
      <c r="G730" s="527">
        <f t="shared" si="788"/>
        <v>7.18</v>
      </c>
      <c r="H730" s="527">
        <f t="shared" si="789"/>
        <v>452.34</v>
      </c>
      <c r="I730" s="567"/>
      <c r="J730" s="582"/>
      <c r="K730" s="1149">
        <v>60</v>
      </c>
      <c r="L730" s="530">
        <f t="shared" si="790"/>
        <v>1.05</v>
      </c>
      <c r="M730" s="530">
        <f t="shared" si="791"/>
        <v>66.150000000000006</v>
      </c>
      <c r="N730" s="1053"/>
      <c r="O730" s="786">
        <v>131</v>
      </c>
      <c r="P730" s="777"/>
      <c r="Q730" s="777"/>
      <c r="R730" s="751"/>
      <c r="S730" s="752">
        <v>142200</v>
      </c>
      <c r="T730" s="792">
        <v>0.8</v>
      </c>
      <c r="U730" s="803">
        <v>0</v>
      </c>
      <c r="V730" s="803">
        <v>0</v>
      </c>
      <c r="W730" s="803">
        <v>0</v>
      </c>
      <c r="X730" s="858">
        <v>1</v>
      </c>
      <c r="Y730" s="310">
        <f>ROUND((R730+S730/'Summary-E'!$M$63)*X730,2)</f>
        <v>6.84</v>
      </c>
      <c r="Z730" s="858">
        <f t="shared" si="767"/>
        <v>1.05</v>
      </c>
      <c r="AA730" s="813">
        <f t="shared" si="777"/>
        <v>7.18</v>
      </c>
      <c r="AB730" s="447">
        <f t="shared" si="778"/>
        <v>0.05</v>
      </c>
      <c r="AC730" s="310">
        <f t="shared" si="801"/>
        <v>0.84</v>
      </c>
      <c r="AD730" s="717">
        <f>ROUND(AC730*'[1]Summary E&amp;M'!$R$94,2)</f>
        <v>1.05</v>
      </c>
      <c r="AE730" s="825">
        <f t="shared" si="779"/>
        <v>410.4</v>
      </c>
      <c r="AF730" s="825">
        <f t="shared" si="780"/>
        <v>50.4</v>
      </c>
      <c r="AG730" s="743"/>
      <c r="AH730" s="728"/>
      <c r="AI730" s="519">
        <f t="shared" si="781"/>
        <v>0</v>
      </c>
      <c r="AJ730" s="519">
        <f t="shared" si="782"/>
        <v>0</v>
      </c>
      <c r="AK730" s="519">
        <f t="shared" si="783"/>
        <v>0</v>
      </c>
      <c r="AL730" s="520">
        <f t="shared" si="784"/>
        <v>0</v>
      </c>
      <c r="AM730" s="520">
        <f t="shared" si="785"/>
        <v>0</v>
      </c>
      <c r="AN730" s="520">
        <f t="shared" si="786"/>
        <v>0</v>
      </c>
      <c r="AO730" s="520">
        <f t="shared" si="787"/>
        <v>0</v>
      </c>
      <c r="AP730" s="552"/>
      <c r="AQ730" s="552"/>
      <c r="AR730" s="552"/>
      <c r="AS730" s="552"/>
      <c r="AT730" s="552"/>
    </row>
    <row r="731" spans="1:68" s="555" customFormat="1" ht="22.5" customHeight="1">
      <c r="A731" s="451"/>
      <c r="B731" s="531" t="s">
        <v>626</v>
      </c>
      <c r="C731" s="566" t="s">
        <v>1243</v>
      </c>
      <c r="D731" s="570">
        <v>131</v>
      </c>
      <c r="E731" s="524" t="s">
        <v>321</v>
      </c>
      <c r="F731" s="1314">
        <f>ROUND(K731*'Summary-E'!$K$61,0)</f>
        <v>263</v>
      </c>
      <c r="G731" s="527">
        <f t="shared" si="788"/>
        <v>1.93</v>
      </c>
      <c r="H731" s="527">
        <f t="shared" si="789"/>
        <v>507.59</v>
      </c>
      <c r="I731" s="567"/>
      <c r="J731" s="582"/>
      <c r="K731" s="1149">
        <v>250</v>
      </c>
      <c r="L731" s="530">
        <f t="shared" si="790"/>
        <v>0.79</v>
      </c>
      <c r="M731" s="530">
        <f t="shared" si="791"/>
        <v>207.77</v>
      </c>
      <c r="N731" s="1053"/>
      <c r="O731" s="786">
        <v>131</v>
      </c>
      <c r="P731" s="777"/>
      <c r="Q731" s="777"/>
      <c r="R731" s="751"/>
      <c r="S731" s="752">
        <v>38210</v>
      </c>
      <c r="T731" s="792">
        <v>0.6</v>
      </c>
      <c r="U731" s="803">
        <v>0</v>
      </c>
      <c r="V731" s="803">
        <v>0</v>
      </c>
      <c r="W731" s="803">
        <v>0</v>
      </c>
      <c r="X731" s="858">
        <v>1</v>
      </c>
      <c r="Y731" s="310">
        <f>ROUND((R731+S731/'Summary-E'!$M$63)*X731,2)</f>
        <v>1.84</v>
      </c>
      <c r="Z731" s="858">
        <f t="shared" si="767"/>
        <v>1.05</v>
      </c>
      <c r="AA731" s="813">
        <f t="shared" si="777"/>
        <v>1.93</v>
      </c>
      <c r="AB731" s="447">
        <f t="shared" si="778"/>
        <v>0.05</v>
      </c>
      <c r="AC731" s="310">
        <f t="shared" si="801"/>
        <v>0.63</v>
      </c>
      <c r="AD731" s="717">
        <f>ROUND(AC731*'[1]Summary E&amp;M'!$R$94,2)</f>
        <v>0.79</v>
      </c>
      <c r="AE731" s="825">
        <f t="shared" si="779"/>
        <v>460</v>
      </c>
      <c r="AF731" s="825">
        <f t="shared" si="780"/>
        <v>157.5</v>
      </c>
      <c r="AG731" s="743"/>
      <c r="AH731" s="728"/>
      <c r="AI731" s="519">
        <f t="shared" si="781"/>
        <v>0</v>
      </c>
      <c r="AJ731" s="519">
        <f t="shared" si="782"/>
        <v>0</v>
      </c>
      <c r="AK731" s="519">
        <f t="shared" si="783"/>
        <v>0</v>
      </c>
      <c r="AL731" s="520">
        <f t="shared" si="784"/>
        <v>0</v>
      </c>
      <c r="AM731" s="520">
        <f t="shared" si="785"/>
        <v>0</v>
      </c>
      <c r="AN731" s="520">
        <f t="shared" si="786"/>
        <v>0</v>
      </c>
      <c r="AO731" s="520">
        <f t="shared" si="787"/>
        <v>0</v>
      </c>
      <c r="AP731" s="552"/>
      <c r="AQ731" s="552"/>
      <c r="AR731" s="552"/>
      <c r="AS731" s="552"/>
      <c r="AT731" s="552"/>
    </row>
    <row r="732" spans="1:68" s="555" customFormat="1" ht="22.5" customHeight="1">
      <c r="A732" s="451"/>
      <c r="B732" s="531" t="s">
        <v>121</v>
      </c>
      <c r="C732" s="566" t="s">
        <v>1244</v>
      </c>
      <c r="D732" s="570">
        <v>131</v>
      </c>
      <c r="E732" s="524" t="s">
        <v>321</v>
      </c>
      <c r="F732" s="1314">
        <f>ROUND(K732*'Summary-E'!$K$61,0)</f>
        <v>667</v>
      </c>
      <c r="G732" s="527">
        <f t="shared" si="788"/>
        <v>0.46</v>
      </c>
      <c r="H732" s="527">
        <f t="shared" si="789"/>
        <v>306.82</v>
      </c>
      <c r="I732" s="567"/>
      <c r="J732" s="582"/>
      <c r="K732" s="1149">
        <f>127*5</f>
        <v>635</v>
      </c>
      <c r="L732" s="530">
        <f t="shared" si="790"/>
        <v>0.4</v>
      </c>
      <c r="M732" s="530">
        <f t="shared" si="791"/>
        <v>266.8</v>
      </c>
      <c r="N732" s="1053"/>
      <c r="O732" s="786">
        <v>131</v>
      </c>
      <c r="P732" s="777"/>
      <c r="Q732" s="777"/>
      <c r="R732" s="751"/>
      <c r="S732" s="752">
        <v>9150</v>
      </c>
      <c r="T732" s="792">
        <v>0.3</v>
      </c>
      <c r="U732" s="803">
        <v>0</v>
      </c>
      <c r="V732" s="803">
        <v>0</v>
      </c>
      <c r="W732" s="803">
        <v>0</v>
      </c>
      <c r="X732" s="858">
        <v>1</v>
      </c>
      <c r="Y732" s="310">
        <f>ROUND((R732+S732/'Summary-E'!$M$63)*X732,2)</f>
        <v>0.44</v>
      </c>
      <c r="Z732" s="858">
        <f t="shared" si="767"/>
        <v>1.05</v>
      </c>
      <c r="AA732" s="813">
        <f t="shared" si="777"/>
        <v>0.46</v>
      </c>
      <c r="AB732" s="447">
        <f t="shared" si="778"/>
        <v>0.05</v>
      </c>
      <c r="AC732" s="310">
        <f t="shared" si="801"/>
        <v>0.32</v>
      </c>
      <c r="AD732" s="717">
        <f>ROUND(AC732*'[1]Summary E&amp;M'!$R$94,2)</f>
        <v>0.4</v>
      </c>
      <c r="AE732" s="825">
        <f t="shared" si="779"/>
        <v>279.39999999999998</v>
      </c>
      <c r="AF732" s="825">
        <f t="shared" si="780"/>
        <v>203.2</v>
      </c>
      <c r="AG732" s="743"/>
      <c r="AH732" s="728"/>
      <c r="AI732" s="519">
        <f t="shared" si="781"/>
        <v>0</v>
      </c>
      <c r="AJ732" s="519">
        <f t="shared" si="782"/>
        <v>0</v>
      </c>
      <c r="AK732" s="519">
        <f t="shared" si="783"/>
        <v>0</v>
      </c>
      <c r="AL732" s="520">
        <f t="shared" si="784"/>
        <v>0</v>
      </c>
      <c r="AM732" s="520">
        <f t="shared" si="785"/>
        <v>0</v>
      </c>
      <c r="AN732" s="520">
        <f t="shared" si="786"/>
        <v>0</v>
      </c>
      <c r="AO732" s="520">
        <f t="shared" si="787"/>
        <v>0</v>
      </c>
      <c r="AP732" s="552"/>
      <c r="AQ732" s="552"/>
      <c r="AR732" s="552"/>
      <c r="AS732" s="552"/>
      <c r="AT732" s="552"/>
    </row>
    <row r="733" spans="1:68" s="555" customFormat="1" ht="22.5" customHeight="1">
      <c r="A733" s="570"/>
      <c r="B733" s="568" t="s">
        <v>401</v>
      </c>
      <c r="C733" s="569"/>
      <c r="D733" s="570">
        <v>159</v>
      </c>
      <c r="E733" s="571" t="s">
        <v>322</v>
      </c>
      <c r="F733" s="1322">
        <f>K733</f>
        <v>1</v>
      </c>
      <c r="G733" s="527">
        <f>ROUND(AA733,2)</f>
        <v>358.95</v>
      </c>
      <c r="H733" s="527">
        <f>ROUND(F733*G733,2)</f>
        <v>358.95</v>
      </c>
      <c r="I733" s="567"/>
      <c r="J733" s="309"/>
      <c r="K733" s="1149">
        <v>1</v>
      </c>
      <c r="L733" s="530">
        <f>ROUND(AD733,2)</f>
        <v>55.5</v>
      </c>
      <c r="M733" s="530">
        <f t="shared" si="791"/>
        <v>55.5</v>
      </c>
      <c r="N733" s="309"/>
      <c r="O733" s="776">
        <v>159</v>
      </c>
      <c r="P733" s="777">
        <v>0.05</v>
      </c>
      <c r="Q733" s="777"/>
      <c r="R733" s="751">
        <f>ROUND(SUM(AE719:AE732)*P733,2)</f>
        <v>352.43</v>
      </c>
      <c r="S733" s="752"/>
      <c r="T733" s="792">
        <f>ROUND(R733*12%,2)</f>
        <v>42.29</v>
      </c>
      <c r="U733" s="803">
        <v>0</v>
      </c>
      <c r="V733" s="803">
        <v>0</v>
      </c>
      <c r="W733" s="803">
        <v>0</v>
      </c>
      <c r="X733" s="858">
        <f>SUMIF('Summary-E'!O$4:O$50,D733,'Summary-E'!Q$4:Q$50)</f>
        <v>0.97</v>
      </c>
      <c r="Y733" s="310">
        <f>ROUND((R733+S733/'Summary-E'!$M$63)*X733,2)</f>
        <v>341.86</v>
      </c>
      <c r="Z733" s="858">
        <f t="shared" si="767"/>
        <v>1.05</v>
      </c>
      <c r="AA733" s="813">
        <f>ROUND(Y733*Z733,2)</f>
        <v>358.95</v>
      </c>
      <c r="AB733" s="447">
        <f t="shared" si="778"/>
        <v>0.05</v>
      </c>
      <c r="AC733" s="310">
        <f t="shared" si="801"/>
        <v>44.4</v>
      </c>
      <c r="AD733" s="717">
        <f>ROUND(AC733*'[1]Summary E&amp;M'!$R$94,2)</f>
        <v>55.5</v>
      </c>
      <c r="AE733" s="825">
        <f t="shared" si="779"/>
        <v>341.86</v>
      </c>
      <c r="AF733" s="825">
        <f t="shared" si="780"/>
        <v>44.4</v>
      </c>
      <c r="AG733" s="743"/>
      <c r="AH733" s="728"/>
      <c r="AI733" s="519">
        <f t="shared" si="781"/>
        <v>0</v>
      </c>
      <c r="AJ733" s="519">
        <f t="shared" si="782"/>
        <v>0</v>
      </c>
      <c r="AK733" s="519">
        <f t="shared" si="783"/>
        <v>0</v>
      </c>
      <c r="AL733" s="520">
        <f t="shared" si="784"/>
        <v>0</v>
      </c>
      <c r="AM733" s="520">
        <f t="shared" si="785"/>
        <v>0</v>
      </c>
      <c r="AN733" s="520">
        <f t="shared" si="786"/>
        <v>0</v>
      </c>
      <c r="AO733" s="520">
        <f t="shared" si="787"/>
        <v>0</v>
      </c>
      <c r="AP733" s="552"/>
      <c r="AQ733" s="552"/>
      <c r="AR733" s="552"/>
      <c r="AS733" s="552"/>
      <c r="AT733" s="552"/>
    </row>
    <row r="734" spans="1:68" s="555" customFormat="1" ht="22.5" customHeight="1">
      <c r="A734" s="570"/>
      <c r="B734" s="568" t="s">
        <v>327</v>
      </c>
      <c r="C734" s="569"/>
      <c r="D734" s="570" t="s">
        <v>134</v>
      </c>
      <c r="E734" s="571" t="s">
        <v>319</v>
      </c>
      <c r="F734" s="1322">
        <f>K734</f>
        <v>1</v>
      </c>
      <c r="G734" s="527">
        <f>ROUND(AA734,2)</f>
        <v>203.7</v>
      </c>
      <c r="H734" s="527">
        <f>ROUND(F734*G734,2)</f>
        <v>203.7</v>
      </c>
      <c r="I734" s="567"/>
      <c r="J734" s="309"/>
      <c r="K734" s="1149">
        <v>1</v>
      </c>
      <c r="L734" s="530">
        <f>ROUND(AD734,2)</f>
        <v>0</v>
      </c>
      <c r="M734" s="530">
        <f t="shared" si="791"/>
        <v>0</v>
      </c>
      <c r="N734" s="309"/>
      <c r="O734" s="776" t="s">
        <v>134</v>
      </c>
      <c r="P734" s="777"/>
      <c r="Q734" s="777"/>
      <c r="R734" s="751">
        <v>200</v>
      </c>
      <c r="S734" s="752"/>
      <c r="T734" s="792"/>
      <c r="U734" s="803">
        <v>0</v>
      </c>
      <c r="V734" s="803">
        <v>0</v>
      </c>
      <c r="W734" s="803">
        <v>0</v>
      </c>
      <c r="X734" s="858">
        <f>SUMIF('Summary-E'!O$4:O$50,D734,'Summary-E'!Q$4:Q$50)</f>
        <v>0.97</v>
      </c>
      <c r="Y734" s="310">
        <f>ROUND((R734+S734/'Summary-E'!$M$63)*X734,2)</f>
        <v>194</v>
      </c>
      <c r="Z734" s="858">
        <f t="shared" si="767"/>
        <v>1.05</v>
      </c>
      <c r="AA734" s="813">
        <f>ROUND(Y734*Z734,2)</f>
        <v>203.7</v>
      </c>
      <c r="AB734" s="447">
        <f t="shared" si="778"/>
        <v>0.05</v>
      </c>
      <c r="AC734" s="310">
        <f t="shared" si="801"/>
        <v>0</v>
      </c>
      <c r="AD734" s="717">
        <f>ROUND(AC734*'[1]Summary E&amp;M'!$R$94,2)</f>
        <v>0</v>
      </c>
      <c r="AE734" s="825">
        <f t="shared" si="779"/>
        <v>194</v>
      </c>
      <c r="AF734" s="825">
        <f t="shared" si="780"/>
        <v>0</v>
      </c>
      <c r="AG734" s="743"/>
      <c r="AH734" s="728"/>
      <c r="AI734" s="519">
        <f t="shared" si="781"/>
        <v>0</v>
      </c>
      <c r="AJ734" s="519">
        <f t="shared" si="782"/>
        <v>0</v>
      </c>
      <c r="AK734" s="519">
        <f t="shared" si="783"/>
        <v>0</v>
      </c>
      <c r="AL734" s="520">
        <f t="shared" si="784"/>
        <v>0</v>
      </c>
      <c r="AM734" s="520">
        <f t="shared" si="785"/>
        <v>0</v>
      </c>
      <c r="AN734" s="520">
        <f t="shared" si="786"/>
        <v>0</v>
      </c>
      <c r="AO734" s="520">
        <f t="shared" si="787"/>
        <v>0</v>
      </c>
      <c r="AP734" s="552"/>
      <c r="AQ734" s="552"/>
      <c r="AR734" s="552"/>
      <c r="AS734" s="552"/>
      <c r="AT734" s="552"/>
    </row>
    <row r="735" spans="1:68" s="555" customFormat="1" ht="22.5" customHeight="1">
      <c r="A735" s="620"/>
      <c r="B735" s="531"/>
      <c r="C735" s="566"/>
      <c r="D735" s="525"/>
      <c r="E735" s="524"/>
      <c r="F735" s="1314"/>
      <c r="G735" s="527"/>
      <c r="H735" s="527"/>
      <c r="I735" s="567"/>
      <c r="J735" s="582"/>
      <c r="K735" s="1149"/>
      <c r="L735" s="530">
        <f>ROUND(AD735,2)</f>
        <v>0</v>
      </c>
      <c r="M735" s="530">
        <f t="shared" si="791"/>
        <v>0</v>
      </c>
      <c r="N735" s="309"/>
      <c r="O735" s="786"/>
      <c r="P735" s="777"/>
      <c r="Q735" s="777"/>
      <c r="R735" s="751"/>
      <c r="S735" s="752"/>
      <c r="T735" s="792"/>
      <c r="U735" s="803"/>
      <c r="V735" s="803"/>
      <c r="W735" s="803"/>
      <c r="X735" s="858">
        <f>SUMIF('Summary-E'!O$4:O$50,D735,'Summary-E'!Q$4:Q$50)</f>
        <v>0</v>
      </c>
      <c r="Y735" s="310">
        <f>ROUND((R735+S735/'Summary-E'!$M$63)*X735,2)</f>
        <v>0</v>
      </c>
      <c r="Z735" s="858">
        <f t="shared" si="767"/>
        <v>1.05</v>
      </c>
      <c r="AA735" s="813"/>
      <c r="AB735" s="447"/>
      <c r="AC735" s="310">
        <f t="shared" si="801"/>
        <v>0</v>
      </c>
      <c r="AD735" s="717">
        <f>ROUND(AC735*'[1]Summary E&amp;M'!$R$94,2)</f>
        <v>0</v>
      </c>
      <c r="AE735" s="825">
        <f t="shared" si="779"/>
        <v>0</v>
      </c>
      <c r="AF735" s="825">
        <f t="shared" si="780"/>
        <v>0</v>
      </c>
      <c r="AG735" s="743"/>
      <c r="AH735" s="728"/>
      <c r="AI735" s="519"/>
      <c r="AJ735" s="519"/>
      <c r="AK735" s="519"/>
      <c r="AL735" s="520"/>
      <c r="AM735" s="520"/>
      <c r="AN735" s="520"/>
      <c r="AO735" s="520"/>
      <c r="AP735" s="552"/>
      <c r="AQ735" s="552"/>
      <c r="AR735" s="552"/>
      <c r="AS735" s="552"/>
      <c r="AT735" s="552"/>
    </row>
    <row r="736" spans="1:68" s="711" customFormat="1" ht="22.5" customHeight="1">
      <c r="A736" s="570"/>
      <c r="B736" s="568" t="s">
        <v>324</v>
      </c>
      <c r="C736" s="569"/>
      <c r="D736" s="570">
        <v>210</v>
      </c>
      <c r="E736" s="571" t="s">
        <v>319</v>
      </c>
      <c r="F736" s="1322">
        <f>K736</f>
        <v>1</v>
      </c>
      <c r="G736" s="527">
        <f>M738</f>
        <v>1715.02</v>
      </c>
      <c r="H736" s="527">
        <f>F736*G736</f>
        <v>1715.02</v>
      </c>
      <c r="I736" s="567"/>
      <c r="J736" s="582"/>
      <c r="K736" s="1149">
        <v>1</v>
      </c>
      <c r="L736" s="530"/>
      <c r="M736" s="530"/>
      <c r="N736" s="1053"/>
      <c r="O736" s="786">
        <v>210</v>
      </c>
      <c r="P736" s="777"/>
      <c r="Q736" s="777"/>
      <c r="R736" s="751"/>
      <c r="S736" s="752"/>
      <c r="T736" s="796"/>
      <c r="U736" s="803">
        <v>0</v>
      </c>
      <c r="V736" s="803">
        <v>0</v>
      </c>
      <c r="W736" s="803">
        <v>0</v>
      </c>
      <c r="X736" s="858">
        <f>SUMIF('Summary-E'!O$4:O$50,D736,'Summary-E'!Q$4:Q$50)</f>
        <v>0.05</v>
      </c>
      <c r="Y736" s="310">
        <f>ROUND((R736+S736/'Summary-E'!$M$63)*X736,2)</f>
        <v>0</v>
      </c>
      <c r="Z736" s="858">
        <f t="shared" si="767"/>
        <v>1.05</v>
      </c>
      <c r="AA736" s="813">
        <f>ROUND(Y736*Z736,2)</f>
        <v>0</v>
      </c>
      <c r="AB736" s="447">
        <f>$AB$3</f>
        <v>0.05</v>
      </c>
      <c r="AC736" s="310">
        <f t="shared" si="801"/>
        <v>0</v>
      </c>
      <c r="AD736" s="717">
        <f>ROUND(AC736*'[1]Summary E&amp;M'!$R$94,2)</f>
        <v>0</v>
      </c>
      <c r="AE736" s="825">
        <f t="shared" si="779"/>
        <v>0</v>
      </c>
      <c r="AF736" s="825">
        <f t="shared" si="780"/>
        <v>0</v>
      </c>
      <c r="AG736" s="743"/>
      <c r="AH736" s="728"/>
      <c r="AI736" s="519">
        <f>$U736</f>
        <v>0</v>
      </c>
      <c r="AJ736" s="519">
        <f>$V736</f>
        <v>0</v>
      </c>
      <c r="AK736" s="519">
        <f>$W736</f>
        <v>0</v>
      </c>
      <c r="AL736" s="520">
        <f>ROUND(Y736*AI736+((Y736*(1+AI736))*AJ736)+((Y736*AI736+((Y736*(1+AI736))*AJ736))*AK736),2)</f>
        <v>0</v>
      </c>
      <c r="AM736" s="520">
        <f>AL736*$F736</f>
        <v>0</v>
      </c>
      <c r="AN736" s="520">
        <f>ROUND(AL736*Z736,2)</f>
        <v>0</v>
      </c>
      <c r="AO736" s="520">
        <f>AN736*$F736</f>
        <v>0</v>
      </c>
      <c r="AP736" s="552"/>
      <c r="AQ736" s="552"/>
      <c r="AR736" s="552"/>
      <c r="AS736" s="552"/>
      <c r="AT736" s="552"/>
      <c r="AU736" s="555"/>
      <c r="AV736" s="555"/>
      <c r="AW736" s="555"/>
      <c r="AX736" s="555"/>
      <c r="AY736" s="555"/>
      <c r="AZ736" s="555"/>
      <c r="BA736" s="555"/>
      <c r="BB736" s="555"/>
      <c r="BC736" s="555"/>
      <c r="BD736" s="555"/>
      <c r="BE736" s="555"/>
      <c r="BF736" s="555"/>
      <c r="BG736" s="555"/>
      <c r="BH736" s="555"/>
      <c r="BI736" s="555"/>
      <c r="BJ736" s="555"/>
      <c r="BK736" s="555"/>
      <c r="BL736" s="555"/>
      <c r="BM736" s="555"/>
      <c r="BN736" s="555"/>
      <c r="BO736" s="555"/>
      <c r="BP736" s="555"/>
    </row>
    <row r="737" spans="1:46" s="555" customFormat="1" ht="22.5" customHeight="1">
      <c r="A737" s="616"/>
      <c r="B737" s="573"/>
      <c r="C737" s="574"/>
      <c r="D737" s="616"/>
      <c r="E737" s="617"/>
      <c r="F737" s="1326"/>
      <c r="G737" s="607"/>
      <c r="H737" s="608"/>
      <c r="I737" s="578"/>
      <c r="J737" s="609"/>
      <c r="K737" s="1183"/>
      <c r="L737" s="610"/>
      <c r="M737" s="610"/>
      <c r="N737" s="1053"/>
      <c r="O737" s="786"/>
      <c r="P737" s="777"/>
      <c r="Q737" s="777"/>
      <c r="R737" s="751"/>
      <c r="S737" s="752"/>
      <c r="T737" s="796"/>
      <c r="U737" s="803"/>
      <c r="V737" s="803"/>
      <c r="W737" s="803"/>
      <c r="X737" s="858">
        <f>SUMIF('Summary-E'!O$4:O$50,D737,'Summary-E'!Q$4:Q$50)</f>
        <v>0</v>
      </c>
      <c r="Y737" s="310">
        <f>ROUND((R737+S737/'Summary-E'!$M$63)*X737,2)</f>
        <v>0</v>
      </c>
      <c r="Z737" s="858">
        <f t="shared" si="767"/>
        <v>1.05</v>
      </c>
      <c r="AA737" s="818"/>
      <c r="AB737" s="310"/>
      <c r="AC737" s="310">
        <f t="shared" si="801"/>
        <v>0</v>
      </c>
      <c r="AD737" s="717">
        <f>ROUND(AC737*'[1]Summary E&amp;M'!$R$94,2)</f>
        <v>0</v>
      </c>
      <c r="AE737" s="835"/>
      <c r="AF737" s="835"/>
      <c r="AG737" s="738"/>
      <c r="AH737" s="737"/>
      <c r="AI737" s="552"/>
      <c r="AJ737" s="552"/>
      <c r="AK737" s="552"/>
      <c r="AL737" s="552"/>
      <c r="AM737" s="552"/>
      <c r="AN737" s="552"/>
      <c r="AO737" s="552"/>
      <c r="AP737" s="552"/>
      <c r="AQ737" s="552"/>
      <c r="AR737" s="552"/>
      <c r="AS737" s="552"/>
      <c r="AT737" s="552"/>
    </row>
    <row r="738" spans="1:46" s="711" customFormat="1" ht="22.5" customHeight="1">
      <c r="A738" s="973"/>
      <c r="B738" s="974" t="s">
        <v>522</v>
      </c>
      <c r="C738" s="979"/>
      <c r="D738" s="980"/>
      <c r="E738" s="976"/>
      <c r="F738" s="1317"/>
      <c r="G738" s="982"/>
      <c r="H738" s="971">
        <f>SUBTOTAL(9,H720:H737)</f>
        <v>9776.07</v>
      </c>
      <c r="I738" s="981"/>
      <c r="J738" s="609"/>
      <c r="K738" s="1184"/>
      <c r="L738" s="600"/>
      <c r="M738" s="1051">
        <f>SUBTOTAL(9,M720:M736)</f>
        <v>1715.02</v>
      </c>
      <c r="N738" s="1054"/>
      <c r="O738" s="787"/>
      <c r="P738" s="780"/>
      <c r="Q738" s="780"/>
      <c r="R738" s="759"/>
      <c r="S738" s="752"/>
      <c r="T738" s="796"/>
      <c r="U738" s="803"/>
      <c r="V738" s="803"/>
      <c r="W738" s="803"/>
      <c r="X738" s="858">
        <f>SUMIF('Summary-E'!O$4:O$50,D738,'Summary-E'!Q$4:Q$50)</f>
        <v>0</v>
      </c>
      <c r="Y738" s="310">
        <f>ROUND((R738+S738/'Summary-E'!$M$63)*X738,2)</f>
        <v>0</v>
      </c>
      <c r="Z738" s="858">
        <f t="shared" si="767"/>
        <v>1.05</v>
      </c>
      <c r="AA738" s="818"/>
      <c r="AB738" s="552"/>
      <c r="AC738" s="310">
        <f t="shared" si="801"/>
        <v>0</v>
      </c>
      <c r="AD738" s="717">
        <f>ROUND(AC738*'[1]Summary E&amp;M'!$R$94,2)</f>
        <v>0</v>
      </c>
      <c r="AE738" s="823">
        <f>SUBTOTAL(9,AE720:AE737)</f>
        <v>7584.41</v>
      </c>
      <c r="AF738" s="823">
        <f>SUBTOTAL(9,AF720:AF737)</f>
        <v>1334.4</v>
      </c>
      <c r="AG738" s="614"/>
      <c r="AH738" s="730"/>
      <c r="AI738" s="713"/>
      <c r="AJ738" s="713"/>
      <c r="AK738" s="713"/>
      <c r="AL738" s="713"/>
      <c r="AM738" s="712">
        <f>SUBTOTAL(9,AM720:AM737)</f>
        <v>0</v>
      </c>
      <c r="AN738" s="713"/>
      <c r="AO738" s="712">
        <f>SUBTOTAL(9,AO720:AO737)</f>
        <v>0</v>
      </c>
      <c r="AP738" s="713"/>
      <c r="AQ738" s="713"/>
      <c r="AR738" s="713"/>
      <c r="AS738" s="713"/>
      <c r="AT738" s="713"/>
    </row>
    <row r="739" spans="1:46" s="555" customFormat="1" ht="22.5" customHeight="1">
      <c r="A739" s="545"/>
      <c r="B739" s="543"/>
      <c r="C739" s="544"/>
      <c r="D739" s="585"/>
      <c r="E739" s="619"/>
      <c r="F739" s="1327"/>
      <c r="G739" s="547"/>
      <c r="H739" s="547"/>
      <c r="I739" s="548"/>
      <c r="J739" s="549"/>
      <c r="K739" s="1179"/>
      <c r="L739" s="550"/>
      <c r="M739" s="550"/>
      <c r="N739" s="549"/>
      <c r="O739" s="778"/>
      <c r="P739" s="777"/>
      <c r="Q739" s="777"/>
      <c r="R739" s="751"/>
      <c r="S739" s="752"/>
      <c r="T739" s="792"/>
      <c r="U739" s="803"/>
      <c r="V739" s="803"/>
      <c r="W739" s="803"/>
      <c r="X739" s="858">
        <f>SUMIF('Summary-E'!O$4:O$50,D739,'Summary-E'!Q$4:Q$50)</f>
        <v>0</v>
      </c>
      <c r="Y739" s="310">
        <f>ROUND((R739+S739/'Summary-E'!$M$63)*X739,2)</f>
        <v>0</v>
      </c>
      <c r="Z739" s="858">
        <f t="shared" si="767"/>
        <v>1.05</v>
      </c>
      <c r="AA739" s="816"/>
      <c r="AB739" s="552"/>
      <c r="AC739" s="310">
        <f t="shared" si="801"/>
        <v>0</v>
      </c>
      <c r="AD739" s="717">
        <f>ROUND(AC739*'[1]Summary E&amp;M'!$R$94,2)</f>
        <v>0</v>
      </c>
      <c r="AE739" s="825"/>
      <c r="AF739" s="825"/>
      <c r="AG739" s="743"/>
      <c r="AH739" s="737"/>
      <c r="AI739" s="552"/>
      <c r="AJ739" s="552"/>
      <c r="AK739" s="552"/>
      <c r="AL739" s="552"/>
      <c r="AM739" s="553"/>
      <c r="AN739" s="552"/>
      <c r="AO739" s="553"/>
      <c r="AP739" s="552"/>
      <c r="AQ739" s="552"/>
      <c r="AR739" s="552"/>
      <c r="AS739" s="552"/>
      <c r="AT739" s="552"/>
    </row>
    <row r="740" spans="1:46" s="555" customFormat="1" ht="22.5" customHeight="1">
      <c r="A740" s="902" t="s">
        <v>478</v>
      </c>
      <c r="B740" s="439" t="s">
        <v>906</v>
      </c>
      <c r="C740" s="503"/>
      <c r="D740" s="504"/>
      <c r="E740" s="504"/>
      <c r="F740" s="1312"/>
      <c r="G740" s="506"/>
      <c r="H740" s="506"/>
      <c r="I740" s="507"/>
      <c r="J740" s="508"/>
      <c r="K740" s="1173"/>
      <c r="L740" s="959"/>
      <c r="M740" s="959"/>
      <c r="N740" s="508"/>
      <c r="O740" s="775"/>
      <c r="P740" s="768"/>
      <c r="Q740" s="768"/>
      <c r="R740" s="751"/>
      <c r="S740" s="752"/>
      <c r="T740" s="792"/>
      <c r="U740" s="803"/>
      <c r="V740" s="803"/>
      <c r="W740" s="803"/>
      <c r="X740" s="858">
        <f>SUMIF('Summary-E'!O$4:O$50,D740,'Summary-E'!Q$4:Q$50)</f>
        <v>0</v>
      </c>
      <c r="Y740" s="310">
        <f>ROUND((R740+S740/'Summary-E'!$M$63)*X740,2)</f>
        <v>0</v>
      </c>
      <c r="Z740" s="858">
        <f t="shared" si="767"/>
        <v>1.05</v>
      </c>
      <c r="AA740" s="813"/>
      <c r="AB740" s="447"/>
      <c r="AC740" s="310"/>
      <c r="AD740" s="717"/>
      <c r="AE740" s="825"/>
      <c r="AF740" s="825"/>
      <c r="AG740" s="743"/>
      <c r="AH740" s="728"/>
      <c r="AI740" s="509"/>
      <c r="AJ740" s="509"/>
      <c r="AK740" s="509"/>
      <c r="AL740" s="510"/>
      <c r="AM740" s="510"/>
      <c r="AN740" s="510"/>
      <c r="AO740" s="510"/>
      <c r="AP740" s="478"/>
      <c r="AQ740" s="478"/>
      <c r="AR740" s="478"/>
      <c r="AS740" s="478"/>
      <c r="AT740" s="478"/>
    </row>
    <row r="741" spans="1:46" s="555" customFormat="1" ht="22.5" customHeight="1">
      <c r="A741" s="511"/>
      <c r="B741" s="512"/>
      <c r="C741" s="513"/>
      <c r="D741" s="514"/>
      <c r="E741" s="514"/>
      <c r="F741" s="1330"/>
      <c r="G741" s="516"/>
      <c r="H741" s="516"/>
      <c r="I741" s="517"/>
      <c r="J741" s="428"/>
      <c r="K741" s="1174"/>
      <c r="L741" s="960"/>
      <c r="M741" s="960"/>
      <c r="N741" s="428"/>
      <c r="O741" s="776"/>
      <c r="P741" s="777"/>
      <c r="Q741" s="777"/>
      <c r="R741" s="751"/>
      <c r="S741" s="752"/>
      <c r="T741" s="792"/>
      <c r="U741" s="803"/>
      <c r="V741" s="803"/>
      <c r="W741" s="803"/>
      <c r="X741" s="858">
        <f>SUMIF('Summary-E'!O$4:O$50,D741,'Summary-E'!Q$4:Q$50)</f>
        <v>0</v>
      </c>
      <c r="Y741" s="310">
        <f>ROUND((R741+S741/'Summary-E'!$M$63)*X741,2)</f>
        <v>0</v>
      </c>
      <c r="Z741" s="858">
        <f t="shared" si="767"/>
        <v>1.05</v>
      </c>
      <c r="AA741" s="813"/>
      <c r="AB741" s="447"/>
      <c r="AC741" s="310"/>
      <c r="AD741" s="717"/>
      <c r="AE741" s="825"/>
      <c r="AF741" s="825"/>
      <c r="AG741" s="744"/>
      <c r="AH741" s="729"/>
      <c r="AI741" s="519"/>
      <c r="AJ741" s="519"/>
      <c r="AK741" s="520"/>
      <c r="AL741" s="520"/>
      <c r="AM741" s="520"/>
      <c r="AN741" s="520"/>
      <c r="AO741" s="718"/>
      <c r="AP741" s="718"/>
      <c r="AQ741" s="718"/>
      <c r="AR741" s="718"/>
      <c r="AS741" s="718"/>
      <c r="AT741" s="552"/>
    </row>
    <row r="742" spans="1:46" s="555" customFormat="1" ht="22.5" customHeight="1">
      <c r="A742" s="620" t="s">
        <v>405</v>
      </c>
      <c r="B742" s="522" t="s">
        <v>124</v>
      </c>
      <c r="C742" s="513"/>
      <c r="D742" s="514"/>
      <c r="E742" s="514"/>
      <c r="F742" s="1330"/>
      <c r="G742" s="516"/>
      <c r="H742" s="710"/>
      <c r="I742" s="965" t="s">
        <v>713</v>
      </c>
      <c r="J742" s="428"/>
      <c r="K742" s="1174"/>
      <c r="L742" s="960"/>
      <c r="M742" s="960"/>
      <c r="N742" s="428"/>
      <c r="O742" s="776"/>
      <c r="P742" s="777"/>
      <c r="Q742" s="777"/>
      <c r="R742" s="751"/>
      <c r="S742" s="752"/>
      <c r="T742" s="792"/>
      <c r="U742" s="803"/>
      <c r="V742" s="803"/>
      <c r="W742" s="803"/>
      <c r="X742" s="858">
        <f>SUMIF('Summary-E'!O$4:O$50,D742,'Summary-E'!Q$4:Q$50)</f>
        <v>0</v>
      </c>
      <c r="Y742" s="310">
        <f>ROUND((R742+S742/'Summary-E'!$M$63)*X742,2)</f>
        <v>0</v>
      </c>
      <c r="Z742" s="858">
        <f t="shared" si="767"/>
        <v>1.05</v>
      </c>
      <c r="AA742" s="813"/>
      <c r="AB742" s="447"/>
      <c r="AC742" s="310"/>
      <c r="AD742" s="717"/>
      <c r="AE742" s="825"/>
      <c r="AF742" s="825"/>
      <c r="AG742" s="744"/>
      <c r="AH742" s="729"/>
      <c r="AI742" s="519"/>
      <c r="AJ742" s="519"/>
      <c r="AK742" s="520"/>
      <c r="AL742" s="520"/>
      <c r="AM742" s="520"/>
      <c r="AN742" s="520"/>
      <c r="AO742" s="718"/>
      <c r="AP742" s="718"/>
      <c r="AQ742" s="718"/>
      <c r="AR742" s="718"/>
      <c r="AS742" s="718"/>
      <c r="AT742" s="552"/>
    </row>
    <row r="743" spans="1:46" s="555" customFormat="1" ht="22.5" customHeight="1">
      <c r="A743" s="451"/>
      <c r="B743" s="531"/>
      <c r="C743" s="566"/>
      <c r="D743" s="525"/>
      <c r="E743" s="525"/>
      <c r="F743" s="1314"/>
      <c r="G743" s="527"/>
      <c r="H743" s="528"/>
      <c r="I743" s="529"/>
      <c r="J743" s="311"/>
      <c r="K743" s="1175"/>
      <c r="L743" s="530"/>
      <c r="M743" s="530"/>
      <c r="N743" s="309"/>
      <c r="O743" s="776"/>
      <c r="P743" s="777"/>
      <c r="Q743" s="777"/>
      <c r="R743" s="753"/>
      <c r="S743" s="754"/>
      <c r="T743" s="793"/>
      <c r="U743" s="804"/>
      <c r="V743" s="804"/>
      <c r="W743" s="804"/>
      <c r="X743" s="858">
        <f>SUMIF('Summary-E'!O$4:O$50,D743,'Summary-E'!Q$4:Q$50)</f>
        <v>0</v>
      </c>
      <c r="Y743" s="310">
        <f>ROUND((R743+S743/'Summary-E'!$M$63)*X743,2)</f>
        <v>0</v>
      </c>
      <c r="Z743" s="858">
        <f t="shared" si="767"/>
        <v>1.05</v>
      </c>
      <c r="AA743" s="814"/>
      <c r="AB743" s="474"/>
      <c r="AC743" s="310">
        <f t="shared" ref="AC743:AC749" si="812">ROUND((T743*(1+AB743)),2)</f>
        <v>0</v>
      </c>
      <c r="AD743" s="717">
        <f>ROUND(AC743*'[1]Summary E&amp;M'!$R$94,2)</f>
        <v>0</v>
      </c>
      <c r="AE743" s="827"/>
      <c r="AF743" s="827"/>
      <c r="AG743" s="744"/>
      <c r="AH743" s="728"/>
      <c r="AI743" s="519"/>
      <c r="AJ743" s="519"/>
      <c r="AK743" s="519"/>
      <c r="AL743" s="520"/>
      <c r="AM743" s="520"/>
      <c r="AN743" s="520"/>
      <c r="AO743" s="520"/>
      <c r="AP743" s="719"/>
      <c r="AQ743" s="719"/>
      <c r="AR743" s="719"/>
      <c r="AS743" s="719"/>
      <c r="AT743" s="719"/>
    </row>
    <row r="744" spans="1:46" s="711" customFormat="1" ht="22.5" customHeight="1">
      <c r="A744" s="973"/>
      <c r="B744" s="974" t="s">
        <v>125</v>
      </c>
      <c r="C744" s="979"/>
      <c r="D744" s="973"/>
      <c r="E744" s="973"/>
      <c r="F744" s="1317"/>
      <c r="G744" s="971"/>
      <c r="H744" s="977">
        <f>SUBTOTAL(9,H741:H743)</f>
        <v>0</v>
      </c>
      <c r="I744" s="978"/>
      <c r="J744" s="551"/>
      <c r="K744" s="1177"/>
      <c r="L744" s="550"/>
      <c r="M744" s="1051">
        <f>SUBTOTAL(9,M740:M742)</f>
        <v>0</v>
      </c>
      <c r="N744" s="549"/>
      <c r="O744" s="779"/>
      <c r="P744" s="780"/>
      <c r="Q744" s="780"/>
      <c r="R744" s="755"/>
      <c r="S744" s="756"/>
      <c r="T744" s="850"/>
      <c r="U744" s="851">
        <v>0</v>
      </c>
      <c r="V744" s="851">
        <v>0</v>
      </c>
      <c r="W744" s="851">
        <v>0</v>
      </c>
      <c r="X744" s="858">
        <f>SUMIF('Summary-E'!O$4:O$50,D744,'Summary-E'!Q$4:Q$50)</f>
        <v>0</v>
      </c>
      <c r="Y744" s="310">
        <f>ROUND((R744+S744/'Summary-E'!$M$63)*X744,2)</f>
        <v>0</v>
      </c>
      <c r="Z744" s="858">
        <f t="shared" si="767"/>
        <v>1.05</v>
      </c>
      <c r="AA744" s="852"/>
      <c r="AB744" s="853"/>
      <c r="AC744" s="310">
        <f t="shared" si="812"/>
        <v>0</v>
      </c>
      <c r="AD744" s="717">
        <f>ROUND(AC744*'[1]Summary E&amp;M'!$R$94,2)</f>
        <v>0</v>
      </c>
      <c r="AE744" s="828">
        <f>SUBTOTAL(9,AE741:AE743)</f>
        <v>0</v>
      </c>
      <c r="AF744" s="828">
        <f>SUBTOTAL(9,AF741:AF743)</f>
        <v>0</v>
      </c>
      <c r="AG744" s="618"/>
      <c r="AH744" s="730"/>
      <c r="AI744" s="720"/>
      <c r="AJ744" s="720"/>
      <c r="AK744" s="720"/>
      <c r="AL744" s="720"/>
      <c r="AM744" s="712">
        <f>SUBTOTAL(9,AM740:AM742)</f>
        <v>0</v>
      </c>
      <c r="AN744" s="720"/>
      <c r="AO744" s="712">
        <f>SUBTOTAL(9,AO740:AO742)</f>
        <v>0</v>
      </c>
      <c r="AP744" s="722"/>
      <c r="AQ744" s="722"/>
      <c r="AR744" s="722"/>
      <c r="AS744" s="722"/>
      <c r="AT744" s="722"/>
    </row>
    <row r="745" spans="1:46" s="555" customFormat="1" ht="22.5" customHeight="1">
      <c r="A745" s="451"/>
      <c r="B745" s="531"/>
      <c r="C745" s="566"/>
      <c r="D745" s="525"/>
      <c r="E745" s="525"/>
      <c r="F745" s="1314"/>
      <c r="G745" s="527"/>
      <c r="H745" s="528"/>
      <c r="I745" s="529"/>
      <c r="J745" s="311"/>
      <c r="K745" s="1175"/>
      <c r="L745" s="530"/>
      <c r="M745" s="530"/>
      <c r="N745" s="309"/>
      <c r="O745" s="776"/>
      <c r="P745" s="777"/>
      <c r="Q745" s="777"/>
      <c r="R745" s="757"/>
      <c r="S745" s="758"/>
      <c r="T745" s="794"/>
      <c r="U745" s="805"/>
      <c r="V745" s="805"/>
      <c r="W745" s="805"/>
      <c r="X745" s="858">
        <f>SUMIF('Summary-E'!O$4:O$50,D745,'Summary-E'!Q$4:Q$50)</f>
        <v>0</v>
      </c>
      <c r="Y745" s="310">
        <f>ROUND((R745+S745/'Summary-E'!$M$63)*X745,2)</f>
        <v>0</v>
      </c>
      <c r="Z745" s="858">
        <f t="shared" si="767"/>
        <v>1.05</v>
      </c>
      <c r="AA745" s="815"/>
      <c r="AB745" s="492"/>
      <c r="AC745" s="310">
        <f t="shared" si="812"/>
        <v>0</v>
      </c>
      <c r="AD745" s="717">
        <f>ROUND(AC745*'[1]Summary E&amp;M'!$R$94,2)</f>
        <v>0</v>
      </c>
      <c r="AE745" s="826">
        <f>ROUND($K745*$Y745,2)</f>
        <v>0</v>
      </c>
      <c r="AF745" s="826">
        <f>ROUND($K745*$AC745,2)</f>
        <v>0</v>
      </c>
      <c r="AG745" s="731"/>
      <c r="AH745" s="732"/>
      <c r="AI745" s="519"/>
      <c r="AJ745" s="519"/>
      <c r="AK745" s="519"/>
      <c r="AL745" s="520"/>
      <c r="AM745" s="520"/>
      <c r="AN745" s="520"/>
      <c r="AO745" s="520"/>
      <c r="AP745" s="719"/>
      <c r="AQ745" s="719"/>
      <c r="AR745" s="719"/>
      <c r="AS745" s="719"/>
      <c r="AT745" s="719"/>
    </row>
    <row r="746" spans="1:46" s="555" customFormat="1" ht="22.5" customHeight="1">
      <c r="A746" s="620" t="s">
        <v>406</v>
      </c>
      <c r="B746" s="522" t="s">
        <v>144</v>
      </c>
      <c r="C746" s="566"/>
      <c r="D746" s="525"/>
      <c r="E746" s="525"/>
      <c r="F746" s="1314"/>
      <c r="G746" s="527"/>
      <c r="H746" s="710"/>
      <c r="I746" s="965" t="s">
        <v>713</v>
      </c>
      <c r="J746" s="309"/>
      <c r="K746" s="1175"/>
      <c r="L746" s="530">
        <f>ROUND(AD746,2)</f>
        <v>0</v>
      </c>
      <c r="M746" s="530">
        <f>ROUND(L746*F746,2)</f>
        <v>0</v>
      </c>
      <c r="N746" s="309"/>
      <c r="O746" s="778"/>
      <c r="P746" s="777"/>
      <c r="Q746" s="777"/>
      <c r="R746" s="751"/>
      <c r="S746" s="752"/>
      <c r="T746" s="792"/>
      <c r="U746" s="803">
        <v>0</v>
      </c>
      <c r="V746" s="803">
        <v>0</v>
      </c>
      <c r="W746" s="803">
        <v>0</v>
      </c>
      <c r="X746" s="858">
        <f>SUMIF('Summary-E'!O$4:O$50,D746,'Summary-E'!Q$4:Q$50)</f>
        <v>0</v>
      </c>
      <c r="Y746" s="310">
        <f>ROUND((R746+S746/'Summary-E'!$M$63)*X746,2)</f>
        <v>0</v>
      </c>
      <c r="Z746" s="858">
        <f t="shared" si="767"/>
        <v>1.05</v>
      </c>
      <c r="AA746" s="813">
        <f>ROUND(Y746*Z746,2)</f>
        <v>0</v>
      </c>
      <c r="AB746" s="447">
        <f>$AB$3</f>
        <v>0.05</v>
      </c>
      <c r="AC746" s="310">
        <f t="shared" si="812"/>
        <v>0</v>
      </c>
      <c r="AD746" s="717">
        <f>ROUND(AC746*'[1]Summary E&amp;M'!$R$94,2)</f>
        <v>0</v>
      </c>
      <c r="AE746" s="826">
        <f>ROUND($K746*$Y746,2)</f>
        <v>0</v>
      </c>
      <c r="AF746" s="826">
        <f>ROUND($K746*$AC746,2)</f>
        <v>0</v>
      </c>
      <c r="AG746" s="731"/>
      <c r="AH746" s="732"/>
      <c r="AI746" s="519">
        <f>$U746</f>
        <v>0</v>
      </c>
      <c r="AJ746" s="519">
        <f>$V746</f>
        <v>0</v>
      </c>
      <c r="AK746" s="519">
        <f>$W746</f>
        <v>0</v>
      </c>
      <c r="AL746" s="520">
        <f>ROUND(Y746*AI746+((Y746*(1+AI746))*AJ746)+((Y746*AI746+((Y746*(1+AI746))*AJ746))*AK746),2)</f>
        <v>0</v>
      </c>
      <c r="AM746" s="520">
        <f>AL746*$F746</f>
        <v>0</v>
      </c>
      <c r="AN746" s="520">
        <f>ROUND(AL746*Z746,2)</f>
        <v>0</v>
      </c>
      <c r="AO746" s="520">
        <f>AN746*$F746</f>
        <v>0</v>
      </c>
      <c r="AP746" s="719"/>
      <c r="AQ746" s="719"/>
      <c r="AR746" s="719"/>
      <c r="AS746" s="719"/>
      <c r="AT746" s="719"/>
    </row>
    <row r="747" spans="1:46" s="555" customFormat="1" ht="22.5" customHeight="1">
      <c r="A747" s="451"/>
      <c r="B747" s="531"/>
      <c r="C747" s="566"/>
      <c r="D747" s="525"/>
      <c r="E747" s="525"/>
      <c r="F747" s="1314"/>
      <c r="G747" s="527"/>
      <c r="H747" s="528"/>
      <c r="I747" s="529"/>
      <c r="J747" s="311"/>
      <c r="K747" s="1175"/>
      <c r="L747" s="530"/>
      <c r="M747" s="530"/>
      <c r="N747" s="309"/>
      <c r="O747" s="776"/>
      <c r="P747" s="777"/>
      <c r="Q747" s="777"/>
      <c r="R747" s="753"/>
      <c r="S747" s="754"/>
      <c r="T747" s="793"/>
      <c r="U747" s="804"/>
      <c r="V747" s="804"/>
      <c r="W747" s="804"/>
      <c r="X747" s="858">
        <f>SUMIF('Summary-E'!O$4:O$50,D747,'Summary-E'!Q$4:Q$50)</f>
        <v>0</v>
      </c>
      <c r="Y747" s="310">
        <f>ROUND((R747+S747/'Summary-E'!$M$63)*X747,2)</f>
        <v>0</v>
      </c>
      <c r="Z747" s="858">
        <f t="shared" si="767"/>
        <v>1.05</v>
      </c>
      <c r="AA747" s="814"/>
      <c r="AB747" s="474"/>
      <c r="AC747" s="310">
        <f t="shared" si="812"/>
        <v>0</v>
      </c>
      <c r="AD747" s="717">
        <f>ROUND(AC747*'[1]Summary E&amp;M'!$R$94,2)</f>
        <v>0</v>
      </c>
      <c r="AE747" s="829"/>
      <c r="AF747" s="829"/>
      <c r="AG747" s="731"/>
      <c r="AH747" s="732"/>
      <c r="AI747" s="519">
        <f>$U747</f>
        <v>0</v>
      </c>
      <c r="AJ747" s="519">
        <f>$V747</f>
        <v>0</v>
      </c>
      <c r="AK747" s="519">
        <f>$W747</f>
        <v>0</v>
      </c>
      <c r="AL747" s="520">
        <f>ROUND(Y747*AI747+((Y747*(1+AI747))*AJ747)+((Y747*AI747+((Y747*(1+AI747))*AJ747))*AK747),2)</f>
        <v>0</v>
      </c>
      <c r="AM747" s="520">
        <f>AL747*$F747</f>
        <v>0</v>
      </c>
      <c r="AN747" s="520">
        <f>ROUND(AL747*Z747,2)</f>
        <v>0</v>
      </c>
      <c r="AO747" s="520">
        <f>AN747*$F747</f>
        <v>0</v>
      </c>
      <c r="AP747" s="719"/>
      <c r="AQ747" s="719"/>
      <c r="AR747" s="719"/>
      <c r="AS747" s="719"/>
      <c r="AT747" s="719"/>
    </row>
    <row r="748" spans="1:46" s="711" customFormat="1" ht="22.5" customHeight="1">
      <c r="A748" s="973"/>
      <c r="B748" s="974" t="s">
        <v>407</v>
      </c>
      <c r="C748" s="979"/>
      <c r="D748" s="973"/>
      <c r="E748" s="973"/>
      <c r="F748" s="1317"/>
      <c r="G748" s="971"/>
      <c r="H748" s="977">
        <f>SUBTOTAL(9,H746:H747)</f>
        <v>0</v>
      </c>
      <c r="I748" s="977"/>
      <c r="J748" s="551"/>
      <c r="K748" s="1177"/>
      <c r="L748" s="550"/>
      <c r="M748" s="1051">
        <f>SUBTOTAL(9,M745:M747)</f>
        <v>0</v>
      </c>
      <c r="N748" s="549"/>
      <c r="O748" s="479"/>
      <c r="P748" s="770"/>
      <c r="Q748" s="770"/>
      <c r="R748" s="755"/>
      <c r="S748" s="849"/>
      <c r="T748" s="850"/>
      <c r="U748" s="851">
        <v>0</v>
      </c>
      <c r="V748" s="851">
        <v>0</v>
      </c>
      <c r="W748" s="851">
        <v>0</v>
      </c>
      <c r="X748" s="858">
        <f>SUMIF('Summary-E'!O$4:O$50,D748,'Summary-E'!Q$4:Q$50)</f>
        <v>0</v>
      </c>
      <c r="Y748" s="310">
        <f>ROUND((R748+S748/'Summary-E'!$M$63)*X748,2)</f>
        <v>0</v>
      </c>
      <c r="Z748" s="858">
        <f t="shared" si="767"/>
        <v>1.05</v>
      </c>
      <c r="AA748" s="852"/>
      <c r="AB748" s="853"/>
      <c r="AC748" s="310">
        <f t="shared" si="812"/>
        <v>0</v>
      </c>
      <c r="AD748" s="717">
        <f>ROUND(AC748*'[1]Summary E&amp;M'!$R$94,2)</f>
        <v>0</v>
      </c>
      <c r="AE748" s="828">
        <f>SUBTOTAL(9,AE746:AE747)</f>
        <v>0</v>
      </c>
      <c r="AF748" s="828">
        <f>SUBTOTAL(9,AF746:AF747)</f>
        <v>0</v>
      </c>
      <c r="AG748" s="733"/>
      <c r="AH748" s="734"/>
      <c r="AI748" s="720"/>
      <c r="AJ748" s="720"/>
      <c r="AK748" s="720"/>
      <c r="AL748" s="720"/>
      <c r="AM748" s="712">
        <f>SUBTOTAL(9,AM746:AM746)</f>
        <v>0</v>
      </c>
      <c r="AN748" s="720"/>
      <c r="AO748" s="712">
        <f>SUBTOTAL(9,AO746:AO746)</f>
        <v>0</v>
      </c>
      <c r="AP748" s="722"/>
      <c r="AQ748" s="722"/>
      <c r="AR748" s="722"/>
      <c r="AS748" s="722"/>
      <c r="AT748" s="722"/>
    </row>
    <row r="749" spans="1:46" s="555" customFormat="1" ht="22.5" customHeight="1">
      <c r="A749" s="451"/>
      <c r="B749" s="531"/>
      <c r="C749" s="566"/>
      <c r="D749" s="525"/>
      <c r="E749" s="525"/>
      <c r="F749" s="1314"/>
      <c r="G749" s="527"/>
      <c r="H749" s="528"/>
      <c r="I749" s="529"/>
      <c r="J749" s="311"/>
      <c r="K749" s="1175"/>
      <c r="L749" s="530"/>
      <c r="M749" s="530"/>
      <c r="N749" s="309"/>
      <c r="O749" s="776"/>
      <c r="P749" s="777"/>
      <c r="Q749" s="777"/>
      <c r="R749" s="757"/>
      <c r="S749" s="758"/>
      <c r="T749" s="794"/>
      <c r="U749" s="805"/>
      <c r="V749" s="805"/>
      <c r="W749" s="805"/>
      <c r="X749" s="858">
        <f>SUMIF('Summary-E'!O$4:O$50,D749,'Summary-E'!Q$4:Q$50)</f>
        <v>0</v>
      </c>
      <c r="Y749" s="310">
        <f>ROUND((R749+S749/'Summary-E'!$M$63)*X749,2)</f>
        <v>0</v>
      </c>
      <c r="Z749" s="858">
        <f t="shared" si="767"/>
        <v>1.05</v>
      </c>
      <c r="AA749" s="815"/>
      <c r="AB749" s="492"/>
      <c r="AC749" s="310">
        <f t="shared" si="812"/>
        <v>0</v>
      </c>
      <c r="AD749" s="717">
        <f>ROUND(AC749*'[1]Summary E&amp;M'!$R$94,2)</f>
        <v>0</v>
      </c>
      <c r="AE749" s="830"/>
      <c r="AF749" s="830"/>
      <c r="AG749" s="731"/>
      <c r="AH749" s="732"/>
      <c r="AI749" s="519"/>
      <c r="AJ749" s="519"/>
      <c r="AK749" s="519"/>
      <c r="AL749" s="520"/>
      <c r="AM749" s="520"/>
      <c r="AN749" s="520"/>
      <c r="AO749" s="520"/>
      <c r="AP749" s="719"/>
      <c r="AQ749" s="719"/>
      <c r="AR749" s="719"/>
      <c r="AS749" s="719"/>
      <c r="AT749" s="719"/>
    </row>
    <row r="750" spans="1:46" s="555" customFormat="1" ht="22.5" customHeight="1">
      <c r="A750" s="620" t="s">
        <v>408</v>
      </c>
      <c r="B750" s="522" t="s">
        <v>123</v>
      </c>
      <c r="C750" s="566"/>
      <c r="D750" s="525"/>
      <c r="E750" s="525"/>
      <c r="F750" s="1314"/>
      <c r="G750" s="527"/>
      <c r="H750" s="528"/>
      <c r="I750" s="529"/>
      <c r="J750" s="311"/>
      <c r="K750" s="1175"/>
      <c r="L750" s="530">
        <f t="shared" ref="L750:L767" si="813">ROUND(AD750,2)</f>
        <v>0</v>
      </c>
      <c r="M750" s="530">
        <f t="shared" ref="M750:M767" si="814">ROUND(L750*F750,2)</f>
        <v>0</v>
      </c>
      <c r="N750" s="309"/>
      <c r="O750" s="776"/>
      <c r="P750" s="777"/>
      <c r="Q750" s="777"/>
      <c r="R750" s="751"/>
      <c r="S750" s="752"/>
      <c r="T750" s="792"/>
      <c r="U750" s="803">
        <v>0</v>
      </c>
      <c r="V750" s="803">
        <v>0</v>
      </c>
      <c r="W750" s="803">
        <v>0</v>
      </c>
      <c r="X750" s="858">
        <f>SUMIF('Summary-E'!O$4:O$50,D750,'Summary-E'!Q$4:Q$50)</f>
        <v>0</v>
      </c>
      <c r="Y750" s="310">
        <f>ROUND((R750+S750/'Summary-E'!$M$63)*X750,2)</f>
        <v>0</v>
      </c>
      <c r="Z750" s="858">
        <f t="shared" si="767"/>
        <v>1.05</v>
      </c>
      <c r="AA750" s="813">
        <f t="shared" ref="AA750:AA767" si="815">ROUND(Y750*Z750,2)</f>
        <v>0</v>
      </c>
      <c r="AB750" s="447">
        <f t="shared" ref="AB750:AB767" si="816">$AB$3</f>
        <v>0.05</v>
      </c>
      <c r="AC750" s="310">
        <f>ROUND((T750*(1+AB750)),2)</f>
        <v>0</v>
      </c>
      <c r="AD750" s="717">
        <f>ROUND(AC750*'[1]Summary E&amp;M'!$R$94,2)</f>
        <v>0</v>
      </c>
      <c r="AE750" s="826">
        <f t="shared" ref="AE750:AE770" si="817">ROUND($K750*$Y750,2)</f>
        <v>0</v>
      </c>
      <c r="AF750" s="826">
        <f t="shared" ref="AF750:AF770" si="818">ROUND($K750*$AC750,2)</f>
        <v>0</v>
      </c>
      <c r="AG750" s="731"/>
      <c r="AH750" s="732"/>
      <c r="AI750" s="519">
        <f t="shared" ref="AI750:AI767" si="819">$U750</f>
        <v>0</v>
      </c>
      <c r="AJ750" s="519">
        <f t="shared" ref="AJ750:AJ767" si="820">$V750</f>
        <v>0</v>
      </c>
      <c r="AK750" s="519">
        <f t="shared" ref="AK750:AK767" si="821">$W750</f>
        <v>0</v>
      </c>
      <c r="AL750" s="520">
        <f t="shared" ref="AL750:AL767" si="822">ROUND(Y750*AI750+((Y750*(1+AI750))*AJ750)+((Y750*AI750+((Y750*(1+AI750))*AJ750))*AK750),2)</f>
        <v>0</v>
      </c>
      <c r="AM750" s="520">
        <f t="shared" ref="AM750:AM767" si="823">AL750*$F750</f>
        <v>0</v>
      </c>
      <c r="AN750" s="520">
        <f t="shared" ref="AN750:AN767" si="824">ROUND(AL750*Z750,2)</f>
        <v>0</v>
      </c>
      <c r="AO750" s="520">
        <f t="shared" ref="AO750:AO767" si="825">AN750*$F750</f>
        <v>0</v>
      </c>
      <c r="AP750" s="719"/>
      <c r="AQ750" s="719"/>
      <c r="AR750" s="719"/>
      <c r="AS750" s="719"/>
      <c r="AT750" s="719"/>
    </row>
    <row r="751" spans="1:46" s="555" customFormat="1" ht="22.5" customHeight="1">
      <c r="A751" s="451"/>
      <c r="B751" s="522" t="s">
        <v>751</v>
      </c>
      <c r="C751" s="566"/>
      <c r="D751" s="525"/>
      <c r="E751" s="525"/>
      <c r="F751" s="1314"/>
      <c r="G751" s="527"/>
      <c r="H751" s="528"/>
      <c r="I751" s="529"/>
      <c r="J751" s="309"/>
      <c r="K751" s="1175"/>
      <c r="L751" s="530">
        <f t="shared" si="813"/>
        <v>0</v>
      </c>
      <c r="M751" s="530">
        <f t="shared" si="814"/>
        <v>0</v>
      </c>
      <c r="N751" s="309"/>
      <c r="O751" s="778"/>
      <c r="P751" s="777"/>
      <c r="Q751" s="777"/>
      <c r="R751" s="751"/>
      <c r="S751" s="752"/>
      <c r="T751" s="792"/>
      <c r="U751" s="803">
        <v>0</v>
      </c>
      <c r="V751" s="803">
        <v>0</v>
      </c>
      <c r="W751" s="803">
        <v>0</v>
      </c>
      <c r="X751" s="858">
        <f>SUMIF('Summary-E'!O$4:O$50,D751,'Summary-E'!Q$4:Q$50)</f>
        <v>0</v>
      </c>
      <c r="Y751" s="310">
        <f>ROUND((R751+S751/'Summary-E'!$M$63)*X751,2)</f>
        <v>0</v>
      </c>
      <c r="Z751" s="858">
        <f t="shared" si="767"/>
        <v>1.05</v>
      </c>
      <c r="AA751" s="813">
        <f t="shared" si="815"/>
        <v>0</v>
      </c>
      <c r="AB751" s="447">
        <f t="shared" si="816"/>
        <v>0.05</v>
      </c>
      <c r="AC751" s="310">
        <f>ROUND((T751*(1+AB751)),2)</f>
        <v>0</v>
      </c>
      <c r="AD751" s="717">
        <f>ROUND(AC751*'[1]Summary E&amp;M'!$R$94,2)</f>
        <v>0</v>
      </c>
      <c r="AE751" s="826">
        <f t="shared" si="817"/>
        <v>0</v>
      </c>
      <c r="AF751" s="826">
        <f t="shared" si="818"/>
        <v>0</v>
      </c>
      <c r="AG751" s="731"/>
      <c r="AH751" s="732"/>
      <c r="AI751" s="519">
        <f t="shared" si="819"/>
        <v>0</v>
      </c>
      <c r="AJ751" s="519">
        <f t="shared" si="820"/>
        <v>0</v>
      </c>
      <c r="AK751" s="519">
        <f t="shared" si="821"/>
        <v>0</v>
      </c>
      <c r="AL751" s="520">
        <f t="shared" si="822"/>
        <v>0</v>
      </c>
      <c r="AM751" s="520">
        <f t="shared" si="823"/>
        <v>0</v>
      </c>
      <c r="AN751" s="520">
        <f t="shared" si="824"/>
        <v>0</v>
      </c>
      <c r="AO751" s="520">
        <f t="shared" si="825"/>
        <v>0</v>
      </c>
      <c r="AP751" s="719"/>
      <c r="AQ751" s="719"/>
      <c r="AR751" s="719"/>
      <c r="AS751" s="719"/>
      <c r="AT751" s="719"/>
    </row>
    <row r="752" spans="1:46" s="555" customFormat="1" ht="22.5" customHeight="1">
      <c r="A752" s="451"/>
      <c r="B752" s="531" t="s">
        <v>1172</v>
      </c>
      <c r="C752" s="566"/>
      <c r="D752" s="525" t="s">
        <v>132</v>
      </c>
      <c r="E752" s="525" t="s">
        <v>684</v>
      </c>
      <c r="F752" s="1322">
        <f>K752</f>
        <v>1</v>
      </c>
      <c r="G752" s="527">
        <f t="shared" ref="G752:G767" si="826">ROUNDUP(AA752,2)</f>
        <v>1447.29</v>
      </c>
      <c r="H752" s="528">
        <f>ROUND(F752*G752,2)</f>
        <v>1447.29</v>
      </c>
      <c r="I752" s="961"/>
      <c r="J752" s="309"/>
      <c r="K752" s="1175">
        <v>1</v>
      </c>
      <c r="L752" s="530">
        <f t="shared" si="813"/>
        <v>65.63</v>
      </c>
      <c r="M752" s="530">
        <f t="shared" si="814"/>
        <v>65.63</v>
      </c>
      <c r="N752" s="309"/>
      <c r="O752" s="778" t="s">
        <v>132</v>
      </c>
      <c r="P752" s="777"/>
      <c r="Q752" s="777"/>
      <c r="R752" s="1096"/>
      <c r="S752" s="752">
        <v>28670000</v>
      </c>
      <c r="T752" s="1099">
        <v>50</v>
      </c>
      <c r="U752" s="803">
        <v>0</v>
      </c>
      <c r="V752" s="803">
        <v>0</v>
      </c>
      <c r="W752" s="803">
        <v>0</v>
      </c>
      <c r="X752" s="858">
        <v>1</v>
      </c>
      <c r="Y752" s="310">
        <f>ROUND((R752+S752/'Summary-E'!$M$63)*X752,2)</f>
        <v>1378.37</v>
      </c>
      <c r="Z752" s="858">
        <f t="shared" si="767"/>
        <v>1.05</v>
      </c>
      <c r="AA752" s="813">
        <f t="shared" si="815"/>
        <v>1447.29</v>
      </c>
      <c r="AB752" s="447">
        <f t="shared" si="816"/>
        <v>0.05</v>
      </c>
      <c r="AC752" s="310">
        <f>ROUND((T752*(1+AB752)),2)</f>
        <v>52.5</v>
      </c>
      <c r="AD752" s="717">
        <f>ROUND(AC752*'[1]Summary E&amp;M'!$R$94,2)</f>
        <v>65.63</v>
      </c>
      <c r="AE752" s="826">
        <f t="shared" si="817"/>
        <v>1378.37</v>
      </c>
      <c r="AF752" s="826">
        <f t="shared" si="818"/>
        <v>52.5</v>
      </c>
      <c r="AG752" s="731">
        <v>1910.45</v>
      </c>
      <c r="AH752" s="732">
        <v>49.88</v>
      </c>
      <c r="AI752" s="519">
        <f t="shared" si="819"/>
        <v>0</v>
      </c>
      <c r="AJ752" s="519">
        <f t="shared" si="820"/>
        <v>0</v>
      </c>
      <c r="AK752" s="519">
        <f t="shared" si="821"/>
        <v>0</v>
      </c>
      <c r="AL752" s="520">
        <f t="shared" si="822"/>
        <v>0</v>
      </c>
      <c r="AM752" s="520">
        <f t="shared" si="823"/>
        <v>0</v>
      </c>
      <c r="AN752" s="520">
        <f t="shared" si="824"/>
        <v>0</v>
      </c>
      <c r="AO752" s="520">
        <f t="shared" si="825"/>
        <v>0</v>
      </c>
      <c r="AP752" s="719"/>
      <c r="AQ752" s="719"/>
      <c r="AR752" s="719"/>
      <c r="AS752" s="719"/>
      <c r="AT752" s="719"/>
    </row>
    <row r="753" spans="1:46" s="555" customFormat="1" ht="22.5" customHeight="1">
      <c r="A753" s="451"/>
      <c r="B753" s="531" t="s">
        <v>1173</v>
      </c>
      <c r="C753" s="566"/>
      <c r="D753" s="525" t="s">
        <v>132</v>
      </c>
      <c r="E753" s="525" t="s">
        <v>684</v>
      </c>
      <c r="F753" s="1322">
        <f>K753</f>
        <v>1</v>
      </c>
      <c r="G753" s="527">
        <f>ROUNDUP(AA753,2)</f>
        <v>1559.86</v>
      </c>
      <c r="H753" s="528">
        <f>ROUND(F753*G753,2)</f>
        <v>1559.86</v>
      </c>
      <c r="I753" s="961"/>
      <c r="J753" s="309"/>
      <c r="K753" s="1175">
        <v>1</v>
      </c>
      <c r="L753" s="530">
        <f>ROUND(AD753,2)</f>
        <v>65.63</v>
      </c>
      <c r="M753" s="530">
        <f>ROUND(L753*F753,2)</f>
        <v>65.63</v>
      </c>
      <c r="N753" s="309"/>
      <c r="O753" s="778" t="s">
        <v>132</v>
      </c>
      <c r="P753" s="777"/>
      <c r="Q753" s="777"/>
      <c r="R753" s="1096"/>
      <c r="S753" s="752">
        <v>30900000</v>
      </c>
      <c r="T753" s="1099">
        <v>50</v>
      </c>
      <c r="U753" s="803">
        <v>0</v>
      </c>
      <c r="V753" s="803">
        <v>0</v>
      </c>
      <c r="W753" s="803">
        <v>0</v>
      </c>
      <c r="X753" s="858">
        <v>1</v>
      </c>
      <c r="Y753" s="310">
        <f>ROUND((R753+S753/'Summary-E'!$M$63)*X753,2)</f>
        <v>1485.58</v>
      </c>
      <c r="Z753" s="858">
        <f t="shared" si="767"/>
        <v>1.05</v>
      </c>
      <c r="AA753" s="813">
        <f>ROUND(Y753*Z753,2)</f>
        <v>1559.86</v>
      </c>
      <c r="AB753" s="447">
        <f t="shared" si="816"/>
        <v>0.05</v>
      </c>
      <c r="AC753" s="310">
        <f>ROUND((T753*(1+AB753)),2)</f>
        <v>52.5</v>
      </c>
      <c r="AD753" s="717">
        <f>ROUND(AC753*'[1]Summary E&amp;M'!$R$94,2)</f>
        <v>65.63</v>
      </c>
      <c r="AE753" s="826">
        <f t="shared" si="817"/>
        <v>1485.58</v>
      </c>
      <c r="AF753" s="826">
        <f t="shared" si="818"/>
        <v>52.5</v>
      </c>
      <c r="AG753" s="731">
        <v>1910.45</v>
      </c>
      <c r="AH753" s="732">
        <v>49.88</v>
      </c>
      <c r="AI753" s="519">
        <f t="shared" si="819"/>
        <v>0</v>
      </c>
      <c r="AJ753" s="519">
        <f t="shared" si="820"/>
        <v>0</v>
      </c>
      <c r="AK753" s="519">
        <f t="shared" si="821"/>
        <v>0</v>
      </c>
      <c r="AL753" s="520">
        <f>ROUND(Y753*AI753+((Y753*(1+AI753))*AJ753)+((Y753*AI753+((Y753*(1+AI753))*AJ753))*AK753),2)</f>
        <v>0</v>
      </c>
      <c r="AM753" s="520">
        <f>AL753*$F753</f>
        <v>0</v>
      </c>
      <c r="AN753" s="520">
        <f>ROUND(AL753*Z753,2)</f>
        <v>0</v>
      </c>
      <c r="AO753" s="520">
        <f>AN753*$F753</f>
        <v>0</v>
      </c>
      <c r="AP753" s="719"/>
      <c r="AQ753" s="719"/>
      <c r="AR753" s="719"/>
      <c r="AS753" s="719"/>
      <c r="AT753" s="719"/>
    </row>
    <row r="754" spans="1:46" s="555" customFormat="1" ht="22.5" customHeight="1">
      <c r="A754" s="451"/>
      <c r="B754" s="531" t="s">
        <v>672</v>
      </c>
      <c r="C754" s="566"/>
      <c r="D754" s="525" t="s">
        <v>139</v>
      </c>
      <c r="E754" s="525" t="s">
        <v>322</v>
      </c>
      <c r="F754" s="1322">
        <f>K754</f>
        <v>1</v>
      </c>
      <c r="G754" s="527">
        <f t="shared" si="826"/>
        <v>87.51</v>
      </c>
      <c r="H754" s="528">
        <f>ROUND(F754*G754,2)</f>
        <v>87.51</v>
      </c>
      <c r="I754" s="961"/>
      <c r="J754" s="309"/>
      <c r="K754" s="1175">
        <v>1</v>
      </c>
      <c r="L754" s="530">
        <f t="shared" si="813"/>
        <v>22.55</v>
      </c>
      <c r="M754" s="530">
        <f t="shared" si="814"/>
        <v>22.55</v>
      </c>
      <c r="N754" s="309"/>
      <c r="O754" s="778" t="s">
        <v>130</v>
      </c>
      <c r="P754" s="777">
        <v>0.03</v>
      </c>
      <c r="Q754" s="777"/>
      <c r="R754" s="751">
        <f>ROUND(SUM(AE752:AE753)*P754,2)</f>
        <v>85.92</v>
      </c>
      <c r="S754" s="752"/>
      <c r="T754" s="792">
        <f>R754*0.2</f>
        <v>17.184000000000001</v>
      </c>
      <c r="U754" s="803">
        <v>0</v>
      </c>
      <c r="V754" s="803">
        <v>0</v>
      </c>
      <c r="W754" s="803">
        <v>0</v>
      </c>
      <c r="X754" s="858">
        <f>SUMIF('Summary-E'!O$4:O$50,D754,'Summary-E'!Q$4:Q$50)</f>
        <v>0.97</v>
      </c>
      <c r="Y754" s="310">
        <f>ROUND((R754+S754/'Summary-E'!$M$63)*X754,2)</f>
        <v>83.34</v>
      </c>
      <c r="Z754" s="858">
        <f t="shared" si="767"/>
        <v>1.05</v>
      </c>
      <c r="AA754" s="813">
        <f t="shared" si="815"/>
        <v>87.51</v>
      </c>
      <c r="AB754" s="447">
        <f t="shared" si="816"/>
        <v>0.05</v>
      </c>
      <c r="AC754" s="310">
        <f t="shared" ref="AC754:AC812" si="827">ROUND((T754*(1+AB754)),2)</f>
        <v>18.04</v>
      </c>
      <c r="AD754" s="717">
        <f>ROUND(AC754*'[1]Summary E&amp;M'!$R$94,2)</f>
        <v>22.55</v>
      </c>
      <c r="AE754" s="826">
        <f t="shared" si="817"/>
        <v>83.34</v>
      </c>
      <c r="AF754" s="826">
        <f t="shared" si="818"/>
        <v>18.04</v>
      </c>
      <c r="AG754" s="731"/>
      <c r="AH754" s="732"/>
      <c r="AI754" s="519">
        <f t="shared" si="819"/>
        <v>0</v>
      </c>
      <c r="AJ754" s="519">
        <f t="shared" si="820"/>
        <v>0</v>
      </c>
      <c r="AK754" s="519">
        <f t="shared" si="821"/>
        <v>0</v>
      </c>
      <c r="AL754" s="520">
        <f t="shared" si="822"/>
        <v>0</v>
      </c>
      <c r="AM754" s="520">
        <f t="shared" si="823"/>
        <v>0</v>
      </c>
      <c r="AN754" s="520">
        <f t="shared" si="824"/>
        <v>0</v>
      </c>
      <c r="AO754" s="520">
        <f t="shared" si="825"/>
        <v>0</v>
      </c>
      <c r="AP754" s="719"/>
      <c r="AQ754" s="719"/>
      <c r="AR754" s="719"/>
      <c r="AS754" s="719"/>
      <c r="AT754" s="719"/>
    </row>
    <row r="755" spans="1:46" s="555" customFormat="1" ht="22.5" customHeight="1">
      <c r="A755" s="451"/>
      <c r="B755" s="531" t="s">
        <v>1174</v>
      </c>
      <c r="C755" s="1246" t="s">
        <v>1101</v>
      </c>
      <c r="D755" s="1239" t="s">
        <v>1125</v>
      </c>
      <c r="E755" s="525" t="s">
        <v>321</v>
      </c>
      <c r="F755" s="1314">
        <f>ROUND(K755*'[1]Summary E&amp;M'!$K$98,0)</f>
        <v>184</v>
      </c>
      <c r="G755" s="527">
        <f t="shared" si="826"/>
        <v>1.87</v>
      </c>
      <c r="H755" s="528">
        <f t="shared" ref="H755:H767" si="828">ROUND(F755*G755,2)</f>
        <v>344.08</v>
      </c>
      <c r="I755" s="529"/>
      <c r="J755" s="309"/>
      <c r="K755" s="1175">
        <v>175</v>
      </c>
      <c r="L755" s="530">
        <f t="shared" si="813"/>
        <v>1.58</v>
      </c>
      <c r="M755" s="530">
        <f t="shared" si="814"/>
        <v>290.72000000000003</v>
      </c>
      <c r="N755" s="309"/>
      <c r="O755" s="778">
        <v>131</v>
      </c>
      <c r="P755" s="777"/>
      <c r="Q755" s="777"/>
      <c r="R755" s="751"/>
      <c r="S755" s="1098">
        <f>33840+4230</f>
        <v>38070</v>
      </c>
      <c r="T755" s="792">
        <v>1.2</v>
      </c>
      <c r="U755" s="803">
        <v>0</v>
      </c>
      <c r="V755" s="803">
        <v>0</v>
      </c>
      <c r="W755" s="803">
        <v>0</v>
      </c>
      <c r="X755" s="858">
        <f>SUMIF('Summary-E'!O$4:O$50,D755,'Summary-E'!Q$4:Q$50)</f>
        <v>0.97</v>
      </c>
      <c r="Y755" s="310">
        <f>ROUND((R755+S755/'Summary-E'!$M$63)*X755,2)</f>
        <v>1.78</v>
      </c>
      <c r="Z755" s="858">
        <f t="shared" si="767"/>
        <v>1.05</v>
      </c>
      <c r="AA755" s="813">
        <f t="shared" si="815"/>
        <v>1.87</v>
      </c>
      <c r="AB755" s="447">
        <f t="shared" si="816"/>
        <v>0.05</v>
      </c>
      <c r="AC755" s="310">
        <f t="shared" si="827"/>
        <v>1.26</v>
      </c>
      <c r="AD755" s="717">
        <f>ROUND(AC755*'[1]Summary E&amp;M'!$R$94,2)</f>
        <v>1.58</v>
      </c>
      <c r="AE755" s="826">
        <f t="shared" si="817"/>
        <v>311.5</v>
      </c>
      <c r="AF755" s="826">
        <f t="shared" si="818"/>
        <v>220.5</v>
      </c>
      <c r="AG755" s="731"/>
      <c r="AH755" s="732"/>
      <c r="AI755" s="519">
        <f t="shared" si="819"/>
        <v>0</v>
      </c>
      <c r="AJ755" s="519">
        <f t="shared" si="820"/>
        <v>0</v>
      </c>
      <c r="AK755" s="519">
        <f t="shared" si="821"/>
        <v>0</v>
      </c>
      <c r="AL755" s="520">
        <f t="shared" si="822"/>
        <v>0</v>
      </c>
      <c r="AM755" s="520">
        <f t="shared" si="823"/>
        <v>0</v>
      </c>
      <c r="AN755" s="520">
        <f t="shared" si="824"/>
        <v>0</v>
      </c>
      <c r="AO755" s="520">
        <f t="shared" si="825"/>
        <v>0</v>
      </c>
      <c r="AP755" s="719"/>
      <c r="AQ755" s="719"/>
      <c r="AR755" s="719"/>
      <c r="AS755" s="719"/>
      <c r="AT755" s="719"/>
    </row>
    <row r="756" spans="1:46" s="555" customFormat="1" ht="22.5" customHeight="1">
      <c r="A756" s="451"/>
      <c r="B756" s="531" t="s">
        <v>1175</v>
      </c>
      <c r="C756" s="1246" t="s">
        <v>1176</v>
      </c>
      <c r="D756" s="1239" t="s">
        <v>1125</v>
      </c>
      <c r="E756" s="525" t="s">
        <v>321</v>
      </c>
      <c r="F756" s="1314">
        <f>ROUND(K756*'[1]Summary E&amp;M'!$K$98,0)</f>
        <v>288</v>
      </c>
      <c r="G756" s="527">
        <f>ROUNDUP(AA756,2)</f>
        <v>3.13</v>
      </c>
      <c r="H756" s="528">
        <f>ROUND(F756*G756,2)</f>
        <v>901.44</v>
      </c>
      <c r="I756" s="529"/>
      <c r="J756" s="309"/>
      <c r="K756" s="1175">
        <v>274</v>
      </c>
      <c r="L756" s="530">
        <f>ROUND(AD756,2)</f>
        <v>3.94</v>
      </c>
      <c r="M756" s="530">
        <f>ROUND(L756*F756,2)</f>
        <v>1134.72</v>
      </c>
      <c r="N756" s="309"/>
      <c r="O756" s="778">
        <v>131</v>
      </c>
      <c r="P756" s="777"/>
      <c r="Q756" s="777"/>
      <c r="R756" s="751"/>
      <c r="S756" s="1122">
        <f>57170+6660</f>
        <v>63830</v>
      </c>
      <c r="T756" s="1123">
        <v>3</v>
      </c>
      <c r="U756" s="803">
        <v>0</v>
      </c>
      <c r="V756" s="803">
        <v>0</v>
      </c>
      <c r="W756" s="803">
        <v>0</v>
      </c>
      <c r="X756" s="858">
        <f>SUMIF('Summary-E'!O$4:O$50,D756,'Summary-E'!Q$4:Q$50)</f>
        <v>0.97</v>
      </c>
      <c r="Y756" s="310">
        <f>ROUND((R756+S756/'Summary-E'!$M$63)*X756,2)</f>
        <v>2.98</v>
      </c>
      <c r="Z756" s="858">
        <f t="shared" si="767"/>
        <v>1.05</v>
      </c>
      <c r="AA756" s="813">
        <f>ROUND(Y756*Z756,2)</f>
        <v>3.13</v>
      </c>
      <c r="AB756" s="447">
        <f t="shared" si="816"/>
        <v>0.05</v>
      </c>
      <c r="AC756" s="310">
        <f>ROUND((T756*(1+AB756)),2)</f>
        <v>3.15</v>
      </c>
      <c r="AD756" s="717">
        <f>ROUND(AC756*'[1]Summary E&amp;M'!$R$94,2)</f>
        <v>3.94</v>
      </c>
      <c r="AE756" s="826">
        <f t="shared" si="817"/>
        <v>816.52</v>
      </c>
      <c r="AF756" s="826">
        <f t="shared" si="818"/>
        <v>863.1</v>
      </c>
      <c r="AG756" s="731"/>
      <c r="AH756" s="732"/>
      <c r="AI756" s="519">
        <f t="shared" si="819"/>
        <v>0</v>
      </c>
      <c r="AJ756" s="519">
        <f t="shared" si="820"/>
        <v>0</v>
      </c>
      <c r="AK756" s="519">
        <f t="shared" si="821"/>
        <v>0</v>
      </c>
      <c r="AL756" s="520">
        <f>ROUND(Y756*AI756+((Y756*(1+AI756))*AJ756)+((Y756*AI756+((Y756*(1+AI756))*AJ756))*AK756),2)</f>
        <v>0</v>
      </c>
      <c r="AM756" s="520">
        <f>AL756*$F756</f>
        <v>0</v>
      </c>
      <c r="AN756" s="520">
        <f>ROUND(AL756*Z756,2)</f>
        <v>0</v>
      </c>
      <c r="AO756" s="520">
        <f>AN756*$F756</f>
        <v>0</v>
      </c>
      <c r="AP756" s="719"/>
      <c r="AQ756" s="719"/>
      <c r="AR756" s="719"/>
      <c r="AS756" s="719"/>
      <c r="AT756" s="719"/>
    </row>
    <row r="757" spans="1:46" s="555" customFormat="1" ht="22.5" customHeight="1">
      <c r="A757" s="451"/>
      <c r="B757" s="531" t="s">
        <v>122</v>
      </c>
      <c r="C757" s="566"/>
      <c r="D757" s="525" t="s">
        <v>690</v>
      </c>
      <c r="E757" s="525" t="s">
        <v>322</v>
      </c>
      <c r="F757" s="1322">
        <f>K757</f>
        <v>1</v>
      </c>
      <c r="G757" s="527">
        <f t="shared" si="826"/>
        <v>31.73</v>
      </c>
      <c r="H757" s="528">
        <f t="shared" si="828"/>
        <v>31.73</v>
      </c>
      <c r="I757" s="961"/>
      <c r="J757" s="649"/>
      <c r="K757" s="1175">
        <v>1</v>
      </c>
      <c r="L757" s="530">
        <f t="shared" si="813"/>
        <v>8.18</v>
      </c>
      <c r="M757" s="530">
        <f t="shared" si="814"/>
        <v>8.18</v>
      </c>
      <c r="N757" s="309"/>
      <c r="O757" s="778" t="s">
        <v>690</v>
      </c>
      <c r="P757" s="777">
        <v>0.1</v>
      </c>
      <c r="Q757" s="777"/>
      <c r="R757" s="751">
        <f>ROUND(SUM(AE755:AE755)*P757,2)</f>
        <v>31.15</v>
      </c>
      <c r="S757" s="752"/>
      <c r="T757" s="792">
        <f>R757*0.2</f>
        <v>6.23</v>
      </c>
      <c r="U757" s="803">
        <v>0</v>
      </c>
      <c r="V757" s="803">
        <v>0</v>
      </c>
      <c r="W757" s="803">
        <v>0</v>
      </c>
      <c r="X757" s="858">
        <f>SUMIF('Summary-E'!O$4:O$50,D757,'Summary-E'!Q$4:Q$50)</f>
        <v>0.97</v>
      </c>
      <c r="Y757" s="310">
        <f>ROUND((R757+S757/'Summary-E'!$M$63)*X757,2)</f>
        <v>30.22</v>
      </c>
      <c r="Z757" s="858">
        <f t="shared" si="767"/>
        <v>1.05</v>
      </c>
      <c r="AA757" s="813">
        <f t="shared" si="815"/>
        <v>31.73</v>
      </c>
      <c r="AB757" s="447">
        <f t="shared" si="816"/>
        <v>0.05</v>
      </c>
      <c r="AC757" s="310">
        <f t="shared" si="827"/>
        <v>6.54</v>
      </c>
      <c r="AD757" s="717">
        <f>ROUND(AC757*'[1]Summary E&amp;M'!$R$94,2)</f>
        <v>8.18</v>
      </c>
      <c r="AE757" s="826">
        <f t="shared" si="817"/>
        <v>30.22</v>
      </c>
      <c r="AF757" s="826">
        <f t="shared" si="818"/>
        <v>6.54</v>
      </c>
      <c r="AG757" s="731"/>
      <c r="AH757" s="732"/>
      <c r="AI757" s="519">
        <f t="shared" si="819"/>
        <v>0</v>
      </c>
      <c r="AJ757" s="519">
        <f t="shared" si="820"/>
        <v>0</v>
      </c>
      <c r="AK757" s="519">
        <f t="shared" si="821"/>
        <v>0</v>
      </c>
      <c r="AL757" s="520">
        <f t="shared" si="822"/>
        <v>0</v>
      </c>
      <c r="AM757" s="520">
        <f t="shared" si="823"/>
        <v>0</v>
      </c>
      <c r="AN757" s="520">
        <f t="shared" si="824"/>
        <v>0</v>
      </c>
      <c r="AO757" s="520">
        <f t="shared" si="825"/>
        <v>0</v>
      </c>
      <c r="AP757" s="719"/>
      <c r="AQ757" s="719"/>
      <c r="AR757" s="719"/>
      <c r="AS757" s="719"/>
      <c r="AT757" s="719"/>
    </row>
    <row r="758" spans="1:46" s="555" customFormat="1" ht="22.5" customHeight="1">
      <c r="A758" s="451"/>
      <c r="B758" s="531" t="s">
        <v>1003</v>
      </c>
      <c r="C758" s="566" t="s">
        <v>1004</v>
      </c>
      <c r="D758" s="525">
        <v>121</v>
      </c>
      <c r="E758" s="525" t="s">
        <v>321</v>
      </c>
      <c r="F758" s="1314">
        <f>ROUND(K758*'[1]Summary E&amp;M'!$K$98,0)</f>
        <v>21</v>
      </c>
      <c r="G758" s="527">
        <f t="shared" si="826"/>
        <v>9.14</v>
      </c>
      <c r="H758" s="528">
        <f t="shared" si="828"/>
        <v>191.94</v>
      </c>
      <c r="I758" s="961"/>
      <c r="J758" s="309"/>
      <c r="K758" s="1175">
        <v>20</v>
      </c>
      <c r="L758" s="530">
        <f t="shared" si="813"/>
        <v>1.58</v>
      </c>
      <c r="M758" s="530">
        <f t="shared" si="814"/>
        <v>33.18</v>
      </c>
      <c r="N758" s="309"/>
      <c r="O758" s="778">
        <v>121</v>
      </c>
      <c r="P758" s="777"/>
      <c r="Q758" s="777"/>
      <c r="R758" s="751"/>
      <c r="S758" s="752">
        <v>181000</v>
      </c>
      <c r="T758" s="792">
        <v>1.2</v>
      </c>
      <c r="U758" s="803">
        <v>0</v>
      </c>
      <c r="V758" s="803">
        <v>0</v>
      </c>
      <c r="W758" s="803">
        <v>0</v>
      </c>
      <c r="X758" s="858">
        <v>1</v>
      </c>
      <c r="Y758" s="310">
        <f>ROUND((R758+S758/'Summary-E'!$M$63)*X758,2)</f>
        <v>8.6999999999999993</v>
      </c>
      <c r="Z758" s="858">
        <f t="shared" si="767"/>
        <v>1.05</v>
      </c>
      <c r="AA758" s="813">
        <f t="shared" si="815"/>
        <v>9.14</v>
      </c>
      <c r="AB758" s="447">
        <f t="shared" si="816"/>
        <v>0.05</v>
      </c>
      <c r="AC758" s="310">
        <f t="shared" si="827"/>
        <v>1.26</v>
      </c>
      <c r="AD758" s="717">
        <f>ROUND(AC758*'[1]Summary E&amp;M'!$R$94,2)</f>
        <v>1.58</v>
      </c>
      <c r="AE758" s="826">
        <f t="shared" si="817"/>
        <v>174</v>
      </c>
      <c r="AF758" s="826">
        <f t="shared" si="818"/>
        <v>25.2</v>
      </c>
      <c r="AG758" s="731"/>
      <c r="AH758" s="732"/>
      <c r="AI758" s="519">
        <f t="shared" si="819"/>
        <v>0</v>
      </c>
      <c r="AJ758" s="519">
        <f t="shared" si="820"/>
        <v>0</v>
      </c>
      <c r="AK758" s="519">
        <f t="shared" si="821"/>
        <v>0</v>
      </c>
      <c r="AL758" s="520">
        <f t="shared" si="822"/>
        <v>0</v>
      </c>
      <c r="AM758" s="520">
        <f t="shared" si="823"/>
        <v>0</v>
      </c>
      <c r="AN758" s="520">
        <f t="shared" si="824"/>
        <v>0</v>
      </c>
      <c r="AO758" s="520">
        <f t="shared" si="825"/>
        <v>0</v>
      </c>
      <c r="AP758" s="719"/>
      <c r="AQ758" s="719"/>
      <c r="AR758" s="719"/>
      <c r="AS758" s="719"/>
      <c r="AT758" s="719"/>
    </row>
    <row r="759" spans="1:46" s="555" customFormat="1" ht="22.5" customHeight="1">
      <c r="A759" s="451"/>
      <c r="B759" s="531" t="s">
        <v>400</v>
      </c>
      <c r="C759" s="566"/>
      <c r="D759" s="525">
        <v>121</v>
      </c>
      <c r="E759" s="525" t="s">
        <v>322</v>
      </c>
      <c r="F759" s="1322">
        <f>K759</f>
        <v>1</v>
      </c>
      <c r="G759" s="527">
        <f t="shared" si="826"/>
        <v>53.16</v>
      </c>
      <c r="H759" s="528">
        <f t="shared" si="828"/>
        <v>53.16</v>
      </c>
      <c r="I759" s="961"/>
      <c r="J759" s="309"/>
      <c r="K759" s="1175">
        <v>1</v>
      </c>
      <c r="L759" s="530">
        <f t="shared" si="813"/>
        <v>13.7</v>
      </c>
      <c r="M759" s="530">
        <f t="shared" si="814"/>
        <v>13.7</v>
      </c>
      <c r="N759" s="309"/>
      <c r="O759" s="778" t="s">
        <v>139</v>
      </c>
      <c r="P759" s="777">
        <v>0.3</v>
      </c>
      <c r="Q759" s="777"/>
      <c r="R759" s="751">
        <f>ROUND(SUM(AE758:AE758)*P759,2)</f>
        <v>52.2</v>
      </c>
      <c r="S759" s="752"/>
      <c r="T759" s="792">
        <f>R759*0.2</f>
        <v>10.440000000000001</v>
      </c>
      <c r="U759" s="803">
        <v>0</v>
      </c>
      <c r="V759" s="803">
        <v>0</v>
      </c>
      <c r="W759" s="803">
        <v>0</v>
      </c>
      <c r="X759" s="858">
        <f>SUMIF('Summary-E'!O$4:O$50,D759,'Summary-E'!Q$4:Q$50)</f>
        <v>0.97</v>
      </c>
      <c r="Y759" s="310">
        <f>ROUND((R759+S759/'Summary-E'!$M$63)*X759,2)</f>
        <v>50.63</v>
      </c>
      <c r="Z759" s="858">
        <f t="shared" si="767"/>
        <v>1.05</v>
      </c>
      <c r="AA759" s="813">
        <f t="shared" si="815"/>
        <v>53.16</v>
      </c>
      <c r="AB759" s="447">
        <f t="shared" si="816"/>
        <v>0.05</v>
      </c>
      <c r="AC759" s="310">
        <f t="shared" si="827"/>
        <v>10.96</v>
      </c>
      <c r="AD759" s="717">
        <f>ROUND(AC759*'[1]Summary E&amp;M'!$R$94,2)</f>
        <v>13.7</v>
      </c>
      <c r="AE759" s="826">
        <f>ROUND($K759*$Y759,2)</f>
        <v>50.63</v>
      </c>
      <c r="AF759" s="826">
        <f t="shared" si="818"/>
        <v>10.96</v>
      </c>
      <c r="AG759" s="731"/>
      <c r="AH759" s="732"/>
      <c r="AI759" s="519">
        <f t="shared" si="819"/>
        <v>0</v>
      </c>
      <c r="AJ759" s="519">
        <f t="shared" si="820"/>
        <v>0</v>
      </c>
      <c r="AK759" s="519">
        <f t="shared" si="821"/>
        <v>0</v>
      </c>
      <c r="AL759" s="520">
        <f t="shared" si="822"/>
        <v>0</v>
      </c>
      <c r="AM759" s="520">
        <f t="shared" si="823"/>
        <v>0</v>
      </c>
      <c r="AN759" s="520">
        <f t="shared" si="824"/>
        <v>0</v>
      </c>
      <c r="AO759" s="520">
        <f t="shared" si="825"/>
        <v>0</v>
      </c>
      <c r="AP759" s="719"/>
      <c r="AQ759" s="719"/>
      <c r="AR759" s="719"/>
      <c r="AS759" s="719"/>
      <c r="AT759" s="719"/>
    </row>
    <row r="760" spans="1:46" s="555" customFormat="1" ht="22.5" customHeight="1">
      <c r="A760" s="451"/>
      <c r="B760" s="531" t="s">
        <v>677</v>
      </c>
      <c r="C760" s="566"/>
      <c r="D760" s="525">
        <v>121</v>
      </c>
      <c r="E760" s="525" t="s">
        <v>322</v>
      </c>
      <c r="F760" s="1322">
        <f>K760</f>
        <v>1</v>
      </c>
      <c r="G760" s="527">
        <f t="shared" si="826"/>
        <v>35.450000000000003</v>
      </c>
      <c r="H760" s="528">
        <f t="shared" si="828"/>
        <v>35.450000000000003</v>
      </c>
      <c r="I760" s="961"/>
      <c r="J760" s="309"/>
      <c r="K760" s="1175">
        <v>1</v>
      </c>
      <c r="L760" s="530">
        <f t="shared" si="813"/>
        <v>13.7</v>
      </c>
      <c r="M760" s="530">
        <f t="shared" si="814"/>
        <v>13.7</v>
      </c>
      <c r="N760" s="309"/>
      <c r="O760" s="778" t="s">
        <v>130</v>
      </c>
      <c r="P760" s="777">
        <v>0.2</v>
      </c>
      <c r="Q760" s="777"/>
      <c r="R760" s="751">
        <f>ROUND(SUM(AE758:AE758)*P760,2)</f>
        <v>34.799999999999997</v>
      </c>
      <c r="S760" s="752"/>
      <c r="T760" s="792">
        <f>R760*0.3</f>
        <v>10.44</v>
      </c>
      <c r="U760" s="803">
        <v>0</v>
      </c>
      <c r="V760" s="803">
        <v>0</v>
      </c>
      <c r="W760" s="803">
        <v>0</v>
      </c>
      <c r="X760" s="858">
        <f>SUMIF('Summary-E'!O$4:O$50,D760,'Summary-E'!Q$4:Q$50)</f>
        <v>0.97</v>
      </c>
      <c r="Y760" s="310">
        <f>ROUND((R760+S760/'Summary-E'!$M$63)*X760,2)</f>
        <v>33.76</v>
      </c>
      <c r="Z760" s="858">
        <f t="shared" si="767"/>
        <v>1.05</v>
      </c>
      <c r="AA760" s="813">
        <f t="shared" si="815"/>
        <v>35.450000000000003</v>
      </c>
      <c r="AB760" s="447">
        <f t="shared" si="816"/>
        <v>0.05</v>
      </c>
      <c r="AC760" s="310">
        <f t="shared" si="827"/>
        <v>10.96</v>
      </c>
      <c r="AD760" s="717">
        <f>ROUND(AC760*'[1]Summary E&amp;M'!$R$94,2)</f>
        <v>13.7</v>
      </c>
      <c r="AE760" s="826">
        <f t="shared" si="817"/>
        <v>33.76</v>
      </c>
      <c r="AF760" s="826">
        <f t="shared" si="818"/>
        <v>10.96</v>
      </c>
      <c r="AG760" s="731"/>
      <c r="AH760" s="732"/>
      <c r="AI760" s="519">
        <f t="shared" si="819"/>
        <v>0</v>
      </c>
      <c r="AJ760" s="519">
        <f t="shared" si="820"/>
        <v>0</v>
      </c>
      <c r="AK760" s="519">
        <f t="shared" si="821"/>
        <v>0</v>
      </c>
      <c r="AL760" s="520">
        <f t="shared" si="822"/>
        <v>0</v>
      </c>
      <c r="AM760" s="520">
        <f t="shared" si="823"/>
        <v>0</v>
      </c>
      <c r="AN760" s="520">
        <f t="shared" si="824"/>
        <v>0</v>
      </c>
      <c r="AO760" s="520">
        <f t="shared" si="825"/>
        <v>0</v>
      </c>
      <c r="AP760" s="719"/>
      <c r="AQ760" s="719"/>
      <c r="AR760" s="719"/>
      <c r="AS760" s="719"/>
      <c r="AT760" s="719"/>
    </row>
    <row r="761" spans="1:46" s="555" customFormat="1" ht="22.5" customHeight="1">
      <c r="A761" s="451"/>
      <c r="B761" s="531" t="s">
        <v>928</v>
      </c>
      <c r="C761" s="566" t="s">
        <v>1002</v>
      </c>
      <c r="D761" s="1001" t="s">
        <v>1114</v>
      </c>
      <c r="E761" s="525" t="s">
        <v>321</v>
      </c>
      <c r="F761" s="1322">
        <f t="shared" ref="F761:F767" si="829">K761</f>
        <v>110</v>
      </c>
      <c r="G761" s="527">
        <f t="shared" si="826"/>
        <v>2.79</v>
      </c>
      <c r="H761" s="528">
        <f t="shared" si="828"/>
        <v>306.89999999999998</v>
      </c>
      <c r="I761" s="529"/>
      <c r="J761" s="309"/>
      <c r="K761" s="1175">
        <v>110</v>
      </c>
      <c r="L761" s="530">
        <f t="shared" si="813"/>
        <v>1.31</v>
      </c>
      <c r="M761" s="530">
        <f t="shared" si="814"/>
        <v>144.1</v>
      </c>
      <c r="N761" s="309"/>
      <c r="O761" s="778" t="s">
        <v>673</v>
      </c>
      <c r="P761" s="1093"/>
      <c r="Q761" s="1094"/>
      <c r="R761" s="882"/>
      <c r="S761" s="883">
        <v>55300</v>
      </c>
      <c r="T761" s="879">
        <v>1</v>
      </c>
      <c r="U761" s="803">
        <v>0</v>
      </c>
      <c r="V761" s="803">
        <v>0</v>
      </c>
      <c r="W761" s="803">
        <v>0</v>
      </c>
      <c r="X761" s="858">
        <v>1</v>
      </c>
      <c r="Y761" s="310">
        <f>ROUND((R761+S761/'Summary-E'!$M$63)*X761,2)</f>
        <v>2.66</v>
      </c>
      <c r="Z761" s="858">
        <f t="shared" si="767"/>
        <v>1.05</v>
      </c>
      <c r="AA761" s="813">
        <f t="shared" si="815"/>
        <v>2.79</v>
      </c>
      <c r="AB761" s="447">
        <f t="shared" si="816"/>
        <v>0.05</v>
      </c>
      <c r="AC761" s="310">
        <f t="shared" si="827"/>
        <v>1.05</v>
      </c>
      <c r="AD761" s="717">
        <f>ROUND(AC761*'[1]Summary E&amp;M'!$R$94,2)</f>
        <v>1.31</v>
      </c>
      <c r="AE761" s="826">
        <f t="shared" si="817"/>
        <v>292.60000000000002</v>
      </c>
      <c r="AF761" s="826">
        <f t="shared" si="818"/>
        <v>115.5</v>
      </c>
      <c r="AG761" s="744"/>
      <c r="AH761" s="728"/>
      <c r="AI761" s="519">
        <f t="shared" si="819"/>
        <v>0</v>
      </c>
      <c r="AJ761" s="519">
        <f t="shared" si="820"/>
        <v>0</v>
      </c>
      <c r="AK761" s="519">
        <f t="shared" si="821"/>
        <v>0</v>
      </c>
      <c r="AL761" s="520">
        <f t="shared" si="822"/>
        <v>0</v>
      </c>
      <c r="AM761" s="520">
        <f t="shared" si="823"/>
        <v>0</v>
      </c>
      <c r="AN761" s="520">
        <f t="shared" si="824"/>
        <v>0</v>
      </c>
      <c r="AO761" s="520">
        <f t="shared" si="825"/>
        <v>0</v>
      </c>
      <c r="AP761" s="719"/>
      <c r="AQ761" s="719"/>
      <c r="AR761" s="719"/>
      <c r="AS761" s="719"/>
      <c r="AT761" s="719"/>
    </row>
    <row r="762" spans="1:46" s="555" customFormat="1" ht="22.5" customHeight="1">
      <c r="A762" s="451"/>
      <c r="B762" s="531" t="s">
        <v>400</v>
      </c>
      <c r="C762" s="566"/>
      <c r="D762" s="1001" t="s">
        <v>1114</v>
      </c>
      <c r="E762" s="525" t="s">
        <v>322</v>
      </c>
      <c r="F762" s="1322">
        <f t="shared" si="829"/>
        <v>1</v>
      </c>
      <c r="G762" s="527">
        <f t="shared" si="826"/>
        <v>59.6</v>
      </c>
      <c r="H762" s="528">
        <f t="shared" si="828"/>
        <v>59.6</v>
      </c>
      <c r="I762" s="529"/>
      <c r="J762" s="309"/>
      <c r="K762" s="1175">
        <v>1</v>
      </c>
      <c r="L762" s="530">
        <f t="shared" si="813"/>
        <v>15.36</v>
      </c>
      <c r="M762" s="530">
        <f t="shared" si="814"/>
        <v>15.36</v>
      </c>
      <c r="N762" s="309"/>
      <c r="O762" s="778" t="s">
        <v>673</v>
      </c>
      <c r="P762" s="964">
        <v>0.2</v>
      </c>
      <c r="Q762" s="887"/>
      <c r="R762" s="751">
        <f>ROUND(SUM(AE761:AE761)*P762,2)</f>
        <v>58.52</v>
      </c>
      <c r="S762" s="886"/>
      <c r="T762" s="881">
        <f>R762*0.2</f>
        <v>11.704000000000001</v>
      </c>
      <c r="U762" s="803">
        <v>0</v>
      </c>
      <c r="V762" s="803">
        <v>0</v>
      </c>
      <c r="W762" s="803">
        <v>0</v>
      </c>
      <c r="X762" s="858">
        <f>SUMIF('Summary-E'!O$4:O$50,D762,'Summary-E'!Q$4:Q$50)</f>
        <v>0.97</v>
      </c>
      <c r="Y762" s="310">
        <f>ROUND((R762+S762/'Summary-E'!$M$63)*X762,2)</f>
        <v>56.76</v>
      </c>
      <c r="Z762" s="858">
        <f t="shared" si="767"/>
        <v>1.05</v>
      </c>
      <c r="AA762" s="813">
        <f t="shared" si="815"/>
        <v>59.6</v>
      </c>
      <c r="AB762" s="447">
        <f t="shared" si="816"/>
        <v>0.05</v>
      </c>
      <c r="AC762" s="310">
        <f t="shared" si="827"/>
        <v>12.29</v>
      </c>
      <c r="AD762" s="717">
        <f>ROUND(AC762*'[1]Summary E&amp;M'!$R$94,2)</f>
        <v>15.36</v>
      </c>
      <c r="AE762" s="826">
        <f t="shared" si="817"/>
        <v>56.76</v>
      </c>
      <c r="AF762" s="826">
        <f t="shared" si="818"/>
        <v>12.29</v>
      </c>
      <c r="AG762" s="744"/>
      <c r="AH762" s="728"/>
      <c r="AI762" s="519">
        <f t="shared" si="819"/>
        <v>0</v>
      </c>
      <c r="AJ762" s="519">
        <f t="shared" si="820"/>
        <v>0</v>
      </c>
      <c r="AK762" s="519">
        <f t="shared" si="821"/>
        <v>0</v>
      </c>
      <c r="AL762" s="520">
        <f t="shared" si="822"/>
        <v>0</v>
      </c>
      <c r="AM762" s="520">
        <f t="shared" si="823"/>
        <v>0</v>
      </c>
      <c r="AN762" s="520">
        <f t="shared" si="824"/>
        <v>0</v>
      </c>
      <c r="AO762" s="520">
        <f t="shared" si="825"/>
        <v>0</v>
      </c>
      <c r="AP762" s="719"/>
      <c r="AQ762" s="719"/>
      <c r="AR762" s="719"/>
      <c r="AS762" s="719"/>
      <c r="AT762" s="719"/>
    </row>
    <row r="763" spans="1:46" s="555" customFormat="1" ht="22.5" customHeight="1">
      <c r="A763" s="451"/>
      <c r="B763" s="531" t="s">
        <v>930</v>
      </c>
      <c r="C763" s="566" t="s">
        <v>1226</v>
      </c>
      <c r="D763" s="1001" t="s">
        <v>1117</v>
      </c>
      <c r="E763" s="525" t="s">
        <v>319</v>
      </c>
      <c r="F763" s="1322">
        <f t="shared" si="829"/>
        <v>5</v>
      </c>
      <c r="G763" s="527">
        <f t="shared" si="826"/>
        <v>662.03</v>
      </c>
      <c r="H763" s="528">
        <f t="shared" si="828"/>
        <v>3310.15</v>
      </c>
      <c r="I763" s="529"/>
      <c r="J763" s="309"/>
      <c r="K763" s="1175">
        <v>5</v>
      </c>
      <c r="L763" s="530">
        <f t="shared" si="813"/>
        <v>196.88</v>
      </c>
      <c r="M763" s="530">
        <f t="shared" si="814"/>
        <v>984.4</v>
      </c>
      <c r="N763" s="309"/>
      <c r="O763" s="778" t="s">
        <v>673</v>
      </c>
      <c r="P763" s="1093"/>
      <c r="Q763" s="1094"/>
      <c r="R763" s="882">
        <v>650</v>
      </c>
      <c r="S763" s="883"/>
      <c r="T763" s="879">
        <v>150</v>
      </c>
      <c r="U763" s="803">
        <v>0</v>
      </c>
      <c r="V763" s="803">
        <v>0</v>
      </c>
      <c r="W763" s="803">
        <v>0</v>
      </c>
      <c r="X763" s="858">
        <f>SUMIF('Summary-E'!O$4:O$50,D763,'Summary-E'!Q$4:Q$50)</f>
        <v>0.97</v>
      </c>
      <c r="Y763" s="310">
        <f>ROUND((R763+S763/'Summary-E'!$M$63)*X763,2)</f>
        <v>630.5</v>
      </c>
      <c r="Z763" s="858">
        <f t="shared" si="767"/>
        <v>1.05</v>
      </c>
      <c r="AA763" s="813">
        <f t="shared" si="815"/>
        <v>662.03</v>
      </c>
      <c r="AB763" s="447">
        <f t="shared" si="816"/>
        <v>0.05</v>
      </c>
      <c r="AC763" s="310">
        <f t="shared" si="827"/>
        <v>157.5</v>
      </c>
      <c r="AD763" s="717">
        <f>ROUND(AC763*'[1]Summary E&amp;M'!$R$94,2)</f>
        <v>196.88</v>
      </c>
      <c r="AE763" s="826">
        <f t="shared" si="817"/>
        <v>3152.5</v>
      </c>
      <c r="AF763" s="826">
        <f t="shared" si="818"/>
        <v>787.5</v>
      </c>
      <c r="AG763" s="744"/>
      <c r="AH763" s="728"/>
      <c r="AI763" s="519">
        <f t="shared" si="819"/>
        <v>0</v>
      </c>
      <c r="AJ763" s="519">
        <f t="shared" si="820"/>
        <v>0</v>
      </c>
      <c r="AK763" s="519">
        <f t="shared" si="821"/>
        <v>0</v>
      </c>
      <c r="AL763" s="520">
        <f t="shared" si="822"/>
        <v>0</v>
      </c>
      <c r="AM763" s="520">
        <f t="shared" si="823"/>
        <v>0</v>
      </c>
      <c r="AN763" s="520">
        <f t="shared" si="824"/>
        <v>0</v>
      </c>
      <c r="AO763" s="520">
        <f t="shared" si="825"/>
        <v>0</v>
      </c>
      <c r="AP763" s="719"/>
      <c r="AQ763" s="719"/>
      <c r="AR763" s="719"/>
      <c r="AS763" s="719"/>
      <c r="AT763" s="719"/>
    </row>
    <row r="764" spans="1:46" s="555" customFormat="1" ht="22.5" customHeight="1">
      <c r="A764" s="451"/>
      <c r="B764" s="531" t="s">
        <v>932</v>
      </c>
      <c r="C764" s="566"/>
      <c r="D764" s="1047" t="s">
        <v>389</v>
      </c>
      <c r="E764" s="525" t="s">
        <v>633</v>
      </c>
      <c r="F764" s="1322">
        <f t="shared" si="829"/>
        <v>100</v>
      </c>
      <c r="G764" s="527">
        <f t="shared" si="826"/>
        <v>8.6199999999999992</v>
      </c>
      <c r="H764" s="528">
        <f t="shared" si="828"/>
        <v>862</v>
      </c>
      <c r="I764" s="529"/>
      <c r="J764" s="309"/>
      <c r="K764" s="1175">
        <v>100</v>
      </c>
      <c r="L764" s="530">
        <f t="shared" si="813"/>
        <v>4.8099999999999996</v>
      </c>
      <c r="M764" s="530">
        <f t="shared" si="814"/>
        <v>481</v>
      </c>
      <c r="N764" s="309"/>
      <c r="O764" s="778" t="s">
        <v>673</v>
      </c>
      <c r="P764" s="1093"/>
      <c r="Q764" s="1094"/>
      <c r="R764" s="882"/>
      <c r="S764" s="883">
        <v>176000</v>
      </c>
      <c r="T764" s="879">
        <v>3.67</v>
      </c>
      <c r="U764" s="803">
        <v>0</v>
      </c>
      <c r="V764" s="803">
        <v>0</v>
      </c>
      <c r="W764" s="803">
        <v>0</v>
      </c>
      <c r="X764" s="858">
        <f>SUMIF('Summary-E'!O$4:O$50,D764,'Summary-E'!Q$4:Q$50)</f>
        <v>0.97</v>
      </c>
      <c r="Y764" s="310">
        <f>ROUND((R764+S764/'Summary-E'!$M$63)*X764,2)</f>
        <v>8.2100000000000009</v>
      </c>
      <c r="Z764" s="858">
        <f t="shared" si="767"/>
        <v>1.05</v>
      </c>
      <c r="AA764" s="813">
        <f t="shared" si="815"/>
        <v>8.6199999999999992</v>
      </c>
      <c r="AB764" s="447">
        <f t="shared" si="816"/>
        <v>0.05</v>
      </c>
      <c r="AC764" s="310">
        <f t="shared" si="827"/>
        <v>3.85</v>
      </c>
      <c r="AD764" s="717">
        <f>ROUND(AC764*'[1]Summary E&amp;M'!$R$94,2)</f>
        <v>4.8099999999999996</v>
      </c>
      <c r="AE764" s="826">
        <f t="shared" si="817"/>
        <v>821</v>
      </c>
      <c r="AF764" s="826">
        <f t="shared" si="818"/>
        <v>385</v>
      </c>
      <c r="AG764" s="744"/>
      <c r="AH764" s="728"/>
      <c r="AI764" s="519">
        <f t="shared" si="819"/>
        <v>0</v>
      </c>
      <c r="AJ764" s="519">
        <f t="shared" si="820"/>
        <v>0</v>
      </c>
      <c r="AK764" s="519">
        <f t="shared" si="821"/>
        <v>0</v>
      </c>
      <c r="AL764" s="520">
        <f t="shared" si="822"/>
        <v>0</v>
      </c>
      <c r="AM764" s="520">
        <f t="shared" si="823"/>
        <v>0</v>
      </c>
      <c r="AN764" s="520">
        <f t="shared" si="824"/>
        <v>0</v>
      </c>
      <c r="AO764" s="520">
        <f t="shared" si="825"/>
        <v>0</v>
      </c>
      <c r="AP764" s="719"/>
      <c r="AQ764" s="719"/>
      <c r="AR764" s="719"/>
      <c r="AS764" s="719"/>
      <c r="AT764" s="719"/>
    </row>
    <row r="765" spans="1:46" s="555" customFormat="1" ht="22.5" customHeight="1">
      <c r="A765" s="451"/>
      <c r="B765" s="531" t="s">
        <v>933</v>
      </c>
      <c r="C765" s="566" t="s">
        <v>182</v>
      </c>
      <c r="D765" s="1047" t="s">
        <v>389</v>
      </c>
      <c r="E765" s="525" t="s">
        <v>633</v>
      </c>
      <c r="F765" s="1322">
        <f t="shared" si="829"/>
        <v>17</v>
      </c>
      <c r="G765" s="527">
        <f t="shared" si="826"/>
        <v>12.48</v>
      </c>
      <c r="H765" s="528">
        <f t="shared" si="828"/>
        <v>212.16</v>
      </c>
      <c r="I765" s="529"/>
      <c r="J765" s="309"/>
      <c r="K765" s="1175">
        <v>17</v>
      </c>
      <c r="L765" s="530">
        <f t="shared" si="813"/>
        <v>10.44</v>
      </c>
      <c r="M765" s="530">
        <f t="shared" si="814"/>
        <v>177.48</v>
      </c>
      <c r="N765" s="309"/>
      <c r="O765" s="778" t="s">
        <v>673</v>
      </c>
      <c r="P765" s="1093"/>
      <c r="Q765" s="1094"/>
      <c r="R765" s="882"/>
      <c r="S765" s="883">
        <v>255000</v>
      </c>
      <c r="T765" s="879">
        <v>7.95</v>
      </c>
      <c r="U765" s="803">
        <v>0</v>
      </c>
      <c r="V765" s="803">
        <v>0</v>
      </c>
      <c r="W765" s="803">
        <v>0</v>
      </c>
      <c r="X765" s="858">
        <f>SUMIF('Summary-E'!O$4:O$50,D765,'Summary-E'!Q$4:Q$50)</f>
        <v>0.97</v>
      </c>
      <c r="Y765" s="310">
        <f>ROUND((R765+S765/'Summary-E'!$M$63)*X765,2)</f>
        <v>11.89</v>
      </c>
      <c r="Z765" s="858">
        <f t="shared" si="767"/>
        <v>1.05</v>
      </c>
      <c r="AA765" s="813">
        <f t="shared" si="815"/>
        <v>12.48</v>
      </c>
      <c r="AB765" s="447">
        <f t="shared" si="816"/>
        <v>0.05</v>
      </c>
      <c r="AC765" s="310">
        <f t="shared" si="827"/>
        <v>8.35</v>
      </c>
      <c r="AD765" s="717">
        <f>ROUND(AC765*'[1]Summary E&amp;M'!$R$94,2)</f>
        <v>10.44</v>
      </c>
      <c r="AE765" s="826">
        <f t="shared" si="817"/>
        <v>202.13</v>
      </c>
      <c r="AF765" s="826">
        <f t="shared" si="818"/>
        <v>141.94999999999999</v>
      </c>
      <c r="AG765" s="744"/>
      <c r="AH765" s="728"/>
      <c r="AI765" s="519">
        <f t="shared" si="819"/>
        <v>0</v>
      </c>
      <c r="AJ765" s="519">
        <f t="shared" si="820"/>
        <v>0</v>
      </c>
      <c r="AK765" s="519">
        <f t="shared" si="821"/>
        <v>0</v>
      </c>
      <c r="AL765" s="520">
        <f t="shared" si="822"/>
        <v>0</v>
      </c>
      <c r="AM765" s="520">
        <f t="shared" si="823"/>
        <v>0</v>
      </c>
      <c r="AN765" s="520">
        <f t="shared" si="824"/>
        <v>0</v>
      </c>
      <c r="AO765" s="520">
        <f t="shared" si="825"/>
        <v>0</v>
      </c>
      <c r="AP765" s="719"/>
      <c r="AQ765" s="719"/>
      <c r="AR765" s="719"/>
      <c r="AS765" s="719"/>
      <c r="AT765" s="719"/>
    </row>
    <row r="766" spans="1:46" s="555" customFormat="1" ht="22.5" customHeight="1">
      <c r="A766" s="451"/>
      <c r="B766" s="531" t="s">
        <v>934</v>
      </c>
      <c r="C766" s="566"/>
      <c r="D766" s="1047" t="s">
        <v>389</v>
      </c>
      <c r="E766" s="525" t="s">
        <v>321</v>
      </c>
      <c r="F766" s="1322">
        <f t="shared" si="829"/>
        <v>110</v>
      </c>
      <c r="G766" s="527">
        <f t="shared" si="826"/>
        <v>2.8</v>
      </c>
      <c r="H766" s="528">
        <f t="shared" si="828"/>
        <v>308</v>
      </c>
      <c r="I766" s="529"/>
      <c r="J766" s="309"/>
      <c r="K766" s="1175">
        <f>K761</f>
        <v>110</v>
      </c>
      <c r="L766" s="530">
        <f t="shared" si="813"/>
        <v>0.79</v>
      </c>
      <c r="M766" s="530">
        <f t="shared" si="814"/>
        <v>86.9</v>
      </c>
      <c r="N766" s="309"/>
      <c r="O766" s="778" t="s">
        <v>673</v>
      </c>
      <c r="P766" s="1093"/>
      <c r="Q766" s="1094"/>
      <c r="R766" s="882">
        <v>2.75</v>
      </c>
      <c r="S766" s="883"/>
      <c r="T766" s="879">
        <v>0.6</v>
      </c>
      <c r="U766" s="803">
        <v>0</v>
      </c>
      <c r="V766" s="803">
        <v>0</v>
      </c>
      <c r="W766" s="803">
        <v>0</v>
      </c>
      <c r="X766" s="858">
        <f>SUMIF('Summary-E'!O$4:O$50,D766,'Summary-E'!Q$4:Q$50)</f>
        <v>0.97</v>
      </c>
      <c r="Y766" s="310">
        <f>ROUND((R766+S766/'Summary-E'!$M$63)*X766,2)</f>
        <v>2.67</v>
      </c>
      <c r="Z766" s="858">
        <f t="shared" si="767"/>
        <v>1.05</v>
      </c>
      <c r="AA766" s="813">
        <f t="shared" si="815"/>
        <v>2.8</v>
      </c>
      <c r="AB766" s="447">
        <f t="shared" si="816"/>
        <v>0.05</v>
      </c>
      <c r="AC766" s="310">
        <f t="shared" si="827"/>
        <v>0.63</v>
      </c>
      <c r="AD766" s="717">
        <f>ROUND(AC766*'[1]Summary E&amp;M'!$R$94,2)</f>
        <v>0.79</v>
      </c>
      <c r="AE766" s="826">
        <f t="shared" si="817"/>
        <v>293.7</v>
      </c>
      <c r="AF766" s="826">
        <f t="shared" si="818"/>
        <v>69.3</v>
      </c>
      <c r="AG766" s="744"/>
      <c r="AH766" s="728"/>
      <c r="AI766" s="519">
        <f t="shared" si="819"/>
        <v>0</v>
      </c>
      <c r="AJ766" s="519">
        <f t="shared" si="820"/>
        <v>0</v>
      </c>
      <c r="AK766" s="519">
        <f t="shared" si="821"/>
        <v>0</v>
      </c>
      <c r="AL766" s="520">
        <f t="shared" si="822"/>
        <v>0</v>
      </c>
      <c r="AM766" s="520">
        <f t="shared" si="823"/>
        <v>0</v>
      </c>
      <c r="AN766" s="520">
        <f t="shared" si="824"/>
        <v>0</v>
      </c>
      <c r="AO766" s="520">
        <f t="shared" si="825"/>
        <v>0</v>
      </c>
      <c r="AP766" s="719"/>
      <c r="AQ766" s="719"/>
      <c r="AR766" s="719"/>
      <c r="AS766" s="719"/>
      <c r="AT766" s="719"/>
    </row>
    <row r="767" spans="1:46" s="555" customFormat="1" ht="22.5" customHeight="1">
      <c r="A767" s="451"/>
      <c r="B767" s="531" t="s">
        <v>936</v>
      </c>
      <c r="C767" s="566"/>
      <c r="D767" s="1047" t="s">
        <v>389</v>
      </c>
      <c r="E767" s="525" t="s">
        <v>633</v>
      </c>
      <c r="F767" s="1322">
        <f t="shared" si="829"/>
        <v>7</v>
      </c>
      <c r="G767" s="527">
        <f t="shared" si="826"/>
        <v>95.74</v>
      </c>
      <c r="H767" s="528">
        <f t="shared" si="828"/>
        <v>670.18</v>
      </c>
      <c r="I767" s="529"/>
      <c r="J767" s="309"/>
      <c r="K767" s="1175">
        <v>7</v>
      </c>
      <c r="L767" s="530">
        <f t="shared" si="813"/>
        <v>39.380000000000003</v>
      </c>
      <c r="M767" s="530">
        <f t="shared" si="814"/>
        <v>275.66000000000003</v>
      </c>
      <c r="N767" s="309"/>
      <c r="O767" s="778" t="s">
        <v>673</v>
      </c>
      <c r="P767" s="1093"/>
      <c r="Q767" s="1094"/>
      <c r="R767" s="882">
        <v>94</v>
      </c>
      <c r="S767" s="883"/>
      <c r="T767" s="879">
        <v>30</v>
      </c>
      <c r="U767" s="803">
        <v>0</v>
      </c>
      <c r="V767" s="803">
        <v>0</v>
      </c>
      <c r="W767" s="803">
        <v>0</v>
      </c>
      <c r="X767" s="858">
        <f>SUMIF('Summary-E'!O$4:O$50,D767,'Summary-E'!Q$4:Q$50)</f>
        <v>0.97</v>
      </c>
      <c r="Y767" s="310">
        <f>ROUND((R767+S767/'Summary-E'!$M$63)*X767,2)</f>
        <v>91.18</v>
      </c>
      <c r="Z767" s="858">
        <f t="shared" si="767"/>
        <v>1.05</v>
      </c>
      <c r="AA767" s="813">
        <f t="shared" si="815"/>
        <v>95.74</v>
      </c>
      <c r="AB767" s="447">
        <f t="shared" si="816"/>
        <v>0.05</v>
      </c>
      <c r="AC767" s="310">
        <f t="shared" si="827"/>
        <v>31.5</v>
      </c>
      <c r="AD767" s="717">
        <f>ROUND(AC767*'[1]Summary E&amp;M'!$R$94,2)</f>
        <v>39.380000000000003</v>
      </c>
      <c r="AE767" s="826">
        <f t="shared" si="817"/>
        <v>638.26</v>
      </c>
      <c r="AF767" s="826">
        <f t="shared" si="818"/>
        <v>220.5</v>
      </c>
      <c r="AG767" s="744"/>
      <c r="AH767" s="728"/>
      <c r="AI767" s="519">
        <f t="shared" si="819"/>
        <v>0</v>
      </c>
      <c r="AJ767" s="519">
        <f t="shared" si="820"/>
        <v>0</v>
      </c>
      <c r="AK767" s="519">
        <f t="shared" si="821"/>
        <v>0</v>
      </c>
      <c r="AL767" s="520">
        <f t="shared" si="822"/>
        <v>0</v>
      </c>
      <c r="AM767" s="520">
        <f t="shared" si="823"/>
        <v>0</v>
      </c>
      <c r="AN767" s="520">
        <f t="shared" si="824"/>
        <v>0</v>
      </c>
      <c r="AO767" s="520">
        <f t="shared" si="825"/>
        <v>0</v>
      </c>
      <c r="AP767" s="719"/>
      <c r="AQ767" s="719"/>
      <c r="AR767" s="719"/>
      <c r="AS767" s="719"/>
      <c r="AT767" s="719"/>
    </row>
    <row r="768" spans="1:46" s="555" customFormat="1" ht="22.5" customHeight="1">
      <c r="A768" s="451"/>
      <c r="B768" s="531"/>
      <c r="C768" s="566"/>
      <c r="D768" s="525"/>
      <c r="E768" s="525"/>
      <c r="F768" s="1314"/>
      <c r="G768" s="528"/>
      <c r="H768" s="528"/>
      <c r="I768" s="961"/>
      <c r="J768" s="309"/>
      <c r="K768" s="1175"/>
      <c r="L768" s="530"/>
      <c r="M768" s="530"/>
      <c r="N768" s="309"/>
      <c r="O768" s="778"/>
      <c r="P768" s="777"/>
      <c r="Q768" s="777"/>
      <c r="R768" s="751"/>
      <c r="S768" s="752"/>
      <c r="T768" s="792"/>
      <c r="U768" s="803"/>
      <c r="V768" s="803"/>
      <c r="W768" s="803"/>
      <c r="X768" s="858">
        <f>SUMIF('Summary-E'!O$4:O$50,D768,'Summary-E'!Q$4:Q$50)</f>
        <v>0</v>
      </c>
      <c r="Y768" s="310">
        <f>ROUND((R768+S768/'Summary-E'!$M$63)*X768,2)</f>
        <v>0</v>
      </c>
      <c r="Z768" s="858">
        <f t="shared" si="767"/>
        <v>1.05</v>
      </c>
      <c r="AA768" s="813"/>
      <c r="AB768" s="447"/>
      <c r="AC768" s="310">
        <f t="shared" si="827"/>
        <v>0</v>
      </c>
      <c r="AD768" s="717">
        <f>ROUND(AC768*'[1]Summary E&amp;M'!$R$94,2)</f>
        <v>0</v>
      </c>
      <c r="AE768" s="826">
        <f t="shared" si="817"/>
        <v>0</v>
      </c>
      <c r="AF768" s="826">
        <f t="shared" si="818"/>
        <v>0</v>
      </c>
      <c r="AG768" s="731"/>
      <c r="AH768" s="732"/>
      <c r="AI768" s="519"/>
      <c r="AJ768" s="519"/>
      <c r="AK768" s="519"/>
      <c r="AL768" s="520"/>
      <c r="AM768" s="520"/>
      <c r="AN768" s="520"/>
      <c r="AO768" s="520"/>
      <c r="AP768" s="719"/>
      <c r="AQ768" s="719"/>
      <c r="AR768" s="719"/>
      <c r="AS768" s="719"/>
      <c r="AT768" s="719"/>
    </row>
    <row r="769" spans="1:47" s="555" customFormat="1" ht="22.5" customHeight="1">
      <c r="A769" s="451"/>
      <c r="B769" s="531" t="s">
        <v>324</v>
      </c>
      <c r="C769" s="566"/>
      <c r="D769" s="525">
        <v>210</v>
      </c>
      <c r="E769" s="525" t="s">
        <v>319</v>
      </c>
      <c r="F769" s="1322">
        <f>K769</f>
        <v>1</v>
      </c>
      <c r="G769" s="528">
        <f>M772</f>
        <v>3812.91</v>
      </c>
      <c r="H769" s="528">
        <f>ROUND(F769*G769,2)</f>
        <v>3812.91</v>
      </c>
      <c r="I769" s="961"/>
      <c r="J769" s="309"/>
      <c r="K769" s="1175">
        <v>1</v>
      </c>
      <c r="L769" s="530">
        <f>ROUND(AD769,2)</f>
        <v>0</v>
      </c>
      <c r="M769" s="530">
        <f>ROUND(L769*F769,2)</f>
        <v>0</v>
      </c>
      <c r="N769" s="309"/>
      <c r="O769" s="778">
        <v>210</v>
      </c>
      <c r="P769" s="777"/>
      <c r="Q769" s="777"/>
      <c r="R769" s="751"/>
      <c r="S769" s="752"/>
      <c r="T769" s="792"/>
      <c r="U769" s="803">
        <v>0</v>
      </c>
      <c r="V769" s="803">
        <v>0</v>
      </c>
      <c r="W769" s="803">
        <v>0</v>
      </c>
      <c r="X769" s="858">
        <f>SUMIF('Summary-E'!O$4:O$50,D769,'Summary-E'!Q$4:Q$50)</f>
        <v>0.05</v>
      </c>
      <c r="Y769" s="310">
        <f>ROUND((R769+S769/'Summary-E'!$M$63)*X769,2)</f>
        <v>0</v>
      </c>
      <c r="Z769" s="858">
        <f t="shared" si="767"/>
        <v>1.05</v>
      </c>
      <c r="AA769" s="813">
        <f>ROUND(Y769*Z769,2)</f>
        <v>0</v>
      </c>
      <c r="AB769" s="447">
        <f>$AB$3</f>
        <v>0.05</v>
      </c>
      <c r="AC769" s="310">
        <f t="shared" si="827"/>
        <v>0</v>
      </c>
      <c r="AD769" s="717">
        <f>ROUND(AC769*'[1]Summary E&amp;M'!$R$94,2)</f>
        <v>0</v>
      </c>
      <c r="AE769" s="826">
        <f t="shared" si="817"/>
        <v>0</v>
      </c>
      <c r="AF769" s="826">
        <f t="shared" si="818"/>
        <v>0</v>
      </c>
      <c r="AG769" s="731"/>
      <c r="AH769" s="732"/>
      <c r="AI769" s="519">
        <f>$U769</f>
        <v>0</v>
      </c>
      <c r="AJ769" s="519">
        <f>$V769</f>
        <v>0</v>
      </c>
      <c r="AK769" s="519">
        <f>$W769</f>
        <v>0</v>
      </c>
      <c r="AL769" s="520">
        <f>ROUND(Y769*AI769+((Y769*(1+AI769))*AJ769)+((Y769*AI769+((Y769*(1+AI769))*AJ769))*AK769),2)</f>
        <v>0</v>
      </c>
      <c r="AM769" s="520">
        <f>AL769*$F769</f>
        <v>0</v>
      </c>
      <c r="AN769" s="520">
        <f>ROUND(AL769*Z769,2)</f>
        <v>0</v>
      </c>
      <c r="AO769" s="520">
        <f>AN769*$F769</f>
        <v>0</v>
      </c>
      <c r="AP769" s="719"/>
      <c r="AQ769" s="719"/>
      <c r="AR769" s="719"/>
      <c r="AS769" s="719"/>
      <c r="AT769" s="719"/>
    </row>
    <row r="770" spans="1:47" s="555" customFormat="1" ht="22.5" customHeight="1">
      <c r="A770" s="451"/>
      <c r="B770" s="531" t="s">
        <v>401</v>
      </c>
      <c r="C770" s="566"/>
      <c r="D770" s="525">
        <v>159</v>
      </c>
      <c r="E770" s="525" t="s">
        <v>322</v>
      </c>
      <c r="F770" s="1322">
        <f>K770</f>
        <v>1</v>
      </c>
      <c r="G770" s="527">
        <f>ROUNDUP(AA770,2)</f>
        <v>30.56</v>
      </c>
      <c r="H770" s="528">
        <f>ROUND(F770*G770,2)</f>
        <v>30.56</v>
      </c>
      <c r="I770" s="961"/>
      <c r="J770" s="309"/>
      <c r="K770" s="1175">
        <v>1</v>
      </c>
      <c r="L770" s="530">
        <f>ROUND(AD770,2)</f>
        <v>0</v>
      </c>
      <c r="M770" s="530">
        <f>ROUND(L770*F770,2)</f>
        <v>0</v>
      </c>
      <c r="N770" s="309"/>
      <c r="O770" s="778">
        <v>159</v>
      </c>
      <c r="P770" s="777">
        <v>0.02</v>
      </c>
      <c r="Q770" s="777"/>
      <c r="R770" s="751">
        <f>ROUND(SUM(AE754:AE760)*P770,2)</f>
        <v>30</v>
      </c>
      <c r="S770" s="752"/>
      <c r="T770" s="792"/>
      <c r="U770" s="803">
        <v>0</v>
      </c>
      <c r="V770" s="803">
        <v>0</v>
      </c>
      <c r="W770" s="803">
        <v>0</v>
      </c>
      <c r="X770" s="858">
        <f>SUMIF('Summary-E'!O$4:O$50,D770,'Summary-E'!Q$4:Q$50)</f>
        <v>0.97</v>
      </c>
      <c r="Y770" s="310">
        <f>ROUND((R770+S770/'Summary-E'!$M$63)*X770,2)</f>
        <v>29.1</v>
      </c>
      <c r="Z770" s="858">
        <f t="shared" si="767"/>
        <v>1.05</v>
      </c>
      <c r="AA770" s="813">
        <f>ROUND(Y770*Z770,2)</f>
        <v>30.56</v>
      </c>
      <c r="AB770" s="447">
        <f>$AB$3</f>
        <v>0.05</v>
      </c>
      <c r="AC770" s="310">
        <f t="shared" si="827"/>
        <v>0</v>
      </c>
      <c r="AD770" s="717">
        <f>ROUND(AC770*'[1]Summary E&amp;M'!$R$94,2)</f>
        <v>0</v>
      </c>
      <c r="AE770" s="826">
        <f t="shared" si="817"/>
        <v>29.1</v>
      </c>
      <c r="AF770" s="826">
        <f t="shared" si="818"/>
        <v>0</v>
      </c>
      <c r="AG770" s="731"/>
      <c r="AH770" s="732"/>
      <c r="AI770" s="519">
        <f>$U770</f>
        <v>0</v>
      </c>
      <c r="AJ770" s="519">
        <f>$V770</f>
        <v>0</v>
      </c>
      <c r="AK770" s="519">
        <f>$W770</f>
        <v>0</v>
      </c>
      <c r="AL770" s="520">
        <f>ROUND(Y770*AI770+((Y770*(1+AI770))*AJ770)+((Y770*AI770+((Y770*(1+AI770))*AJ770))*AK770),2)</f>
        <v>0</v>
      </c>
      <c r="AM770" s="520">
        <f>AL770*$F770</f>
        <v>0</v>
      </c>
      <c r="AN770" s="520">
        <f>ROUND(AL770*Z770,2)</f>
        <v>0</v>
      </c>
      <c r="AO770" s="520">
        <f>AN770*$F770</f>
        <v>0</v>
      </c>
      <c r="AP770" s="719"/>
      <c r="AQ770" s="719"/>
      <c r="AR770" s="719"/>
      <c r="AS770" s="719"/>
      <c r="AT770" s="719"/>
    </row>
    <row r="771" spans="1:47" s="555" customFormat="1" ht="22.5" customHeight="1">
      <c r="A771" s="620"/>
      <c r="B771" s="522"/>
      <c r="C771" s="566"/>
      <c r="D771" s="1158"/>
      <c r="E771" s="525"/>
      <c r="F771" s="1314"/>
      <c r="G771" s="527"/>
      <c r="H771" s="528"/>
      <c r="I771" s="529"/>
      <c r="J771" s="311"/>
      <c r="K771" s="1175"/>
      <c r="L771" s="530"/>
      <c r="M771" s="530"/>
      <c r="N771" s="309"/>
      <c r="O771" s="776"/>
      <c r="P771" s="777"/>
      <c r="Q771" s="777"/>
      <c r="R771" s="751"/>
      <c r="S771" s="752"/>
      <c r="T771" s="792"/>
      <c r="U771" s="803"/>
      <c r="V771" s="803"/>
      <c r="W771" s="803"/>
      <c r="X771" s="858">
        <f>SUMIF('Summary-E'!O$4:O$50,D771,'Summary-E'!Q$4:Q$50)</f>
        <v>0</v>
      </c>
      <c r="Y771" s="310">
        <f>ROUND((R771+S771/'Summary-E'!$M$63)*X771,2)</f>
        <v>0</v>
      </c>
      <c r="Z771" s="858">
        <f t="shared" si="767"/>
        <v>1.05</v>
      </c>
      <c r="AA771" s="813"/>
      <c r="AB771" s="447"/>
      <c r="AC771" s="310">
        <f t="shared" si="827"/>
        <v>0</v>
      </c>
      <c r="AD771" s="717">
        <f>ROUND(AC771*'[1]Summary E&amp;M'!$R$94,2)</f>
        <v>0</v>
      </c>
      <c r="AE771" s="826"/>
      <c r="AF771" s="826"/>
      <c r="AG771" s="731"/>
      <c r="AH771" s="732"/>
      <c r="AI771" s="519"/>
      <c r="AJ771" s="519"/>
      <c r="AK771" s="519"/>
      <c r="AL771" s="520"/>
      <c r="AM771" s="520"/>
      <c r="AN771" s="520"/>
      <c r="AO771" s="520"/>
      <c r="AP771" s="719"/>
      <c r="AQ771" s="719"/>
      <c r="AR771" s="719"/>
      <c r="AS771" s="719"/>
      <c r="AT771" s="719"/>
    </row>
    <row r="772" spans="1:47" s="711" customFormat="1" ht="22.5" customHeight="1">
      <c r="A772" s="973"/>
      <c r="B772" s="974" t="s">
        <v>409</v>
      </c>
      <c r="C772" s="979"/>
      <c r="D772" s="973"/>
      <c r="E772" s="973"/>
      <c r="F772" s="1317"/>
      <c r="G772" s="971"/>
      <c r="H772" s="977">
        <f>SUBTOTAL(9,H750:H771)</f>
        <v>14224.919999999998</v>
      </c>
      <c r="I772" s="978"/>
      <c r="J772" s="551"/>
      <c r="K772" s="1177"/>
      <c r="L772" s="550"/>
      <c r="M772" s="1051">
        <f>SUBTOTAL(9,M750:M770)</f>
        <v>3812.91</v>
      </c>
      <c r="N772" s="549"/>
      <c r="O772" s="779"/>
      <c r="P772" s="780"/>
      <c r="Q772" s="780"/>
      <c r="R772" s="759"/>
      <c r="S772" s="760"/>
      <c r="T772" s="795"/>
      <c r="U772" s="803">
        <v>0</v>
      </c>
      <c r="V772" s="803">
        <v>0</v>
      </c>
      <c r="W772" s="803">
        <v>0</v>
      </c>
      <c r="X772" s="858">
        <f>SUMIF('Summary-E'!O$4:O$50,D772,'Summary-E'!Q$4:Q$50)</f>
        <v>0</v>
      </c>
      <c r="Y772" s="310">
        <f>ROUND((R772+S772/'Summary-E'!$M$63)*X772,2)</f>
        <v>0</v>
      </c>
      <c r="Z772" s="858">
        <f t="shared" si="767"/>
        <v>1.05</v>
      </c>
      <c r="AA772" s="816"/>
      <c r="AB772" s="552"/>
      <c r="AC772" s="310">
        <f t="shared" si="827"/>
        <v>0</v>
      </c>
      <c r="AD772" s="717">
        <f>ROUND(AC772*'[1]Summary E&amp;M'!$R$94,2)</f>
        <v>0</v>
      </c>
      <c r="AE772" s="828">
        <f>SUBTOTAL(9,AE750:AE771)</f>
        <v>9849.9700000000012</v>
      </c>
      <c r="AF772" s="828">
        <f>SUBTOTAL(9,AF750:AF771)</f>
        <v>2992.34</v>
      </c>
      <c r="AG772" s="733"/>
      <c r="AH772" s="734"/>
      <c r="AI772" s="713"/>
      <c r="AJ772" s="713"/>
      <c r="AK772" s="713"/>
      <c r="AL772" s="713"/>
      <c r="AM772" s="712">
        <f>SUBTOTAL(9,AM750:AM770)</f>
        <v>0</v>
      </c>
      <c r="AN772" s="713"/>
      <c r="AO772" s="712">
        <f>SUBTOTAL(9,AO750:AO770)</f>
        <v>0</v>
      </c>
      <c r="AP772" s="722"/>
      <c r="AQ772" s="722"/>
      <c r="AR772" s="722"/>
      <c r="AS772" s="722"/>
      <c r="AT772" s="722"/>
    </row>
    <row r="773" spans="1:47" s="555" customFormat="1" ht="22.5" customHeight="1">
      <c r="A773" s="888"/>
      <c r="B773" s="889"/>
      <c r="C773" s="1159"/>
      <c r="D773" s="890"/>
      <c r="E773" s="890"/>
      <c r="F773" s="1332"/>
      <c r="G773" s="891"/>
      <c r="H773" s="892"/>
      <c r="I773" s="893"/>
      <c r="J773" s="311"/>
      <c r="K773" s="1175"/>
      <c r="L773" s="530"/>
      <c r="M773" s="530"/>
      <c r="N773" s="309"/>
      <c r="O773" s="776"/>
      <c r="P773" s="777"/>
      <c r="Q773" s="777"/>
      <c r="R773" s="751"/>
      <c r="S773" s="752"/>
      <c r="T773" s="792"/>
      <c r="U773" s="803"/>
      <c r="V773" s="803"/>
      <c r="W773" s="803"/>
      <c r="X773" s="858">
        <f>SUMIF('Summary-E'!O$4:O$50,D773,'Summary-E'!Q$4:Q$50)</f>
        <v>0</v>
      </c>
      <c r="Y773" s="310">
        <f>ROUND((R773+S773/'Summary-E'!$M$63)*X773,2)</f>
        <v>0</v>
      </c>
      <c r="Z773" s="858">
        <f t="shared" ref="Z773:Z836" si="830">$Z$4</f>
        <v>1.05</v>
      </c>
      <c r="AA773" s="813"/>
      <c r="AB773" s="447"/>
      <c r="AC773" s="310">
        <f t="shared" si="827"/>
        <v>0</v>
      </c>
      <c r="AD773" s="717">
        <f>ROUND(AC773*'[1]Summary E&amp;M'!$R$94,2)</f>
        <v>0</v>
      </c>
      <c r="AE773" s="826"/>
      <c r="AF773" s="826"/>
      <c r="AG773" s="731"/>
      <c r="AH773" s="732"/>
      <c r="AI773" s="519"/>
      <c r="AJ773" s="519"/>
      <c r="AK773" s="519"/>
      <c r="AL773" s="520"/>
      <c r="AM773" s="520"/>
      <c r="AN773" s="520"/>
      <c r="AO773" s="520"/>
      <c r="AP773" s="719"/>
      <c r="AQ773" s="719"/>
      <c r="AR773" s="719"/>
      <c r="AS773" s="719"/>
      <c r="AT773" s="719"/>
    </row>
    <row r="774" spans="1:47" s="555" customFormat="1" ht="22.5" customHeight="1">
      <c r="A774" s="620" t="s">
        <v>410</v>
      </c>
      <c r="B774" s="522" t="s">
        <v>141</v>
      </c>
      <c r="C774" s="566"/>
      <c r="D774" s="525"/>
      <c r="E774" s="525"/>
      <c r="F774" s="1314"/>
      <c r="G774" s="527"/>
      <c r="H774" s="1066"/>
      <c r="I774" s="963" t="s">
        <v>713</v>
      </c>
      <c r="J774" s="311"/>
      <c r="K774" s="1175"/>
      <c r="L774" s="530"/>
      <c r="M774" s="530"/>
      <c r="N774" s="309"/>
      <c r="O774" s="776"/>
      <c r="P774" s="777"/>
      <c r="Q774" s="777"/>
      <c r="R774" s="751"/>
      <c r="S774" s="752"/>
      <c r="T774" s="792"/>
      <c r="U774" s="803"/>
      <c r="V774" s="803"/>
      <c r="W774" s="803"/>
      <c r="X774" s="858">
        <f>SUMIF('Summary-E'!O$4:O$50,D774,'Summary-E'!Q$4:Q$50)</f>
        <v>0</v>
      </c>
      <c r="Y774" s="310">
        <f>ROUND((R774+S774/'Summary-E'!$M$63)*X774,2)</f>
        <v>0</v>
      </c>
      <c r="Z774" s="858">
        <f t="shared" si="830"/>
        <v>1.05</v>
      </c>
      <c r="AA774" s="813"/>
      <c r="AB774" s="447"/>
      <c r="AC774" s="310">
        <f t="shared" si="827"/>
        <v>0</v>
      </c>
      <c r="AD774" s="717">
        <f>ROUND(AC774*'[1]Summary E&amp;M'!$R$94,2)</f>
        <v>0</v>
      </c>
      <c r="AE774" s="826">
        <f>ROUND($K774*$Y774,2)</f>
        <v>0</v>
      </c>
      <c r="AF774" s="826">
        <f>ROUND($K774*$AC774,2)</f>
        <v>0</v>
      </c>
      <c r="AG774" s="731"/>
      <c r="AH774" s="732"/>
      <c r="AI774" s="519"/>
      <c r="AJ774" s="519"/>
      <c r="AK774" s="519"/>
      <c r="AL774" s="520"/>
      <c r="AM774" s="520"/>
      <c r="AN774" s="520"/>
      <c r="AO774" s="520"/>
      <c r="AP774" s="719"/>
      <c r="AQ774" s="719"/>
      <c r="AR774" s="719"/>
      <c r="AS774" s="719"/>
      <c r="AT774" s="719"/>
    </row>
    <row r="775" spans="1:47" s="555" customFormat="1" ht="22.5" customHeight="1">
      <c r="A775" s="894"/>
      <c r="B775" s="895"/>
      <c r="C775" s="1160"/>
      <c r="D775" s="894"/>
      <c r="E775" s="894"/>
      <c r="F775" s="1331"/>
      <c r="G775" s="898"/>
      <c r="H775" s="899"/>
      <c r="I775" s="900"/>
      <c r="J775" s="309"/>
      <c r="K775" s="1178"/>
      <c r="L775" s="530"/>
      <c r="M775" s="537"/>
      <c r="N775" s="309"/>
      <c r="O775" s="776"/>
      <c r="P775" s="777"/>
      <c r="Q775" s="777"/>
      <c r="R775" s="751"/>
      <c r="S775" s="752"/>
      <c r="T775" s="792"/>
      <c r="U775" s="803"/>
      <c r="V775" s="803"/>
      <c r="W775" s="803"/>
      <c r="X775" s="858">
        <f>SUMIF('Summary-E'!O$4:O$50,D775,'Summary-E'!Q$4:Q$50)</f>
        <v>0</v>
      </c>
      <c r="Y775" s="310">
        <f>ROUND((R775+S775/'Summary-E'!$M$63)*X775,2)</f>
        <v>0</v>
      </c>
      <c r="Z775" s="858">
        <f t="shared" si="830"/>
        <v>1.05</v>
      </c>
      <c r="AA775" s="816"/>
      <c r="AB775" s="552"/>
      <c r="AC775" s="310">
        <f t="shared" si="827"/>
        <v>0</v>
      </c>
      <c r="AD775" s="717">
        <f>ROUND(AC775*'[1]Summary E&amp;M'!$R$94,2)</f>
        <v>0</v>
      </c>
      <c r="AE775" s="831"/>
      <c r="AF775" s="831"/>
      <c r="AG775" s="735"/>
      <c r="AH775" s="736"/>
      <c r="AI775" s="552"/>
      <c r="AJ775" s="552"/>
      <c r="AK775" s="552"/>
      <c r="AL775" s="552"/>
      <c r="AM775" s="536"/>
      <c r="AN775" s="552"/>
      <c r="AO775" s="536"/>
      <c r="AP775" s="719"/>
      <c r="AQ775" s="719"/>
      <c r="AR775" s="719"/>
      <c r="AS775" s="719"/>
      <c r="AT775" s="719"/>
    </row>
    <row r="776" spans="1:47" s="711" customFormat="1" ht="22.5" customHeight="1">
      <c r="A776" s="973"/>
      <c r="B776" s="974" t="s">
        <v>799</v>
      </c>
      <c r="C776" s="979"/>
      <c r="D776" s="973"/>
      <c r="E776" s="973"/>
      <c r="F776" s="1317"/>
      <c r="G776" s="971"/>
      <c r="H776" s="977">
        <f>SUBTOTAL(9,H773:H774)</f>
        <v>0</v>
      </c>
      <c r="I776" s="978"/>
      <c r="J776" s="551"/>
      <c r="K776" s="1177"/>
      <c r="L776" s="550"/>
      <c r="M776" s="1051">
        <f>SUBTOTAL(9,M773:M774)</f>
        <v>0</v>
      </c>
      <c r="N776" s="549"/>
      <c r="O776" s="779"/>
      <c r="P776" s="780"/>
      <c r="Q776" s="780"/>
      <c r="R776" s="759"/>
      <c r="S776" s="760"/>
      <c r="T776" s="792"/>
      <c r="U776" s="803">
        <v>0</v>
      </c>
      <c r="V776" s="803">
        <v>0</v>
      </c>
      <c r="W776" s="803">
        <v>0</v>
      </c>
      <c r="X776" s="858">
        <f>SUMIF('Summary-E'!O$4:O$50,D776,'Summary-E'!Q$4:Q$50)</f>
        <v>0</v>
      </c>
      <c r="Y776" s="310">
        <f>ROUND((R776+S776/'Summary-E'!$M$63)*X776,2)</f>
        <v>0</v>
      </c>
      <c r="Z776" s="858">
        <f t="shared" si="830"/>
        <v>1.05</v>
      </c>
      <c r="AA776" s="816"/>
      <c r="AB776" s="552"/>
      <c r="AC776" s="310">
        <f t="shared" si="827"/>
        <v>0</v>
      </c>
      <c r="AD776" s="721">
        <f>ROUND(AC776*'[1]Summary E&amp;M'!$R$94,2)</f>
        <v>0</v>
      </c>
      <c r="AE776" s="828">
        <f>SUBTOTAL(9,AE773:AE774)</f>
        <v>0</v>
      </c>
      <c r="AF776" s="828">
        <f>SUBTOTAL(9,AF773:AF774)</f>
        <v>0</v>
      </c>
      <c r="AG776" s="733"/>
      <c r="AH776" s="734"/>
      <c r="AI776" s="713"/>
      <c r="AJ776" s="713"/>
      <c r="AK776" s="713"/>
      <c r="AL776" s="713"/>
      <c r="AM776" s="712">
        <f>SUBTOTAL(9,AM773:AM774)</f>
        <v>0</v>
      </c>
      <c r="AN776" s="713"/>
      <c r="AO776" s="712">
        <f>SUBTOTAL(9,AO773:AO774)</f>
        <v>0</v>
      </c>
      <c r="AP776" s="722"/>
      <c r="AQ776" s="722"/>
      <c r="AR776" s="722"/>
      <c r="AS776" s="722"/>
      <c r="AT776" s="722"/>
    </row>
    <row r="777" spans="1:47" s="555" customFormat="1" ht="22.5" customHeight="1">
      <c r="A777" s="640"/>
      <c r="B777" s="557"/>
      <c r="C777" s="558"/>
      <c r="D777" s="640"/>
      <c r="E777" s="640"/>
      <c r="F777" s="1323"/>
      <c r="G777" s="560"/>
      <c r="H777" s="561"/>
      <c r="I777" s="562"/>
      <c r="J777" s="309"/>
      <c r="K777" s="1180"/>
      <c r="L777" s="530"/>
      <c r="M777" s="561"/>
      <c r="N777" s="309"/>
      <c r="O777" s="776"/>
      <c r="P777" s="777"/>
      <c r="Q777" s="777"/>
      <c r="R777" s="751"/>
      <c r="S777" s="752"/>
      <c r="T777" s="792"/>
      <c r="U777" s="803"/>
      <c r="V777" s="803"/>
      <c r="W777" s="803"/>
      <c r="X777" s="858">
        <f>SUMIF('Summary-E'!O$4:O$50,D777,'Summary-E'!Q$4:Q$50)</f>
        <v>0</v>
      </c>
      <c r="Y777" s="310">
        <f>ROUND((R777+S777/'Summary-E'!$M$63)*X777,2)</f>
        <v>0</v>
      </c>
      <c r="Z777" s="858">
        <f t="shared" si="830"/>
        <v>1.05</v>
      </c>
      <c r="AA777" s="816"/>
      <c r="AB777" s="552"/>
      <c r="AC777" s="310">
        <f t="shared" si="827"/>
        <v>0</v>
      </c>
      <c r="AD777" s="717">
        <f>ROUND(AC777*'[1]Summary E&amp;M'!$R$94,2)</f>
        <v>0</v>
      </c>
      <c r="AE777" s="833"/>
      <c r="AF777" s="833"/>
      <c r="AG777" s="735"/>
      <c r="AH777" s="736"/>
      <c r="AI777" s="552"/>
      <c r="AJ777" s="552"/>
      <c r="AK777" s="552"/>
      <c r="AL777" s="552"/>
      <c r="AM777" s="560"/>
      <c r="AN777" s="552"/>
      <c r="AO777" s="560"/>
      <c r="AP777" s="719"/>
      <c r="AQ777" s="719"/>
      <c r="AR777" s="719"/>
      <c r="AS777" s="719"/>
      <c r="AT777" s="719"/>
    </row>
    <row r="778" spans="1:47" s="555" customFormat="1" ht="22.5" customHeight="1">
      <c r="A778" s="620" t="s">
        <v>411</v>
      </c>
      <c r="B778" s="522" t="s">
        <v>778</v>
      </c>
      <c r="C778" s="566"/>
      <c r="D778" s="525"/>
      <c r="E778" s="525"/>
      <c r="F778" s="1314"/>
      <c r="G778" s="541"/>
      <c r="H778" s="1066"/>
      <c r="I778" s="963" t="s">
        <v>713</v>
      </c>
      <c r="J778" s="311"/>
      <c r="K778" s="1175"/>
      <c r="L778" s="530"/>
      <c r="M778" s="530"/>
      <c r="N778" s="309"/>
      <c r="O778" s="776"/>
      <c r="P778" s="777"/>
      <c r="Q778" s="777"/>
      <c r="R778" s="751"/>
      <c r="S778" s="752"/>
      <c r="T778" s="792"/>
      <c r="U778" s="803"/>
      <c r="V778" s="803"/>
      <c r="W778" s="803"/>
      <c r="X778" s="858">
        <f>SUMIF('Summary-E'!O$4:O$50,D778,'Summary-E'!Q$4:Q$50)</f>
        <v>0</v>
      </c>
      <c r="Y778" s="310">
        <f>ROUND((R778+S778/'Summary-E'!$M$63)*X778,2)</f>
        <v>0</v>
      </c>
      <c r="Z778" s="858">
        <f t="shared" si="830"/>
        <v>1.05</v>
      </c>
      <c r="AA778" s="813"/>
      <c r="AB778" s="447"/>
      <c r="AC778" s="310">
        <f t="shared" si="827"/>
        <v>0</v>
      </c>
      <c r="AD778" s="717">
        <f>ROUND(AC778*'[1]Summary E&amp;M'!$R$94,2)</f>
        <v>0</v>
      </c>
      <c r="AE778" s="826">
        <f>ROUND($K778*$Y778,2)</f>
        <v>0</v>
      </c>
      <c r="AF778" s="826">
        <f>ROUND($K778*$AC778,2)</f>
        <v>0</v>
      </c>
      <c r="AG778" s="731"/>
      <c r="AH778" s="732"/>
      <c r="AI778" s="519"/>
      <c r="AJ778" s="519"/>
      <c r="AK778" s="519"/>
      <c r="AL778" s="520"/>
      <c r="AM778" s="520"/>
      <c r="AN778" s="520"/>
      <c r="AO778" s="520"/>
      <c r="AP778" s="719"/>
      <c r="AQ778" s="719"/>
      <c r="AR778" s="719"/>
      <c r="AS778" s="719"/>
      <c r="AT778" s="719"/>
    </row>
    <row r="779" spans="1:47" s="555" customFormat="1" ht="22.5" customHeight="1">
      <c r="A779" s="451"/>
      <c r="B779" s="531"/>
      <c r="C779" s="566"/>
      <c r="D779" s="525"/>
      <c r="E779" s="525"/>
      <c r="F779" s="1314"/>
      <c r="G779" s="527"/>
      <c r="H779" s="528"/>
      <c r="I779" s="529"/>
      <c r="J779" s="309"/>
      <c r="K779" s="1175"/>
      <c r="L779" s="530">
        <f>ROUND(AD779,2)</f>
        <v>0</v>
      </c>
      <c r="M779" s="530">
        <f>ROUND(L779*F779,2)</f>
        <v>0</v>
      </c>
      <c r="N779" s="309"/>
      <c r="O779" s="778"/>
      <c r="P779" s="777"/>
      <c r="Q779" s="777"/>
      <c r="R779" s="751"/>
      <c r="S779" s="752"/>
      <c r="T779" s="792"/>
      <c r="U779" s="803">
        <v>0</v>
      </c>
      <c r="V779" s="803">
        <v>0</v>
      </c>
      <c r="W779" s="803">
        <v>0</v>
      </c>
      <c r="X779" s="858">
        <f>SUMIF('Summary-E'!O$4:O$50,D779,'Summary-E'!Q$4:Q$50)</f>
        <v>0</v>
      </c>
      <c r="Y779" s="310">
        <f>ROUND((R779+S779/'Summary-E'!$M$63)*X779,2)</f>
        <v>0</v>
      </c>
      <c r="Z779" s="858">
        <f t="shared" si="830"/>
        <v>1.05</v>
      </c>
      <c r="AA779" s="813">
        <f>ROUND(Y779*Z779,2)</f>
        <v>0</v>
      </c>
      <c r="AB779" s="447">
        <f>$AB$3</f>
        <v>0.05</v>
      </c>
      <c r="AC779" s="310">
        <f t="shared" si="827"/>
        <v>0</v>
      </c>
      <c r="AD779" s="717">
        <f>ROUND(AC779*'[1]Summary E&amp;M'!$R$94,2)</f>
        <v>0</v>
      </c>
      <c r="AE779" s="826">
        <f>ROUND($K779*$Y779,2)</f>
        <v>0</v>
      </c>
      <c r="AF779" s="826">
        <f>ROUND($K779*$AC779,2)</f>
        <v>0</v>
      </c>
      <c r="AG779" s="731"/>
      <c r="AH779" s="732"/>
      <c r="AI779" s="519">
        <f>$U779</f>
        <v>0</v>
      </c>
      <c r="AJ779" s="519">
        <f>$V779</f>
        <v>0</v>
      </c>
      <c r="AK779" s="519">
        <f>$W779</f>
        <v>0</v>
      </c>
      <c r="AL779" s="520">
        <f>ROUND(Y779*AI779+((Y779*(1+AI779))*AJ779)+((Y779*AI779+((Y779*(1+AI779))*AJ779))*AK779),2)</f>
        <v>0</v>
      </c>
      <c r="AM779" s="520">
        <f>AL779*$F779</f>
        <v>0</v>
      </c>
      <c r="AN779" s="520">
        <f>ROUND(AL779*Z779,2)</f>
        <v>0</v>
      </c>
      <c r="AO779" s="520">
        <f>AN779*$F779</f>
        <v>0</v>
      </c>
      <c r="AP779" s="719"/>
      <c r="AQ779" s="719"/>
      <c r="AR779" s="719"/>
      <c r="AS779" s="719"/>
      <c r="AT779" s="719"/>
    </row>
    <row r="780" spans="1:47" s="711" customFormat="1" ht="22.5" customHeight="1">
      <c r="A780" s="973"/>
      <c r="B780" s="974" t="s">
        <v>428</v>
      </c>
      <c r="C780" s="979"/>
      <c r="D780" s="973"/>
      <c r="E780" s="973"/>
      <c r="F780" s="1317"/>
      <c r="G780" s="971"/>
      <c r="H780" s="977">
        <f>SUBTOTAL(9,H778:H779)</f>
        <v>0</v>
      </c>
      <c r="I780" s="978"/>
      <c r="J780" s="551"/>
      <c r="K780" s="1177"/>
      <c r="L780" s="550"/>
      <c r="M780" s="1051">
        <f>SUBTOTAL(9,M778:M779)</f>
        <v>0</v>
      </c>
      <c r="N780" s="549"/>
      <c r="O780" s="779"/>
      <c r="P780" s="780"/>
      <c r="Q780" s="780"/>
      <c r="R780" s="837"/>
      <c r="S780" s="837"/>
      <c r="T780" s="838"/>
      <c r="U780" s="803">
        <v>0</v>
      </c>
      <c r="V780" s="803">
        <v>0</v>
      </c>
      <c r="W780" s="803">
        <v>0</v>
      </c>
      <c r="X780" s="858">
        <f>SUMIF('Summary-E'!O$4:O$50,D780,'Summary-E'!Q$4:Q$50)</f>
        <v>0</v>
      </c>
      <c r="Y780" s="310">
        <f>ROUND((R780+S780/'Summary-E'!$M$63)*X780,2)</f>
        <v>0</v>
      </c>
      <c r="Z780" s="858">
        <f t="shared" si="830"/>
        <v>1.05</v>
      </c>
      <c r="AA780" s="816"/>
      <c r="AB780" s="552"/>
      <c r="AC780" s="310">
        <f t="shared" si="827"/>
        <v>0</v>
      </c>
      <c r="AD780" s="717">
        <f>ROUND(AC780*'[1]Summary E&amp;M'!$R$94,2)</f>
        <v>0</v>
      </c>
      <c r="AE780" s="828">
        <f>SUBTOTAL(9,AE778:AE779)</f>
        <v>0</v>
      </c>
      <c r="AF780" s="828">
        <f>SUBTOTAL(9,AF778:AF779)</f>
        <v>0</v>
      </c>
      <c r="AG780" s="733"/>
      <c r="AH780" s="734"/>
      <c r="AI780" s="713"/>
      <c r="AJ780" s="713"/>
      <c r="AK780" s="713"/>
      <c r="AL780" s="713"/>
      <c r="AM780" s="712">
        <f>SUBTOTAL(9,AM778:AM779)</f>
        <v>0</v>
      </c>
      <c r="AN780" s="713"/>
      <c r="AO780" s="712">
        <f>SUBTOTAL(9,AO778:AO779)</f>
        <v>0</v>
      </c>
      <c r="AP780" s="722"/>
      <c r="AQ780" s="722"/>
      <c r="AR780" s="722"/>
      <c r="AS780" s="722"/>
      <c r="AT780" s="722"/>
    </row>
    <row r="781" spans="1:47" s="555" customFormat="1" ht="22.5" customHeight="1">
      <c r="A781" s="545"/>
      <c r="B781" s="543"/>
      <c r="C781" s="544"/>
      <c r="D781" s="545"/>
      <c r="E781" s="545"/>
      <c r="F781" s="1320"/>
      <c r="G781" s="547"/>
      <c r="H781" s="564"/>
      <c r="I781" s="565"/>
      <c r="J781" s="551"/>
      <c r="K781" s="1181"/>
      <c r="L781" s="550"/>
      <c r="M781" s="550"/>
      <c r="N781" s="549"/>
      <c r="O781" s="776"/>
      <c r="P781" s="777"/>
      <c r="Q781" s="777"/>
      <c r="R781" s="751"/>
      <c r="S781" s="752"/>
      <c r="T781" s="792"/>
      <c r="U781" s="803"/>
      <c r="V781" s="803"/>
      <c r="W781" s="803"/>
      <c r="X781" s="858">
        <f>SUMIF('Summary-E'!O$4:O$50,D781,'Summary-E'!Q$4:Q$50)</f>
        <v>0</v>
      </c>
      <c r="Y781" s="310">
        <f>ROUND((R781+S781/'Summary-E'!$M$63)*X781,2)</f>
        <v>0</v>
      </c>
      <c r="Z781" s="858">
        <f t="shared" si="830"/>
        <v>1.05</v>
      </c>
      <c r="AA781" s="816"/>
      <c r="AB781" s="552"/>
      <c r="AC781" s="310">
        <f t="shared" si="827"/>
        <v>0</v>
      </c>
      <c r="AD781" s="717">
        <f>ROUND(AC781*'[1]Summary E&amp;M'!$R$94,2)</f>
        <v>0</v>
      </c>
      <c r="AE781" s="834"/>
      <c r="AF781" s="834"/>
      <c r="AG781" s="618"/>
      <c r="AH781" s="736"/>
      <c r="AI781" s="724"/>
      <c r="AJ781" s="552"/>
      <c r="AK781" s="552"/>
      <c r="AL781" s="552"/>
      <c r="AM781" s="552"/>
      <c r="AN781" s="553"/>
      <c r="AO781" s="552"/>
      <c r="AP781" s="553"/>
      <c r="AQ781" s="719"/>
      <c r="AR781" s="719"/>
      <c r="AS781" s="719"/>
      <c r="AT781" s="719"/>
      <c r="AU781" s="643"/>
    </row>
    <row r="782" spans="1:47" s="555" customFormat="1" ht="22.5" customHeight="1">
      <c r="A782" s="620" t="s">
        <v>412</v>
      </c>
      <c r="B782" s="522" t="s">
        <v>402</v>
      </c>
      <c r="C782" s="566"/>
      <c r="D782" s="525"/>
      <c r="E782" s="525"/>
      <c r="F782" s="1314"/>
      <c r="G782" s="527"/>
      <c r="H782" s="527"/>
      <c r="I782" s="567"/>
      <c r="J782" s="309"/>
      <c r="K782" s="1149"/>
      <c r="L782" s="530"/>
      <c r="M782" s="530"/>
      <c r="N782" s="309"/>
      <c r="O782" s="776"/>
      <c r="P782" s="777"/>
      <c r="Q782" s="777"/>
      <c r="R782" s="751"/>
      <c r="S782" s="752"/>
      <c r="T782" s="792"/>
      <c r="U782" s="803">
        <v>0</v>
      </c>
      <c r="V782" s="803">
        <v>0</v>
      </c>
      <c r="W782" s="803">
        <v>0</v>
      </c>
      <c r="X782" s="858">
        <f>SUMIF('Summary-E'!O$4:O$50,D782,'Summary-E'!Q$4:Q$50)</f>
        <v>0</v>
      </c>
      <c r="Y782" s="310">
        <f>ROUND((R782+S782/'Summary-E'!$M$63)*X782,2)</f>
        <v>0</v>
      </c>
      <c r="Z782" s="858">
        <f t="shared" si="830"/>
        <v>1.05</v>
      </c>
      <c r="AA782" s="816"/>
      <c r="AB782" s="552"/>
      <c r="AC782" s="310">
        <f t="shared" si="827"/>
        <v>0</v>
      </c>
      <c r="AD782" s="717">
        <f>ROUND(AC782*'[1]Summary E&amp;M'!$R$94,2)</f>
        <v>0</v>
      </c>
      <c r="AE782" s="825">
        <f>ROUND($K782*$Y782,2)</f>
        <v>0</v>
      </c>
      <c r="AF782" s="825">
        <f>ROUND($K782*$AC782,2)</f>
        <v>0</v>
      </c>
      <c r="AG782" s="743"/>
      <c r="AH782" s="737"/>
      <c r="AI782" s="552"/>
      <c r="AJ782" s="552"/>
      <c r="AK782" s="552"/>
      <c r="AL782" s="552"/>
      <c r="AM782" s="552"/>
      <c r="AN782" s="552"/>
      <c r="AO782" s="552"/>
      <c r="AP782" s="552"/>
      <c r="AQ782" s="552"/>
      <c r="AR782" s="552"/>
      <c r="AS782" s="552"/>
      <c r="AT782" s="552"/>
    </row>
    <row r="783" spans="1:47" s="555" customFormat="1" ht="22.5" customHeight="1">
      <c r="A783" s="620"/>
      <c r="B783" s="1153" t="s">
        <v>1224</v>
      </c>
      <c r="C783" s="566"/>
      <c r="D783" s="1201">
        <v>161</v>
      </c>
      <c r="E783" s="525" t="s">
        <v>319</v>
      </c>
      <c r="F783" s="1371">
        <f t="shared" ref="F783:F789" si="831">K783</f>
        <v>30</v>
      </c>
      <c r="G783" s="527">
        <f t="shared" ref="G783:G804" si="832">ROUNDUP(AA783,2)</f>
        <v>18.48</v>
      </c>
      <c r="H783" s="527">
        <f>ROUND(F783*G783,2)</f>
        <v>554.4</v>
      </c>
      <c r="I783" s="567"/>
      <c r="J783" s="309"/>
      <c r="K783" s="1149">
        <v>30</v>
      </c>
      <c r="L783" s="530">
        <f>ROUND(AD783,2)</f>
        <v>4.5999999999999996</v>
      </c>
      <c r="M783" s="530">
        <f t="shared" ref="M783:M804" si="833">ROUND(L783*F783,2)</f>
        <v>138</v>
      </c>
      <c r="N783" s="309"/>
      <c r="O783" s="776">
        <v>161</v>
      </c>
      <c r="P783" s="777"/>
      <c r="Q783" s="777"/>
      <c r="R783" s="751"/>
      <c r="S783" s="752">
        <v>366000</v>
      </c>
      <c r="T783" s="792">
        <v>3.5</v>
      </c>
      <c r="U783" s="803">
        <v>0</v>
      </c>
      <c r="V783" s="803">
        <v>0</v>
      </c>
      <c r="W783" s="803">
        <v>0</v>
      </c>
      <c r="X783" s="858">
        <v>1</v>
      </c>
      <c r="Y783" s="310">
        <f>ROUND((R783+S783/'[7]Summary E&amp;M'!$M$104)*X783,2)</f>
        <v>17.600000000000001</v>
      </c>
      <c r="Z783" s="858">
        <f t="shared" si="830"/>
        <v>1.05</v>
      </c>
      <c r="AA783" s="813">
        <f>ROUND(Y783*Z783,2)</f>
        <v>18.48</v>
      </c>
      <c r="AB783" s="447">
        <f t="shared" ref="AB783:AB804" si="834">$AB$3</f>
        <v>0.05</v>
      </c>
      <c r="AC783" s="310">
        <f t="shared" si="827"/>
        <v>3.68</v>
      </c>
      <c r="AD783" s="717">
        <f>ROUND(AC783*'[8]Summary E&amp;M'!$R$94,2)</f>
        <v>4.5999999999999996</v>
      </c>
      <c r="AE783" s="825">
        <f>ROUND($K783*$Y783,2)</f>
        <v>528</v>
      </c>
      <c r="AF783" s="825">
        <f>ROUND($K783*$AC783,2)</f>
        <v>110.4</v>
      </c>
      <c r="AG783" s="743"/>
      <c r="AH783" s="728"/>
      <c r="AI783" s="519">
        <f>$U783</f>
        <v>0</v>
      </c>
      <c r="AJ783" s="519">
        <f>$V783</f>
        <v>0</v>
      </c>
      <c r="AK783" s="519">
        <f>$W783</f>
        <v>0</v>
      </c>
      <c r="AL783" s="520">
        <f t="shared" ref="AL783:AL790" si="835">ROUND(Y783*AI783+((Y783*(1+AI783))*AJ783)+((Y783*AI783+((Y783*(1+AI783))*AJ783))*AK783),2)</f>
        <v>0</v>
      </c>
      <c r="AM783" s="520">
        <f>AL783*$F783</f>
        <v>0</v>
      </c>
      <c r="AN783" s="520">
        <f t="shared" ref="AN783:AN790" si="836">ROUND(AL783*Z783,2)</f>
        <v>0</v>
      </c>
      <c r="AO783" s="520">
        <f>AN783*$F783</f>
        <v>0</v>
      </c>
      <c r="AP783" s="552"/>
      <c r="AQ783" s="552"/>
      <c r="AR783" s="552"/>
      <c r="AS783" s="552"/>
      <c r="AT783" s="552"/>
    </row>
    <row r="784" spans="1:47" s="555" customFormat="1" ht="22.5" customHeight="1">
      <c r="A784" s="620"/>
      <c r="B784" s="531" t="s">
        <v>1227</v>
      </c>
      <c r="C784" s="566"/>
      <c r="D784" s="1201">
        <v>161</v>
      </c>
      <c r="E784" s="525" t="s">
        <v>319</v>
      </c>
      <c r="F784" s="1371">
        <f>K784</f>
        <v>12</v>
      </c>
      <c r="G784" s="527">
        <f>ROUNDUP(AA784,2)</f>
        <v>14.37</v>
      </c>
      <c r="H784" s="527">
        <f>ROUND(F784*G784,2)</f>
        <v>172.44</v>
      </c>
      <c r="I784" s="567"/>
      <c r="J784" s="309"/>
      <c r="K784" s="1149">
        <v>12</v>
      </c>
      <c r="L784" s="530">
        <f>ROUND(AD784,2)</f>
        <v>4.5999999999999996</v>
      </c>
      <c r="M784" s="530">
        <f>ROUND(L784*F784,2)</f>
        <v>55.2</v>
      </c>
      <c r="N784" s="309"/>
      <c r="O784" s="776">
        <v>161</v>
      </c>
      <c r="P784" s="777"/>
      <c r="Q784" s="777"/>
      <c r="R784" s="751"/>
      <c r="S784" s="752">
        <v>284800</v>
      </c>
      <c r="T784" s="792">
        <v>3.5</v>
      </c>
      <c r="U784" s="803">
        <v>0</v>
      </c>
      <c r="V784" s="803">
        <v>0</v>
      </c>
      <c r="W784" s="803">
        <v>0</v>
      </c>
      <c r="X784" s="858">
        <v>1</v>
      </c>
      <c r="Y784" s="310">
        <f>ROUND((R784+S784/'[7]Summary E&amp;M'!$M$104)*X784,2)</f>
        <v>13.69</v>
      </c>
      <c r="Z784" s="858">
        <f t="shared" si="830"/>
        <v>1.05</v>
      </c>
      <c r="AA784" s="813">
        <f>ROUND(Y784*Z784,2)</f>
        <v>14.37</v>
      </c>
      <c r="AB784" s="447">
        <f t="shared" si="834"/>
        <v>0.05</v>
      </c>
      <c r="AC784" s="310">
        <f>ROUND((T784*(1+AB784)),2)</f>
        <v>3.68</v>
      </c>
      <c r="AD784" s="717">
        <f>ROUND(AC784*'[8]Summary E&amp;M'!$R$94,2)</f>
        <v>4.5999999999999996</v>
      </c>
      <c r="AE784" s="825">
        <f>ROUND($K784*$Y784,2)</f>
        <v>164.28</v>
      </c>
      <c r="AF784" s="825">
        <f>ROUND($K784*$AC784,2)</f>
        <v>44.16</v>
      </c>
      <c r="AG784" s="743"/>
      <c r="AH784" s="728"/>
      <c r="AI784" s="519">
        <f>$U784</f>
        <v>0</v>
      </c>
      <c r="AJ784" s="519">
        <f>$V784</f>
        <v>0</v>
      </c>
      <c r="AK784" s="519">
        <f>$W784</f>
        <v>0</v>
      </c>
      <c r="AL784" s="520">
        <f>ROUND(Y784*AI784+((Y784*(1+AI784))*AJ784)+((Y784*AI784+((Y784*(1+AI784))*AJ784))*AK784),2)</f>
        <v>0</v>
      </c>
      <c r="AM784" s="520">
        <f>AL784*$F784</f>
        <v>0</v>
      </c>
      <c r="AN784" s="520">
        <f>ROUND(AL784*Z784,2)</f>
        <v>0</v>
      </c>
      <c r="AO784" s="520">
        <f>AN784*$F784</f>
        <v>0</v>
      </c>
      <c r="AP784" s="552"/>
      <c r="AQ784" s="552"/>
      <c r="AR784" s="552"/>
      <c r="AS784" s="552"/>
      <c r="AT784" s="552"/>
    </row>
    <row r="785" spans="1:46" s="555" customFormat="1" ht="22.5" customHeight="1">
      <c r="A785" s="620"/>
      <c r="B785" s="531" t="s">
        <v>1225</v>
      </c>
      <c r="C785" s="566"/>
      <c r="D785" s="1201">
        <v>161</v>
      </c>
      <c r="E785" s="525" t="s">
        <v>319</v>
      </c>
      <c r="F785" s="1371">
        <f>K785</f>
        <v>45</v>
      </c>
      <c r="G785" s="527">
        <f>ROUNDUP(AA785,2)</f>
        <v>19.899999999999999</v>
      </c>
      <c r="H785" s="527">
        <f>ROUND(F785*G785,2)</f>
        <v>895.5</v>
      </c>
      <c r="I785" s="567"/>
      <c r="J785" s="309"/>
      <c r="K785" s="1175">
        <v>45</v>
      </c>
      <c r="L785" s="530">
        <f>ROUND(AD785,2)</f>
        <v>4.5999999999999996</v>
      </c>
      <c r="M785" s="530">
        <f>ROUND(L785*F785,2)</f>
        <v>207</v>
      </c>
      <c r="N785" s="309"/>
      <c r="O785" s="776">
        <v>161</v>
      </c>
      <c r="P785" s="777"/>
      <c r="Q785" s="777"/>
      <c r="R785" s="751"/>
      <c r="S785" s="752">
        <v>394200</v>
      </c>
      <c r="T785" s="792">
        <v>3.5</v>
      </c>
      <c r="U785" s="803">
        <v>0</v>
      </c>
      <c r="V785" s="803">
        <v>0</v>
      </c>
      <c r="W785" s="803">
        <v>0</v>
      </c>
      <c r="X785" s="858">
        <v>1</v>
      </c>
      <c r="Y785" s="310">
        <f>ROUND((R785+S785/'[7]Summary E&amp;M'!$M$104)*X785,2)</f>
        <v>18.95</v>
      </c>
      <c r="Z785" s="858">
        <f t="shared" si="830"/>
        <v>1.05</v>
      </c>
      <c r="AA785" s="813">
        <f>ROUND(Y785*Z785,2)</f>
        <v>19.899999999999999</v>
      </c>
      <c r="AB785" s="447">
        <f t="shared" si="834"/>
        <v>0.05</v>
      </c>
      <c r="AC785" s="310">
        <f>ROUND((T785*(1+AB785)),2)</f>
        <v>3.68</v>
      </c>
      <c r="AD785" s="717">
        <f>ROUND(AC785*'[9]Summary E&amp;M'!$R$94,2)</f>
        <v>4.5999999999999996</v>
      </c>
      <c r="AE785" s="989">
        <f>ROUND($K785*$Y785,2)</f>
        <v>852.75</v>
      </c>
      <c r="AF785" s="989">
        <f>ROUND($K785*$AC785,2)</f>
        <v>165.6</v>
      </c>
      <c r="AG785" s="990"/>
      <c r="AH785" s="728"/>
      <c r="AI785" s="519">
        <f>$U785</f>
        <v>0</v>
      </c>
      <c r="AJ785" s="519">
        <f>$V785</f>
        <v>0</v>
      </c>
      <c r="AK785" s="519">
        <f>$W785</f>
        <v>0</v>
      </c>
      <c r="AL785" s="520">
        <f>ROUND(Y785*AI785+((Y785*(1+AI785))*AJ785)+((Y785*AI785+((Y785*(1+AI785))*AJ785))*AK785),2)</f>
        <v>0</v>
      </c>
      <c r="AM785" s="520">
        <f>AL785*$F785</f>
        <v>0</v>
      </c>
      <c r="AN785" s="520">
        <f>ROUND(AL785*Z785,2)</f>
        <v>0</v>
      </c>
      <c r="AO785" s="520">
        <f>AN785*$F785</f>
        <v>0</v>
      </c>
      <c r="AP785" s="552"/>
      <c r="AQ785" s="552"/>
      <c r="AR785" s="552"/>
      <c r="AS785" s="552"/>
      <c r="AT785" s="552"/>
    </row>
    <row r="786" spans="1:46" s="555" customFormat="1" ht="22.5" customHeight="1">
      <c r="A786" s="451"/>
      <c r="B786" s="997" t="s">
        <v>1020</v>
      </c>
      <c r="C786" s="566"/>
      <c r="D786" s="1201">
        <v>161</v>
      </c>
      <c r="E786" s="525" t="s">
        <v>319</v>
      </c>
      <c r="F786" s="1322">
        <f t="shared" si="831"/>
        <v>13</v>
      </c>
      <c r="G786" s="527">
        <f t="shared" si="832"/>
        <v>224.74</v>
      </c>
      <c r="H786" s="527">
        <f t="shared" ref="H786:H804" si="837">ROUND(F786*G786,2)</f>
        <v>2921.62</v>
      </c>
      <c r="I786" s="567"/>
      <c r="J786" s="309"/>
      <c r="K786" s="1149">
        <v>13</v>
      </c>
      <c r="L786" s="530">
        <f t="shared" ref="L786:L804" si="838">ROUND(AD786,2)</f>
        <v>45.94</v>
      </c>
      <c r="M786" s="530">
        <f t="shared" si="833"/>
        <v>597.22</v>
      </c>
      <c r="N786" s="309"/>
      <c r="O786" s="776">
        <v>161</v>
      </c>
      <c r="P786" s="777"/>
      <c r="Q786" s="777"/>
      <c r="R786" s="751"/>
      <c r="S786" s="752">
        <f>2352000+1900000+200000</f>
        <v>4452000</v>
      </c>
      <c r="T786" s="792">
        <v>35</v>
      </c>
      <c r="U786" s="803">
        <v>0</v>
      </c>
      <c r="V786" s="803">
        <v>0</v>
      </c>
      <c r="W786" s="803">
        <v>0</v>
      </c>
      <c r="X786" s="858">
        <v>1</v>
      </c>
      <c r="Y786" s="310">
        <f>ROUND((R786+S786/'[7]Summary E&amp;M'!$M$104)*X786,2)</f>
        <v>214.04</v>
      </c>
      <c r="Z786" s="858">
        <f t="shared" si="830"/>
        <v>1.05</v>
      </c>
      <c r="AA786" s="813">
        <f t="shared" ref="AA786:AA804" si="839">ROUND(Y786*Z786,2)</f>
        <v>224.74</v>
      </c>
      <c r="AB786" s="447">
        <f t="shared" si="834"/>
        <v>0.05</v>
      </c>
      <c r="AC786" s="310">
        <f t="shared" si="827"/>
        <v>36.75</v>
      </c>
      <c r="AD786" s="717">
        <f>ROUND(AC786*'[8]Summary E&amp;M'!$R$94,2)</f>
        <v>45.94</v>
      </c>
      <c r="AE786" s="825">
        <f t="shared" ref="AE786:AE804" si="840">ROUND($K786*$Y786,2)</f>
        <v>2782.52</v>
      </c>
      <c r="AF786" s="825">
        <f t="shared" ref="AF786:AF804" si="841">ROUND($K786*$AC786,2)</f>
        <v>477.75</v>
      </c>
      <c r="AG786" s="743"/>
      <c r="AH786" s="728"/>
      <c r="AI786" s="519">
        <f t="shared" ref="AI786:AI804" si="842">$U786</f>
        <v>0</v>
      </c>
      <c r="AJ786" s="519">
        <f t="shared" ref="AJ786:AJ804" si="843">$V786</f>
        <v>0</v>
      </c>
      <c r="AK786" s="519">
        <f t="shared" ref="AK786:AK804" si="844">$W786</f>
        <v>0</v>
      </c>
      <c r="AL786" s="520">
        <f t="shared" si="835"/>
        <v>0</v>
      </c>
      <c r="AM786" s="520">
        <f t="shared" ref="AM786:AM790" si="845">AL786*$F786</f>
        <v>0</v>
      </c>
      <c r="AN786" s="520">
        <f t="shared" si="836"/>
        <v>0</v>
      </c>
      <c r="AO786" s="520">
        <f t="shared" ref="AO786:AO790" si="846">AN786*$F786</f>
        <v>0</v>
      </c>
      <c r="AP786" s="552"/>
      <c r="AQ786" s="552"/>
      <c r="AR786" s="552"/>
      <c r="AS786" s="552"/>
      <c r="AT786" s="552"/>
    </row>
    <row r="787" spans="1:46" s="555" customFormat="1" ht="22.5" customHeight="1">
      <c r="A787" s="620"/>
      <c r="B787" s="997" t="s">
        <v>1021</v>
      </c>
      <c r="C787" s="566"/>
      <c r="D787" s="525" t="s">
        <v>139</v>
      </c>
      <c r="E787" s="525" t="s">
        <v>319</v>
      </c>
      <c r="F787" s="1322">
        <f t="shared" si="831"/>
        <v>13</v>
      </c>
      <c r="G787" s="527">
        <f t="shared" si="832"/>
        <v>108.17</v>
      </c>
      <c r="H787" s="527">
        <f t="shared" si="837"/>
        <v>1406.21</v>
      </c>
      <c r="I787" s="567"/>
      <c r="J787" s="309"/>
      <c r="K787" s="1149">
        <f>K786</f>
        <v>13</v>
      </c>
      <c r="L787" s="530">
        <f t="shared" si="838"/>
        <v>15.75</v>
      </c>
      <c r="M787" s="530">
        <f t="shared" si="833"/>
        <v>204.75</v>
      </c>
      <c r="N787" s="309"/>
      <c r="O787" s="776">
        <v>161</v>
      </c>
      <c r="P787" s="777"/>
      <c r="Q787" s="777"/>
      <c r="R787" s="751"/>
      <c r="S787" s="752">
        <f>309000+1900000</f>
        <v>2209000</v>
      </c>
      <c r="T787" s="792">
        <v>12</v>
      </c>
      <c r="U787" s="803">
        <v>0</v>
      </c>
      <c r="V787" s="803">
        <v>0</v>
      </c>
      <c r="W787" s="803">
        <v>0</v>
      </c>
      <c r="X787" s="858">
        <f>SUMIF('Summary-E'!O$4:O$50,D787,'Summary-E'!Q$4:Q$50)</f>
        <v>0.97</v>
      </c>
      <c r="Y787" s="310">
        <f>ROUND((R787+S787/'[7]Summary E&amp;M'!$M$104)*X787,2)</f>
        <v>103.02</v>
      </c>
      <c r="Z787" s="858">
        <f t="shared" si="830"/>
        <v>1.05</v>
      </c>
      <c r="AA787" s="813">
        <f t="shared" si="839"/>
        <v>108.17</v>
      </c>
      <c r="AB787" s="447">
        <f t="shared" si="834"/>
        <v>0.05</v>
      </c>
      <c r="AC787" s="310">
        <f t="shared" si="827"/>
        <v>12.6</v>
      </c>
      <c r="AD787" s="717">
        <f>ROUND(AC787*'[8]Summary E&amp;M'!$R$94,2)</f>
        <v>15.75</v>
      </c>
      <c r="AE787" s="825">
        <f t="shared" si="840"/>
        <v>1339.26</v>
      </c>
      <c r="AF787" s="825">
        <f t="shared" si="841"/>
        <v>163.80000000000001</v>
      </c>
      <c r="AG787" s="743"/>
      <c r="AH787" s="728"/>
      <c r="AI787" s="519">
        <f t="shared" si="842"/>
        <v>0</v>
      </c>
      <c r="AJ787" s="519">
        <f t="shared" si="843"/>
        <v>0</v>
      </c>
      <c r="AK787" s="519">
        <f t="shared" si="844"/>
        <v>0</v>
      </c>
      <c r="AL787" s="520">
        <f t="shared" si="835"/>
        <v>0</v>
      </c>
      <c r="AM787" s="520">
        <f t="shared" si="845"/>
        <v>0</v>
      </c>
      <c r="AN787" s="520">
        <f t="shared" si="836"/>
        <v>0</v>
      </c>
      <c r="AO787" s="520">
        <f t="shared" si="846"/>
        <v>0</v>
      </c>
      <c r="AP787" s="552"/>
      <c r="AQ787" s="552"/>
      <c r="AR787" s="552"/>
      <c r="AS787" s="552"/>
      <c r="AT787" s="552"/>
    </row>
    <row r="788" spans="1:46" s="555" customFormat="1" ht="22.5" customHeight="1">
      <c r="A788" s="620"/>
      <c r="B788" s="531" t="s">
        <v>628</v>
      </c>
      <c r="C788" s="566"/>
      <c r="D788" s="1202" t="s">
        <v>1127</v>
      </c>
      <c r="E788" s="525" t="s">
        <v>436</v>
      </c>
      <c r="F788" s="1322">
        <f t="shared" si="831"/>
        <v>6</v>
      </c>
      <c r="G788" s="527">
        <f t="shared" si="832"/>
        <v>1.43</v>
      </c>
      <c r="H788" s="527">
        <f t="shared" si="837"/>
        <v>8.58</v>
      </c>
      <c r="I788" s="567"/>
      <c r="J788" s="309"/>
      <c r="K788" s="1149">
        <f>3+3</f>
        <v>6</v>
      </c>
      <c r="L788" s="530">
        <f t="shared" si="838"/>
        <v>2.63</v>
      </c>
      <c r="M788" s="530">
        <f t="shared" si="833"/>
        <v>15.78</v>
      </c>
      <c r="N788" s="309"/>
      <c r="O788" s="776" t="s">
        <v>129</v>
      </c>
      <c r="P788" s="777"/>
      <c r="Q788" s="777"/>
      <c r="R788" s="751"/>
      <c r="S788" s="752">
        <v>29200</v>
      </c>
      <c r="T788" s="792">
        <v>2</v>
      </c>
      <c r="U788" s="803">
        <v>0</v>
      </c>
      <c r="V788" s="803">
        <v>0</v>
      </c>
      <c r="W788" s="803">
        <v>0</v>
      </c>
      <c r="X788" s="858">
        <f>SUMIF('Summary-E'!O$4:O$50,D788,'Summary-E'!Q$4:Q$50)</f>
        <v>0.97</v>
      </c>
      <c r="Y788" s="310">
        <f>ROUND((R788+S788/'[7]Summary E&amp;M'!$M$104)*X788,2)</f>
        <v>1.36</v>
      </c>
      <c r="Z788" s="858">
        <f t="shared" si="830"/>
        <v>1.05</v>
      </c>
      <c r="AA788" s="813">
        <f t="shared" si="839"/>
        <v>1.43</v>
      </c>
      <c r="AB788" s="447">
        <f t="shared" si="834"/>
        <v>0.05</v>
      </c>
      <c r="AC788" s="310">
        <f t="shared" si="827"/>
        <v>2.1</v>
      </c>
      <c r="AD788" s="717">
        <f>ROUND(AC788*'[8]Summary E&amp;M'!$R$94,2)</f>
        <v>2.63</v>
      </c>
      <c r="AE788" s="825">
        <f t="shared" si="840"/>
        <v>8.16</v>
      </c>
      <c r="AF788" s="825">
        <f t="shared" si="841"/>
        <v>12.6</v>
      </c>
      <c r="AG788" s="743"/>
      <c r="AH788" s="728"/>
      <c r="AI788" s="519">
        <f t="shared" si="842"/>
        <v>0</v>
      </c>
      <c r="AJ788" s="519">
        <f t="shared" si="843"/>
        <v>0</v>
      </c>
      <c r="AK788" s="519">
        <f t="shared" si="844"/>
        <v>0</v>
      </c>
      <c r="AL788" s="520">
        <f t="shared" si="835"/>
        <v>0</v>
      </c>
      <c r="AM788" s="520">
        <f t="shared" si="845"/>
        <v>0</v>
      </c>
      <c r="AN788" s="520">
        <f t="shared" si="836"/>
        <v>0</v>
      </c>
      <c r="AO788" s="520">
        <f t="shared" si="846"/>
        <v>0</v>
      </c>
      <c r="AP788" s="552"/>
      <c r="AQ788" s="552"/>
      <c r="AR788" s="552"/>
      <c r="AS788" s="552"/>
      <c r="AT788" s="552"/>
    </row>
    <row r="789" spans="1:46" s="555" customFormat="1" ht="22.5" customHeight="1">
      <c r="A789" s="620"/>
      <c r="B789" s="531" t="s">
        <v>1010</v>
      </c>
      <c r="C789" s="566"/>
      <c r="D789" s="1202" t="s">
        <v>1127</v>
      </c>
      <c r="E789" s="525" t="s">
        <v>436</v>
      </c>
      <c r="F789" s="1322">
        <f t="shared" si="831"/>
        <v>4</v>
      </c>
      <c r="G789" s="527">
        <f t="shared" si="832"/>
        <v>18.28</v>
      </c>
      <c r="H789" s="527">
        <f>ROUND(F789*G789,2)</f>
        <v>73.12</v>
      </c>
      <c r="I789" s="567"/>
      <c r="J789" s="309"/>
      <c r="K789" s="1175">
        <f>2+2</f>
        <v>4</v>
      </c>
      <c r="L789" s="530">
        <f>ROUND(AD789,2)</f>
        <v>3.94</v>
      </c>
      <c r="M789" s="530">
        <f t="shared" si="833"/>
        <v>15.76</v>
      </c>
      <c r="N789" s="309"/>
      <c r="O789" s="776" t="s">
        <v>129</v>
      </c>
      <c r="P789" s="777"/>
      <c r="Q789" s="777"/>
      <c r="R789" s="751"/>
      <c r="S789" s="752">
        <f>153300+220000</f>
        <v>373300</v>
      </c>
      <c r="T789" s="792">
        <v>3</v>
      </c>
      <c r="U789" s="803">
        <v>0</v>
      </c>
      <c r="V789" s="803">
        <v>0</v>
      </c>
      <c r="W789" s="803">
        <v>0</v>
      </c>
      <c r="X789" s="858">
        <f>SUMIF('Summary-E'!O$4:O$50,D789,'Summary-E'!Q$4:Q$50)</f>
        <v>0.97</v>
      </c>
      <c r="Y789" s="310">
        <f>ROUND((R789+S789/'[7]Summary E&amp;M'!$M$104)*X789,2)</f>
        <v>17.41</v>
      </c>
      <c r="Z789" s="858">
        <f t="shared" si="830"/>
        <v>1.05</v>
      </c>
      <c r="AA789" s="813">
        <f>ROUND(Y789*Z789,2)</f>
        <v>18.28</v>
      </c>
      <c r="AB789" s="447">
        <f t="shared" si="834"/>
        <v>0.05</v>
      </c>
      <c r="AC789" s="310">
        <f t="shared" si="827"/>
        <v>3.15</v>
      </c>
      <c r="AD789" s="717">
        <f>ROUND(AC789*'[9]Summary E&amp;M'!$R$94,2)</f>
        <v>3.94</v>
      </c>
      <c r="AE789" s="989">
        <f t="shared" si="840"/>
        <v>69.64</v>
      </c>
      <c r="AF789" s="989">
        <f t="shared" si="841"/>
        <v>12.6</v>
      </c>
      <c r="AG789" s="990"/>
      <c r="AH789" s="728"/>
      <c r="AI789" s="519">
        <f t="shared" si="842"/>
        <v>0</v>
      </c>
      <c r="AJ789" s="519">
        <f t="shared" si="843"/>
        <v>0</v>
      </c>
      <c r="AK789" s="519">
        <f t="shared" si="844"/>
        <v>0</v>
      </c>
      <c r="AL789" s="520">
        <f t="shared" si="835"/>
        <v>0</v>
      </c>
      <c r="AM789" s="520">
        <f t="shared" si="845"/>
        <v>0</v>
      </c>
      <c r="AN789" s="520">
        <f t="shared" si="836"/>
        <v>0</v>
      </c>
      <c r="AO789" s="520">
        <f t="shared" si="846"/>
        <v>0</v>
      </c>
      <c r="AP789" s="552"/>
      <c r="AQ789" s="552"/>
      <c r="AR789" s="552"/>
      <c r="AS789" s="552"/>
      <c r="AT789" s="552"/>
    </row>
    <row r="790" spans="1:46" s="555" customFormat="1" ht="22.5" customHeight="1">
      <c r="A790" s="451"/>
      <c r="B790" s="531" t="s">
        <v>1022</v>
      </c>
      <c r="C790" s="566" t="s">
        <v>1023</v>
      </c>
      <c r="D790" s="525" t="s">
        <v>1132</v>
      </c>
      <c r="E790" s="525" t="s">
        <v>321</v>
      </c>
      <c r="F790" s="1314">
        <f>ROUND(K790*'Summary-E'!$K$61,0)</f>
        <v>4</v>
      </c>
      <c r="G790" s="527">
        <f t="shared" si="832"/>
        <v>10.77</v>
      </c>
      <c r="H790" s="527">
        <f t="shared" si="837"/>
        <v>43.08</v>
      </c>
      <c r="I790" s="567"/>
      <c r="J790" s="309"/>
      <c r="K790" s="1149">
        <v>4</v>
      </c>
      <c r="L790" s="530">
        <f t="shared" si="838"/>
        <v>1.31</v>
      </c>
      <c r="M790" s="530">
        <f t="shared" si="833"/>
        <v>5.24</v>
      </c>
      <c r="N790" s="309"/>
      <c r="O790" s="776">
        <v>121</v>
      </c>
      <c r="P790" s="777"/>
      <c r="Q790" s="777"/>
      <c r="R790" s="751"/>
      <c r="S790" s="752">
        <v>220000</v>
      </c>
      <c r="T790" s="792">
        <v>1</v>
      </c>
      <c r="U790" s="803">
        <v>0</v>
      </c>
      <c r="V790" s="803">
        <v>0</v>
      </c>
      <c r="W790" s="803">
        <v>0</v>
      </c>
      <c r="X790" s="858">
        <f>SUMIF('Summary-E'!O$4:O$50,D790,'Summary-E'!Q$4:Q$50)</f>
        <v>0.97</v>
      </c>
      <c r="Y790" s="310">
        <f>ROUND((R790+S790/'[7]Summary E&amp;M'!$M$104)*X790,2)</f>
        <v>10.26</v>
      </c>
      <c r="Z790" s="858">
        <f t="shared" si="830"/>
        <v>1.05</v>
      </c>
      <c r="AA790" s="813">
        <f t="shared" si="839"/>
        <v>10.77</v>
      </c>
      <c r="AB790" s="447">
        <f t="shared" si="834"/>
        <v>0.05</v>
      </c>
      <c r="AC790" s="310">
        <f t="shared" si="827"/>
        <v>1.05</v>
      </c>
      <c r="AD790" s="717">
        <f>ROUND(AC790*'[8]Summary E&amp;M'!$R$94,2)</f>
        <v>1.31</v>
      </c>
      <c r="AE790" s="825">
        <f t="shared" si="840"/>
        <v>41.04</v>
      </c>
      <c r="AF790" s="825">
        <f t="shared" si="841"/>
        <v>4.2</v>
      </c>
      <c r="AG790" s="743"/>
      <c r="AH790" s="728"/>
      <c r="AI790" s="519">
        <f t="shared" si="842"/>
        <v>0</v>
      </c>
      <c r="AJ790" s="519">
        <f t="shared" si="843"/>
        <v>0</v>
      </c>
      <c r="AK790" s="519">
        <f t="shared" si="844"/>
        <v>0</v>
      </c>
      <c r="AL790" s="520">
        <f t="shared" si="835"/>
        <v>0</v>
      </c>
      <c r="AM790" s="520">
        <f t="shared" si="845"/>
        <v>0</v>
      </c>
      <c r="AN790" s="520">
        <f t="shared" si="836"/>
        <v>0</v>
      </c>
      <c r="AO790" s="520">
        <f t="shared" si="846"/>
        <v>0</v>
      </c>
      <c r="AP790" s="552"/>
      <c r="AQ790" s="552"/>
      <c r="AR790" s="552"/>
      <c r="AS790" s="552"/>
      <c r="AT790" s="552"/>
    </row>
    <row r="791" spans="1:46" s="555" customFormat="1" ht="22.5" customHeight="1">
      <c r="A791" s="620"/>
      <c r="B791" s="531" t="s">
        <v>403</v>
      </c>
      <c r="C791" s="566" t="s">
        <v>329</v>
      </c>
      <c r="D791" s="525" t="s">
        <v>1111</v>
      </c>
      <c r="E791" s="525" t="s">
        <v>321</v>
      </c>
      <c r="F791" s="1314">
        <f>ROUND(K791*'Summary-E'!$K$61,0)</f>
        <v>593</v>
      </c>
      <c r="G791" s="527">
        <f t="shared" si="832"/>
        <v>0.61</v>
      </c>
      <c r="H791" s="527">
        <f t="shared" si="837"/>
        <v>361.73</v>
      </c>
      <c r="I791" s="529"/>
      <c r="J791" s="309"/>
      <c r="K791" s="1175">
        <v>565</v>
      </c>
      <c r="L791" s="530">
        <f t="shared" si="838"/>
        <v>0.79</v>
      </c>
      <c r="M791" s="530">
        <f t="shared" si="833"/>
        <v>468.47</v>
      </c>
      <c r="N791" s="309"/>
      <c r="O791" s="778" t="s">
        <v>131</v>
      </c>
      <c r="P791" s="777"/>
      <c r="Q791" s="777"/>
      <c r="R791" s="751"/>
      <c r="S791" s="752">
        <v>12000</v>
      </c>
      <c r="T791" s="792">
        <v>0.6</v>
      </c>
      <c r="U791" s="803">
        <v>0</v>
      </c>
      <c r="V791" s="803">
        <v>0</v>
      </c>
      <c r="W791" s="803">
        <v>0</v>
      </c>
      <c r="X791" s="858">
        <v>1</v>
      </c>
      <c r="Y791" s="310">
        <f>ROUND((R791+S791/'[7]Summary E&amp;M'!$M$104)*X791,2)</f>
        <v>0.57999999999999996</v>
      </c>
      <c r="Z791" s="858">
        <f t="shared" si="830"/>
        <v>1.05</v>
      </c>
      <c r="AA791" s="813">
        <f t="shared" si="839"/>
        <v>0.61</v>
      </c>
      <c r="AB791" s="447">
        <f t="shared" si="834"/>
        <v>0.05</v>
      </c>
      <c r="AC791" s="310">
        <f t="shared" si="827"/>
        <v>0.63</v>
      </c>
      <c r="AD791" s="717">
        <f>ROUND(AC791*'[8]Summary E&amp;M'!$R$94,2)</f>
        <v>0.79</v>
      </c>
      <c r="AE791" s="826">
        <f t="shared" si="840"/>
        <v>327.7</v>
      </c>
      <c r="AF791" s="826">
        <f t="shared" si="841"/>
        <v>355.95</v>
      </c>
      <c r="AG791" s="744"/>
      <c r="AH791" s="728"/>
      <c r="AI791" s="519">
        <f>$U791</f>
        <v>0</v>
      </c>
      <c r="AJ791" s="519">
        <f>$V791</f>
        <v>0</v>
      </c>
      <c r="AK791" s="519">
        <f>$W791</f>
        <v>0</v>
      </c>
      <c r="AL791" s="520">
        <f>ROUND(Y791*AI791+((Y791*(1+AI791))*AJ791)+((Y791*AI791+((Y791*(1+AI791))*AJ791))*AK791),2)</f>
        <v>0</v>
      </c>
      <c r="AM791" s="520">
        <f>AL791*$F791</f>
        <v>0</v>
      </c>
      <c r="AN791" s="520">
        <f>ROUND(AL791*Z791,2)</f>
        <v>0</v>
      </c>
      <c r="AO791" s="520">
        <f>AN791*$F791</f>
        <v>0</v>
      </c>
      <c r="AP791" s="719"/>
      <c r="AQ791" s="719"/>
      <c r="AR791" s="719"/>
      <c r="AS791" s="719"/>
      <c r="AT791" s="719"/>
    </row>
    <row r="792" spans="1:46" s="555" customFormat="1" ht="22.5" customHeight="1">
      <c r="A792" s="620"/>
      <c r="B792" s="531" t="s">
        <v>331</v>
      </c>
      <c r="C792" s="566" t="s">
        <v>434</v>
      </c>
      <c r="D792" s="525" t="s">
        <v>1113</v>
      </c>
      <c r="E792" s="525" t="s">
        <v>321</v>
      </c>
      <c r="F792" s="1314">
        <f>ROUND(K792*'Summary-E'!$K$61,0)</f>
        <v>77</v>
      </c>
      <c r="G792" s="527">
        <f t="shared" si="832"/>
        <v>0.23</v>
      </c>
      <c r="H792" s="527">
        <f t="shared" si="837"/>
        <v>17.71</v>
      </c>
      <c r="I792" s="567"/>
      <c r="J792" s="309"/>
      <c r="K792" s="1248">
        <f>K791*13%</f>
        <v>73.45</v>
      </c>
      <c r="L792" s="530">
        <f t="shared" si="838"/>
        <v>0.14000000000000001</v>
      </c>
      <c r="M792" s="530">
        <f t="shared" si="833"/>
        <v>10.78</v>
      </c>
      <c r="N792" s="309"/>
      <c r="O792" s="776" t="s">
        <v>131</v>
      </c>
      <c r="P792" s="777"/>
      <c r="Q792" s="777"/>
      <c r="R792" s="751"/>
      <c r="S792" s="752">
        <v>4600</v>
      </c>
      <c r="T792" s="792">
        <v>0.1</v>
      </c>
      <c r="U792" s="803">
        <v>0</v>
      </c>
      <c r="V792" s="803">
        <v>0</v>
      </c>
      <c r="W792" s="803">
        <v>0</v>
      </c>
      <c r="X792" s="858">
        <v>1</v>
      </c>
      <c r="Y792" s="310">
        <f>ROUND((R792+S792/'[7]Summary E&amp;M'!$M$104)*X792,2)</f>
        <v>0.22</v>
      </c>
      <c r="Z792" s="858">
        <f t="shared" si="830"/>
        <v>1.05</v>
      </c>
      <c r="AA792" s="813">
        <f t="shared" si="839"/>
        <v>0.23</v>
      </c>
      <c r="AB792" s="447">
        <f t="shared" si="834"/>
        <v>0.05</v>
      </c>
      <c r="AC792" s="310">
        <f t="shared" si="827"/>
        <v>0.11</v>
      </c>
      <c r="AD792" s="717">
        <f>ROUND(AC792*'[8]Summary E&amp;M'!$R$94,2)</f>
        <v>0.14000000000000001</v>
      </c>
      <c r="AE792" s="825">
        <f t="shared" si="840"/>
        <v>16.16</v>
      </c>
      <c r="AF792" s="825">
        <f t="shared" si="841"/>
        <v>8.08</v>
      </c>
      <c r="AG792" s="743"/>
      <c r="AH792" s="728"/>
      <c r="AI792" s="519">
        <f t="shared" si="842"/>
        <v>0</v>
      </c>
      <c r="AJ792" s="519">
        <f t="shared" si="843"/>
        <v>0</v>
      </c>
      <c r="AK792" s="519">
        <f t="shared" si="844"/>
        <v>0</v>
      </c>
      <c r="AL792" s="520">
        <f t="shared" ref="AL792:AL804" si="847">ROUND(Y792*AI792+((Y792*(1+AI792))*AJ792)+((Y792*AI792+((Y792*(1+AI792))*AJ792))*AK792),2)</f>
        <v>0</v>
      </c>
      <c r="AM792" s="520">
        <f t="shared" ref="AM792:AM804" si="848">AL792*$F792</f>
        <v>0</v>
      </c>
      <c r="AN792" s="520">
        <f t="shared" ref="AN792:AN804" si="849">ROUND(AL792*Z792,2)</f>
        <v>0</v>
      </c>
      <c r="AO792" s="520">
        <f t="shared" ref="AO792:AO804" si="850">AN792*$F792</f>
        <v>0</v>
      </c>
      <c r="AP792" s="552"/>
      <c r="AQ792" s="552"/>
      <c r="AR792" s="552"/>
      <c r="AS792" s="552"/>
      <c r="AT792" s="552"/>
    </row>
    <row r="793" spans="1:46" s="555" customFormat="1" ht="22.5" customHeight="1">
      <c r="A793" s="570"/>
      <c r="B793" s="568" t="s">
        <v>333</v>
      </c>
      <c r="C793" s="569"/>
      <c r="D793" s="525" t="s">
        <v>1113</v>
      </c>
      <c r="E793" s="570" t="s">
        <v>322</v>
      </c>
      <c r="F793" s="1322">
        <f>K793</f>
        <v>1</v>
      </c>
      <c r="G793" s="527">
        <f t="shared" si="832"/>
        <v>117.61</v>
      </c>
      <c r="H793" s="527">
        <f t="shared" si="837"/>
        <v>117.61</v>
      </c>
      <c r="I793" s="567"/>
      <c r="J793" s="309"/>
      <c r="K793" s="1149">
        <v>1</v>
      </c>
      <c r="L793" s="530">
        <f t="shared" si="838"/>
        <v>18.190000000000001</v>
      </c>
      <c r="M793" s="530">
        <f t="shared" si="833"/>
        <v>18.190000000000001</v>
      </c>
      <c r="N793" s="309"/>
      <c r="O793" s="776" t="s">
        <v>683</v>
      </c>
      <c r="P793" s="777">
        <v>0.3</v>
      </c>
      <c r="Q793" s="777"/>
      <c r="R793" s="751">
        <f>ROUND(SUM(AE790:AE792)*P793,2)</f>
        <v>115.47</v>
      </c>
      <c r="S793" s="752"/>
      <c r="T793" s="792">
        <f>ROUND(R793*12%,2)</f>
        <v>13.86</v>
      </c>
      <c r="U793" s="803">
        <v>0</v>
      </c>
      <c r="V793" s="803">
        <v>0</v>
      </c>
      <c r="W793" s="803">
        <v>0</v>
      </c>
      <c r="X793" s="858">
        <f>SUMIF('Summary-E'!O$4:O$50,D793,'Summary-E'!Q$4:Q$50)</f>
        <v>0.97</v>
      </c>
      <c r="Y793" s="310">
        <f>ROUND((R793+S793/'[7]Summary E&amp;M'!$M$104)*X793,2)</f>
        <v>112.01</v>
      </c>
      <c r="Z793" s="858">
        <f t="shared" si="830"/>
        <v>1.05</v>
      </c>
      <c r="AA793" s="813">
        <f t="shared" si="839"/>
        <v>117.61</v>
      </c>
      <c r="AB793" s="447">
        <f t="shared" si="834"/>
        <v>0.05</v>
      </c>
      <c r="AC793" s="310">
        <f t="shared" si="827"/>
        <v>14.55</v>
      </c>
      <c r="AD793" s="717">
        <f>ROUND(AC793*'[8]Summary E&amp;M'!$R$94,2)</f>
        <v>18.190000000000001</v>
      </c>
      <c r="AE793" s="825">
        <f t="shared" si="840"/>
        <v>112.01</v>
      </c>
      <c r="AF793" s="825">
        <f t="shared" si="841"/>
        <v>14.55</v>
      </c>
      <c r="AG793" s="743"/>
      <c r="AH793" s="728"/>
      <c r="AI793" s="519">
        <f t="shared" si="842"/>
        <v>0</v>
      </c>
      <c r="AJ793" s="519">
        <f t="shared" si="843"/>
        <v>0</v>
      </c>
      <c r="AK793" s="519">
        <f t="shared" si="844"/>
        <v>0</v>
      </c>
      <c r="AL793" s="520">
        <f t="shared" si="847"/>
        <v>0</v>
      </c>
      <c r="AM793" s="520">
        <f t="shared" si="848"/>
        <v>0</v>
      </c>
      <c r="AN793" s="520">
        <f t="shared" si="849"/>
        <v>0</v>
      </c>
      <c r="AO793" s="520">
        <f t="shared" si="850"/>
        <v>0</v>
      </c>
      <c r="AP793" s="552"/>
      <c r="AQ793" s="552"/>
      <c r="AR793" s="552"/>
      <c r="AS793" s="552"/>
      <c r="AT793" s="552"/>
    </row>
    <row r="794" spans="1:46" s="555" customFormat="1" ht="22.5" customHeight="1">
      <c r="A794" s="451"/>
      <c r="B794" s="531" t="s">
        <v>334</v>
      </c>
      <c r="C794" s="566"/>
      <c r="D794" s="525" t="s">
        <v>139</v>
      </c>
      <c r="E794" s="525" t="s">
        <v>322</v>
      </c>
      <c r="F794" s="1322">
        <f>K794</f>
        <v>1</v>
      </c>
      <c r="G794" s="527">
        <f t="shared" si="832"/>
        <v>58.81</v>
      </c>
      <c r="H794" s="527">
        <f t="shared" si="837"/>
        <v>58.81</v>
      </c>
      <c r="I794" s="567"/>
      <c r="J794" s="309"/>
      <c r="K794" s="1149">
        <v>1</v>
      </c>
      <c r="L794" s="530">
        <f t="shared" si="838"/>
        <v>9.1</v>
      </c>
      <c r="M794" s="530">
        <f t="shared" si="833"/>
        <v>9.1</v>
      </c>
      <c r="N794" s="309"/>
      <c r="O794" s="776" t="s">
        <v>130</v>
      </c>
      <c r="P794" s="777">
        <v>0.15</v>
      </c>
      <c r="Q794" s="777"/>
      <c r="R794" s="751">
        <f>ROUND(SUM(AE790:AE792)*P794,2)</f>
        <v>57.74</v>
      </c>
      <c r="S794" s="752"/>
      <c r="T794" s="792">
        <f>ROUND(R794*12%,2)</f>
        <v>6.93</v>
      </c>
      <c r="U794" s="803">
        <v>0</v>
      </c>
      <c r="V794" s="803">
        <v>0</v>
      </c>
      <c r="W794" s="803">
        <v>0</v>
      </c>
      <c r="X794" s="858">
        <f>SUMIF('Summary-E'!O$4:O$50,D794,'Summary-E'!Q$4:Q$50)</f>
        <v>0.97</v>
      </c>
      <c r="Y794" s="310">
        <f>ROUND((R794+S794/'[7]Summary E&amp;M'!$M$104)*X794,2)</f>
        <v>56.01</v>
      </c>
      <c r="Z794" s="858">
        <f t="shared" si="830"/>
        <v>1.05</v>
      </c>
      <c r="AA794" s="813">
        <f t="shared" si="839"/>
        <v>58.81</v>
      </c>
      <c r="AB794" s="447">
        <f t="shared" si="834"/>
        <v>0.05</v>
      </c>
      <c r="AC794" s="310">
        <f t="shared" si="827"/>
        <v>7.28</v>
      </c>
      <c r="AD794" s="717">
        <f>ROUND(AC794*'[8]Summary E&amp;M'!$R$94,2)</f>
        <v>9.1</v>
      </c>
      <c r="AE794" s="825">
        <f t="shared" si="840"/>
        <v>56.01</v>
      </c>
      <c r="AF794" s="825">
        <f t="shared" si="841"/>
        <v>7.28</v>
      </c>
      <c r="AG794" s="743"/>
      <c r="AH794" s="728"/>
      <c r="AI794" s="519">
        <f t="shared" si="842"/>
        <v>0</v>
      </c>
      <c r="AJ794" s="519">
        <f t="shared" si="843"/>
        <v>0</v>
      </c>
      <c r="AK794" s="519">
        <f t="shared" si="844"/>
        <v>0</v>
      </c>
      <c r="AL794" s="520">
        <f t="shared" si="847"/>
        <v>0</v>
      </c>
      <c r="AM794" s="520">
        <f t="shared" si="848"/>
        <v>0</v>
      </c>
      <c r="AN794" s="520">
        <f t="shared" si="849"/>
        <v>0</v>
      </c>
      <c r="AO794" s="520">
        <f t="shared" si="850"/>
        <v>0</v>
      </c>
      <c r="AP794" s="552"/>
      <c r="AQ794" s="552"/>
      <c r="AR794" s="552"/>
      <c r="AS794" s="552"/>
      <c r="AT794" s="552"/>
    </row>
    <row r="795" spans="1:46" s="555" customFormat="1" ht="22.5" customHeight="1">
      <c r="A795" s="451"/>
      <c r="B795" s="531" t="s">
        <v>928</v>
      </c>
      <c r="C795" s="566" t="s">
        <v>1001</v>
      </c>
      <c r="D795" s="1001" t="s">
        <v>1114</v>
      </c>
      <c r="E795" s="525" t="s">
        <v>321</v>
      </c>
      <c r="F795" s="1322">
        <f>K795</f>
        <v>640</v>
      </c>
      <c r="G795" s="527">
        <f>ROUNDUP(AA795,2)</f>
        <v>1.48</v>
      </c>
      <c r="H795" s="527">
        <f>ROUND(F795*G795,2)</f>
        <v>947.2</v>
      </c>
      <c r="I795" s="529"/>
      <c r="J795" s="309"/>
      <c r="K795" s="1175">
        <v>640</v>
      </c>
      <c r="L795" s="530">
        <f t="shared" si="838"/>
        <v>0.93</v>
      </c>
      <c r="M795" s="530">
        <f t="shared" si="833"/>
        <v>595.20000000000005</v>
      </c>
      <c r="N795" s="309"/>
      <c r="O795" s="778" t="s">
        <v>673</v>
      </c>
      <c r="P795" s="1094"/>
      <c r="Q795" s="1094"/>
      <c r="R795" s="882"/>
      <c r="S795" s="883">
        <v>29300</v>
      </c>
      <c r="T795" s="879">
        <v>0.7</v>
      </c>
      <c r="U795" s="803">
        <v>0</v>
      </c>
      <c r="V795" s="803">
        <v>0</v>
      </c>
      <c r="W795" s="803">
        <v>0</v>
      </c>
      <c r="X795" s="858">
        <v>1</v>
      </c>
      <c r="Y795" s="310">
        <f>ROUND((R795+S795/'[7]Summary E&amp;M'!$M$104)*X795,2)</f>
        <v>1.41</v>
      </c>
      <c r="Z795" s="858">
        <f t="shared" si="830"/>
        <v>1.05</v>
      </c>
      <c r="AA795" s="813">
        <f t="shared" si="839"/>
        <v>1.48</v>
      </c>
      <c r="AB795" s="447">
        <f t="shared" si="834"/>
        <v>0.05</v>
      </c>
      <c r="AC795" s="310">
        <f t="shared" si="827"/>
        <v>0.74</v>
      </c>
      <c r="AD795" s="717">
        <f>ROUND(AC795*'[8]Summary E&amp;M'!$R$94,2)</f>
        <v>0.93</v>
      </c>
      <c r="AE795" s="826">
        <f t="shared" si="840"/>
        <v>902.4</v>
      </c>
      <c r="AF795" s="826">
        <f t="shared" si="841"/>
        <v>473.6</v>
      </c>
      <c r="AG795" s="744"/>
      <c r="AH795" s="728"/>
      <c r="AI795" s="519">
        <f t="shared" si="842"/>
        <v>0</v>
      </c>
      <c r="AJ795" s="519">
        <f t="shared" si="843"/>
        <v>0</v>
      </c>
      <c r="AK795" s="519">
        <f t="shared" si="844"/>
        <v>0</v>
      </c>
      <c r="AL795" s="520">
        <f t="shared" si="847"/>
        <v>0</v>
      </c>
      <c r="AM795" s="520">
        <f t="shared" si="848"/>
        <v>0</v>
      </c>
      <c r="AN795" s="520">
        <f t="shared" si="849"/>
        <v>0</v>
      </c>
      <c r="AO795" s="520">
        <f t="shared" si="850"/>
        <v>0</v>
      </c>
      <c r="AP795" s="719"/>
      <c r="AQ795" s="719"/>
      <c r="AR795" s="719"/>
      <c r="AS795" s="719"/>
      <c r="AT795" s="719"/>
    </row>
    <row r="796" spans="1:46" s="555" customFormat="1" ht="22.5" customHeight="1">
      <c r="A796" s="451"/>
      <c r="B796" s="531" t="s">
        <v>400</v>
      </c>
      <c r="C796" s="566"/>
      <c r="D796" s="1001" t="s">
        <v>1114</v>
      </c>
      <c r="E796" s="525" t="s">
        <v>322</v>
      </c>
      <c r="F796" s="1322">
        <f>K796</f>
        <v>1</v>
      </c>
      <c r="G796" s="527">
        <f>ROUNDUP(AA796,2)</f>
        <v>183.82</v>
      </c>
      <c r="H796" s="527">
        <f>ROUND(F796*G796,2)</f>
        <v>183.82</v>
      </c>
      <c r="I796" s="529"/>
      <c r="J796" s="309"/>
      <c r="K796" s="1175">
        <v>1</v>
      </c>
      <c r="L796" s="530">
        <f t="shared" si="838"/>
        <v>47.38</v>
      </c>
      <c r="M796" s="530">
        <f t="shared" si="833"/>
        <v>47.38</v>
      </c>
      <c r="N796" s="309"/>
      <c r="O796" s="778" t="s">
        <v>673</v>
      </c>
      <c r="P796" s="887">
        <v>0.2</v>
      </c>
      <c r="Q796" s="887"/>
      <c r="R796" s="751">
        <f>ROUND(SUM(AE795:AE795)*P796,2)</f>
        <v>180.48</v>
      </c>
      <c r="S796" s="886"/>
      <c r="T796" s="881">
        <f>R796*0.2</f>
        <v>36.095999999999997</v>
      </c>
      <c r="U796" s="803">
        <v>0</v>
      </c>
      <c r="V796" s="803">
        <v>0</v>
      </c>
      <c r="W796" s="803">
        <v>0</v>
      </c>
      <c r="X796" s="858">
        <f>SUMIF('Summary-E'!O$4:O$50,D796,'Summary-E'!Q$4:Q$50)</f>
        <v>0.97</v>
      </c>
      <c r="Y796" s="310">
        <f>ROUND((R796+S796/'[7]Summary E&amp;M'!$M$104)*X796,2)</f>
        <v>175.07</v>
      </c>
      <c r="Z796" s="858">
        <f t="shared" si="830"/>
        <v>1.05</v>
      </c>
      <c r="AA796" s="813">
        <f t="shared" si="839"/>
        <v>183.82</v>
      </c>
      <c r="AB796" s="447">
        <f t="shared" si="834"/>
        <v>0.05</v>
      </c>
      <c r="AC796" s="310">
        <f t="shared" si="827"/>
        <v>37.9</v>
      </c>
      <c r="AD796" s="717">
        <f>ROUND(AC796*'[8]Summary E&amp;M'!$R$94,2)</f>
        <v>47.38</v>
      </c>
      <c r="AE796" s="826">
        <f t="shared" si="840"/>
        <v>175.07</v>
      </c>
      <c r="AF796" s="826">
        <f t="shared" si="841"/>
        <v>37.9</v>
      </c>
      <c r="AG796" s="744"/>
      <c r="AH796" s="728"/>
      <c r="AI796" s="519">
        <f t="shared" si="842"/>
        <v>0</v>
      </c>
      <c r="AJ796" s="519">
        <f t="shared" si="843"/>
        <v>0</v>
      </c>
      <c r="AK796" s="519">
        <f t="shared" si="844"/>
        <v>0</v>
      </c>
      <c r="AL796" s="520">
        <f t="shared" si="847"/>
        <v>0</v>
      </c>
      <c r="AM796" s="520">
        <f t="shared" si="848"/>
        <v>0</v>
      </c>
      <c r="AN796" s="520">
        <f t="shared" si="849"/>
        <v>0</v>
      </c>
      <c r="AO796" s="520">
        <f t="shared" si="850"/>
        <v>0</v>
      </c>
      <c r="AP796" s="719"/>
      <c r="AQ796" s="719"/>
      <c r="AR796" s="719"/>
      <c r="AS796" s="719"/>
      <c r="AT796" s="719"/>
    </row>
    <row r="797" spans="1:46" s="555" customFormat="1" ht="22.5" customHeight="1">
      <c r="A797" s="451"/>
      <c r="B797" s="531" t="s">
        <v>932</v>
      </c>
      <c r="C797" s="566"/>
      <c r="D797" s="1001" t="s">
        <v>130</v>
      </c>
      <c r="E797" s="525" t="s">
        <v>633</v>
      </c>
      <c r="F797" s="1322">
        <f t="shared" ref="F797:F800" si="851">K797</f>
        <v>256</v>
      </c>
      <c r="G797" s="527">
        <f t="shared" si="832"/>
        <v>8.6199999999999992</v>
      </c>
      <c r="H797" s="527">
        <f t="shared" si="837"/>
        <v>2206.7199999999998</v>
      </c>
      <c r="I797" s="529"/>
      <c r="J797" s="309"/>
      <c r="K797" s="1175">
        <v>256</v>
      </c>
      <c r="L797" s="530">
        <f t="shared" si="838"/>
        <v>4.8099999999999996</v>
      </c>
      <c r="M797" s="530">
        <f t="shared" si="833"/>
        <v>1231.3599999999999</v>
      </c>
      <c r="N797" s="309"/>
      <c r="O797" s="778" t="s">
        <v>673</v>
      </c>
      <c r="P797" s="1094"/>
      <c r="Q797" s="1094"/>
      <c r="R797" s="882"/>
      <c r="S797" s="883">
        <v>176000</v>
      </c>
      <c r="T797" s="879">
        <v>3.67</v>
      </c>
      <c r="U797" s="803">
        <v>0</v>
      </c>
      <c r="V797" s="803">
        <v>0</v>
      </c>
      <c r="W797" s="803">
        <v>0</v>
      </c>
      <c r="X797" s="858">
        <f>SUMIF('Summary-E'!O$4:O$50,D797,'Summary-E'!Q$4:Q$50)</f>
        <v>0.97</v>
      </c>
      <c r="Y797" s="310">
        <f>ROUND((R797+S797/'[7]Summary E&amp;M'!$M$104)*X797,2)</f>
        <v>8.2100000000000009</v>
      </c>
      <c r="Z797" s="858">
        <f t="shared" si="830"/>
        <v>1.05</v>
      </c>
      <c r="AA797" s="813">
        <f t="shared" si="839"/>
        <v>8.6199999999999992</v>
      </c>
      <c r="AB797" s="447">
        <f t="shared" si="834"/>
        <v>0.05</v>
      </c>
      <c r="AC797" s="310">
        <f t="shared" si="827"/>
        <v>3.85</v>
      </c>
      <c r="AD797" s="717">
        <f>ROUND(AC797*'[8]Summary E&amp;M'!$R$94,2)</f>
        <v>4.8099999999999996</v>
      </c>
      <c r="AE797" s="826">
        <f t="shared" si="840"/>
        <v>2101.7600000000002</v>
      </c>
      <c r="AF797" s="826">
        <f t="shared" si="841"/>
        <v>985.6</v>
      </c>
      <c r="AG797" s="744"/>
      <c r="AH797" s="728"/>
      <c r="AI797" s="519">
        <f t="shared" si="842"/>
        <v>0</v>
      </c>
      <c r="AJ797" s="519">
        <f t="shared" si="843"/>
        <v>0</v>
      </c>
      <c r="AK797" s="519">
        <f t="shared" si="844"/>
        <v>0</v>
      </c>
      <c r="AL797" s="520">
        <f t="shared" si="847"/>
        <v>0</v>
      </c>
      <c r="AM797" s="520">
        <f t="shared" si="848"/>
        <v>0</v>
      </c>
      <c r="AN797" s="520">
        <f t="shared" si="849"/>
        <v>0</v>
      </c>
      <c r="AO797" s="520">
        <f t="shared" si="850"/>
        <v>0</v>
      </c>
      <c r="AP797" s="719"/>
      <c r="AQ797" s="719"/>
      <c r="AR797" s="719"/>
      <c r="AS797" s="719"/>
      <c r="AT797" s="719"/>
    </row>
    <row r="798" spans="1:46" s="555" customFormat="1" ht="22.5" customHeight="1">
      <c r="A798" s="451"/>
      <c r="B798" s="531" t="s">
        <v>933</v>
      </c>
      <c r="C798" s="566" t="s">
        <v>182</v>
      </c>
      <c r="D798" s="1001" t="s">
        <v>130</v>
      </c>
      <c r="E798" s="525" t="s">
        <v>633</v>
      </c>
      <c r="F798" s="1322">
        <f t="shared" si="851"/>
        <v>51</v>
      </c>
      <c r="G798" s="527">
        <f t="shared" si="832"/>
        <v>12.48</v>
      </c>
      <c r="H798" s="527">
        <f t="shared" si="837"/>
        <v>636.48</v>
      </c>
      <c r="I798" s="529"/>
      <c r="J798" s="309"/>
      <c r="K798" s="1175">
        <v>51</v>
      </c>
      <c r="L798" s="530">
        <f t="shared" si="838"/>
        <v>10.44</v>
      </c>
      <c r="M798" s="530">
        <f t="shared" si="833"/>
        <v>532.44000000000005</v>
      </c>
      <c r="N798" s="309"/>
      <c r="O798" s="778" t="s">
        <v>673</v>
      </c>
      <c r="P798" s="1094"/>
      <c r="Q798" s="1094"/>
      <c r="R798" s="882"/>
      <c r="S798" s="883">
        <v>255000</v>
      </c>
      <c r="T798" s="879">
        <v>7.95</v>
      </c>
      <c r="U798" s="803">
        <v>0</v>
      </c>
      <c r="V798" s="803">
        <v>0</v>
      </c>
      <c r="W798" s="803">
        <v>0</v>
      </c>
      <c r="X798" s="858">
        <f>SUMIF('Summary-E'!O$4:O$50,D798,'Summary-E'!Q$4:Q$50)</f>
        <v>0.97</v>
      </c>
      <c r="Y798" s="310">
        <f>ROUND((R798+S798/'[7]Summary E&amp;M'!$M$104)*X798,2)</f>
        <v>11.89</v>
      </c>
      <c r="Z798" s="858">
        <f t="shared" si="830"/>
        <v>1.05</v>
      </c>
      <c r="AA798" s="813">
        <f t="shared" si="839"/>
        <v>12.48</v>
      </c>
      <c r="AB798" s="447">
        <f t="shared" si="834"/>
        <v>0.05</v>
      </c>
      <c r="AC798" s="310">
        <f t="shared" si="827"/>
        <v>8.35</v>
      </c>
      <c r="AD798" s="717">
        <f>ROUND(AC798*'[8]Summary E&amp;M'!$R$94,2)</f>
        <v>10.44</v>
      </c>
      <c r="AE798" s="826">
        <f t="shared" si="840"/>
        <v>606.39</v>
      </c>
      <c r="AF798" s="826">
        <f t="shared" si="841"/>
        <v>425.85</v>
      </c>
      <c r="AG798" s="744"/>
      <c r="AH798" s="728"/>
      <c r="AI798" s="519">
        <f t="shared" si="842"/>
        <v>0</v>
      </c>
      <c r="AJ798" s="519">
        <f t="shared" si="843"/>
        <v>0</v>
      </c>
      <c r="AK798" s="519">
        <f t="shared" si="844"/>
        <v>0</v>
      </c>
      <c r="AL798" s="520">
        <f t="shared" si="847"/>
        <v>0</v>
      </c>
      <c r="AM798" s="520">
        <f t="shared" si="848"/>
        <v>0</v>
      </c>
      <c r="AN798" s="520">
        <f t="shared" si="849"/>
        <v>0</v>
      </c>
      <c r="AO798" s="520">
        <f t="shared" si="850"/>
        <v>0</v>
      </c>
      <c r="AP798" s="719"/>
      <c r="AQ798" s="719"/>
      <c r="AR798" s="719"/>
      <c r="AS798" s="719"/>
      <c r="AT798" s="719"/>
    </row>
    <row r="799" spans="1:46" s="555" customFormat="1" ht="22.5" customHeight="1">
      <c r="A799" s="451"/>
      <c r="B799" s="531" t="s">
        <v>934</v>
      </c>
      <c r="C799" s="566"/>
      <c r="D799" s="1001" t="s">
        <v>130</v>
      </c>
      <c r="E799" s="525" t="s">
        <v>321</v>
      </c>
      <c r="F799" s="1322">
        <f t="shared" si="851"/>
        <v>640</v>
      </c>
      <c r="G799" s="527">
        <f t="shared" si="832"/>
        <v>2.8</v>
      </c>
      <c r="H799" s="527">
        <f t="shared" si="837"/>
        <v>1792</v>
      </c>
      <c r="I799" s="529"/>
      <c r="J799" s="309"/>
      <c r="K799" s="1175">
        <f>K795</f>
        <v>640</v>
      </c>
      <c r="L799" s="530">
        <f t="shared" si="838"/>
        <v>0.79</v>
      </c>
      <c r="M799" s="530">
        <f t="shared" si="833"/>
        <v>505.6</v>
      </c>
      <c r="N799" s="309"/>
      <c r="O799" s="778" t="s">
        <v>673</v>
      </c>
      <c r="P799" s="1094"/>
      <c r="Q799" s="1094"/>
      <c r="R799" s="882">
        <v>2.75</v>
      </c>
      <c r="S799" s="883"/>
      <c r="T799" s="879">
        <v>0.6</v>
      </c>
      <c r="U799" s="803">
        <v>0</v>
      </c>
      <c r="V799" s="803">
        <v>0</v>
      </c>
      <c r="W799" s="803">
        <v>0</v>
      </c>
      <c r="X799" s="858">
        <f>SUMIF('Summary-E'!O$4:O$50,D799,'Summary-E'!Q$4:Q$50)</f>
        <v>0.97</v>
      </c>
      <c r="Y799" s="310">
        <f>ROUND((R799+S799/'[7]Summary E&amp;M'!$M$104)*X799,2)</f>
        <v>2.67</v>
      </c>
      <c r="Z799" s="858">
        <f t="shared" si="830"/>
        <v>1.05</v>
      </c>
      <c r="AA799" s="813">
        <f t="shared" si="839"/>
        <v>2.8</v>
      </c>
      <c r="AB799" s="447">
        <f t="shared" si="834"/>
        <v>0.05</v>
      </c>
      <c r="AC799" s="310">
        <f t="shared" si="827"/>
        <v>0.63</v>
      </c>
      <c r="AD799" s="717">
        <f>ROUND(AC799*'[8]Summary E&amp;M'!$R$94,2)</f>
        <v>0.79</v>
      </c>
      <c r="AE799" s="826">
        <f t="shared" si="840"/>
        <v>1708.8</v>
      </c>
      <c r="AF799" s="826">
        <f t="shared" si="841"/>
        <v>403.2</v>
      </c>
      <c r="AG799" s="744"/>
      <c r="AH799" s="728"/>
      <c r="AI799" s="519">
        <f t="shared" si="842"/>
        <v>0</v>
      </c>
      <c r="AJ799" s="519">
        <f t="shared" si="843"/>
        <v>0</v>
      </c>
      <c r="AK799" s="519">
        <f t="shared" si="844"/>
        <v>0</v>
      </c>
      <c r="AL799" s="520">
        <f t="shared" si="847"/>
        <v>0</v>
      </c>
      <c r="AM799" s="520">
        <f t="shared" si="848"/>
        <v>0</v>
      </c>
      <c r="AN799" s="520">
        <f t="shared" si="849"/>
        <v>0</v>
      </c>
      <c r="AO799" s="520">
        <f t="shared" si="850"/>
        <v>0</v>
      </c>
      <c r="AP799" s="719"/>
      <c r="AQ799" s="719"/>
      <c r="AR799" s="719"/>
      <c r="AS799" s="719"/>
      <c r="AT799" s="719"/>
    </row>
    <row r="800" spans="1:46" s="555" customFormat="1" ht="22.5" customHeight="1">
      <c r="A800" s="451"/>
      <c r="B800" s="531" t="s">
        <v>936</v>
      </c>
      <c r="C800" s="566"/>
      <c r="D800" s="1001" t="s">
        <v>130</v>
      </c>
      <c r="E800" s="525" t="s">
        <v>633</v>
      </c>
      <c r="F800" s="1322">
        <f t="shared" si="851"/>
        <v>4</v>
      </c>
      <c r="G800" s="527">
        <f t="shared" si="832"/>
        <v>95.74</v>
      </c>
      <c r="H800" s="527">
        <f t="shared" si="837"/>
        <v>382.96</v>
      </c>
      <c r="I800" s="529"/>
      <c r="J800" s="309"/>
      <c r="K800" s="1175">
        <v>4</v>
      </c>
      <c r="L800" s="530">
        <f t="shared" si="838"/>
        <v>39.380000000000003</v>
      </c>
      <c r="M800" s="530">
        <f t="shared" si="833"/>
        <v>157.52000000000001</v>
      </c>
      <c r="N800" s="309"/>
      <c r="O800" s="778" t="s">
        <v>673</v>
      </c>
      <c r="P800" s="1094"/>
      <c r="Q800" s="1094"/>
      <c r="R800" s="882">
        <v>94</v>
      </c>
      <c r="S800" s="883"/>
      <c r="T800" s="879">
        <v>30</v>
      </c>
      <c r="U800" s="803">
        <v>0</v>
      </c>
      <c r="V800" s="803">
        <v>0</v>
      </c>
      <c r="W800" s="803">
        <v>0</v>
      </c>
      <c r="X800" s="858">
        <f>SUMIF('Summary-E'!O$4:O$50,D800,'Summary-E'!Q$4:Q$50)</f>
        <v>0.97</v>
      </c>
      <c r="Y800" s="310">
        <f>ROUND((R800+S800/'[7]Summary E&amp;M'!$M$104)*X800,2)</f>
        <v>91.18</v>
      </c>
      <c r="Z800" s="858">
        <f t="shared" si="830"/>
        <v>1.05</v>
      </c>
      <c r="AA800" s="813">
        <f t="shared" si="839"/>
        <v>95.74</v>
      </c>
      <c r="AB800" s="447">
        <f t="shared" si="834"/>
        <v>0.05</v>
      </c>
      <c r="AC800" s="310">
        <f t="shared" si="827"/>
        <v>31.5</v>
      </c>
      <c r="AD800" s="717">
        <f>ROUND(AC800*'[8]Summary E&amp;M'!$R$94,2)</f>
        <v>39.380000000000003</v>
      </c>
      <c r="AE800" s="826">
        <f t="shared" si="840"/>
        <v>364.72</v>
      </c>
      <c r="AF800" s="826">
        <f t="shared" si="841"/>
        <v>126</v>
      </c>
      <c r="AG800" s="744"/>
      <c r="AH800" s="728"/>
      <c r="AI800" s="519">
        <f t="shared" si="842"/>
        <v>0</v>
      </c>
      <c r="AJ800" s="519">
        <f t="shared" si="843"/>
        <v>0</v>
      </c>
      <c r="AK800" s="519">
        <f t="shared" si="844"/>
        <v>0</v>
      </c>
      <c r="AL800" s="520">
        <f t="shared" si="847"/>
        <v>0</v>
      </c>
      <c r="AM800" s="520">
        <f t="shared" si="848"/>
        <v>0</v>
      </c>
      <c r="AN800" s="520">
        <f t="shared" si="849"/>
        <v>0</v>
      </c>
      <c r="AO800" s="520">
        <f t="shared" si="850"/>
        <v>0</v>
      </c>
      <c r="AP800" s="719"/>
      <c r="AQ800" s="719"/>
      <c r="AR800" s="719"/>
      <c r="AS800" s="719"/>
      <c r="AT800" s="719"/>
    </row>
    <row r="801" spans="1:46" s="555" customFormat="1" ht="22.5" customHeight="1">
      <c r="A801" s="620"/>
      <c r="B801" s="531" t="s">
        <v>332</v>
      </c>
      <c r="C801" s="566" t="s">
        <v>1228</v>
      </c>
      <c r="D801" s="525">
        <v>131</v>
      </c>
      <c r="E801" s="525" t="s">
        <v>321</v>
      </c>
      <c r="F801" s="1314">
        <f>ROUND(K801*'Summary-E'!$K$61,0)</f>
        <v>821</v>
      </c>
      <c r="G801" s="527">
        <f t="shared" si="832"/>
        <v>2.4</v>
      </c>
      <c r="H801" s="527">
        <f t="shared" si="837"/>
        <v>1970.4</v>
      </c>
      <c r="I801" s="529"/>
      <c r="J801" s="309"/>
      <c r="K801" s="1175">
        <v>782</v>
      </c>
      <c r="L801" s="530">
        <f t="shared" si="838"/>
        <v>1.31</v>
      </c>
      <c r="M801" s="530">
        <f t="shared" si="833"/>
        <v>1075.51</v>
      </c>
      <c r="N801" s="309"/>
      <c r="O801" s="778">
        <v>131</v>
      </c>
      <c r="P801" s="777"/>
      <c r="Q801" s="777"/>
      <c r="R801" s="751"/>
      <c r="S801" s="752">
        <v>47650</v>
      </c>
      <c r="T801" s="792">
        <v>1</v>
      </c>
      <c r="U801" s="803">
        <v>0</v>
      </c>
      <c r="V801" s="803">
        <v>0</v>
      </c>
      <c r="W801" s="803">
        <v>0</v>
      </c>
      <c r="X801" s="858">
        <v>1</v>
      </c>
      <c r="Y801" s="310">
        <f>ROUND((R801+S801/'[7]Summary E&amp;M'!$M$104)*X801,2)</f>
        <v>2.29</v>
      </c>
      <c r="Z801" s="858">
        <f t="shared" si="830"/>
        <v>1.05</v>
      </c>
      <c r="AA801" s="813">
        <f t="shared" si="839"/>
        <v>2.4</v>
      </c>
      <c r="AB801" s="447">
        <f t="shared" si="834"/>
        <v>0.05</v>
      </c>
      <c r="AC801" s="310">
        <f t="shared" si="827"/>
        <v>1.05</v>
      </c>
      <c r="AD801" s="717">
        <f>ROUND(AC801*'[8]Summary E&amp;M'!$R$94,2)</f>
        <v>1.31</v>
      </c>
      <c r="AE801" s="826">
        <f t="shared" si="840"/>
        <v>1790.78</v>
      </c>
      <c r="AF801" s="826">
        <f t="shared" si="841"/>
        <v>821.1</v>
      </c>
      <c r="AG801" s="744"/>
      <c r="AH801" s="728"/>
      <c r="AI801" s="519">
        <f t="shared" si="842"/>
        <v>0</v>
      </c>
      <c r="AJ801" s="519">
        <f t="shared" si="843"/>
        <v>0</v>
      </c>
      <c r="AK801" s="519">
        <f t="shared" si="844"/>
        <v>0</v>
      </c>
      <c r="AL801" s="520">
        <f t="shared" si="847"/>
        <v>0</v>
      </c>
      <c r="AM801" s="520">
        <f t="shared" si="848"/>
        <v>0</v>
      </c>
      <c r="AN801" s="520">
        <f t="shared" si="849"/>
        <v>0</v>
      </c>
      <c r="AO801" s="520">
        <f t="shared" si="850"/>
        <v>0</v>
      </c>
      <c r="AP801" s="719"/>
      <c r="AQ801" s="719"/>
      <c r="AR801" s="719"/>
      <c r="AS801" s="719"/>
      <c r="AT801" s="719"/>
    </row>
    <row r="802" spans="1:46" s="555" customFormat="1" ht="22.5" customHeight="1">
      <c r="A802" s="451"/>
      <c r="B802" s="531" t="s">
        <v>332</v>
      </c>
      <c r="C802" s="566" t="s">
        <v>736</v>
      </c>
      <c r="D802" s="525">
        <v>131</v>
      </c>
      <c r="E802" s="525" t="s">
        <v>321</v>
      </c>
      <c r="F802" s="1314">
        <f>ROUND(K802*'Summary-E'!$K$61,0)</f>
        <v>105</v>
      </c>
      <c r="G802" s="527">
        <f t="shared" si="832"/>
        <v>0.91</v>
      </c>
      <c r="H802" s="527">
        <f t="shared" si="837"/>
        <v>95.55</v>
      </c>
      <c r="I802" s="567"/>
      <c r="J802" s="309"/>
      <c r="K802" s="1149">
        <v>100</v>
      </c>
      <c r="L802" s="530">
        <f t="shared" si="838"/>
        <v>0.14000000000000001</v>
      </c>
      <c r="M802" s="530">
        <f t="shared" si="833"/>
        <v>14.7</v>
      </c>
      <c r="N802" s="309"/>
      <c r="O802" s="776">
        <v>131</v>
      </c>
      <c r="P802" s="777"/>
      <c r="Q802" s="777"/>
      <c r="R802" s="751"/>
      <c r="S802" s="752">
        <v>18000</v>
      </c>
      <c r="T802" s="792">
        <v>0.1</v>
      </c>
      <c r="U802" s="803">
        <v>0</v>
      </c>
      <c r="V802" s="803">
        <v>0</v>
      </c>
      <c r="W802" s="803">
        <v>0</v>
      </c>
      <c r="X802" s="858">
        <v>1</v>
      </c>
      <c r="Y802" s="310">
        <f>ROUND((R802+S802/'[7]Summary E&amp;M'!$M$104)*X802,2)</f>
        <v>0.87</v>
      </c>
      <c r="Z802" s="858">
        <f t="shared" si="830"/>
        <v>1.05</v>
      </c>
      <c r="AA802" s="813">
        <f t="shared" si="839"/>
        <v>0.91</v>
      </c>
      <c r="AB802" s="447">
        <f t="shared" si="834"/>
        <v>0.05</v>
      </c>
      <c r="AC802" s="310">
        <f t="shared" si="827"/>
        <v>0.11</v>
      </c>
      <c r="AD802" s="717">
        <f>ROUND(AC802*'[8]Summary E&amp;M'!$R$94,2)</f>
        <v>0.14000000000000001</v>
      </c>
      <c r="AE802" s="825">
        <f t="shared" si="840"/>
        <v>87</v>
      </c>
      <c r="AF802" s="825">
        <f t="shared" si="841"/>
        <v>11</v>
      </c>
      <c r="AG802" s="743"/>
      <c r="AH802" s="728"/>
      <c r="AI802" s="519">
        <f t="shared" si="842"/>
        <v>0</v>
      </c>
      <c r="AJ802" s="519">
        <f t="shared" si="843"/>
        <v>0</v>
      </c>
      <c r="AK802" s="519">
        <f t="shared" si="844"/>
        <v>0</v>
      </c>
      <c r="AL802" s="520">
        <f t="shared" si="847"/>
        <v>0</v>
      </c>
      <c r="AM802" s="520">
        <f t="shared" si="848"/>
        <v>0</v>
      </c>
      <c r="AN802" s="520">
        <f t="shared" si="849"/>
        <v>0</v>
      </c>
      <c r="AO802" s="520">
        <f t="shared" si="850"/>
        <v>0</v>
      </c>
      <c r="AP802" s="552"/>
      <c r="AQ802" s="552"/>
      <c r="AR802" s="552"/>
      <c r="AS802" s="552"/>
      <c r="AT802" s="552"/>
    </row>
    <row r="803" spans="1:46" s="555" customFormat="1" ht="22.5" customHeight="1">
      <c r="A803" s="451"/>
      <c r="B803" s="531" t="s">
        <v>332</v>
      </c>
      <c r="C803" s="566" t="s">
        <v>714</v>
      </c>
      <c r="D803" s="525">
        <v>131</v>
      </c>
      <c r="E803" s="525" t="s">
        <v>321</v>
      </c>
      <c r="F803" s="1314">
        <f>ROUND(K803*'Summary-E'!$K$61,0)</f>
        <v>772</v>
      </c>
      <c r="G803" s="527">
        <f t="shared" si="832"/>
        <v>0.71</v>
      </c>
      <c r="H803" s="527">
        <f t="shared" si="837"/>
        <v>548.12</v>
      </c>
      <c r="I803" s="567"/>
      <c r="J803" s="309"/>
      <c r="K803" s="1149">
        <v>735</v>
      </c>
      <c r="L803" s="530">
        <f t="shared" si="838"/>
        <v>0.14000000000000001</v>
      </c>
      <c r="M803" s="530">
        <f t="shared" si="833"/>
        <v>108.08</v>
      </c>
      <c r="N803" s="309"/>
      <c r="O803" s="776">
        <v>131</v>
      </c>
      <c r="P803" s="777"/>
      <c r="Q803" s="777"/>
      <c r="R803" s="751"/>
      <c r="S803" s="752">
        <f>3*4700</f>
        <v>14100</v>
      </c>
      <c r="T803" s="792">
        <v>0.1</v>
      </c>
      <c r="U803" s="803">
        <v>0</v>
      </c>
      <c r="V803" s="803">
        <v>0</v>
      </c>
      <c r="W803" s="803">
        <v>0</v>
      </c>
      <c r="X803" s="858">
        <v>1</v>
      </c>
      <c r="Y803" s="310">
        <f>ROUND((R803+S803/'[7]Summary E&amp;M'!$M$104)*X803,2)</f>
        <v>0.68</v>
      </c>
      <c r="Z803" s="858">
        <f t="shared" si="830"/>
        <v>1.05</v>
      </c>
      <c r="AA803" s="813">
        <f t="shared" si="839"/>
        <v>0.71</v>
      </c>
      <c r="AB803" s="447">
        <f t="shared" si="834"/>
        <v>0.05</v>
      </c>
      <c r="AC803" s="310">
        <f t="shared" si="827"/>
        <v>0.11</v>
      </c>
      <c r="AD803" s="717">
        <f>ROUND(AC803*'[8]Summary E&amp;M'!$R$94,2)</f>
        <v>0.14000000000000001</v>
      </c>
      <c r="AE803" s="825">
        <f t="shared" si="840"/>
        <v>499.8</v>
      </c>
      <c r="AF803" s="825">
        <f t="shared" si="841"/>
        <v>80.849999999999994</v>
      </c>
      <c r="AG803" s="743"/>
      <c r="AH803" s="728"/>
      <c r="AI803" s="519">
        <f t="shared" si="842"/>
        <v>0</v>
      </c>
      <c r="AJ803" s="519">
        <f t="shared" si="843"/>
        <v>0</v>
      </c>
      <c r="AK803" s="519">
        <f t="shared" si="844"/>
        <v>0</v>
      </c>
      <c r="AL803" s="520">
        <f t="shared" si="847"/>
        <v>0</v>
      </c>
      <c r="AM803" s="520">
        <f t="shared" si="848"/>
        <v>0</v>
      </c>
      <c r="AN803" s="520">
        <f t="shared" si="849"/>
        <v>0</v>
      </c>
      <c r="AO803" s="520">
        <f t="shared" si="850"/>
        <v>0</v>
      </c>
      <c r="AP803" s="552"/>
      <c r="AQ803" s="552"/>
      <c r="AR803" s="552"/>
      <c r="AS803" s="552"/>
      <c r="AT803" s="552"/>
    </row>
    <row r="804" spans="1:46" s="555" customFormat="1" ht="22.5" customHeight="1">
      <c r="A804" s="570"/>
      <c r="B804" s="531" t="s">
        <v>122</v>
      </c>
      <c r="C804" s="569"/>
      <c r="D804" s="525" t="s">
        <v>690</v>
      </c>
      <c r="E804" s="570" t="s">
        <v>322</v>
      </c>
      <c r="F804" s="1322">
        <f>K804</f>
        <v>1</v>
      </c>
      <c r="G804" s="527">
        <f t="shared" si="832"/>
        <v>96.86</v>
      </c>
      <c r="H804" s="527">
        <f t="shared" si="837"/>
        <v>96.86</v>
      </c>
      <c r="I804" s="567"/>
      <c r="J804" s="309"/>
      <c r="K804" s="1149">
        <v>1</v>
      </c>
      <c r="L804" s="530">
        <f t="shared" si="838"/>
        <v>12.49</v>
      </c>
      <c r="M804" s="530">
        <f t="shared" si="833"/>
        <v>12.49</v>
      </c>
      <c r="N804" s="309"/>
      <c r="O804" s="778" t="s">
        <v>690</v>
      </c>
      <c r="P804" s="777">
        <v>0.04</v>
      </c>
      <c r="Q804" s="777"/>
      <c r="R804" s="751">
        <f>ROUND(SUM(AE801:AE803)*P804,2)</f>
        <v>95.1</v>
      </c>
      <c r="S804" s="752"/>
      <c r="T804" s="792">
        <f>ROUND(R804*10%,2)</f>
        <v>9.51</v>
      </c>
      <c r="U804" s="803">
        <v>0</v>
      </c>
      <c r="V804" s="803">
        <v>0</v>
      </c>
      <c r="W804" s="803">
        <v>0</v>
      </c>
      <c r="X804" s="858">
        <f>SUMIF('Summary-E'!O$4:O$50,D804,'Summary-E'!Q$4:Q$50)</f>
        <v>0.97</v>
      </c>
      <c r="Y804" s="310">
        <f>ROUND((R804+S804/'[7]Summary E&amp;M'!$M$104)*X804,2)</f>
        <v>92.25</v>
      </c>
      <c r="Z804" s="858">
        <f t="shared" si="830"/>
        <v>1.05</v>
      </c>
      <c r="AA804" s="813">
        <f t="shared" si="839"/>
        <v>96.86</v>
      </c>
      <c r="AB804" s="447">
        <f t="shared" si="834"/>
        <v>0.05</v>
      </c>
      <c r="AC804" s="310">
        <f t="shared" si="827"/>
        <v>9.99</v>
      </c>
      <c r="AD804" s="717">
        <f>ROUND(AC804*'[8]Summary E&amp;M'!$R$94,2)</f>
        <v>12.49</v>
      </c>
      <c r="AE804" s="825">
        <f t="shared" si="840"/>
        <v>92.25</v>
      </c>
      <c r="AF804" s="825">
        <f t="shared" si="841"/>
        <v>9.99</v>
      </c>
      <c r="AG804" s="743"/>
      <c r="AH804" s="728"/>
      <c r="AI804" s="519">
        <f t="shared" si="842"/>
        <v>0</v>
      </c>
      <c r="AJ804" s="519">
        <f t="shared" si="843"/>
        <v>0</v>
      </c>
      <c r="AK804" s="519">
        <f t="shared" si="844"/>
        <v>0</v>
      </c>
      <c r="AL804" s="520">
        <f t="shared" si="847"/>
        <v>0</v>
      </c>
      <c r="AM804" s="520">
        <f t="shared" si="848"/>
        <v>0</v>
      </c>
      <c r="AN804" s="520">
        <f t="shared" si="849"/>
        <v>0</v>
      </c>
      <c r="AO804" s="520">
        <f t="shared" si="850"/>
        <v>0</v>
      </c>
      <c r="AP804" s="552"/>
      <c r="AQ804" s="552"/>
      <c r="AR804" s="552"/>
      <c r="AS804" s="552"/>
      <c r="AT804" s="552"/>
    </row>
    <row r="805" spans="1:46" s="555" customFormat="1" ht="22.5" customHeight="1">
      <c r="A805" s="451"/>
      <c r="B805" s="531"/>
      <c r="C805" s="566"/>
      <c r="D805" s="525"/>
      <c r="E805" s="525"/>
      <c r="F805" s="1314"/>
      <c r="G805" s="527"/>
      <c r="H805" s="527"/>
      <c r="I805" s="567"/>
      <c r="J805" s="309"/>
      <c r="K805" s="1149"/>
      <c r="L805" s="530"/>
      <c r="M805" s="530"/>
      <c r="N805" s="309"/>
      <c r="O805" s="776"/>
      <c r="P805" s="777"/>
      <c r="Q805" s="777"/>
      <c r="R805" s="751"/>
      <c r="S805" s="752"/>
      <c r="T805" s="792"/>
      <c r="U805" s="803"/>
      <c r="V805" s="803"/>
      <c r="W805" s="803"/>
      <c r="X805" s="858">
        <f>SUMIF('Summary-E'!O$4:O$50,D805,'Summary-E'!Q$4:Q$50)</f>
        <v>0</v>
      </c>
      <c r="Y805" s="310">
        <f>ROUND((R805+S805/'Summary-E'!$M$63)*X805,2)</f>
        <v>0</v>
      </c>
      <c r="Z805" s="858">
        <f t="shared" si="830"/>
        <v>1.05</v>
      </c>
      <c r="AA805" s="813"/>
      <c r="AB805" s="447"/>
      <c r="AC805" s="310">
        <f t="shared" si="827"/>
        <v>0</v>
      </c>
      <c r="AD805" s="717">
        <f>ROUND(AC805*'[6]Summary E&amp;M'!$R$94,2)</f>
        <v>0</v>
      </c>
      <c r="AE805" s="825">
        <f t="shared" ref="AE805:AE815" si="852">ROUND($K805*$Y805,2)</f>
        <v>0</v>
      </c>
      <c r="AF805" s="825">
        <f t="shared" ref="AF805:AF815" si="853">ROUND($K805*$AC805,2)</f>
        <v>0</v>
      </c>
      <c r="AG805" s="743"/>
      <c r="AH805" s="728"/>
      <c r="AI805" s="519"/>
      <c r="AJ805" s="519"/>
      <c r="AK805" s="519"/>
      <c r="AL805" s="520"/>
      <c r="AM805" s="520"/>
      <c r="AN805" s="520"/>
      <c r="AO805" s="520"/>
      <c r="AP805" s="552"/>
      <c r="AQ805" s="552"/>
      <c r="AR805" s="552"/>
      <c r="AS805" s="552"/>
      <c r="AT805" s="552"/>
    </row>
    <row r="806" spans="1:46" s="555" customFormat="1" ht="22.5" customHeight="1">
      <c r="A806" s="620"/>
      <c r="B806" s="522" t="s">
        <v>142</v>
      </c>
      <c r="C806" s="572"/>
      <c r="D806" s="1080"/>
      <c r="E806" s="1080"/>
      <c r="F806" s="1325"/>
      <c r="G806" s="527"/>
      <c r="H806" s="527"/>
      <c r="I806" s="567"/>
      <c r="J806" s="309"/>
      <c r="K806" s="1182"/>
      <c r="L806" s="530"/>
      <c r="M806" s="530"/>
      <c r="N806" s="309"/>
      <c r="O806" s="778"/>
      <c r="P806" s="777"/>
      <c r="Q806" s="777"/>
      <c r="R806" s="751"/>
      <c r="S806" s="752"/>
      <c r="T806" s="792"/>
      <c r="U806" s="803"/>
      <c r="V806" s="803"/>
      <c r="W806" s="803"/>
      <c r="X806" s="858">
        <f>SUMIF('Summary-E'!O$4:O$50,D806,'Summary-E'!Q$4:Q$50)</f>
        <v>0</v>
      </c>
      <c r="Y806" s="310">
        <f>ROUND((R806+S806/'Summary-E'!$M$63)*X806,2)</f>
        <v>0</v>
      </c>
      <c r="Z806" s="858">
        <f t="shared" si="830"/>
        <v>1.05</v>
      </c>
      <c r="AA806" s="813"/>
      <c r="AB806" s="447"/>
      <c r="AC806" s="310">
        <f t="shared" si="827"/>
        <v>0</v>
      </c>
      <c r="AD806" s="717">
        <f>ROUND(AC806*'[6]Summary E&amp;M'!$R$94,2)</f>
        <v>0</v>
      </c>
      <c r="AE806" s="825">
        <f t="shared" si="852"/>
        <v>0</v>
      </c>
      <c r="AF806" s="825">
        <f t="shared" si="853"/>
        <v>0</v>
      </c>
      <c r="AG806" s="743"/>
      <c r="AH806" s="728"/>
      <c r="AI806" s="519"/>
      <c r="AJ806" s="519"/>
      <c r="AK806" s="519"/>
      <c r="AL806" s="520"/>
      <c r="AM806" s="520"/>
      <c r="AN806" s="520"/>
      <c r="AO806" s="520"/>
      <c r="AP806" s="552"/>
      <c r="AQ806" s="552"/>
      <c r="AR806" s="552"/>
      <c r="AS806" s="552"/>
      <c r="AT806" s="552"/>
    </row>
    <row r="807" spans="1:46" s="555" customFormat="1" ht="22.5" customHeight="1">
      <c r="A807" s="620"/>
      <c r="B807" s="531" t="s">
        <v>335</v>
      </c>
      <c r="C807" s="566" t="s">
        <v>127</v>
      </c>
      <c r="D807" s="1239" t="s">
        <v>129</v>
      </c>
      <c r="E807" s="525" t="s">
        <v>319</v>
      </c>
      <c r="F807" s="1322">
        <f>K807</f>
        <v>5</v>
      </c>
      <c r="G807" s="527">
        <f t="shared" ref="G807:G813" si="854">ROUNDUP(AA807,2)</f>
        <v>3.84</v>
      </c>
      <c r="H807" s="527">
        <f t="shared" ref="H807:H813" si="855">ROUND(F807*G807,2)</f>
        <v>19.2</v>
      </c>
      <c r="I807" s="567"/>
      <c r="J807" s="309"/>
      <c r="K807" s="1149">
        <v>5</v>
      </c>
      <c r="L807" s="530">
        <f t="shared" ref="L807:L814" si="856">ROUND(AD807,2)</f>
        <v>3.94</v>
      </c>
      <c r="M807" s="530">
        <f t="shared" ref="M807:M814" si="857">ROUND(L807*F807,2)</f>
        <v>19.7</v>
      </c>
      <c r="N807" s="309"/>
      <c r="O807" s="778" t="s">
        <v>129</v>
      </c>
      <c r="P807" s="777"/>
      <c r="Q807" s="777"/>
      <c r="R807" s="751"/>
      <c r="S807" s="752">
        <v>76090</v>
      </c>
      <c r="T807" s="792">
        <v>3</v>
      </c>
      <c r="U807" s="803">
        <v>0</v>
      </c>
      <c r="V807" s="803">
        <v>0</v>
      </c>
      <c r="W807" s="803">
        <v>0</v>
      </c>
      <c r="X807" s="858">
        <v>1</v>
      </c>
      <c r="Y807" s="310">
        <f>ROUND((R807+S807/'Summary-E'!$M$63)*X807,2)</f>
        <v>3.66</v>
      </c>
      <c r="Z807" s="858">
        <f t="shared" si="830"/>
        <v>1.05</v>
      </c>
      <c r="AA807" s="813">
        <f t="shared" ref="AA807:AA813" si="858">ROUND(Y807*Z807,2)</f>
        <v>3.84</v>
      </c>
      <c r="AB807" s="447">
        <f t="shared" ref="AB807:AB813" si="859">$AB$3</f>
        <v>0.05</v>
      </c>
      <c r="AC807" s="310">
        <f t="shared" si="827"/>
        <v>3.15</v>
      </c>
      <c r="AD807" s="717">
        <f>ROUND(AC807*'[6]Summary E&amp;M'!$R$94,2)</f>
        <v>3.94</v>
      </c>
      <c r="AE807" s="825">
        <f t="shared" si="852"/>
        <v>18.3</v>
      </c>
      <c r="AF807" s="825">
        <f t="shared" si="853"/>
        <v>15.75</v>
      </c>
      <c r="AG807" s="743"/>
      <c r="AH807" s="728"/>
      <c r="AI807" s="519">
        <f t="shared" ref="AI807:AI813" si="860">$U807</f>
        <v>0</v>
      </c>
      <c r="AJ807" s="519">
        <f t="shared" ref="AJ807:AJ813" si="861">$V807</f>
        <v>0</v>
      </c>
      <c r="AK807" s="519">
        <f t="shared" ref="AK807:AK813" si="862">$W807</f>
        <v>0</v>
      </c>
      <c r="AL807" s="520">
        <f>ROUND(Y807*AI807+((Y807*(1+AI807))*AJ807)+((Y807*AI807+((Y807*(1+AI807))*AJ807))*AK807),2)</f>
        <v>0</v>
      </c>
      <c r="AM807" s="520">
        <f>AL807*$F807</f>
        <v>0</v>
      </c>
      <c r="AN807" s="520">
        <f>ROUND(AL807*Z807,2)</f>
        <v>0</v>
      </c>
      <c r="AO807" s="520">
        <f>AN807*$F807</f>
        <v>0</v>
      </c>
      <c r="AP807" s="552"/>
      <c r="AQ807" s="552"/>
      <c r="AR807" s="552"/>
      <c r="AS807" s="552"/>
      <c r="AT807" s="552"/>
    </row>
    <row r="808" spans="1:46" s="555" customFormat="1" ht="22.5" customHeight="1">
      <c r="A808" s="620"/>
      <c r="B808" s="531" t="s">
        <v>403</v>
      </c>
      <c r="C808" s="566" t="s">
        <v>329</v>
      </c>
      <c r="D808" s="1239" t="s">
        <v>1111</v>
      </c>
      <c r="E808" s="525" t="s">
        <v>321</v>
      </c>
      <c r="F808" s="1314">
        <f>ROUND(K808*'Summary-E'!$K$61,0)</f>
        <v>19</v>
      </c>
      <c r="G808" s="527">
        <f t="shared" si="854"/>
        <v>0.61</v>
      </c>
      <c r="H808" s="527">
        <f t="shared" si="855"/>
        <v>11.59</v>
      </c>
      <c r="I808" s="567"/>
      <c r="J808" s="309"/>
      <c r="K808" s="1149">
        <v>18</v>
      </c>
      <c r="L808" s="530">
        <f t="shared" si="856"/>
        <v>0.4</v>
      </c>
      <c r="M808" s="530">
        <f t="shared" si="857"/>
        <v>7.6</v>
      </c>
      <c r="N808" s="309"/>
      <c r="O808" s="778" t="s">
        <v>131</v>
      </c>
      <c r="P808" s="777"/>
      <c r="Q808" s="777"/>
      <c r="R808" s="751"/>
      <c r="S808" s="752">
        <v>12000</v>
      </c>
      <c r="T808" s="792">
        <v>0.3</v>
      </c>
      <c r="U808" s="803">
        <v>0</v>
      </c>
      <c r="V808" s="803">
        <v>0</v>
      </c>
      <c r="W808" s="803">
        <v>0</v>
      </c>
      <c r="X808" s="858">
        <v>1</v>
      </c>
      <c r="Y808" s="310">
        <f>ROUND((R808+S808/'Summary-E'!$M$63)*X808,2)</f>
        <v>0.57999999999999996</v>
      </c>
      <c r="Z808" s="858">
        <f t="shared" si="830"/>
        <v>1.05</v>
      </c>
      <c r="AA808" s="813">
        <f t="shared" si="858"/>
        <v>0.61</v>
      </c>
      <c r="AB808" s="447">
        <f t="shared" si="859"/>
        <v>0.05</v>
      </c>
      <c r="AC808" s="310">
        <f t="shared" si="827"/>
        <v>0.32</v>
      </c>
      <c r="AD808" s="717">
        <f>ROUND(AC808*'[6]Summary E&amp;M'!$R$94,2)</f>
        <v>0.4</v>
      </c>
      <c r="AE808" s="825">
        <f t="shared" si="852"/>
        <v>10.44</v>
      </c>
      <c r="AF808" s="825">
        <f t="shared" si="853"/>
        <v>5.76</v>
      </c>
      <c r="AG808" s="743"/>
      <c r="AH808" s="728"/>
      <c r="AI808" s="519">
        <f t="shared" si="860"/>
        <v>0</v>
      </c>
      <c r="AJ808" s="519">
        <f t="shared" si="861"/>
        <v>0</v>
      </c>
      <c r="AK808" s="519">
        <f t="shared" si="862"/>
        <v>0</v>
      </c>
      <c r="AL808" s="520">
        <f t="shared" ref="AL808:AL813" si="863">ROUND(Y808*AI808+((Y808*(1+AI808))*AJ808)+((Y808*AI808+((Y808*(1+AI808))*AJ808))*AK808),2)</f>
        <v>0</v>
      </c>
      <c r="AM808" s="520">
        <f t="shared" ref="AM808:AM813" si="864">AL808*$F808</f>
        <v>0</v>
      </c>
      <c r="AN808" s="520">
        <f t="shared" ref="AN808:AN813" si="865">ROUND(AL808*Z808,2)</f>
        <v>0</v>
      </c>
      <c r="AO808" s="520">
        <f t="shared" ref="AO808:AO813" si="866">AN808*$F808</f>
        <v>0</v>
      </c>
      <c r="AP808" s="552"/>
      <c r="AQ808" s="552"/>
      <c r="AR808" s="552"/>
      <c r="AS808" s="552"/>
      <c r="AT808" s="552"/>
    </row>
    <row r="809" spans="1:46" s="555" customFormat="1" ht="22.5" customHeight="1">
      <c r="A809" s="570"/>
      <c r="B809" s="568" t="s">
        <v>333</v>
      </c>
      <c r="C809" s="569"/>
      <c r="D809" s="1239" t="s">
        <v>1111</v>
      </c>
      <c r="E809" s="570" t="s">
        <v>322</v>
      </c>
      <c r="F809" s="1322">
        <f>K809</f>
        <v>1</v>
      </c>
      <c r="G809" s="527">
        <f t="shared" si="854"/>
        <v>4.79</v>
      </c>
      <c r="H809" s="527">
        <f t="shared" si="855"/>
        <v>4.79</v>
      </c>
      <c r="I809" s="567"/>
      <c r="J809" s="309"/>
      <c r="K809" s="1149">
        <v>1</v>
      </c>
      <c r="L809" s="530">
        <f t="shared" si="856"/>
        <v>0.61</v>
      </c>
      <c r="M809" s="530">
        <f t="shared" si="857"/>
        <v>0.61</v>
      </c>
      <c r="N809" s="309"/>
      <c r="O809" s="778" t="s">
        <v>683</v>
      </c>
      <c r="P809" s="777">
        <v>0.45</v>
      </c>
      <c r="Q809" s="777"/>
      <c r="R809" s="751">
        <f>ROUND(SUM(AE808:AE808)*P809,2)</f>
        <v>4.7</v>
      </c>
      <c r="S809" s="752"/>
      <c r="T809" s="792">
        <f>ROUND(R809*10%,2)</f>
        <v>0.47</v>
      </c>
      <c r="U809" s="803">
        <v>0</v>
      </c>
      <c r="V809" s="803">
        <v>0</v>
      </c>
      <c r="W809" s="803">
        <v>0</v>
      </c>
      <c r="X809" s="858">
        <f>SUMIF('Summary-E'!O$4:O$50,D809,'Summary-E'!Q$4:Q$50)</f>
        <v>0.97</v>
      </c>
      <c r="Y809" s="310">
        <f>ROUND((R809+S809/'Summary-E'!$M$63)*X809,2)</f>
        <v>4.5599999999999996</v>
      </c>
      <c r="Z809" s="858">
        <f t="shared" si="830"/>
        <v>1.05</v>
      </c>
      <c r="AA809" s="813">
        <f t="shared" si="858"/>
        <v>4.79</v>
      </c>
      <c r="AB809" s="447">
        <f t="shared" si="859"/>
        <v>0.05</v>
      </c>
      <c r="AC809" s="310">
        <f t="shared" si="827"/>
        <v>0.49</v>
      </c>
      <c r="AD809" s="717">
        <f>ROUND(AC809*'[6]Summary E&amp;M'!$R$94,2)</f>
        <v>0.61</v>
      </c>
      <c r="AE809" s="825">
        <f t="shared" si="852"/>
        <v>4.5599999999999996</v>
      </c>
      <c r="AF809" s="825">
        <f t="shared" si="853"/>
        <v>0.49</v>
      </c>
      <c r="AG809" s="743"/>
      <c r="AH809" s="728"/>
      <c r="AI809" s="519">
        <f t="shared" si="860"/>
        <v>0</v>
      </c>
      <c r="AJ809" s="519">
        <f t="shared" si="861"/>
        <v>0</v>
      </c>
      <c r="AK809" s="519">
        <f t="shared" si="862"/>
        <v>0</v>
      </c>
      <c r="AL809" s="520">
        <f t="shared" si="863"/>
        <v>0</v>
      </c>
      <c r="AM809" s="520">
        <f t="shared" si="864"/>
        <v>0</v>
      </c>
      <c r="AN809" s="520">
        <f t="shared" si="865"/>
        <v>0</v>
      </c>
      <c r="AO809" s="520">
        <f t="shared" si="866"/>
        <v>0</v>
      </c>
      <c r="AP809" s="552"/>
      <c r="AQ809" s="552"/>
      <c r="AR809" s="552"/>
      <c r="AS809" s="552"/>
      <c r="AT809" s="552"/>
    </row>
    <row r="810" spans="1:46" s="555" customFormat="1" ht="22.5" customHeight="1">
      <c r="A810" s="451"/>
      <c r="B810" s="531" t="s">
        <v>334</v>
      </c>
      <c r="C810" s="566"/>
      <c r="D810" s="525" t="s">
        <v>139</v>
      </c>
      <c r="E810" s="525" t="s">
        <v>322</v>
      </c>
      <c r="F810" s="1322">
        <f>K810</f>
        <v>1</v>
      </c>
      <c r="G810" s="527">
        <f t="shared" si="854"/>
        <v>1.6</v>
      </c>
      <c r="H810" s="527">
        <f t="shared" si="855"/>
        <v>1.6</v>
      </c>
      <c r="I810" s="567"/>
      <c r="J810" s="309"/>
      <c r="K810" s="1149">
        <v>1</v>
      </c>
      <c r="L810" s="530">
        <f t="shared" si="856"/>
        <v>0.21</v>
      </c>
      <c r="M810" s="530">
        <f t="shared" si="857"/>
        <v>0.21</v>
      </c>
      <c r="N810" s="309"/>
      <c r="O810" s="778" t="s">
        <v>130</v>
      </c>
      <c r="P810" s="777">
        <v>0.15</v>
      </c>
      <c r="Q810" s="777"/>
      <c r="R810" s="751">
        <f>ROUND(SUM(AE808:AE808)*P810,2)</f>
        <v>1.57</v>
      </c>
      <c r="S810" s="752"/>
      <c r="T810" s="792">
        <f>ROUND(R810*10%,2)</f>
        <v>0.16</v>
      </c>
      <c r="U810" s="803">
        <v>0</v>
      </c>
      <c r="V810" s="803">
        <v>0</v>
      </c>
      <c r="W810" s="803">
        <v>0</v>
      </c>
      <c r="X810" s="858">
        <f>SUMIF('Summary-E'!O$4:O$50,D810,'Summary-E'!Q$4:Q$50)</f>
        <v>0.97</v>
      </c>
      <c r="Y810" s="310">
        <f>ROUND((R810+S810/'Summary-E'!$M$63)*X810,2)</f>
        <v>1.52</v>
      </c>
      <c r="Z810" s="858">
        <f t="shared" si="830"/>
        <v>1.05</v>
      </c>
      <c r="AA810" s="813">
        <f t="shared" si="858"/>
        <v>1.6</v>
      </c>
      <c r="AB810" s="447">
        <f t="shared" si="859"/>
        <v>0.05</v>
      </c>
      <c r="AC810" s="310">
        <f t="shared" si="827"/>
        <v>0.17</v>
      </c>
      <c r="AD810" s="717">
        <f>ROUND(AC810*'[6]Summary E&amp;M'!$R$94,2)</f>
        <v>0.21</v>
      </c>
      <c r="AE810" s="825">
        <f t="shared" si="852"/>
        <v>1.52</v>
      </c>
      <c r="AF810" s="825">
        <f t="shared" si="853"/>
        <v>0.17</v>
      </c>
      <c r="AG810" s="743"/>
      <c r="AH810" s="728"/>
      <c r="AI810" s="519">
        <f t="shared" si="860"/>
        <v>0</v>
      </c>
      <c r="AJ810" s="519">
        <f t="shared" si="861"/>
        <v>0</v>
      </c>
      <c r="AK810" s="519">
        <f t="shared" si="862"/>
        <v>0</v>
      </c>
      <c r="AL810" s="520">
        <f t="shared" si="863"/>
        <v>0</v>
      </c>
      <c r="AM810" s="520">
        <f t="shared" si="864"/>
        <v>0</v>
      </c>
      <c r="AN810" s="520">
        <f t="shared" si="865"/>
        <v>0</v>
      </c>
      <c r="AO810" s="520">
        <f t="shared" si="866"/>
        <v>0</v>
      </c>
      <c r="AP810" s="552"/>
      <c r="AQ810" s="552"/>
      <c r="AR810" s="552"/>
      <c r="AS810" s="552"/>
      <c r="AT810" s="552"/>
    </row>
    <row r="811" spans="1:46" s="555" customFormat="1" ht="22.5" customHeight="1">
      <c r="A811" s="451"/>
      <c r="B811" s="531" t="s">
        <v>332</v>
      </c>
      <c r="C811" s="566" t="s">
        <v>1229</v>
      </c>
      <c r="D811" s="525">
        <v>131</v>
      </c>
      <c r="E811" s="525" t="s">
        <v>321</v>
      </c>
      <c r="F811" s="1314">
        <f>ROUND(K811*'Summary-E'!$K$61,0)</f>
        <v>44</v>
      </c>
      <c r="G811" s="527">
        <f t="shared" si="854"/>
        <v>1.1599999999999999</v>
      </c>
      <c r="H811" s="527">
        <f t="shared" si="855"/>
        <v>51.04</v>
      </c>
      <c r="I811" s="567"/>
      <c r="J811" s="309"/>
      <c r="K811" s="1149">
        <v>42</v>
      </c>
      <c r="L811" s="530">
        <f t="shared" si="856"/>
        <v>0.26</v>
      </c>
      <c r="M811" s="530">
        <f t="shared" si="857"/>
        <v>11.44</v>
      </c>
      <c r="N811" s="309"/>
      <c r="O811" s="778">
        <v>131</v>
      </c>
      <c r="P811" s="777"/>
      <c r="Q811" s="777"/>
      <c r="R811" s="751"/>
      <c r="S811" s="752">
        <f>3*7600</f>
        <v>22800</v>
      </c>
      <c r="T811" s="792">
        <v>0.2</v>
      </c>
      <c r="U811" s="803">
        <v>0</v>
      </c>
      <c r="V811" s="803">
        <v>0</v>
      </c>
      <c r="W811" s="803">
        <v>0</v>
      </c>
      <c r="X811" s="858">
        <v>1</v>
      </c>
      <c r="Y811" s="310">
        <f>ROUND((R811+S811/'Summary-E'!$M$63)*X811,2)</f>
        <v>1.1000000000000001</v>
      </c>
      <c r="Z811" s="858">
        <f t="shared" si="830"/>
        <v>1.05</v>
      </c>
      <c r="AA811" s="813">
        <f t="shared" si="858"/>
        <v>1.1599999999999999</v>
      </c>
      <c r="AB811" s="447">
        <f t="shared" si="859"/>
        <v>0.05</v>
      </c>
      <c r="AC811" s="310">
        <f t="shared" si="827"/>
        <v>0.21</v>
      </c>
      <c r="AD811" s="717">
        <f>ROUND(AC811*'[6]Summary E&amp;M'!$R$94,2)</f>
        <v>0.26</v>
      </c>
      <c r="AE811" s="825">
        <f t="shared" si="852"/>
        <v>46.2</v>
      </c>
      <c r="AF811" s="825">
        <f t="shared" si="853"/>
        <v>8.82</v>
      </c>
      <c r="AG811" s="743"/>
      <c r="AH811" s="728"/>
      <c r="AI811" s="519">
        <f t="shared" si="860"/>
        <v>0</v>
      </c>
      <c r="AJ811" s="519">
        <f t="shared" si="861"/>
        <v>0</v>
      </c>
      <c r="AK811" s="519">
        <f t="shared" si="862"/>
        <v>0</v>
      </c>
      <c r="AL811" s="520">
        <f t="shared" si="863"/>
        <v>0</v>
      </c>
      <c r="AM811" s="520">
        <f t="shared" si="864"/>
        <v>0</v>
      </c>
      <c r="AN811" s="520">
        <f t="shared" si="865"/>
        <v>0</v>
      </c>
      <c r="AO811" s="520">
        <f t="shared" si="866"/>
        <v>0</v>
      </c>
      <c r="AP811" s="552"/>
      <c r="AQ811" s="552"/>
      <c r="AR811" s="552"/>
      <c r="AS811" s="552"/>
      <c r="AT811" s="552"/>
    </row>
    <row r="812" spans="1:46" s="555" customFormat="1" ht="22.5" customHeight="1">
      <c r="A812" s="570"/>
      <c r="B812" s="531" t="s">
        <v>122</v>
      </c>
      <c r="C812" s="569"/>
      <c r="D812" s="525" t="s">
        <v>690</v>
      </c>
      <c r="E812" s="570" t="s">
        <v>322</v>
      </c>
      <c r="F812" s="1322">
        <f>K812</f>
        <v>1</v>
      </c>
      <c r="G812" s="527">
        <f t="shared" si="854"/>
        <v>1.42</v>
      </c>
      <c r="H812" s="527">
        <f t="shared" si="855"/>
        <v>1.42</v>
      </c>
      <c r="I812" s="567"/>
      <c r="J812" s="309"/>
      <c r="K812" s="1149">
        <v>1</v>
      </c>
      <c r="L812" s="530">
        <f t="shared" si="856"/>
        <v>0.19</v>
      </c>
      <c r="M812" s="530">
        <f t="shared" si="857"/>
        <v>0.19</v>
      </c>
      <c r="N812" s="309"/>
      <c r="O812" s="778" t="s">
        <v>690</v>
      </c>
      <c r="P812" s="777">
        <v>0.03</v>
      </c>
      <c r="Q812" s="777"/>
      <c r="R812" s="751">
        <f>ROUND(SUM(AE811:AE811)*P812,2)</f>
        <v>1.39</v>
      </c>
      <c r="S812" s="752"/>
      <c r="T812" s="792">
        <f>ROUND(R812*10%,2)</f>
        <v>0.14000000000000001</v>
      </c>
      <c r="U812" s="803">
        <v>0</v>
      </c>
      <c r="V812" s="803">
        <v>0</v>
      </c>
      <c r="W812" s="803">
        <v>0</v>
      </c>
      <c r="X812" s="858">
        <f>SUMIF('Summary-E'!O$4:O$50,D812,'Summary-E'!Q$4:Q$50)</f>
        <v>0.97</v>
      </c>
      <c r="Y812" s="310">
        <f>ROUND((R812+S812/'Summary-E'!$M$63)*X812,2)</f>
        <v>1.35</v>
      </c>
      <c r="Z812" s="858">
        <f t="shared" si="830"/>
        <v>1.05</v>
      </c>
      <c r="AA812" s="813">
        <f t="shared" si="858"/>
        <v>1.42</v>
      </c>
      <c r="AB812" s="447">
        <f t="shared" si="859"/>
        <v>0.05</v>
      </c>
      <c r="AC812" s="310">
        <f t="shared" si="827"/>
        <v>0.15</v>
      </c>
      <c r="AD812" s="717">
        <f>ROUND(AC812*'[6]Summary E&amp;M'!$R$94,2)</f>
        <v>0.19</v>
      </c>
      <c r="AE812" s="825">
        <f t="shared" si="852"/>
        <v>1.35</v>
      </c>
      <c r="AF812" s="825">
        <f t="shared" si="853"/>
        <v>0.15</v>
      </c>
      <c r="AG812" s="743"/>
      <c r="AH812" s="728"/>
      <c r="AI812" s="519">
        <f t="shared" si="860"/>
        <v>0</v>
      </c>
      <c r="AJ812" s="519">
        <f t="shared" si="861"/>
        <v>0</v>
      </c>
      <c r="AK812" s="519">
        <f t="shared" si="862"/>
        <v>0</v>
      </c>
      <c r="AL812" s="520">
        <f t="shared" si="863"/>
        <v>0</v>
      </c>
      <c r="AM812" s="520">
        <f t="shared" si="864"/>
        <v>0</v>
      </c>
      <c r="AN812" s="520">
        <f t="shared" si="865"/>
        <v>0</v>
      </c>
      <c r="AO812" s="520">
        <f t="shared" si="866"/>
        <v>0</v>
      </c>
      <c r="AP812" s="552"/>
      <c r="AQ812" s="552"/>
      <c r="AR812" s="552"/>
      <c r="AS812" s="552"/>
      <c r="AT812" s="552"/>
    </row>
    <row r="813" spans="1:46" s="555" customFormat="1" ht="22.5" customHeight="1">
      <c r="A813" s="570"/>
      <c r="B813" s="568" t="s">
        <v>401</v>
      </c>
      <c r="C813" s="569"/>
      <c r="D813" s="570">
        <v>159</v>
      </c>
      <c r="E813" s="570" t="s">
        <v>322</v>
      </c>
      <c r="F813" s="1322">
        <f>K813</f>
        <v>1</v>
      </c>
      <c r="G813" s="527">
        <f t="shared" si="854"/>
        <v>4.2</v>
      </c>
      <c r="H813" s="527">
        <f t="shared" si="855"/>
        <v>4.2</v>
      </c>
      <c r="I813" s="567"/>
      <c r="J813" s="309"/>
      <c r="K813" s="1149">
        <v>1</v>
      </c>
      <c r="L813" s="530">
        <f t="shared" si="856"/>
        <v>0.81</v>
      </c>
      <c r="M813" s="530">
        <f t="shared" si="857"/>
        <v>0.81</v>
      </c>
      <c r="N813" s="309"/>
      <c r="O813" s="778">
        <v>159</v>
      </c>
      <c r="P813" s="777">
        <v>0.05</v>
      </c>
      <c r="Q813" s="777"/>
      <c r="R813" s="751">
        <f>ROUND(SUM(AE806:AE812)*P813,2)</f>
        <v>4.12</v>
      </c>
      <c r="S813" s="752"/>
      <c r="T813" s="792">
        <f>R813*0.15</f>
        <v>0.61799999999999999</v>
      </c>
      <c r="U813" s="803">
        <v>0</v>
      </c>
      <c r="V813" s="803">
        <v>0</v>
      </c>
      <c r="W813" s="803">
        <v>0</v>
      </c>
      <c r="X813" s="858">
        <f>SUMIF('Summary-E'!O$4:O$50,D813,'Summary-E'!Q$4:Q$50)</f>
        <v>0.97</v>
      </c>
      <c r="Y813" s="310">
        <f>ROUND((R813+S813/'Summary-E'!$M$63)*X813,2)</f>
        <v>4</v>
      </c>
      <c r="Z813" s="858">
        <f t="shared" si="830"/>
        <v>1.05</v>
      </c>
      <c r="AA813" s="813">
        <f t="shared" si="858"/>
        <v>4.2</v>
      </c>
      <c r="AB813" s="447">
        <f t="shared" si="859"/>
        <v>0.05</v>
      </c>
      <c r="AC813" s="310">
        <f t="shared" ref="AC813:AC869" si="867">ROUND((T813*(1+AB813)),2)</f>
        <v>0.65</v>
      </c>
      <c r="AD813" s="717">
        <f>ROUND(AC813*'[6]Summary E&amp;M'!$R$94,2)</f>
        <v>0.81</v>
      </c>
      <c r="AE813" s="825">
        <f t="shared" si="852"/>
        <v>4</v>
      </c>
      <c r="AF813" s="825">
        <f t="shared" si="853"/>
        <v>0.65</v>
      </c>
      <c r="AG813" s="743"/>
      <c r="AH813" s="728"/>
      <c r="AI813" s="519">
        <f t="shared" si="860"/>
        <v>0</v>
      </c>
      <c r="AJ813" s="519">
        <f t="shared" si="861"/>
        <v>0</v>
      </c>
      <c r="AK813" s="519">
        <f t="shared" si="862"/>
        <v>0</v>
      </c>
      <c r="AL813" s="520">
        <f t="shared" si="863"/>
        <v>0</v>
      </c>
      <c r="AM813" s="520">
        <f t="shared" si="864"/>
        <v>0</v>
      </c>
      <c r="AN813" s="520">
        <f t="shared" si="865"/>
        <v>0</v>
      </c>
      <c r="AO813" s="520">
        <f t="shared" si="866"/>
        <v>0</v>
      </c>
      <c r="AP813" s="552"/>
      <c r="AQ813" s="552"/>
      <c r="AR813" s="552"/>
      <c r="AS813" s="552"/>
      <c r="AT813" s="552"/>
    </row>
    <row r="814" spans="1:46" s="555" customFormat="1" ht="22.5" customHeight="1">
      <c r="A814" s="620"/>
      <c r="B814" s="522"/>
      <c r="C814" s="566"/>
      <c r="D814" s="525"/>
      <c r="E814" s="525"/>
      <c r="F814" s="1314"/>
      <c r="G814" s="527"/>
      <c r="H814" s="527"/>
      <c r="I814" s="567"/>
      <c r="J814" s="309"/>
      <c r="K814" s="1149"/>
      <c r="L814" s="530">
        <f t="shared" si="856"/>
        <v>0</v>
      </c>
      <c r="M814" s="530">
        <f t="shared" si="857"/>
        <v>0</v>
      </c>
      <c r="N814" s="309"/>
      <c r="O814" s="778"/>
      <c r="P814" s="777"/>
      <c r="Q814" s="777"/>
      <c r="R814" s="751"/>
      <c r="S814" s="752"/>
      <c r="T814" s="792"/>
      <c r="U814" s="803"/>
      <c r="V814" s="803"/>
      <c r="W814" s="803"/>
      <c r="X814" s="858">
        <f>SUMIF('Summary-E'!O$4:O$50,D814,'Summary-E'!Q$4:Q$50)</f>
        <v>0</v>
      </c>
      <c r="Y814" s="310">
        <f>ROUND((R814+S814/'Summary-E'!$M$63)*X814,2)</f>
        <v>0</v>
      </c>
      <c r="Z814" s="858">
        <f t="shared" si="830"/>
        <v>1.05</v>
      </c>
      <c r="AA814" s="813"/>
      <c r="AB814" s="447"/>
      <c r="AC814" s="310">
        <f t="shared" si="867"/>
        <v>0</v>
      </c>
      <c r="AD814" s="717">
        <f>ROUND(AC814*'[1]Summary E&amp;M'!$R$94,2)</f>
        <v>0</v>
      </c>
      <c r="AE814" s="825">
        <f t="shared" si="852"/>
        <v>0</v>
      </c>
      <c r="AF814" s="825">
        <f t="shared" si="853"/>
        <v>0</v>
      </c>
      <c r="AG814" s="743"/>
      <c r="AH814" s="728"/>
      <c r="AI814" s="519"/>
      <c r="AJ814" s="519"/>
      <c r="AK814" s="519"/>
      <c r="AL814" s="520"/>
      <c r="AM814" s="520"/>
      <c r="AN814" s="520"/>
      <c r="AO814" s="520"/>
      <c r="AP814" s="552"/>
      <c r="AQ814" s="552"/>
      <c r="AR814" s="552"/>
      <c r="AS814" s="552"/>
      <c r="AT814" s="552"/>
    </row>
    <row r="815" spans="1:46" s="555" customFormat="1" ht="22.5" customHeight="1">
      <c r="A815" s="570"/>
      <c r="B815" s="568" t="s">
        <v>324</v>
      </c>
      <c r="C815" s="569"/>
      <c r="D815" s="570">
        <v>210</v>
      </c>
      <c r="E815" s="570" t="s">
        <v>319</v>
      </c>
      <c r="F815" s="1322">
        <f>K815</f>
        <v>1</v>
      </c>
      <c r="G815" s="527">
        <f>M817</f>
        <v>6066.3300000000008</v>
      </c>
      <c r="H815" s="527">
        <f>ROUND(F815*G815,2)</f>
        <v>6066.33</v>
      </c>
      <c r="I815" s="567"/>
      <c r="J815" s="309"/>
      <c r="K815" s="1149">
        <v>1</v>
      </c>
      <c r="L815" s="530"/>
      <c r="M815" s="530"/>
      <c r="N815" s="309"/>
      <c r="O815" s="778">
        <v>210</v>
      </c>
      <c r="P815" s="777"/>
      <c r="Q815" s="777"/>
      <c r="R815" s="751"/>
      <c r="S815" s="752"/>
      <c r="T815" s="796"/>
      <c r="U815" s="803">
        <v>0</v>
      </c>
      <c r="V815" s="803">
        <v>0</v>
      </c>
      <c r="W815" s="803">
        <v>0</v>
      </c>
      <c r="X815" s="858">
        <f>SUMIF('Summary-E'!O$4:O$50,D815,'Summary-E'!Q$4:Q$50)</f>
        <v>0.05</v>
      </c>
      <c r="Y815" s="310">
        <f>ROUND((R815+S815/'Summary-E'!$M$63)*X815,2)</f>
        <v>0</v>
      </c>
      <c r="Z815" s="858">
        <f t="shared" si="830"/>
        <v>1.05</v>
      </c>
      <c r="AA815" s="813">
        <f>ROUND(Y815*Z815,2)</f>
        <v>0</v>
      </c>
      <c r="AB815" s="447">
        <f>$AB$3</f>
        <v>0.05</v>
      </c>
      <c r="AC815" s="310">
        <f t="shared" si="867"/>
        <v>0</v>
      </c>
      <c r="AD815" s="717">
        <f>ROUND(AC815*'[1]Summary E&amp;M'!$R$94,2)</f>
        <v>0</v>
      </c>
      <c r="AE815" s="825">
        <f t="shared" si="852"/>
        <v>0</v>
      </c>
      <c r="AF815" s="825">
        <f t="shared" si="853"/>
        <v>0</v>
      </c>
      <c r="AG815" s="743"/>
      <c r="AH815" s="728"/>
      <c r="AI815" s="519">
        <f>$U815</f>
        <v>0</v>
      </c>
      <c r="AJ815" s="519">
        <f>$V815</f>
        <v>0</v>
      </c>
      <c r="AK815" s="519">
        <f>$W815</f>
        <v>0</v>
      </c>
      <c r="AL815" s="520">
        <f>ROUND(Y815*AI815+((Y815*(1+AI815))*AJ815)+((Y815*AI815+((Y815*(1+AI815))*AJ815))*AK815),2)</f>
        <v>0</v>
      </c>
      <c r="AM815" s="520">
        <f>AL815*$F815</f>
        <v>0</v>
      </c>
      <c r="AN815" s="520">
        <f>ROUND(AL815*Z815,2)</f>
        <v>0</v>
      </c>
      <c r="AO815" s="520">
        <f>AN815*$F815</f>
        <v>0</v>
      </c>
      <c r="AP815" s="552"/>
      <c r="AQ815" s="552"/>
      <c r="AR815" s="552"/>
      <c r="AS815" s="552"/>
      <c r="AT815" s="552"/>
    </row>
    <row r="816" spans="1:46" s="555" customFormat="1" ht="22.5" customHeight="1">
      <c r="A816" s="616"/>
      <c r="B816" s="573"/>
      <c r="C816" s="574"/>
      <c r="D816" s="575"/>
      <c r="E816" s="616"/>
      <c r="F816" s="1326"/>
      <c r="G816" s="577"/>
      <c r="H816" s="577"/>
      <c r="I816" s="578"/>
      <c r="J816" s="549"/>
      <c r="K816" s="1183"/>
      <c r="L816" s="550"/>
      <c r="M816" s="550"/>
      <c r="N816" s="549"/>
      <c r="O816" s="778"/>
      <c r="P816" s="777"/>
      <c r="Q816" s="777"/>
      <c r="R816" s="751"/>
      <c r="S816" s="752"/>
      <c r="T816" s="792"/>
      <c r="U816" s="803"/>
      <c r="V816" s="803"/>
      <c r="W816" s="803"/>
      <c r="X816" s="858">
        <f>SUMIF('Summary-E'!O$4:O$50,D816,'Summary-E'!Q$4:Q$50)</f>
        <v>0</v>
      </c>
      <c r="Y816" s="310">
        <f>ROUND((R816+S816/'Summary-E'!$M$63)*X816,2)</f>
        <v>0</v>
      </c>
      <c r="Z816" s="858">
        <f t="shared" si="830"/>
        <v>1.05</v>
      </c>
      <c r="AA816" s="816"/>
      <c r="AB816" s="552"/>
      <c r="AC816" s="310">
        <f t="shared" si="867"/>
        <v>0</v>
      </c>
      <c r="AD816" s="717">
        <f>ROUND(AC816*'[1]Summary E&amp;M'!$R$94,2)</f>
        <v>0</v>
      </c>
      <c r="AE816" s="835"/>
      <c r="AF816" s="835"/>
      <c r="AG816" s="738"/>
      <c r="AH816" s="737"/>
      <c r="AI816" s="552"/>
      <c r="AJ816" s="552"/>
      <c r="AK816" s="552"/>
      <c r="AL816" s="552"/>
      <c r="AM816" s="552"/>
      <c r="AN816" s="552"/>
      <c r="AO816" s="552"/>
      <c r="AP816" s="552"/>
      <c r="AQ816" s="552"/>
      <c r="AR816" s="552"/>
      <c r="AS816" s="552"/>
      <c r="AT816" s="552"/>
    </row>
    <row r="817" spans="1:47" s="711" customFormat="1" ht="22.5" customHeight="1">
      <c r="A817" s="973"/>
      <c r="B817" s="974" t="s">
        <v>429</v>
      </c>
      <c r="C817" s="979"/>
      <c r="D817" s="980"/>
      <c r="E817" s="973"/>
      <c r="F817" s="1317"/>
      <c r="G817" s="971"/>
      <c r="H817" s="971">
        <f>SUBTOTAL(9,H782:H816)</f>
        <v>21651.090000000004</v>
      </c>
      <c r="I817" s="981"/>
      <c r="J817" s="549"/>
      <c r="K817" s="1184"/>
      <c r="L817" s="550"/>
      <c r="M817" s="1051">
        <f>SUBTOTAL(9,M782:M815)</f>
        <v>6066.3300000000008</v>
      </c>
      <c r="N817" s="549"/>
      <c r="O817" s="784"/>
      <c r="P817" s="780"/>
      <c r="Q817" s="780"/>
      <c r="R817" s="751"/>
      <c r="S817" s="752"/>
      <c r="T817" s="792"/>
      <c r="U817" s="803">
        <v>0</v>
      </c>
      <c r="V817" s="803">
        <v>0</v>
      </c>
      <c r="W817" s="803">
        <v>0</v>
      </c>
      <c r="X817" s="858">
        <f>SUMIF('Summary-E'!O$4:O$50,D817,'Summary-E'!Q$4:Q$50)</f>
        <v>0</v>
      </c>
      <c r="Y817" s="310">
        <f>ROUND((R817+S817/'Summary-E'!$M$63)*X817,2)</f>
        <v>0</v>
      </c>
      <c r="Z817" s="858">
        <f t="shared" si="830"/>
        <v>1.05</v>
      </c>
      <c r="AA817" s="816"/>
      <c r="AB817" s="552"/>
      <c r="AC817" s="310">
        <f t="shared" si="867"/>
        <v>0</v>
      </c>
      <c r="AD817" s="717">
        <f>ROUND(AC817*'[1]Summary E&amp;M'!$R$94,2)</f>
        <v>0</v>
      </c>
      <c r="AE817" s="823">
        <f>SUBTOTAL(9,AE782:AE816)</f>
        <v>14712.869999999999</v>
      </c>
      <c r="AF817" s="823">
        <f>SUBTOTAL(9,AF782:AF816)</f>
        <v>4783.8499999999995</v>
      </c>
      <c r="AG817" s="614"/>
      <c r="AH817" s="730"/>
      <c r="AI817" s="713"/>
      <c r="AJ817" s="713"/>
      <c r="AK817" s="713"/>
      <c r="AL817" s="713"/>
      <c r="AM817" s="712">
        <f>SUBTOTAL(9,AM782:AM816)</f>
        <v>0</v>
      </c>
      <c r="AN817" s="713"/>
      <c r="AO817" s="712">
        <f>SUBTOTAL(9,AO782:AO816)</f>
        <v>0</v>
      </c>
      <c r="AP817" s="713"/>
      <c r="AQ817" s="713"/>
      <c r="AR817" s="713"/>
      <c r="AS817" s="713"/>
      <c r="AT817" s="713"/>
    </row>
    <row r="818" spans="1:47" s="555" customFormat="1" ht="22.5" customHeight="1">
      <c r="A818" s="545"/>
      <c r="B818" s="543"/>
      <c r="C818" s="544"/>
      <c r="D818" s="580"/>
      <c r="E818" s="619"/>
      <c r="F818" s="1320"/>
      <c r="G818" s="547"/>
      <c r="H818" s="547"/>
      <c r="I818" s="548"/>
      <c r="J818" s="549"/>
      <c r="K818" s="1179"/>
      <c r="L818" s="550"/>
      <c r="M818" s="550"/>
      <c r="N818" s="549"/>
      <c r="O818" s="778"/>
      <c r="P818" s="777"/>
      <c r="Q818" s="777"/>
      <c r="R818" s="751"/>
      <c r="S818" s="752"/>
      <c r="T818" s="792"/>
      <c r="U818" s="803"/>
      <c r="V818" s="803"/>
      <c r="W818" s="803"/>
      <c r="X818" s="858">
        <f>SUMIF('Summary-E'!O$4:O$50,D818,'Summary-E'!Q$4:Q$50)</f>
        <v>0</v>
      </c>
      <c r="Y818" s="310">
        <f>ROUND((R818+S818/'Summary-E'!$M$63)*X818,2)</f>
        <v>0</v>
      </c>
      <c r="Z818" s="858">
        <f t="shared" si="830"/>
        <v>1.05</v>
      </c>
      <c r="AA818" s="816"/>
      <c r="AB818" s="552"/>
      <c r="AC818" s="310">
        <f t="shared" si="867"/>
        <v>0</v>
      </c>
      <c r="AD818" s="717">
        <f>ROUND(AC818*'[1]Summary E&amp;M'!$R$94,2)</f>
        <v>0</v>
      </c>
      <c r="AE818" s="832"/>
      <c r="AF818" s="832"/>
      <c r="AG818" s="614"/>
      <c r="AH818" s="737"/>
      <c r="AI818" s="552"/>
      <c r="AJ818" s="552"/>
      <c r="AK818" s="552"/>
      <c r="AL818" s="552"/>
      <c r="AM818" s="553"/>
      <c r="AN818" s="552"/>
      <c r="AO818" s="553"/>
      <c r="AP818" s="552"/>
      <c r="AQ818" s="552"/>
      <c r="AR818" s="552"/>
      <c r="AS818" s="552"/>
      <c r="AT818" s="552"/>
    </row>
    <row r="819" spans="1:47" s="555" customFormat="1" ht="35.25" customHeight="1">
      <c r="A819" s="620" t="s">
        <v>413</v>
      </c>
      <c r="B819" s="1474" t="s">
        <v>1036</v>
      </c>
      <c r="C819" s="1475"/>
      <c r="D819" s="450"/>
      <c r="E819" s="525"/>
      <c r="F819" s="1314"/>
      <c r="G819" s="527"/>
      <c r="H819" s="527"/>
      <c r="I819" s="567"/>
      <c r="J819" s="309"/>
      <c r="K819" s="1149"/>
      <c r="L819" s="530"/>
      <c r="M819" s="530"/>
      <c r="N819" s="309"/>
      <c r="O819" s="778"/>
      <c r="P819" s="777"/>
      <c r="Q819" s="777"/>
      <c r="R819" s="751"/>
      <c r="S819" s="752"/>
      <c r="T819" s="792"/>
      <c r="U819" s="803">
        <v>0</v>
      </c>
      <c r="V819" s="803">
        <v>0</v>
      </c>
      <c r="W819" s="803">
        <v>0</v>
      </c>
      <c r="X819" s="858">
        <f>SUMIF('Summary-E'!O$4:O$50,D819,'Summary-E'!Q$4:Q$50)</f>
        <v>0</v>
      </c>
      <c r="Y819" s="310">
        <f>ROUND((R819+S819/'Summary-E'!$M$63)*X819,2)</f>
        <v>0</v>
      </c>
      <c r="Z819" s="858">
        <f t="shared" si="830"/>
        <v>1.05</v>
      </c>
      <c r="AA819" s="816"/>
      <c r="AB819" s="552"/>
      <c r="AC819" s="310">
        <f t="shared" si="867"/>
        <v>0</v>
      </c>
      <c r="AD819" s="717">
        <f>ROUND(AC819*'[1]Summary E&amp;M'!$R$94,2)</f>
        <v>0</v>
      </c>
      <c r="AE819" s="825">
        <f t="shared" ref="AE819:AE835" si="868">ROUND($K819*$Y819,2)</f>
        <v>0</v>
      </c>
      <c r="AF819" s="825">
        <f t="shared" ref="AF819:AF835" si="869">ROUND($K819*$AC819,2)</f>
        <v>0</v>
      </c>
      <c r="AG819" s="743"/>
      <c r="AH819" s="737"/>
      <c r="AI819" s="552"/>
      <c r="AJ819" s="552"/>
      <c r="AK819" s="552"/>
      <c r="AL819" s="552"/>
      <c r="AM819" s="552"/>
      <c r="AN819" s="552"/>
      <c r="AO819" s="552"/>
      <c r="AP819" s="552"/>
      <c r="AQ819" s="552"/>
      <c r="AR819" s="552"/>
      <c r="AS819" s="552"/>
      <c r="AT819" s="552"/>
    </row>
    <row r="820" spans="1:47" s="555" customFormat="1" ht="22.5" customHeight="1">
      <c r="A820" s="620"/>
      <c r="B820" s="531" t="s">
        <v>1230</v>
      </c>
      <c r="C820" s="566" t="s">
        <v>779</v>
      </c>
      <c r="D820" s="1201" t="s">
        <v>154</v>
      </c>
      <c r="E820" s="525" t="s">
        <v>319</v>
      </c>
      <c r="F820" s="1322">
        <f>K820</f>
        <v>1</v>
      </c>
      <c r="G820" s="527">
        <f>ROUNDUP(AA820,2)</f>
        <v>384.3</v>
      </c>
      <c r="H820" s="527">
        <f t="shared" ref="H820:H833" si="870">ROUND(F820*G820,2)</f>
        <v>384.3</v>
      </c>
      <c r="I820" s="529"/>
      <c r="J820" s="309"/>
      <c r="K820" s="1175">
        <v>1</v>
      </c>
      <c r="L820" s="530">
        <f t="shared" ref="L820:L834" si="871">ROUND(AD820,2)</f>
        <v>7.88</v>
      </c>
      <c r="M820" s="530">
        <f t="shared" ref="M820:M834" si="872">ROUND(L820*F820,2)</f>
        <v>7.88</v>
      </c>
      <c r="N820" s="309"/>
      <c r="O820" s="778" t="s">
        <v>154</v>
      </c>
      <c r="P820" s="777"/>
      <c r="Q820" s="777"/>
      <c r="R820" s="751">
        <v>366</v>
      </c>
      <c r="S820" s="752"/>
      <c r="T820" s="792">
        <v>6</v>
      </c>
      <c r="U820" s="803">
        <v>0</v>
      </c>
      <c r="V820" s="803">
        <v>0</v>
      </c>
      <c r="W820" s="803">
        <v>0</v>
      </c>
      <c r="X820" s="858">
        <v>1</v>
      </c>
      <c r="Y820" s="310">
        <f>ROUND((R820+S820/'[3]Summary E&amp;M'!$M$104)*X820,2)</f>
        <v>366</v>
      </c>
      <c r="Z820" s="858">
        <f t="shared" si="830"/>
        <v>1.05</v>
      </c>
      <c r="AA820" s="813">
        <f t="shared" ref="AA820:AA833" si="873">ROUND(Y820*Z820,2)</f>
        <v>384.3</v>
      </c>
      <c r="AB820" s="447">
        <f t="shared" ref="AB820:AB833" si="874">$AB$3</f>
        <v>0.05</v>
      </c>
      <c r="AC820" s="310">
        <f t="shared" si="867"/>
        <v>6.3</v>
      </c>
      <c r="AD820" s="717">
        <f>ROUND(AC820*'[6]Summary E&amp;M'!$R$94,2)</f>
        <v>7.88</v>
      </c>
      <c r="AE820" s="826">
        <f t="shared" si="868"/>
        <v>366</v>
      </c>
      <c r="AF820" s="826">
        <f t="shared" si="869"/>
        <v>6.3</v>
      </c>
      <c r="AG820" s="744"/>
      <c r="AH820" s="728"/>
      <c r="AI820" s="519">
        <f t="shared" ref="AI820:AI833" si="875">$U820</f>
        <v>0</v>
      </c>
      <c r="AJ820" s="519">
        <f t="shared" ref="AJ820:AJ833" si="876">$V820</f>
        <v>0</v>
      </c>
      <c r="AK820" s="519">
        <f t="shared" ref="AK820:AK833" si="877">$W820</f>
        <v>0</v>
      </c>
      <c r="AL820" s="520">
        <f t="shared" ref="AL820:AL827" si="878">ROUND(Y820*AI820+((Y820*(1+AI820))*AJ820)+((Y820*AI820+((Y820*(1+AI820))*AJ820))*AK820),2)</f>
        <v>0</v>
      </c>
      <c r="AM820" s="520">
        <f t="shared" ref="AM820:AM827" si="879">AL820*$F820</f>
        <v>0</v>
      </c>
      <c r="AN820" s="520">
        <f t="shared" ref="AN820:AN827" si="880">ROUND(AL820*Z820,2)</f>
        <v>0</v>
      </c>
      <c r="AO820" s="520">
        <f t="shared" ref="AO820:AO827" si="881">AN820*$F820</f>
        <v>0</v>
      </c>
      <c r="AP820" s="719"/>
      <c r="AQ820" s="719"/>
      <c r="AR820" s="719"/>
      <c r="AS820" s="719"/>
      <c r="AT820" s="719"/>
    </row>
    <row r="821" spans="1:47" s="555" customFormat="1" ht="22.5" customHeight="1">
      <c r="A821" s="620"/>
      <c r="B821" s="531" t="s">
        <v>697</v>
      </c>
      <c r="C821" s="566" t="s">
        <v>698</v>
      </c>
      <c r="D821" s="1201" t="s">
        <v>154</v>
      </c>
      <c r="E821" s="525" t="s">
        <v>319</v>
      </c>
      <c r="F821" s="1322">
        <f>K821</f>
        <v>1</v>
      </c>
      <c r="G821" s="527">
        <f t="shared" ref="G821:G833" si="882">ROUNDUP(AA821,2)</f>
        <v>35.700000000000003</v>
      </c>
      <c r="H821" s="527">
        <f t="shared" si="870"/>
        <v>35.700000000000003</v>
      </c>
      <c r="I821" s="529"/>
      <c r="J821" s="309"/>
      <c r="K821" s="1175">
        <v>1</v>
      </c>
      <c r="L821" s="530">
        <f t="shared" si="871"/>
        <v>5.25</v>
      </c>
      <c r="M821" s="530">
        <f t="shared" si="872"/>
        <v>5.25</v>
      </c>
      <c r="N821" s="309"/>
      <c r="O821" s="778" t="s">
        <v>154</v>
      </c>
      <c r="P821" s="777"/>
      <c r="Q821" s="777"/>
      <c r="R821" s="751">
        <v>34</v>
      </c>
      <c r="S821" s="752"/>
      <c r="T821" s="792">
        <v>4</v>
      </c>
      <c r="U821" s="803">
        <v>0</v>
      </c>
      <c r="V821" s="803">
        <v>0</v>
      </c>
      <c r="W821" s="803">
        <v>0</v>
      </c>
      <c r="X821" s="858">
        <v>1</v>
      </c>
      <c r="Y821" s="310">
        <f>ROUND((R821+S821/'Summary-E'!$M$63)*X821,2)</f>
        <v>34</v>
      </c>
      <c r="Z821" s="858">
        <f t="shared" si="830"/>
        <v>1.05</v>
      </c>
      <c r="AA821" s="813">
        <f t="shared" si="873"/>
        <v>35.700000000000003</v>
      </c>
      <c r="AB821" s="447">
        <f t="shared" si="874"/>
        <v>0.05</v>
      </c>
      <c r="AC821" s="310">
        <f t="shared" si="867"/>
        <v>4.2</v>
      </c>
      <c r="AD821" s="717">
        <f>ROUND(AC821*'[6]Summary E&amp;M'!$R$94,2)</f>
        <v>5.25</v>
      </c>
      <c r="AE821" s="826">
        <f t="shared" si="868"/>
        <v>34</v>
      </c>
      <c r="AF821" s="826">
        <f t="shared" si="869"/>
        <v>4.2</v>
      </c>
      <c r="AG821" s="744"/>
      <c r="AH821" s="728"/>
      <c r="AI821" s="519">
        <f t="shared" si="875"/>
        <v>0</v>
      </c>
      <c r="AJ821" s="519">
        <f t="shared" si="876"/>
        <v>0</v>
      </c>
      <c r="AK821" s="519">
        <f t="shared" si="877"/>
        <v>0</v>
      </c>
      <c r="AL821" s="520">
        <f t="shared" si="878"/>
        <v>0</v>
      </c>
      <c r="AM821" s="520">
        <f t="shared" si="879"/>
        <v>0</v>
      </c>
      <c r="AN821" s="520">
        <f t="shared" si="880"/>
        <v>0</v>
      </c>
      <c r="AO821" s="520">
        <f t="shared" si="881"/>
        <v>0</v>
      </c>
      <c r="AP821" s="719"/>
      <c r="AQ821" s="719"/>
      <c r="AR821" s="719"/>
      <c r="AS821" s="719"/>
      <c r="AT821" s="719"/>
    </row>
    <row r="822" spans="1:47" s="555" customFormat="1" ht="22.5" customHeight="1">
      <c r="A822" s="620"/>
      <c r="B822" s="531" t="s">
        <v>1231</v>
      </c>
      <c r="C822" s="566" t="s">
        <v>1035</v>
      </c>
      <c r="D822" s="1201" t="s">
        <v>154</v>
      </c>
      <c r="E822" s="525" t="s">
        <v>319</v>
      </c>
      <c r="F822" s="1322">
        <f>K822</f>
        <v>2</v>
      </c>
      <c r="G822" s="527">
        <f t="shared" si="882"/>
        <v>31.5</v>
      </c>
      <c r="H822" s="527">
        <f t="shared" si="870"/>
        <v>63</v>
      </c>
      <c r="I822" s="529"/>
      <c r="J822" s="309"/>
      <c r="K822" s="1175">
        <v>2</v>
      </c>
      <c r="L822" s="530">
        <f t="shared" si="871"/>
        <v>5.25</v>
      </c>
      <c r="M822" s="530">
        <f t="shared" si="872"/>
        <v>10.5</v>
      </c>
      <c r="N822" s="309"/>
      <c r="O822" s="778" t="s">
        <v>154</v>
      </c>
      <c r="P822" s="777"/>
      <c r="Q822" s="777"/>
      <c r="R822" s="751">
        <v>30</v>
      </c>
      <c r="S822" s="752"/>
      <c r="T822" s="792">
        <v>4</v>
      </c>
      <c r="U822" s="803">
        <v>0</v>
      </c>
      <c r="V822" s="803">
        <v>0</v>
      </c>
      <c r="W822" s="803">
        <v>0</v>
      </c>
      <c r="X822" s="858">
        <v>1</v>
      </c>
      <c r="Y822" s="310">
        <f>ROUND((R822+S822/'Summary-E'!$M$63)*X822,2)</f>
        <v>30</v>
      </c>
      <c r="Z822" s="858">
        <f t="shared" si="830"/>
        <v>1.05</v>
      </c>
      <c r="AA822" s="813">
        <f t="shared" si="873"/>
        <v>31.5</v>
      </c>
      <c r="AB822" s="447">
        <f t="shared" si="874"/>
        <v>0.05</v>
      </c>
      <c r="AC822" s="310">
        <f t="shared" si="867"/>
        <v>4.2</v>
      </c>
      <c r="AD822" s="717">
        <f>ROUND(AC822*'[6]Summary E&amp;M'!$R$94,2)</f>
        <v>5.25</v>
      </c>
      <c r="AE822" s="826">
        <f t="shared" si="868"/>
        <v>60</v>
      </c>
      <c r="AF822" s="826">
        <f t="shared" si="869"/>
        <v>8.4</v>
      </c>
      <c r="AG822" s="744"/>
      <c r="AH822" s="728"/>
      <c r="AI822" s="519">
        <f t="shared" si="875"/>
        <v>0</v>
      </c>
      <c r="AJ822" s="519">
        <f t="shared" si="876"/>
        <v>0</v>
      </c>
      <c r="AK822" s="519">
        <f t="shared" si="877"/>
        <v>0</v>
      </c>
      <c r="AL822" s="520">
        <f t="shared" si="878"/>
        <v>0</v>
      </c>
      <c r="AM822" s="520">
        <f t="shared" si="879"/>
        <v>0</v>
      </c>
      <c r="AN822" s="520">
        <f t="shared" si="880"/>
        <v>0</v>
      </c>
      <c r="AO822" s="520">
        <f t="shared" si="881"/>
        <v>0</v>
      </c>
      <c r="AP822" s="719"/>
      <c r="AQ822" s="719"/>
      <c r="AR822" s="719"/>
      <c r="AS822" s="719"/>
      <c r="AT822" s="719"/>
    </row>
    <row r="823" spans="1:47" s="555" customFormat="1" ht="22.5" customHeight="1">
      <c r="A823" s="620"/>
      <c r="B823" s="531" t="s">
        <v>699</v>
      </c>
      <c r="C823" s="566" t="s">
        <v>336</v>
      </c>
      <c r="D823" s="1202" t="s">
        <v>1127</v>
      </c>
      <c r="E823" s="525" t="s">
        <v>319</v>
      </c>
      <c r="F823" s="1322">
        <f>K823</f>
        <v>2</v>
      </c>
      <c r="G823" s="527">
        <f t="shared" si="882"/>
        <v>8.69</v>
      </c>
      <c r="H823" s="527">
        <f t="shared" si="870"/>
        <v>17.38</v>
      </c>
      <c r="I823" s="529"/>
      <c r="J823" s="309"/>
      <c r="K823" s="1175">
        <v>2</v>
      </c>
      <c r="L823" s="530">
        <f t="shared" si="871"/>
        <v>4.5999999999999996</v>
      </c>
      <c r="M823" s="530">
        <f t="shared" si="872"/>
        <v>9.1999999999999993</v>
      </c>
      <c r="N823" s="309"/>
      <c r="O823" s="778" t="s">
        <v>129</v>
      </c>
      <c r="P823" s="777"/>
      <c r="Q823" s="777"/>
      <c r="R823" s="751"/>
      <c r="S823" s="752">
        <v>177600</v>
      </c>
      <c r="T823" s="783">
        <v>3.5</v>
      </c>
      <c r="U823" s="803">
        <v>0</v>
      </c>
      <c r="V823" s="803">
        <v>0</v>
      </c>
      <c r="W823" s="803">
        <v>0</v>
      </c>
      <c r="X823" s="858">
        <f>SUMIF('Summary-E'!O$4:O$50,D823,'Summary-E'!Q$4:Q$50)</f>
        <v>0.97</v>
      </c>
      <c r="Y823" s="310">
        <f>ROUND((R823+S823/'Summary-E'!$M$63)*X823,2)</f>
        <v>8.2799999999999994</v>
      </c>
      <c r="Z823" s="858">
        <f t="shared" si="830"/>
        <v>1.05</v>
      </c>
      <c r="AA823" s="813">
        <f t="shared" si="873"/>
        <v>8.69</v>
      </c>
      <c r="AB823" s="447">
        <f t="shared" si="874"/>
        <v>0.05</v>
      </c>
      <c r="AC823" s="310">
        <f t="shared" si="867"/>
        <v>3.68</v>
      </c>
      <c r="AD823" s="717">
        <f>ROUND(AC823*'[6]Summary E&amp;M'!$R$94,2)</f>
        <v>4.5999999999999996</v>
      </c>
      <c r="AE823" s="826">
        <f t="shared" si="868"/>
        <v>16.559999999999999</v>
      </c>
      <c r="AF823" s="826">
        <f t="shared" si="869"/>
        <v>7.36</v>
      </c>
      <c r="AG823" s="744"/>
      <c r="AH823" s="728"/>
      <c r="AI823" s="519">
        <f t="shared" si="875"/>
        <v>0</v>
      </c>
      <c r="AJ823" s="519">
        <f t="shared" si="876"/>
        <v>0</v>
      </c>
      <c r="AK823" s="519">
        <f t="shared" si="877"/>
        <v>0</v>
      </c>
      <c r="AL823" s="520">
        <f t="shared" si="878"/>
        <v>0</v>
      </c>
      <c r="AM823" s="520">
        <f t="shared" si="879"/>
        <v>0</v>
      </c>
      <c r="AN823" s="520">
        <f t="shared" si="880"/>
        <v>0</v>
      </c>
      <c r="AO823" s="520">
        <f t="shared" si="881"/>
        <v>0</v>
      </c>
      <c r="AP823" s="719"/>
      <c r="AQ823" s="719"/>
      <c r="AR823" s="719"/>
      <c r="AS823" s="719"/>
      <c r="AT823" s="719"/>
    </row>
    <row r="824" spans="1:47" s="555" customFormat="1" ht="22.5" customHeight="1">
      <c r="A824" s="620"/>
      <c r="B824" s="531" t="s">
        <v>1024</v>
      </c>
      <c r="C824" s="566" t="s">
        <v>182</v>
      </c>
      <c r="D824" s="525" t="s">
        <v>1132</v>
      </c>
      <c r="E824" s="525" t="s">
        <v>319</v>
      </c>
      <c r="F824" s="1322">
        <f>K824</f>
        <v>1</v>
      </c>
      <c r="G824" s="527">
        <f>ROUNDUP(AA824,2)</f>
        <v>25.46</v>
      </c>
      <c r="H824" s="527">
        <f t="shared" si="870"/>
        <v>25.46</v>
      </c>
      <c r="I824" s="529"/>
      <c r="J824" s="309"/>
      <c r="K824" s="1175">
        <v>1</v>
      </c>
      <c r="L824" s="530">
        <f>ROUND(AD824,2)</f>
        <v>4.5999999999999996</v>
      </c>
      <c r="M824" s="530">
        <f t="shared" si="872"/>
        <v>4.5999999999999996</v>
      </c>
      <c r="N824" s="309"/>
      <c r="O824" s="778" t="s">
        <v>129</v>
      </c>
      <c r="P824" s="777"/>
      <c r="Q824" s="777"/>
      <c r="R824" s="751">
        <v>25</v>
      </c>
      <c r="S824" s="752"/>
      <c r="T824" s="783">
        <v>3.5</v>
      </c>
      <c r="U824" s="803">
        <v>0</v>
      </c>
      <c r="V824" s="803">
        <v>0</v>
      </c>
      <c r="W824" s="803">
        <v>0</v>
      </c>
      <c r="X824" s="858">
        <f>SUMIF('Summary-E'!O$4:O$50,D824,'Summary-E'!Q$4:Q$50)</f>
        <v>0.97</v>
      </c>
      <c r="Y824" s="310">
        <f>ROUND((R824+S824/'Summary-E'!$M$63)*X824,2)</f>
        <v>24.25</v>
      </c>
      <c r="Z824" s="858">
        <f t="shared" si="830"/>
        <v>1.05</v>
      </c>
      <c r="AA824" s="813">
        <f>ROUND(Y824*Z824,2)</f>
        <v>25.46</v>
      </c>
      <c r="AB824" s="447">
        <f t="shared" si="874"/>
        <v>0.05</v>
      </c>
      <c r="AC824" s="310">
        <f>ROUND((T824*(1+AB824)),2)</f>
        <v>3.68</v>
      </c>
      <c r="AD824" s="717">
        <f>ROUND(AC824*'[6]Summary E&amp;M'!$R$94,2)</f>
        <v>4.5999999999999996</v>
      </c>
      <c r="AE824" s="826">
        <f t="shared" si="868"/>
        <v>24.25</v>
      </c>
      <c r="AF824" s="826">
        <f t="shared" si="869"/>
        <v>3.68</v>
      </c>
      <c r="AG824" s="744"/>
      <c r="AH824" s="728"/>
      <c r="AI824" s="519">
        <f t="shared" si="875"/>
        <v>0</v>
      </c>
      <c r="AJ824" s="519">
        <f t="shared" si="876"/>
        <v>0</v>
      </c>
      <c r="AK824" s="519">
        <f t="shared" si="877"/>
        <v>0</v>
      </c>
      <c r="AL824" s="520">
        <f t="shared" si="878"/>
        <v>0</v>
      </c>
      <c r="AM824" s="520">
        <f t="shared" si="879"/>
        <v>0</v>
      </c>
      <c r="AN824" s="520">
        <f t="shared" si="880"/>
        <v>0</v>
      </c>
      <c r="AO824" s="520">
        <f t="shared" si="881"/>
        <v>0</v>
      </c>
      <c r="AP824" s="719"/>
      <c r="AQ824" s="719"/>
      <c r="AR824" s="719"/>
      <c r="AS824" s="719"/>
      <c r="AT824" s="719"/>
    </row>
    <row r="825" spans="1:47" s="555" customFormat="1" ht="22.5" customHeight="1">
      <c r="A825" s="451"/>
      <c r="B825" s="531" t="s">
        <v>734</v>
      </c>
      <c r="C825" s="566" t="s">
        <v>1019</v>
      </c>
      <c r="D825" s="525">
        <v>121</v>
      </c>
      <c r="E825" s="525" t="s">
        <v>321</v>
      </c>
      <c r="F825" s="1314">
        <f>ROUND(K825*'Summary-E'!$K$61,0)</f>
        <v>11</v>
      </c>
      <c r="G825" s="527">
        <f>ROUNDUP(AA825,2)</f>
        <v>3.62</v>
      </c>
      <c r="H825" s="527">
        <f t="shared" si="870"/>
        <v>39.82</v>
      </c>
      <c r="I825" s="567"/>
      <c r="J825" s="309"/>
      <c r="K825" s="1149">
        <v>10</v>
      </c>
      <c r="L825" s="530">
        <f>ROUND(AD825,2)</f>
        <v>1.05</v>
      </c>
      <c r="M825" s="530">
        <f t="shared" si="872"/>
        <v>11.55</v>
      </c>
      <c r="N825" s="309"/>
      <c r="O825" s="776">
        <v>121</v>
      </c>
      <c r="P825" s="777"/>
      <c r="Q825" s="777"/>
      <c r="R825" s="751"/>
      <c r="S825" s="752">
        <v>74000</v>
      </c>
      <c r="T825" s="792">
        <v>0.8</v>
      </c>
      <c r="U825" s="803">
        <v>0</v>
      </c>
      <c r="V825" s="803">
        <v>0</v>
      </c>
      <c r="W825" s="803">
        <v>0</v>
      </c>
      <c r="X825" s="858">
        <f>SUMIF('Summary-E'!O$4:O$50,D825,'Summary-E'!Q$4:Q$50)</f>
        <v>0.97</v>
      </c>
      <c r="Y825" s="310">
        <f>ROUND((R825+S825/'Summary-E'!$M$63)*X825,2)</f>
        <v>3.45</v>
      </c>
      <c r="Z825" s="858">
        <f t="shared" si="830"/>
        <v>1.05</v>
      </c>
      <c r="AA825" s="813">
        <f>ROUND(Y825*Z825,2)</f>
        <v>3.62</v>
      </c>
      <c r="AB825" s="447">
        <f t="shared" si="874"/>
        <v>0.05</v>
      </c>
      <c r="AC825" s="310">
        <f>ROUND((T825*(1+AB825)),2)</f>
        <v>0.84</v>
      </c>
      <c r="AD825" s="717">
        <f>ROUND(AC825*'[6]Summary E&amp;M'!$R$94,2)</f>
        <v>1.05</v>
      </c>
      <c r="AE825" s="825">
        <f t="shared" si="868"/>
        <v>34.5</v>
      </c>
      <c r="AF825" s="825">
        <f t="shared" si="869"/>
        <v>8.4</v>
      </c>
      <c r="AG825" s="743"/>
      <c r="AH825" s="728"/>
      <c r="AI825" s="519">
        <f t="shared" si="875"/>
        <v>0</v>
      </c>
      <c r="AJ825" s="519">
        <f t="shared" si="876"/>
        <v>0</v>
      </c>
      <c r="AK825" s="519">
        <f t="shared" si="877"/>
        <v>0</v>
      </c>
      <c r="AL825" s="520">
        <f t="shared" si="878"/>
        <v>0</v>
      </c>
      <c r="AM825" s="520">
        <f t="shared" si="879"/>
        <v>0</v>
      </c>
      <c r="AN825" s="520">
        <f t="shared" si="880"/>
        <v>0</v>
      </c>
      <c r="AO825" s="520">
        <f t="shared" si="881"/>
        <v>0</v>
      </c>
      <c r="AP825" s="552"/>
      <c r="AQ825" s="552"/>
      <c r="AR825" s="552"/>
      <c r="AS825" s="552"/>
      <c r="AT825" s="552"/>
    </row>
    <row r="826" spans="1:47" s="555" customFormat="1" ht="22.5" customHeight="1">
      <c r="A826" s="620"/>
      <c r="B826" s="531" t="s">
        <v>403</v>
      </c>
      <c r="C826" s="566" t="s">
        <v>329</v>
      </c>
      <c r="D826" s="525" t="s">
        <v>1111</v>
      </c>
      <c r="E826" s="525" t="s">
        <v>321</v>
      </c>
      <c r="F826" s="1314">
        <f>ROUND(K826*'Summary-E'!$K$61,0)</f>
        <v>23</v>
      </c>
      <c r="G826" s="527">
        <f t="shared" si="882"/>
        <v>3.1</v>
      </c>
      <c r="H826" s="527">
        <f t="shared" si="870"/>
        <v>71.3</v>
      </c>
      <c r="I826" s="529"/>
      <c r="J826" s="309"/>
      <c r="K826" s="1175">
        <v>22</v>
      </c>
      <c r="L826" s="530">
        <f t="shared" si="871"/>
        <v>0.79</v>
      </c>
      <c r="M826" s="530">
        <f t="shared" si="872"/>
        <v>18.170000000000002</v>
      </c>
      <c r="N826" s="309"/>
      <c r="O826" s="778" t="s">
        <v>131</v>
      </c>
      <c r="P826" s="777"/>
      <c r="Q826" s="777"/>
      <c r="R826" s="751">
        <v>2.95</v>
      </c>
      <c r="S826" s="752"/>
      <c r="T826" s="792">
        <v>0.6</v>
      </c>
      <c r="U826" s="803">
        <v>0</v>
      </c>
      <c r="V826" s="803">
        <v>0</v>
      </c>
      <c r="W826" s="803">
        <v>0</v>
      </c>
      <c r="X826" s="858">
        <v>1</v>
      </c>
      <c r="Y826" s="310">
        <f>ROUND((R826+S826/'Summary-E'!$M$63)*X826,2)</f>
        <v>2.95</v>
      </c>
      <c r="Z826" s="858">
        <f t="shared" si="830"/>
        <v>1.05</v>
      </c>
      <c r="AA826" s="813">
        <f t="shared" si="873"/>
        <v>3.1</v>
      </c>
      <c r="AB826" s="447">
        <f t="shared" si="874"/>
        <v>0.05</v>
      </c>
      <c r="AC826" s="310">
        <f t="shared" si="867"/>
        <v>0.63</v>
      </c>
      <c r="AD826" s="717">
        <f>ROUND(AC826*'[6]Summary E&amp;M'!$R$94,2)</f>
        <v>0.79</v>
      </c>
      <c r="AE826" s="826">
        <f t="shared" si="868"/>
        <v>64.900000000000006</v>
      </c>
      <c r="AF826" s="826">
        <f t="shared" si="869"/>
        <v>13.86</v>
      </c>
      <c r="AG826" s="744"/>
      <c r="AH826" s="728"/>
      <c r="AI826" s="519">
        <f t="shared" si="875"/>
        <v>0</v>
      </c>
      <c r="AJ826" s="519">
        <f t="shared" si="876"/>
        <v>0</v>
      </c>
      <c r="AK826" s="519">
        <f t="shared" si="877"/>
        <v>0</v>
      </c>
      <c r="AL826" s="520">
        <f t="shared" si="878"/>
        <v>0</v>
      </c>
      <c r="AM826" s="520">
        <f t="shared" si="879"/>
        <v>0</v>
      </c>
      <c r="AN826" s="520">
        <f t="shared" si="880"/>
        <v>0</v>
      </c>
      <c r="AO826" s="520">
        <f t="shared" si="881"/>
        <v>0</v>
      </c>
      <c r="AP826" s="719"/>
      <c r="AQ826" s="719"/>
      <c r="AR826" s="719"/>
      <c r="AS826" s="719"/>
      <c r="AT826" s="719"/>
    </row>
    <row r="827" spans="1:47" s="555" customFormat="1" ht="22.5" customHeight="1">
      <c r="A827" s="451"/>
      <c r="B827" s="531" t="s">
        <v>928</v>
      </c>
      <c r="C827" s="566" t="s">
        <v>1002</v>
      </c>
      <c r="D827" s="1001" t="s">
        <v>1113</v>
      </c>
      <c r="E827" s="525" t="s">
        <v>319</v>
      </c>
      <c r="F827" s="1322">
        <f>K827</f>
        <v>43</v>
      </c>
      <c r="G827" s="527">
        <f t="shared" si="882"/>
        <v>3.54</v>
      </c>
      <c r="H827" s="527">
        <f t="shared" si="870"/>
        <v>152.22</v>
      </c>
      <c r="I827" s="529"/>
      <c r="J827" s="309"/>
      <c r="K827" s="1175">
        <v>43</v>
      </c>
      <c r="L827" s="530">
        <f t="shared" si="871"/>
        <v>1.31</v>
      </c>
      <c r="M827" s="530">
        <f t="shared" si="872"/>
        <v>56.33</v>
      </c>
      <c r="N827" s="309"/>
      <c r="O827" s="778" t="s">
        <v>673</v>
      </c>
      <c r="P827" s="1093"/>
      <c r="Q827" s="1094"/>
      <c r="R827" s="882"/>
      <c r="S827" s="883">
        <v>70000</v>
      </c>
      <c r="T827" s="879">
        <v>1</v>
      </c>
      <c r="U827" s="803">
        <v>0</v>
      </c>
      <c r="V827" s="803">
        <v>0</v>
      </c>
      <c r="W827" s="803">
        <v>0</v>
      </c>
      <c r="X827" s="858">
        <v>1</v>
      </c>
      <c r="Y827" s="310">
        <f>ROUND((R827+S827/'[3]Summary E&amp;M'!$M$104)*X827,2)</f>
        <v>3.37</v>
      </c>
      <c r="Z827" s="858">
        <f t="shared" si="830"/>
        <v>1.05</v>
      </c>
      <c r="AA827" s="813">
        <f t="shared" si="873"/>
        <v>3.54</v>
      </c>
      <c r="AB827" s="447">
        <f t="shared" si="874"/>
        <v>0.05</v>
      </c>
      <c r="AC827" s="310">
        <f t="shared" si="867"/>
        <v>1.05</v>
      </c>
      <c r="AD827" s="717">
        <f>ROUND(AC827*'[1]Summary E&amp;M'!$R$94,2)</f>
        <v>1.31</v>
      </c>
      <c r="AE827" s="826">
        <f t="shared" si="868"/>
        <v>144.91</v>
      </c>
      <c r="AF827" s="826">
        <f t="shared" si="869"/>
        <v>45.15</v>
      </c>
      <c r="AG827" s="744"/>
      <c r="AH827" s="728"/>
      <c r="AI827" s="519">
        <f t="shared" si="875"/>
        <v>0</v>
      </c>
      <c r="AJ827" s="519">
        <f t="shared" si="876"/>
        <v>0</v>
      </c>
      <c r="AK827" s="519">
        <f t="shared" si="877"/>
        <v>0</v>
      </c>
      <c r="AL827" s="520">
        <f t="shared" si="878"/>
        <v>0</v>
      </c>
      <c r="AM827" s="520">
        <f t="shared" si="879"/>
        <v>0</v>
      </c>
      <c r="AN827" s="520">
        <f t="shared" si="880"/>
        <v>0</v>
      </c>
      <c r="AO827" s="520">
        <f t="shared" si="881"/>
        <v>0</v>
      </c>
      <c r="AP827" s="719"/>
      <c r="AQ827" s="719"/>
      <c r="AR827" s="719"/>
      <c r="AS827" s="719"/>
      <c r="AT827" s="719"/>
    </row>
    <row r="828" spans="1:47" s="555" customFormat="1" ht="22.5" customHeight="1">
      <c r="A828" s="451"/>
      <c r="B828" s="531" t="s">
        <v>1025</v>
      </c>
      <c r="C828" s="566" t="s">
        <v>1233</v>
      </c>
      <c r="D828" s="525" t="s">
        <v>1113</v>
      </c>
      <c r="E828" s="525" t="s">
        <v>321</v>
      </c>
      <c r="F828" s="1314">
        <f>ROUND(K828*'Summary-E'!$K$61,0)</f>
        <v>158</v>
      </c>
      <c r="G828" s="527">
        <f t="shared" si="882"/>
        <v>1.08</v>
      </c>
      <c r="H828" s="527">
        <f t="shared" si="870"/>
        <v>170.64</v>
      </c>
      <c r="I828" s="529"/>
      <c r="J828" s="309"/>
      <c r="K828" s="1175">
        <v>150</v>
      </c>
      <c r="L828" s="530">
        <f t="shared" si="871"/>
        <v>0.4</v>
      </c>
      <c r="M828" s="530">
        <f t="shared" si="872"/>
        <v>63.2</v>
      </c>
      <c r="N828" s="309"/>
      <c r="O828" s="778" t="s">
        <v>131</v>
      </c>
      <c r="P828" s="777"/>
      <c r="Q828" s="777"/>
      <c r="R828" s="751"/>
      <c r="S828" s="752">
        <v>21400</v>
      </c>
      <c r="T828" s="792">
        <v>0.3</v>
      </c>
      <c r="U828" s="803">
        <v>0</v>
      </c>
      <c r="V828" s="803">
        <v>0</v>
      </c>
      <c r="W828" s="803">
        <v>0</v>
      </c>
      <c r="X828" s="858">
        <v>1</v>
      </c>
      <c r="Y828" s="310">
        <f>ROUND((R828+S828/'Summary-E'!$M$63)*X828,2)</f>
        <v>1.03</v>
      </c>
      <c r="Z828" s="858">
        <f t="shared" si="830"/>
        <v>1.05</v>
      </c>
      <c r="AA828" s="813">
        <f t="shared" si="873"/>
        <v>1.08</v>
      </c>
      <c r="AB828" s="447">
        <f t="shared" si="874"/>
        <v>0.05</v>
      </c>
      <c r="AC828" s="310">
        <f t="shared" si="867"/>
        <v>0.32</v>
      </c>
      <c r="AD828" s="717">
        <f>ROUND(AC828*'[6]Summary E&amp;M'!$R$94,2)</f>
        <v>0.4</v>
      </c>
      <c r="AE828" s="826">
        <f t="shared" si="868"/>
        <v>154.5</v>
      </c>
      <c r="AF828" s="826">
        <f t="shared" si="869"/>
        <v>48</v>
      </c>
      <c r="AG828" s="744"/>
      <c r="AH828" s="732"/>
      <c r="AI828" s="723"/>
      <c r="AJ828" s="519">
        <f>$U828</f>
        <v>0</v>
      </c>
      <c r="AK828" s="519">
        <f>$V828</f>
        <v>0</v>
      </c>
      <c r="AL828" s="519">
        <f>$W828</f>
        <v>0</v>
      </c>
      <c r="AM828" s="520">
        <f>ROUND(Y828*AJ828+((Y828*(1+AJ828))*AK828)+((Y828*AJ828+((Y828*(1+AJ828))*AK828))*AL828),2)</f>
        <v>0</v>
      </c>
      <c r="AN828" s="520">
        <f>AM828*$F828</f>
        <v>0</v>
      </c>
      <c r="AO828" s="520">
        <f>ROUND(AM828*Z828,2)</f>
        <v>0</v>
      </c>
      <c r="AP828" s="520">
        <f>AO828*$F828</f>
        <v>0</v>
      </c>
      <c r="AQ828" s="719"/>
      <c r="AR828" s="719"/>
      <c r="AS828" s="719"/>
      <c r="AT828" s="719"/>
      <c r="AU828" s="643"/>
    </row>
    <row r="829" spans="1:47" s="555" customFormat="1" ht="22.5" customHeight="1">
      <c r="A829" s="620"/>
      <c r="B829" s="568" t="s">
        <v>333</v>
      </c>
      <c r="C829" s="569"/>
      <c r="D829" s="570" t="s">
        <v>1113</v>
      </c>
      <c r="E829" s="570" t="s">
        <v>322</v>
      </c>
      <c r="F829" s="1322">
        <f>K829</f>
        <v>1</v>
      </c>
      <c r="G829" s="527">
        <f t="shared" si="882"/>
        <v>121.85</v>
      </c>
      <c r="H829" s="527">
        <f t="shared" si="870"/>
        <v>121.85</v>
      </c>
      <c r="I829" s="529"/>
      <c r="J829" s="309"/>
      <c r="K829" s="1175">
        <v>1</v>
      </c>
      <c r="L829" s="530">
        <f t="shared" si="871"/>
        <v>31.4</v>
      </c>
      <c r="M829" s="530">
        <f t="shared" si="872"/>
        <v>31.4</v>
      </c>
      <c r="N829" s="309"/>
      <c r="O829" s="778" t="s">
        <v>683</v>
      </c>
      <c r="P829" s="777">
        <v>0.3</v>
      </c>
      <c r="Q829" s="777"/>
      <c r="R829" s="751">
        <f>ROUND(SUM(AE825:AE828)*P829,2)</f>
        <v>119.64</v>
      </c>
      <c r="S829" s="752"/>
      <c r="T829" s="792">
        <f>R829*0.2</f>
        <v>23.928000000000001</v>
      </c>
      <c r="U829" s="803">
        <v>0</v>
      </c>
      <c r="V829" s="803">
        <v>0</v>
      </c>
      <c r="W829" s="803">
        <v>0</v>
      </c>
      <c r="X829" s="858">
        <f>SUMIF('Summary-E'!O$4:O$50,D829,'Summary-E'!Q$4:Q$50)</f>
        <v>0.97</v>
      </c>
      <c r="Y829" s="310">
        <f>ROUND((R829+S829/'Summary-E'!$M$63)*X829,2)</f>
        <v>116.05</v>
      </c>
      <c r="Z829" s="858">
        <f t="shared" si="830"/>
        <v>1.05</v>
      </c>
      <c r="AA829" s="813">
        <f t="shared" si="873"/>
        <v>121.85</v>
      </c>
      <c r="AB829" s="447">
        <f t="shared" si="874"/>
        <v>0.05</v>
      </c>
      <c r="AC829" s="310">
        <f t="shared" si="867"/>
        <v>25.12</v>
      </c>
      <c r="AD829" s="717">
        <f>ROUND(AC829*'[6]Summary E&amp;M'!$R$94,2)</f>
        <v>31.4</v>
      </c>
      <c r="AE829" s="826">
        <f t="shared" si="868"/>
        <v>116.05</v>
      </c>
      <c r="AF829" s="826">
        <f t="shared" si="869"/>
        <v>25.12</v>
      </c>
      <c r="AG829" s="744"/>
      <c r="AH829" s="728"/>
      <c r="AI829" s="519">
        <f t="shared" si="875"/>
        <v>0</v>
      </c>
      <c r="AJ829" s="519">
        <f t="shared" si="876"/>
        <v>0</v>
      </c>
      <c r="AK829" s="519">
        <f t="shared" si="877"/>
        <v>0</v>
      </c>
      <c r="AL829" s="520">
        <f t="shared" ref="AL829:AL833" si="883">ROUND(Y829*AI829+((Y829*(1+AI829))*AJ829)+((Y829*AI829+((Y829*(1+AI829))*AJ829))*AK829),2)</f>
        <v>0</v>
      </c>
      <c r="AM829" s="520">
        <f t="shared" ref="AM829:AM833" si="884">AL829*$F829</f>
        <v>0</v>
      </c>
      <c r="AN829" s="520">
        <f t="shared" ref="AN829:AN833" si="885">ROUND(AL829*Z829,2)</f>
        <v>0</v>
      </c>
      <c r="AO829" s="520">
        <f t="shared" ref="AO829:AO833" si="886">AN829*$F829</f>
        <v>0</v>
      </c>
      <c r="AP829" s="719"/>
      <c r="AQ829" s="719"/>
      <c r="AR829" s="719"/>
      <c r="AS829" s="719"/>
      <c r="AT829" s="719"/>
    </row>
    <row r="830" spans="1:47" s="555" customFormat="1" ht="22.5" customHeight="1">
      <c r="A830" s="620"/>
      <c r="B830" s="531" t="s">
        <v>334</v>
      </c>
      <c r="C830" s="566"/>
      <c r="D830" s="525" t="s">
        <v>139</v>
      </c>
      <c r="E830" s="525" t="s">
        <v>322</v>
      </c>
      <c r="F830" s="1322">
        <f>K830</f>
        <v>1</v>
      </c>
      <c r="G830" s="527">
        <f t="shared" si="882"/>
        <v>60.93</v>
      </c>
      <c r="H830" s="527">
        <f t="shared" si="870"/>
        <v>60.93</v>
      </c>
      <c r="I830" s="529"/>
      <c r="J830" s="309"/>
      <c r="K830" s="1175">
        <v>1</v>
      </c>
      <c r="L830" s="530">
        <f t="shared" si="871"/>
        <v>23.55</v>
      </c>
      <c r="M830" s="530">
        <f t="shared" si="872"/>
        <v>23.55</v>
      </c>
      <c r="N830" s="309"/>
      <c r="O830" s="778" t="s">
        <v>130</v>
      </c>
      <c r="P830" s="777">
        <v>0.15</v>
      </c>
      <c r="Q830" s="777"/>
      <c r="R830" s="751">
        <f>ROUND(SUM(AE825:AE828)*P830,2)</f>
        <v>59.82</v>
      </c>
      <c r="S830" s="752"/>
      <c r="T830" s="792">
        <f>R830*0.3</f>
        <v>17.945999999999998</v>
      </c>
      <c r="U830" s="803">
        <v>0</v>
      </c>
      <c r="V830" s="803">
        <v>0</v>
      </c>
      <c r="W830" s="803">
        <v>0</v>
      </c>
      <c r="X830" s="858">
        <f>SUMIF('Summary-E'!O$4:O$50,D830,'Summary-E'!Q$4:Q$50)</f>
        <v>0.97</v>
      </c>
      <c r="Y830" s="310">
        <f>ROUND((R830+S830/'Summary-E'!$M$63)*X830,2)</f>
        <v>58.03</v>
      </c>
      <c r="Z830" s="858">
        <f t="shared" si="830"/>
        <v>1.05</v>
      </c>
      <c r="AA830" s="813">
        <f t="shared" si="873"/>
        <v>60.93</v>
      </c>
      <c r="AB830" s="447">
        <f t="shared" si="874"/>
        <v>0.05</v>
      </c>
      <c r="AC830" s="310">
        <f t="shared" si="867"/>
        <v>18.84</v>
      </c>
      <c r="AD830" s="717">
        <f>ROUND(AC830*'[6]Summary E&amp;M'!$R$94,2)</f>
        <v>23.55</v>
      </c>
      <c r="AE830" s="826">
        <f t="shared" si="868"/>
        <v>58.03</v>
      </c>
      <c r="AF830" s="826">
        <f t="shared" si="869"/>
        <v>18.84</v>
      </c>
      <c r="AG830" s="744"/>
      <c r="AH830" s="728"/>
      <c r="AI830" s="519">
        <f t="shared" si="875"/>
        <v>0</v>
      </c>
      <c r="AJ830" s="519">
        <f t="shared" si="876"/>
        <v>0</v>
      </c>
      <c r="AK830" s="519">
        <f t="shared" si="877"/>
        <v>0</v>
      </c>
      <c r="AL830" s="520">
        <f t="shared" si="883"/>
        <v>0</v>
      </c>
      <c r="AM830" s="520">
        <f t="shared" si="884"/>
        <v>0</v>
      </c>
      <c r="AN830" s="520">
        <f t="shared" si="885"/>
        <v>0</v>
      </c>
      <c r="AO830" s="520">
        <f t="shared" si="886"/>
        <v>0</v>
      </c>
      <c r="AP830" s="719"/>
      <c r="AQ830" s="719"/>
      <c r="AR830" s="719"/>
      <c r="AS830" s="719"/>
      <c r="AT830" s="719"/>
    </row>
    <row r="831" spans="1:47" s="555" customFormat="1" ht="22.5" customHeight="1">
      <c r="A831" s="1221"/>
      <c r="B831" s="265" t="s">
        <v>1299</v>
      </c>
      <c r="C831" s="1161" t="s">
        <v>1232</v>
      </c>
      <c r="D831" s="1156">
        <v>131</v>
      </c>
      <c r="E831" s="1156" t="s">
        <v>321</v>
      </c>
      <c r="F831" s="1321">
        <f>ROUND(K831*'[1]Summary E&amp;M'!$K$98,0)</f>
        <v>58</v>
      </c>
      <c r="G831" s="1157">
        <f t="shared" si="882"/>
        <v>3.22</v>
      </c>
      <c r="H831" s="527">
        <f t="shared" si="870"/>
        <v>186.76</v>
      </c>
      <c r="I831" s="1057"/>
      <c r="J831" s="309"/>
      <c r="K831" s="1175">
        <v>55</v>
      </c>
      <c r="L831" s="530">
        <f t="shared" si="871"/>
        <v>1.68</v>
      </c>
      <c r="M831" s="530">
        <f t="shared" si="872"/>
        <v>97.44</v>
      </c>
      <c r="N831" s="309"/>
      <c r="O831" s="778">
        <v>131</v>
      </c>
      <c r="P831" s="777"/>
      <c r="Q831" s="777"/>
      <c r="R831" s="751"/>
      <c r="S831" s="1122">
        <f>57170+6660</f>
        <v>63830</v>
      </c>
      <c r="T831" s="1164">
        <v>1.6</v>
      </c>
      <c r="U831" s="803">
        <v>0</v>
      </c>
      <c r="V831" s="803">
        <v>0</v>
      </c>
      <c r="W831" s="803">
        <v>0</v>
      </c>
      <c r="X831" s="858">
        <v>1</v>
      </c>
      <c r="Y831" s="310">
        <f>ROUND((R831+S831/'[5]Summary E&amp;M (Origin)'!$M$102)*X831,2)</f>
        <v>3.07</v>
      </c>
      <c r="Z831" s="858">
        <f t="shared" si="830"/>
        <v>1.05</v>
      </c>
      <c r="AA831" s="813">
        <f t="shared" si="873"/>
        <v>3.22</v>
      </c>
      <c r="AB831" s="447">
        <f t="shared" si="874"/>
        <v>0.05</v>
      </c>
      <c r="AC831" s="310">
        <f t="shared" si="867"/>
        <v>1.68</v>
      </c>
      <c r="AD831" s="717">
        <f>ROUND(AC831*1,2)</f>
        <v>1.68</v>
      </c>
      <c r="AE831" s="826">
        <f t="shared" si="868"/>
        <v>168.85</v>
      </c>
      <c r="AF831" s="826">
        <f t="shared" si="869"/>
        <v>92.4</v>
      </c>
      <c r="AG831" s="731"/>
      <c r="AH831" s="732"/>
      <c r="AI831" s="519">
        <f t="shared" si="875"/>
        <v>0</v>
      </c>
      <c r="AJ831" s="519">
        <f t="shared" si="876"/>
        <v>0</v>
      </c>
      <c r="AK831" s="519">
        <f t="shared" si="877"/>
        <v>0</v>
      </c>
      <c r="AL831" s="520">
        <f t="shared" si="883"/>
        <v>0</v>
      </c>
      <c r="AM831" s="520">
        <f t="shared" si="884"/>
        <v>0</v>
      </c>
      <c r="AN831" s="520">
        <f t="shared" si="885"/>
        <v>0</v>
      </c>
      <c r="AO831" s="520">
        <f t="shared" si="886"/>
        <v>0</v>
      </c>
      <c r="AP831" s="719"/>
      <c r="AQ831" s="719"/>
      <c r="AR831" s="719"/>
      <c r="AS831" s="719"/>
      <c r="AT831" s="719"/>
    </row>
    <row r="832" spans="1:47" s="555" customFormat="1" ht="22.5" customHeight="1">
      <c r="A832" s="451"/>
      <c r="B832" s="531" t="s">
        <v>332</v>
      </c>
      <c r="C832" s="566" t="s">
        <v>712</v>
      </c>
      <c r="D832" s="525">
        <v>131</v>
      </c>
      <c r="E832" s="525" t="s">
        <v>321</v>
      </c>
      <c r="F832" s="1314">
        <f>ROUND(K832*'Summary-E'!$K$61,0)</f>
        <v>63</v>
      </c>
      <c r="G832" s="527">
        <f t="shared" si="882"/>
        <v>1.87</v>
      </c>
      <c r="H832" s="527">
        <f t="shared" si="870"/>
        <v>117.81</v>
      </c>
      <c r="I832" s="567"/>
      <c r="J832" s="309"/>
      <c r="K832" s="1149">
        <v>60</v>
      </c>
      <c r="L832" s="530">
        <f t="shared" si="871"/>
        <v>0.4</v>
      </c>
      <c r="M832" s="530">
        <f t="shared" si="872"/>
        <v>25.2</v>
      </c>
      <c r="N832" s="309"/>
      <c r="O832" s="776">
        <v>131</v>
      </c>
      <c r="P832" s="777"/>
      <c r="Q832" s="777"/>
      <c r="R832" s="751"/>
      <c r="S832" s="752">
        <v>37100</v>
      </c>
      <c r="T832" s="792">
        <v>0.3</v>
      </c>
      <c r="U832" s="803">
        <v>0</v>
      </c>
      <c r="V832" s="803">
        <v>0</v>
      </c>
      <c r="W832" s="803">
        <v>0</v>
      </c>
      <c r="X832" s="858">
        <v>1</v>
      </c>
      <c r="Y832" s="310">
        <f>ROUND((R832+S832/'[7]Summary E&amp;M'!$M$104)*X832,2)</f>
        <v>1.78</v>
      </c>
      <c r="Z832" s="858">
        <f t="shared" si="830"/>
        <v>1.05</v>
      </c>
      <c r="AA832" s="813">
        <f t="shared" si="873"/>
        <v>1.87</v>
      </c>
      <c r="AB832" s="447">
        <f t="shared" si="874"/>
        <v>0.05</v>
      </c>
      <c r="AC832" s="310">
        <f t="shared" si="867"/>
        <v>0.32</v>
      </c>
      <c r="AD832" s="717">
        <f>ROUND(AC832*'[8]Summary E&amp;M'!$R$94,2)</f>
        <v>0.4</v>
      </c>
      <c r="AE832" s="825">
        <f t="shared" si="868"/>
        <v>106.8</v>
      </c>
      <c r="AF832" s="825">
        <f t="shared" si="869"/>
        <v>19.2</v>
      </c>
      <c r="AG832" s="743"/>
      <c r="AH832" s="728"/>
      <c r="AI832" s="519">
        <f t="shared" si="875"/>
        <v>0</v>
      </c>
      <c r="AJ832" s="519">
        <f t="shared" si="876"/>
        <v>0</v>
      </c>
      <c r="AK832" s="519">
        <f t="shared" si="877"/>
        <v>0</v>
      </c>
      <c r="AL832" s="520">
        <f t="shared" si="883"/>
        <v>0</v>
      </c>
      <c r="AM832" s="520">
        <f t="shared" si="884"/>
        <v>0</v>
      </c>
      <c r="AN832" s="520">
        <f t="shared" si="885"/>
        <v>0</v>
      </c>
      <c r="AO832" s="520">
        <f t="shared" si="886"/>
        <v>0</v>
      </c>
      <c r="AP832" s="552"/>
      <c r="AQ832" s="552"/>
      <c r="AR832" s="552"/>
      <c r="AS832" s="552"/>
      <c r="AT832" s="552"/>
    </row>
    <row r="833" spans="1:46" s="555" customFormat="1" ht="22.5" customHeight="1">
      <c r="A833" s="620"/>
      <c r="B833" s="531" t="s">
        <v>332</v>
      </c>
      <c r="C833" s="566" t="s">
        <v>791</v>
      </c>
      <c r="D833" s="525">
        <v>131</v>
      </c>
      <c r="E833" s="525" t="s">
        <v>321</v>
      </c>
      <c r="F833" s="1314">
        <f>ROUND(K833*'Summary-E'!$K$61,0)</f>
        <v>221</v>
      </c>
      <c r="G833" s="527">
        <f t="shared" si="882"/>
        <v>1.19</v>
      </c>
      <c r="H833" s="527">
        <f t="shared" si="870"/>
        <v>262.99</v>
      </c>
      <c r="I833" s="529"/>
      <c r="J833" s="309"/>
      <c r="K833" s="1175">
        <v>210</v>
      </c>
      <c r="L833" s="530">
        <f t="shared" si="871"/>
        <v>0.14000000000000001</v>
      </c>
      <c r="M833" s="530">
        <f t="shared" si="872"/>
        <v>30.94</v>
      </c>
      <c r="N833" s="309"/>
      <c r="O833" s="778">
        <v>131</v>
      </c>
      <c r="P833" s="777"/>
      <c r="Q833" s="777"/>
      <c r="R833" s="751"/>
      <c r="S833" s="752">
        <v>23500</v>
      </c>
      <c r="T833" s="792">
        <v>0.1</v>
      </c>
      <c r="U833" s="803">
        <v>0</v>
      </c>
      <c r="V833" s="803">
        <v>0</v>
      </c>
      <c r="W833" s="803">
        <v>0</v>
      </c>
      <c r="X833" s="858">
        <v>1</v>
      </c>
      <c r="Y833" s="310">
        <f>ROUND((R833+S833/'Summary-E'!$M$63)*X833,2)</f>
        <v>1.1299999999999999</v>
      </c>
      <c r="Z833" s="858">
        <f t="shared" si="830"/>
        <v>1.05</v>
      </c>
      <c r="AA833" s="813">
        <f t="shared" si="873"/>
        <v>1.19</v>
      </c>
      <c r="AB833" s="447">
        <f t="shared" si="874"/>
        <v>0.05</v>
      </c>
      <c r="AC833" s="310">
        <f t="shared" si="867"/>
        <v>0.11</v>
      </c>
      <c r="AD833" s="717">
        <f>ROUND(AC833*'[6]Summary E&amp;M'!$R$94,2)</f>
        <v>0.14000000000000001</v>
      </c>
      <c r="AE833" s="826">
        <f t="shared" si="868"/>
        <v>237.3</v>
      </c>
      <c r="AF833" s="826">
        <f t="shared" si="869"/>
        <v>23.1</v>
      </c>
      <c r="AG833" s="744"/>
      <c r="AH833" s="728"/>
      <c r="AI833" s="519">
        <f t="shared" si="875"/>
        <v>0</v>
      </c>
      <c r="AJ833" s="519">
        <f t="shared" si="876"/>
        <v>0</v>
      </c>
      <c r="AK833" s="519">
        <f t="shared" si="877"/>
        <v>0</v>
      </c>
      <c r="AL833" s="520">
        <f t="shared" si="883"/>
        <v>0</v>
      </c>
      <c r="AM833" s="520">
        <f t="shared" si="884"/>
        <v>0</v>
      </c>
      <c r="AN833" s="520">
        <f t="shared" si="885"/>
        <v>0</v>
      </c>
      <c r="AO833" s="520">
        <f t="shared" si="886"/>
        <v>0</v>
      </c>
      <c r="AP833" s="719"/>
      <c r="AQ833" s="719"/>
      <c r="AR833" s="719"/>
      <c r="AS833" s="719"/>
      <c r="AT833" s="719"/>
    </row>
    <row r="834" spans="1:46" s="555" customFormat="1" ht="22.5" customHeight="1">
      <c r="A834" s="570"/>
      <c r="B834" s="568"/>
      <c r="C834" s="569"/>
      <c r="D834" s="1082"/>
      <c r="E834" s="570"/>
      <c r="F834" s="1314"/>
      <c r="G834" s="527"/>
      <c r="H834" s="527"/>
      <c r="I834" s="567"/>
      <c r="J834" s="309"/>
      <c r="K834" s="1149"/>
      <c r="L834" s="530">
        <f t="shared" si="871"/>
        <v>0</v>
      </c>
      <c r="M834" s="530">
        <f t="shared" si="872"/>
        <v>0</v>
      </c>
      <c r="N834" s="309"/>
      <c r="O834" s="778"/>
      <c r="P834" s="777"/>
      <c r="Q834" s="777"/>
      <c r="R834" s="751"/>
      <c r="S834" s="752"/>
      <c r="T834" s="792"/>
      <c r="U834" s="803">
        <v>0</v>
      </c>
      <c r="V834" s="803">
        <v>0</v>
      </c>
      <c r="W834" s="803">
        <v>0</v>
      </c>
      <c r="X834" s="858">
        <f>SUMIF('Summary-E'!O$4:O$50,D834,'Summary-E'!Q$4:Q$50)</f>
        <v>0</v>
      </c>
      <c r="Y834" s="310">
        <f>ROUND((R834+S834/'Summary-E'!$M$63)*X834,2)</f>
        <v>0</v>
      </c>
      <c r="Z834" s="858">
        <f t="shared" si="830"/>
        <v>1.05</v>
      </c>
      <c r="AA834" s="813"/>
      <c r="AB834" s="447"/>
      <c r="AC834" s="310">
        <f t="shared" si="867"/>
        <v>0</v>
      </c>
      <c r="AD834" s="717">
        <f>ROUND(AC834*'[1]Summary E&amp;M'!$R$94,2)</f>
        <v>0</v>
      </c>
      <c r="AE834" s="825">
        <f t="shared" si="868"/>
        <v>0</v>
      </c>
      <c r="AF834" s="825">
        <f t="shared" si="869"/>
        <v>0</v>
      </c>
      <c r="AG834" s="743"/>
      <c r="AH834" s="728"/>
      <c r="AI834" s="519"/>
      <c r="AJ834" s="519"/>
      <c r="AK834" s="519"/>
      <c r="AL834" s="520"/>
      <c r="AM834" s="520"/>
      <c r="AN834" s="520"/>
      <c r="AO834" s="520"/>
      <c r="AP834" s="552"/>
      <c r="AQ834" s="552"/>
      <c r="AR834" s="552"/>
      <c r="AS834" s="552"/>
      <c r="AT834" s="552"/>
    </row>
    <row r="835" spans="1:46" s="555" customFormat="1" ht="22.5" customHeight="1">
      <c r="A835" s="570"/>
      <c r="B835" s="568" t="s">
        <v>324</v>
      </c>
      <c r="C835" s="569"/>
      <c r="D835" s="525">
        <v>210</v>
      </c>
      <c r="E835" s="570" t="s">
        <v>319</v>
      </c>
      <c r="F835" s="1322">
        <f>K835</f>
        <v>1</v>
      </c>
      <c r="G835" s="527">
        <f>M837</f>
        <v>395.21000000000004</v>
      </c>
      <c r="H835" s="527">
        <f>ROUND(F835*G835,2)</f>
        <v>395.21</v>
      </c>
      <c r="I835" s="567"/>
      <c r="J835" s="309"/>
      <c r="K835" s="1149">
        <v>1</v>
      </c>
      <c r="L835" s="530"/>
      <c r="M835" s="530"/>
      <c r="N835" s="309"/>
      <c r="O835" s="778">
        <v>210</v>
      </c>
      <c r="P835" s="777"/>
      <c r="Q835" s="777"/>
      <c r="R835" s="751"/>
      <c r="S835" s="752"/>
      <c r="T835" s="796"/>
      <c r="U835" s="803">
        <v>0</v>
      </c>
      <c r="V835" s="803">
        <v>0</v>
      </c>
      <c r="W835" s="803">
        <v>0</v>
      </c>
      <c r="X835" s="858">
        <f>SUMIF('Summary-E'!O$4:O$50,D835,'Summary-E'!Q$4:Q$50)</f>
        <v>0.05</v>
      </c>
      <c r="Y835" s="310">
        <f>ROUND((R835+S835/'Summary-E'!$M$63)*X835,2)</f>
        <v>0</v>
      </c>
      <c r="Z835" s="858">
        <f t="shared" si="830"/>
        <v>1.05</v>
      </c>
      <c r="AA835" s="813">
        <f>ROUND(Y835*Z835,2)</f>
        <v>0</v>
      </c>
      <c r="AB835" s="447">
        <f>$AB$3</f>
        <v>0.05</v>
      </c>
      <c r="AC835" s="310">
        <f t="shared" si="867"/>
        <v>0</v>
      </c>
      <c r="AD835" s="717">
        <f>ROUND(AC835*'[1]Summary E&amp;M'!$R$94,2)</f>
        <v>0</v>
      </c>
      <c r="AE835" s="825">
        <f t="shared" si="868"/>
        <v>0</v>
      </c>
      <c r="AF835" s="825">
        <f t="shared" si="869"/>
        <v>0</v>
      </c>
      <c r="AG835" s="743"/>
      <c r="AH835" s="728"/>
      <c r="AI835" s="519">
        <f>$U835</f>
        <v>0</v>
      </c>
      <c r="AJ835" s="519">
        <f>$V835</f>
        <v>0</v>
      </c>
      <c r="AK835" s="519">
        <f>$W835</f>
        <v>0</v>
      </c>
      <c r="AL835" s="520">
        <f>ROUND(Y835*AI835+((Y835*(1+AI835))*AJ835)+((Y835*AI835+((Y835*(1+AI835))*AJ835))*AK835),2)</f>
        <v>0</v>
      </c>
      <c r="AM835" s="520">
        <f>AL835*$F835</f>
        <v>0</v>
      </c>
      <c r="AN835" s="520">
        <f>ROUND(AL835*Z835,2)</f>
        <v>0</v>
      </c>
      <c r="AO835" s="520">
        <f>AN835*$F835</f>
        <v>0</v>
      </c>
      <c r="AP835" s="552"/>
      <c r="AQ835" s="552"/>
      <c r="AR835" s="552"/>
      <c r="AS835" s="552"/>
      <c r="AT835" s="552"/>
    </row>
    <row r="836" spans="1:46" s="555" customFormat="1" ht="22.5" customHeight="1">
      <c r="A836" s="992"/>
      <c r="B836" s="993"/>
      <c r="C836" s="994"/>
      <c r="D836" s="575"/>
      <c r="E836" s="616"/>
      <c r="F836" s="1326"/>
      <c r="G836" s="577"/>
      <c r="H836" s="577"/>
      <c r="I836" s="578"/>
      <c r="J836" s="549"/>
      <c r="K836" s="1183"/>
      <c r="L836" s="550"/>
      <c r="M836" s="550"/>
      <c r="N836" s="549"/>
      <c r="O836" s="778"/>
      <c r="P836" s="777"/>
      <c r="Q836" s="777"/>
      <c r="R836" s="751"/>
      <c r="S836" s="752"/>
      <c r="T836" s="792"/>
      <c r="U836" s="803"/>
      <c r="V836" s="803"/>
      <c r="W836" s="803"/>
      <c r="X836" s="858">
        <f>SUMIF('Summary-E'!O$4:O$50,D836,'Summary-E'!Q$4:Q$50)</f>
        <v>0</v>
      </c>
      <c r="Y836" s="310">
        <f>ROUND((R836+S836/'Summary-E'!$M$63)*X836,2)</f>
        <v>0</v>
      </c>
      <c r="Z836" s="858">
        <f t="shared" si="830"/>
        <v>1.05</v>
      </c>
      <c r="AA836" s="816"/>
      <c r="AB836" s="552"/>
      <c r="AC836" s="310">
        <f t="shared" si="867"/>
        <v>0</v>
      </c>
      <c r="AD836" s="717">
        <f>ROUND(AC836*'[1]Summary E&amp;M'!$R$94,2)</f>
        <v>0</v>
      </c>
      <c r="AE836" s="835"/>
      <c r="AF836" s="825">
        <f>ROUND($F836*$AC836,2)</f>
        <v>0</v>
      </c>
      <c r="AG836" s="743"/>
      <c r="AH836" s="737"/>
      <c r="AI836" s="552"/>
      <c r="AJ836" s="552"/>
      <c r="AK836" s="552"/>
      <c r="AL836" s="552"/>
      <c r="AM836" s="552"/>
      <c r="AN836" s="552"/>
      <c r="AO836" s="552"/>
      <c r="AP836" s="552"/>
      <c r="AQ836" s="552"/>
      <c r="AR836" s="552"/>
      <c r="AS836" s="552"/>
      <c r="AT836" s="552"/>
    </row>
    <row r="837" spans="1:46" s="711" customFormat="1" ht="22.5" customHeight="1">
      <c r="A837" s="973"/>
      <c r="B837" s="974" t="s">
        <v>414</v>
      </c>
      <c r="C837" s="979"/>
      <c r="D837" s="980"/>
      <c r="E837" s="973"/>
      <c r="F837" s="1317"/>
      <c r="G837" s="971"/>
      <c r="H837" s="971">
        <f>SUBTOTAL(9,H819:H836)</f>
        <v>2105.37</v>
      </c>
      <c r="I837" s="981"/>
      <c r="J837" s="549"/>
      <c r="K837" s="1184"/>
      <c r="L837" s="550"/>
      <c r="M837" s="1051">
        <f>SUBTOTAL(9,M819:M835)</f>
        <v>395.21000000000004</v>
      </c>
      <c r="N837" s="549"/>
      <c r="O837" s="784"/>
      <c r="P837" s="780"/>
      <c r="Q837" s="780"/>
      <c r="R837" s="759"/>
      <c r="S837" s="752"/>
      <c r="T837" s="792"/>
      <c r="U837" s="803">
        <v>0</v>
      </c>
      <c r="V837" s="803">
        <v>0</v>
      </c>
      <c r="W837" s="803">
        <v>0</v>
      </c>
      <c r="X837" s="858">
        <f>SUMIF('Summary-E'!O$4:O$50,D837,'Summary-E'!Q$4:Q$50)</f>
        <v>0</v>
      </c>
      <c r="Y837" s="310">
        <f>ROUND((R837+S837/'Summary-E'!$M$63)*X837,2)</f>
        <v>0</v>
      </c>
      <c r="Z837" s="858">
        <f t="shared" ref="Z837:Z896" si="887">$Z$4</f>
        <v>1.05</v>
      </c>
      <c r="AA837" s="816"/>
      <c r="AB837" s="552"/>
      <c r="AC837" s="310">
        <f t="shared" si="867"/>
        <v>0</v>
      </c>
      <c r="AD837" s="717">
        <f>ROUND(AC837*'[1]Summary E&amp;M'!$R$94,2)</f>
        <v>0</v>
      </c>
      <c r="AE837" s="823">
        <f>SUBTOTAL(9,AE819:AE836)</f>
        <v>1586.6499999999996</v>
      </c>
      <c r="AF837" s="823">
        <f>SUBTOTAL(9,AF819:AF836)</f>
        <v>324.01000000000005</v>
      </c>
      <c r="AG837" s="614"/>
      <c r="AH837" s="730"/>
      <c r="AI837" s="713"/>
      <c r="AJ837" s="713"/>
      <c r="AK837" s="713"/>
      <c r="AL837" s="713"/>
      <c r="AM837" s="712">
        <f>SUBTOTAL(9,AM819:AM836)</f>
        <v>0</v>
      </c>
      <c r="AN837" s="713"/>
      <c r="AO837" s="712">
        <f>SUBTOTAL(9,AO819:AO836)</f>
        <v>0</v>
      </c>
      <c r="AP837" s="713"/>
      <c r="AQ837" s="713"/>
      <c r="AR837" s="713"/>
      <c r="AS837" s="713"/>
      <c r="AT837" s="713"/>
    </row>
    <row r="838" spans="1:46" s="555" customFormat="1" ht="22.5" customHeight="1">
      <c r="A838" s="619"/>
      <c r="B838" s="583"/>
      <c r="C838" s="584"/>
      <c r="D838" s="585"/>
      <c r="E838" s="619"/>
      <c r="F838" s="1327"/>
      <c r="G838" s="586"/>
      <c r="H838" s="527"/>
      <c r="I838" s="587"/>
      <c r="J838" s="549"/>
      <c r="K838" s="1185"/>
      <c r="L838" s="550"/>
      <c r="M838" s="550"/>
      <c r="N838" s="549"/>
      <c r="O838" s="776"/>
      <c r="P838" s="777"/>
      <c r="Q838" s="777"/>
      <c r="R838" s="751"/>
      <c r="S838" s="752"/>
      <c r="T838" s="792"/>
      <c r="U838" s="803"/>
      <c r="V838" s="803"/>
      <c r="W838" s="803"/>
      <c r="X838" s="858">
        <f>SUMIF('Summary-E'!O$4:O$50,D838,'Summary-E'!Q$4:Q$50)</f>
        <v>0</v>
      </c>
      <c r="Y838" s="310">
        <f>ROUND((R838+S838/'Summary-E'!$M$63)*X838,2)</f>
        <v>0</v>
      </c>
      <c r="Z838" s="858">
        <f t="shared" si="887"/>
        <v>1.05</v>
      </c>
      <c r="AA838" s="816"/>
      <c r="AB838" s="552"/>
      <c r="AC838" s="310">
        <f t="shared" si="867"/>
        <v>0</v>
      </c>
      <c r="AD838" s="717">
        <f>ROUND(AC838*'[1]Summary E&amp;M'!$R$94,2)</f>
        <v>0</v>
      </c>
      <c r="AE838" s="832"/>
      <c r="AF838" s="825">
        <f>ROUND($F838*$AC838,2)</f>
        <v>0</v>
      </c>
      <c r="AG838" s="743"/>
      <c r="AH838" s="737"/>
      <c r="AI838" s="552"/>
      <c r="AJ838" s="552"/>
      <c r="AK838" s="552"/>
      <c r="AL838" s="552"/>
      <c r="AM838" s="725"/>
      <c r="AN838" s="552"/>
      <c r="AO838" s="725"/>
      <c r="AP838" s="552"/>
      <c r="AQ838" s="552"/>
      <c r="AR838" s="552"/>
      <c r="AS838" s="552"/>
      <c r="AT838" s="552"/>
    </row>
    <row r="839" spans="1:46" s="555" customFormat="1" ht="22.5" customHeight="1">
      <c r="A839" s="620" t="s">
        <v>415</v>
      </c>
      <c r="B839" s="522" t="s">
        <v>748</v>
      </c>
      <c r="C839" s="566"/>
      <c r="D839" s="588"/>
      <c r="E839" s="525"/>
      <c r="F839" s="1314"/>
      <c r="G839" s="527"/>
      <c r="H839" s="527"/>
      <c r="I839" s="567"/>
      <c r="J839" s="309"/>
      <c r="K839" s="1149"/>
      <c r="L839" s="530"/>
      <c r="M839" s="530"/>
      <c r="N839" s="309"/>
      <c r="O839" s="776"/>
      <c r="P839" s="777"/>
      <c r="Q839" s="777"/>
      <c r="R839" s="751"/>
      <c r="S839" s="752"/>
      <c r="T839" s="792"/>
      <c r="U839" s="803">
        <v>0</v>
      </c>
      <c r="V839" s="803">
        <v>0</v>
      </c>
      <c r="W839" s="803">
        <v>0</v>
      </c>
      <c r="X839" s="858">
        <f>SUMIF('Summary-E'!O$4:O$50,D839,'Summary-E'!Q$4:Q$50)</f>
        <v>0</v>
      </c>
      <c r="Y839" s="310">
        <f>ROUND((R839+S839/'Summary-E'!$M$63)*X839,2)</f>
        <v>0</v>
      </c>
      <c r="Z839" s="858">
        <f t="shared" si="887"/>
        <v>1.05</v>
      </c>
      <c r="AA839" s="813">
        <f t="shared" ref="AA839:AA848" si="888">ROUND(Y839*Z839,2)</f>
        <v>0</v>
      </c>
      <c r="AB839" s="447">
        <f t="shared" ref="AB839:AB848" si="889">$AB$3</f>
        <v>0.05</v>
      </c>
      <c r="AC839" s="310">
        <f t="shared" si="867"/>
        <v>0</v>
      </c>
      <c r="AD839" s="717">
        <f>ROUND(AC839*'[1]Summary E&amp;M'!$R$94,2)</f>
        <v>0</v>
      </c>
      <c r="AE839" s="825">
        <f t="shared" ref="AE839:AE850" si="890">ROUND($K839*$Y839,2)</f>
        <v>0</v>
      </c>
      <c r="AF839" s="825">
        <f t="shared" ref="AF839:AF850" si="891">ROUND($K839*$AC839,2)</f>
        <v>0</v>
      </c>
      <c r="AG839" s="743"/>
      <c r="AH839" s="728"/>
      <c r="AI839" s="519">
        <f t="shared" ref="AI839:AI848" si="892">$U839</f>
        <v>0</v>
      </c>
      <c r="AJ839" s="519">
        <f t="shared" ref="AJ839:AJ848" si="893">$V839</f>
        <v>0</v>
      </c>
      <c r="AK839" s="519">
        <f t="shared" ref="AK839:AK848" si="894">$W839</f>
        <v>0</v>
      </c>
      <c r="AL839" s="520">
        <f t="shared" ref="AL839:AL848" si="895">ROUND(Y839*AI839+((Y839*(1+AI839))*AJ839)+((Y839*AI839+((Y839*(1+AI839))*AJ839))*AK839),2)</f>
        <v>0</v>
      </c>
      <c r="AM839" s="520">
        <f t="shared" ref="AM839:AM848" si="896">AL839*$F839</f>
        <v>0</v>
      </c>
      <c r="AN839" s="520">
        <f t="shared" ref="AN839:AN848" si="897">ROUND(AL839*Z839,2)</f>
        <v>0</v>
      </c>
      <c r="AO839" s="520">
        <f t="shared" ref="AO839:AO848" si="898">AN839*$F839</f>
        <v>0</v>
      </c>
      <c r="AP839" s="552"/>
      <c r="AQ839" s="552"/>
      <c r="AR839" s="552"/>
      <c r="AS839" s="552"/>
      <c r="AT839" s="552"/>
    </row>
    <row r="840" spans="1:46" s="555" customFormat="1" ht="22.5" customHeight="1">
      <c r="A840" s="451"/>
      <c r="B840" s="531" t="s">
        <v>1300</v>
      </c>
      <c r="C840" s="566"/>
      <c r="D840" s="1206">
        <v>186</v>
      </c>
      <c r="E840" s="525" t="s">
        <v>436</v>
      </c>
      <c r="F840" s="1322">
        <f>K840</f>
        <v>1</v>
      </c>
      <c r="G840" s="527">
        <f t="shared" ref="G840:G844" si="899">ROUNDUP(AA840,2)</f>
        <v>171.38</v>
      </c>
      <c r="H840" s="527">
        <f>ROUND(F840*G840,2)</f>
        <v>171.38</v>
      </c>
      <c r="I840" s="901"/>
      <c r="J840" s="309"/>
      <c r="K840" s="1149">
        <v>1</v>
      </c>
      <c r="L840" s="530">
        <f t="shared" ref="L840:L849" si="900">ROUND(AD840,2)</f>
        <v>39.380000000000003</v>
      </c>
      <c r="M840" s="530">
        <f t="shared" ref="M840:M849" si="901">ROUND(L840*F840,2)</f>
        <v>39.380000000000003</v>
      </c>
      <c r="N840" s="309"/>
      <c r="O840" s="776" t="s">
        <v>683</v>
      </c>
      <c r="P840" s="777"/>
      <c r="Q840" s="777"/>
      <c r="R840" s="751"/>
      <c r="S840" s="752">
        <v>3500000</v>
      </c>
      <c r="T840" s="792">
        <v>30</v>
      </c>
      <c r="U840" s="803">
        <v>0</v>
      </c>
      <c r="V840" s="803">
        <v>0</v>
      </c>
      <c r="W840" s="803">
        <v>0</v>
      </c>
      <c r="X840" s="858">
        <f>SUMIF('Summary-E'!O$4:O$50,D840,'Summary-E'!Q$4:Q$50)</f>
        <v>0.97</v>
      </c>
      <c r="Y840" s="310">
        <f>ROUND((R840+S840/'Summary-E'!$M$63)*X840,2)</f>
        <v>163.22</v>
      </c>
      <c r="Z840" s="858">
        <f t="shared" si="887"/>
        <v>1.05</v>
      </c>
      <c r="AA840" s="813">
        <f t="shared" si="888"/>
        <v>171.38</v>
      </c>
      <c r="AB840" s="447">
        <f t="shared" si="889"/>
        <v>0.05</v>
      </c>
      <c r="AC840" s="310">
        <f t="shared" si="867"/>
        <v>31.5</v>
      </c>
      <c r="AD840" s="717">
        <f>ROUND(AC840*'[1]Summary E&amp;M'!$R$94,2)</f>
        <v>39.380000000000003</v>
      </c>
      <c r="AE840" s="825">
        <f t="shared" si="890"/>
        <v>163.22</v>
      </c>
      <c r="AF840" s="825">
        <f t="shared" si="891"/>
        <v>31.5</v>
      </c>
      <c r="AG840" s="743"/>
      <c r="AH840" s="728"/>
      <c r="AI840" s="519">
        <f t="shared" si="892"/>
        <v>0</v>
      </c>
      <c r="AJ840" s="519">
        <f t="shared" si="893"/>
        <v>0</v>
      </c>
      <c r="AK840" s="519">
        <f t="shared" si="894"/>
        <v>0</v>
      </c>
      <c r="AL840" s="520">
        <f t="shared" si="895"/>
        <v>0</v>
      </c>
      <c r="AM840" s="520">
        <f t="shared" si="896"/>
        <v>0</v>
      </c>
      <c r="AN840" s="520">
        <f t="shared" si="897"/>
        <v>0</v>
      </c>
      <c r="AO840" s="520">
        <f t="shared" si="898"/>
        <v>0</v>
      </c>
      <c r="AP840" s="552"/>
      <c r="AQ840" s="552"/>
      <c r="AR840" s="552"/>
      <c r="AS840" s="552"/>
      <c r="AT840" s="552"/>
    </row>
    <row r="841" spans="1:46" s="555" customFormat="1" ht="22.5" customHeight="1">
      <c r="A841" s="451"/>
      <c r="B841" s="531" t="s">
        <v>621</v>
      </c>
      <c r="C841" s="566"/>
      <c r="D841" s="1206">
        <v>186</v>
      </c>
      <c r="E841" s="525" t="s">
        <v>436</v>
      </c>
      <c r="F841" s="1322">
        <f>K841</f>
        <v>2</v>
      </c>
      <c r="G841" s="527">
        <f t="shared" si="899"/>
        <v>3.53</v>
      </c>
      <c r="H841" s="527">
        <f>ROUND(F841*G841,2)</f>
        <v>7.06</v>
      </c>
      <c r="I841" s="901"/>
      <c r="J841" s="309"/>
      <c r="K841" s="1149">
        <v>2</v>
      </c>
      <c r="L841" s="530">
        <f t="shared" si="900"/>
        <v>3.94</v>
      </c>
      <c r="M841" s="530">
        <f t="shared" si="901"/>
        <v>7.88</v>
      </c>
      <c r="N841" s="309"/>
      <c r="O841" s="776" t="s">
        <v>683</v>
      </c>
      <c r="P841" s="777"/>
      <c r="Q841" s="777"/>
      <c r="R841" s="751"/>
      <c r="S841" s="752">
        <v>69800</v>
      </c>
      <c r="T841" s="792">
        <v>3</v>
      </c>
      <c r="U841" s="803">
        <v>0</v>
      </c>
      <c r="V841" s="803">
        <v>0</v>
      </c>
      <c r="W841" s="803">
        <v>0</v>
      </c>
      <c r="X841" s="858">
        <v>1</v>
      </c>
      <c r="Y841" s="310">
        <f>ROUND((R841+S841/'Summary-E'!$M$63)*X841,2)</f>
        <v>3.36</v>
      </c>
      <c r="Z841" s="858">
        <f t="shared" si="887"/>
        <v>1.05</v>
      </c>
      <c r="AA841" s="813">
        <f t="shared" si="888"/>
        <v>3.53</v>
      </c>
      <c r="AB841" s="447">
        <f t="shared" si="889"/>
        <v>0.05</v>
      </c>
      <c r="AC841" s="310">
        <f t="shared" si="867"/>
        <v>3.15</v>
      </c>
      <c r="AD841" s="717">
        <f>ROUND(AC841*'[1]Summary E&amp;M'!$R$94,2)</f>
        <v>3.94</v>
      </c>
      <c r="AE841" s="825">
        <f t="shared" si="890"/>
        <v>6.72</v>
      </c>
      <c r="AF841" s="825">
        <f t="shared" si="891"/>
        <v>6.3</v>
      </c>
      <c r="AG841" s="743"/>
      <c r="AH841" s="728"/>
      <c r="AI841" s="519">
        <f t="shared" si="892"/>
        <v>0</v>
      </c>
      <c r="AJ841" s="519">
        <f t="shared" si="893"/>
        <v>0</v>
      </c>
      <c r="AK841" s="519">
        <f t="shared" si="894"/>
        <v>0</v>
      </c>
      <c r="AL841" s="520">
        <f t="shared" si="895"/>
        <v>0</v>
      </c>
      <c r="AM841" s="520">
        <f t="shared" si="896"/>
        <v>0</v>
      </c>
      <c r="AN841" s="520">
        <f t="shared" si="897"/>
        <v>0</v>
      </c>
      <c r="AO841" s="520">
        <f t="shared" si="898"/>
        <v>0</v>
      </c>
      <c r="AP841" s="552"/>
      <c r="AQ841" s="552"/>
      <c r="AR841" s="552"/>
      <c r="AS841" s="552"/>
      <c r="AT841" s="552"/>
    </row>
    <row r="842" spans="1:46" s="555" customFormat="1" ht="22.5" customHeight="1">
      <c r="A842" s="620"/>
      <c r="B842" s="531" t="s">
        <v>403</v>
      </c>
      <c r="C842" s="566" t="s">
        <v>329</v>
      </c>
      <c r="D842" s="1214" t="s">
        <v>1111</v>
      </c>
      <c r="E842" s="525" t="s">
        <v>321</v>
      </c>
      <c r="F842" s="1314">
        <f>ROUND(K842*'Summary-E'!$K$61,0)</f>
        <v>21</v>
      </c>
      <c r="G842" s="527">
        <f t="shared" ref="G842" si="902">ROUND(AA842,2)</f>
        <v>2.1</v>
      </c>
      <c r="H842" s="527">
        <f>ROUND(F842*G842,2)</f>
        <v>44.1</v>
      </c>
      <c r="I842" s="1120"/>
      <c r="J842" s="309"/>
      <c r="K842" s="1149">
        <v>20</v>
      </c>
      <c r="L842" s="530">
        <f t="shared" si="900"/>
        <v>0.79</v>
      </c>
      <c r="M842" s="530">
        <f t="shared" si="901"/>
        <v>16.59</v>
      </c>
      <c r="N842" s="309"/>
      <c r="O842" s="776" t="s">
        <v>131</v>
      </c>
      <c r="P842" s="777"/>
      <c r="Q842" s="777"/>
      <c r="R842" s="751">
        <v>2</v>
      </c>
      <c r="S842" s="752"/>
      <c r="T842" s="783">
        <v>0.6</v>
      </c>
      <c r="U842" s="803">
        <v>0</v>
      </c>
      <c r="V842" s="803">
        <v>0</v>
      </c>
      <c r="W842" s="803">
        <v>0</v>
      </c>
      <c r="X842" s="858">
        <v>1</v>
      </c>
      <c r="Y842" s="310">
        <f>ROUND((R842+S842/'Summary-E'!$M$63)*X842,2)</f>
        <v>2</v>
      </c>
      <c r="Z842" s="858">
        <f t="shared" si="887"/>
        <v>1.05</v>
      </c>
      <c r="AA842" s="813">
        <f t="shared" si="888"/>
        <v>2.1</v>
      </c>
      <c r="AB842" s="447">
        <f t="shared" si="889"/>
        <v>0.05</v>
      </c>
      <c r="AC842" s="310">
        <f t="shared" ref="AC842" si="903">ROUND((T842*(1+AB842)),2)</f>
        <v>0.63</v>
      </c>
      <c r="AD842" s="717">
        <f>ROUND(AC842*'[1]Summary E&amp;M'!$R$94,2)</f>
        <v>0.79</v>
      </c>
      <c r="AE842" s="825">
        <f t="shared" si="890"/>
        <v>40</v>
      </c>
      <c r="AF842" s="825">
        <f t="shared" si="891"/>
        <v>12.6</v>
      </c>
      <c r="AG842" s="743"/>
      <c r="AH842" s="728"/>
      <c r="AI842" s="519">
        <f t="shared" si="892"/>
        <v>0</v>
      </c>
      <c r="AJ842" s="519">
        <f t="shared" si="893"/>
        <v>0</v>
      </c>
      <c r="AK842" s="519">
        <f t="shared" si="894"/>
        <v>0</v>
      </c>
      <c r="AL842" s="520">
        <f>ROUND(Y842*AI842+((Y842*(1+AI842))*AJ842)+((Y842*AI842+((Y842*(1+AI842))*AJ842))*AK842),2)</f>
        <v>0</v>
      </c>
      <c r="AM842" s="520">
        <f>AL842*$F842</f>
        <v>0</v>
      </c>
      <c r="AN842" s="520">
        <f>ROUND(AL842*Z842,2)</f>
        <v>0</v>
      </c>
      <c r="AO842" s="520">
        <f>AN842*$F842</f>
        <v>0</v>
      </c>
      <c r="AP842" s="552"/>
      <c r="AQ842" s="552"/>
      <c r="AR842" s="552"/>
      <c r="AS842" s="552"/>
      <c r="AT842" s="552"/>
    </row>
    <row r="843" spans="1:46" s="555" customFormat="1" ht="22.5" customHeight="1">
      <c r="A843" s="638"/>
      <c r="B843" s="997" t="s">
        <v>435</v>
      </c>
      <c r="C843" s="566"/>
      <c r="D843" s="525" t="s">
        <v>1111</v>
      </c>
      <c r="E843" s="525" t="s">
        <v>322</v>
      </c>
      <c r="F843" s="1322">
        <f t="shared" ref="F843:F848" si="904">K843</f>
        <v>1</v>
      </c>
      <c r="G843" s="527">
        <f t="shared" si="899"/>
        <v>12.22</v>
      </c>
      <c r="H843" s="527">
        <f>ROUND(F843*G843,2)</f>
        <v>12.22</v>
      </c>
      <c r="I843" s="962"/>
      <c r="J843" s="590"/>
      <c r="K843" s="1149">
        <v>1</v>
      </c>
      <c r="L843" s="530">
        <f t="shared" si="900"/>
        <v>1.58</v>
      </c>
      <c r="M843" s="530">
        <f t="shared" si="901"/>
        <v>1.58</v>
      </c>
      <c r="N843" s="590"/>
      <c r="O843" s="776" t="s">
        <v>139</v>
      </c>
      <c r="P843" s="777">
        <v>0.3</v>
      </c>
      <c r="Q843" s="777"/>
      <c r="R843" s="751">
        <f>ROUND((SUM(AE842:AE842))*P843,2)</f>
        <v>12</v>
      </c>
      <c r="S843" s="752"/>
      <c r="T843" s="792">
        <f>ROUND(R843*10%,2)</f>
        <v>1.2</v>
      </c>
      <c r="U843" s="803">
        <v>0</v>
      </c>
      <c r="V843" s="803">
        <v>0</v>
      </c>
      <c r="W843" s="803">
        <v>0</v>
      </c>
      <c r="X843" s="858">
        <f>SUMIF('Summary-E'!O$4:O$50,D843,'Summary-E'!Q$4:Q$50)</f>
        <v>0.97</v>
      </c>
      <c r="Y843" s="310">
        <f>ROUND((R843+S843/'Summary-E'!$M$63)*X843,2)</f>
        <v>11.64</v>
      </c>
      <c r="Z843" s="858">
        <f t="shared" si="887"/>
        <v>1.05</v>
      </c>
      <c r="AA843" s="813">
        <f t="shared" si="888"/>
        <v>12.22</v>
      </c>
      <c r="AB843" s="447">
        <f t="shared" si="889"/>
        <v>0.05</v>
      </c>
      <c r="AC843" s="310">
        <f t="shared" si="867"/>
        <v>1.26</v>
      </c>
      <c r="AD843" s="717">
        <f>ROUND(AC843*'[1]Summary E&amp;M'!$R$94,2)</f>
        <v>1.58</v>
      </c>
      <c r="AE843" s="825">
        <f t="shared" si="890"/>
        <v>11.64</v>
      </c>
      <c r="AF843" s="825">
        <f t="shared" si="891"/>
        <v>1.26</v>
      </c>
      <c r="AG843" s="743"/>
      <c r="AH843" s="728"/>
      <c r="AI843" s="519">
        <f t="shared" si="892"/>
        <v>0</v>
      </c>
      <c r="AJ843" s="519">
        <f t="shared" si="893"/>
        <v>0</v>
      </c>
      <c r="AK843" s="519">
        <f t="shared" si="894"/>
        <v>0</v>
      </c>
      <c r="AL843" s="520">
        <f t="shared" si="895"/>
        <v>0</v>
      </c>
      <c r="AM843" s="520">
        <f t="shared" si="896"/>
        <v>0</v>
      </c>
      <c r="AN843" s="520">
        <f t="shared" si="897"/>
        <v>0</v>
      </c>
      <c r="AO843" s="520">
        <f t="shared" si="898"/>
        <v>0</v>
      </c>
      <c r="AP843" s="552"/>
      <c r="AQ843" s="552"/>
      <c r="AR843" s="552"/>
      <c r="AS843" s="552"/>
      <c r="AT843" s="552"/>
    </row>
    <row r="844" spans="1:46" s="555" customFormat="1" ht="22.5" customHeight="1">
      <c r="A844" s="638"/>
      <c r="B844" s="997" t="s">
        <v>718</v>
      </c>
      <c r="C844" s="566"/>
      <c r="D844" s="525" t="s">
        <v>139</v>
      </c>
      <c r="E844" s="525" t="s">
        <v>322</v>
      </c>
      <c r="F844" s="1322">
        <f t="shared" si="904"/>
        <v>1</v>
      </c>
      <c r="G844" s="527">
        <f t="shared" si="899"/>
        <v>6.11</v>
      </c>
      <c r="H844" s="527">
        <f>ROUND(F844*G844,2)</f>
        <v>6.11</v>
      </c>
      <c r="I844" s="962"/>
      <c r="J844" s="590"/>
      <c r="K844" s="1149">
        <v>1</v>
      </c>
      <c r="L844" s="530">
        <f t="shared" si="900"/>
        <v>0.79</v>
      </c>
      <c r="M844" s="530">
        <f t="shared" si="901"/>
        <v>0.79</v>
      </c>
      <c r="N844" s="590"/>
      <c r="O844" s="776" t="s">
        <v>139</v>
      </c>
      <c r="P844" s="777">
        <v>0.15</v>
      </c>
      <c r="Q844" s="777"/>
      <c r="R844" s="751">
        <f>ROUND((SUM(AE842:AE842))*P844,2)</f>
        <v>6</v>
      </c>
      <c r="S844" s="752"/>
      <c r="T844" s="792">
        <f>ROUND(R844*10%,2)</f>
        <v>0.6</v>
      </c>
      <c r="U844" s="803">
        <v>0</v>
      </c>
      <c r="V844" s="803">
        <v>0</v>
      </c>
      <c r="W844" s="803">
        <v>0</v>
      </c>
      <c r="X844" s="858">
        <f>SUMIF('Summary-E'!O$4:O$50,D844,'Summary-E'!Q$4:Q$50)</f>
        <v>0.97</v>
      </c>
      <c r="Y844" s="310">
        <f>ROUND((R844+S844/'Summary-E'!$M$63)*X844,2)</f>
        <v>5.82</v>
      </c>
      <c r="Z844" s="858">
        <f t="shared" si="887"/>
        <v>1.05</v>
      </c>
      <c r="AA844" s="813">
        <f t="shared" si="888"/>
        <v>6.11</v>
      </c>
      <c r="AB844" s="447">
        <f t="shared" si="889"/>
        <v>0.05</v>
      </c>
      <c r="AC844" s="310">
        <f t="shared" si="867"/>
        <v>0.63</v>
      </c>
      <c r="AD844" s="717">
        <f>ROUND(AC844*'[1]Summary E&amp;M'!$R$94,2)</f>
        <v>0.79</v>
      </c>
      <c r="AE844" s="825">
        <f t="shared" si="890"/>
        <v>5.82</v>
      </c>
      <c r="AF844" s="825">
        <f t="shared" si="891"/>
        <v>0.63</v>
      </c>
      <c r="AG844" s="743"/>
      <c r="AH844" s="728"/>
      <c r="AI844" s="519">
        <f t="shared" si="892"/>
        <v>0</v>
      </c>
      <c r="AJ844" s="519">
        <f t="shared" si="893"/>
        <v>0</v>
      </c>
      <c r="AK844" s="519">
        <f t="shared" si="894"/>
        <v>0</v>
      </c>
      <c r="AL844" s="520">
        <f t="shared" si="895"/>
        <v>0</v>
      </c>
      <c r="AM844" s="520">
        <f t="shared" si="896"/>
        <v>0</v>
      </c>
      <c r="AN844" s="520">
        <f t="shared" si="897"/>
        <v>0</v>
      </c>
      <c r="AO844" s="520">
        <f t="shared" si="898"/>
        <v>0</v>
      </c>
      <c r="AP844" s="552"/>
      <c r="AQ844" s="552"/>
      <c r="AR844" s="552"/>
      <c r="AS844" s="552"/>
      <c r="AT844" s="552"/>
    </row>
    <row r="845" spans="1:46" s="555" customFormat="1" ht="22.5" customHeight="1">
      <c r="A845" s="570"/>
      <c r="B845" s="568" t="s">
        <v>745</v>
      </c>
      <c r="C845" s="569"/>
      <c r="D845" s="1206">
        <v>186</v>
      </c>
      <c r="E845" s="525" t="s">
        <v>322</v>
      </c>
      <c r="F845" s="1322">
        <f t="shared" si="904"/>
        <v>1</v>
      </c>
      <c r="G845" s="999" t="s">
        <v>119</v>
      </c>
      <c r="H845" s="527"/>
      <c r="I845" s="420" t="s">
        <v>137</v>
      </c>
      <c r="J845" s="309"/>
      <c r="K845" s="1175">
        <v>1</v>
      </c>
      <c r="L845" s="530">
        <f t="shared" si="900"/>
        <v>0</v>
      </c>
      <c r="M845" s="530">
        <f t="shared" si="901"/>
        <v>0</v>
      </c>
      <c r="N845" s="309"/>
      <c r="O845" s="776">
        <v>159</v>
      </c>
      <c r="P845" s="777"/>
      <c r="Q845" s="785"/>
      <c r="R845" s="751"/>
      <c r="S845" s="752"/>
      <c r="T845" s="792"/>
      <c r="U845" s="803">
        <v>0</v>
      </c>
      <c r="V845" s="803">
        <v>0</v>
      </c>
      <c r="W845" s="803">
        <v>0</v>
      </c>
      <c r="X845" s="858">
        <f>SUMIF('Summary-E'!O$4:O$50,D845,'Summary-E'!Q$4:Q$50)</f>
        <v>0.97</v>
      </c>
      <c r="Y845" s="310">
        <f>ROUND((R845+S845/'Summary-E'!$M$63)*X845,2)</f>
        <v>0</v>
      </c>
      <c r="Z845" s="858">
        <f t="shared" si="887"/>
        <v>1.05</v>
      </c>
      <c r="AA845" s="813">
        <f t="shared" si="888"/>
        <v>0</v>
      </c>
      <c r="AB845" s="447">
        <f t="shared" si="889"/>
        <v>0.05</v>
      </c>
      <c r="AC845" s="310">
        <f t="shared" si="867"/>
        <v>0</v>
      </c>
      <c r="AD845" s="717">
        <f>ROUND(AC845*'[1]Summary E&amp;M'!$R$94,2)</f>
        <v>0</v>
      </c>
      <c r="AE845" s="825">
        <f t="shared" si="890"/>
        <v>0</v>
      </c>
      <c r="AF845" s="825">
        <f t="shared" si="891"/>
        <v>0</v>
      </c>
      <c r="AG845" s="743"/>
      <c r="AH845" s="728"/>
      <c r="AI845" s="519">
        <f t="shared" si="892"/>
        <v>0</v>
      </c>
      <c r="AJ845" s="519">
        <f t="shared" si="893"/>
        <v>0</v>
      </c>
      <c r="AK845" s="519">
        <f t="shared" si="894"/>
        <v>0</v>
      </c>
      <c r="AL845" s="520">
        <f t="shared" si="895"/>
        <v>0</v>
      </c>
      <c r="AM845" s="520">
        <f t="shared" si="896"/>
        <v>0</v>
      </c>
      <c r="AN845" s="520">
        <f t="shared" si="897"/>
        <v>0</v>
      </c>
      <c r="AO845" s="520">
        <f t="shared" si="898"/>
        <v>0</v>
      </c>
      <c r="AP845" s="552"/>
      <c r="AQ845" s="552"/>
      <c r="AR845" s="552"/>
      <c r="AS845" s="552"/>
      <c r="AT845" s="552"/>
    </row>
    <row r="846" spans="1:46" s="555" customFormat="1" ht="22.5" customHeight="1">
      <c r="A846" s="451"/>
      <c r="B846" s="531" t="s">
        <v>928</v>
      </c>
      <c r="C846" s="566" t="s">
        <v>1001</v>
      </c>
      <c r="D846" s="1001" t="s">
        <v>1113</v>
      </c>
      <c r="E846" s="525" t="s">
        <v>321</v>
      </c>
      <c r="F846" s="1322">
        <f t="shared" si="904"/>
        <v>110</v>
      </c>
      <c r="G846" s="527">
        <f>ROUNDUP(AA846,2)</f>
        <v>1.48</v>
      </c>
      <c r="H846" s="527">
        <f>ROUND(F846*G846,2)</f>
        <v>162.80000000000001</v>
      </c>
      <c r="I846" s="529"/>
      <c r="J846" s="309"/>
      <c r="K846" s="1175">
        <v>110</v>
      </c>
      <c r="L846" s="530">
        <f t="shared" si="900"/>
        <v>0.93</v>
      </c>
      <c r="M846" s="530">
        <f t="shared" si="901"/>
        <v>102.3</v>
      </c>
      <c r="N846" s="309"/>
      <c r="O846" s="778" t="s">
        <v>673</v>
      </c>
      <c r="P846" s="1093"/>
      <c r="Q846" s="1094"/>
      <c r="R846" s="882"/>
      <c r="S846" s="883">
        <v>29300</v>
      </c>
      <c r="T846" s="879">
        <v>0.7</v>
      </c>
      <c r="U846" s="803">
        <v>0</v>
      </c>
      <c r="V846" s="803">
        <v>0</v>
      </c>
      <c r="W846" s="803">
        <v>0</v>
      </c>
      <c r="X846" s="858">
        <v>1</v>
      </c>
      <c r="Y846" s="310">
        <f>ROUND((R846+S846/'Summary-E'!$M$63)*X846,2)</f>
        <v>1.41</v>
      </c>
      <c r="Z846" s="858">
        <f t="shared" si="887"/>
        <v>1.05</v>
      </c>
      <c r="AA846" s="813">
        <f t="shared" si="888"/>
        <v>1.48</v>
      </c>
      <c r="AB846" s="447">
        <f t="shared" si="889"/>
        <v>0.05</v>
      </c>
      <c r="AC846" s="310">
        <f t="shared" si="867"/>
        <v>0.74</v>
      </c>
      <c r="AD846" s="717">
        <f>ROUND(AC846*'[1]Summary E&amp;M'!$R$94,2)</f>
        <v>0.93</v>
      </c>
      <c r="AE846" s="826">
        <f t="shared" si="890"/>
        <v>155.1</v>
      </c>
      <c r="AF846" s="826">
        <f t="shared" si="891"/>
        <v>81.400000000000006</v>
      </c>
      <c r="AG846" s="744"/>
      <c r="AH846" s="728"/>
      <c r="AI846" s="519">
        <f t="shared" si="892"/>
        <v>0</v>
      </c>
      <c r="AJ846" s="519">
        <f t="shared" si="893"/>
        <v>0</v>
      </c>
      <c r="AK846" s="519">
        <f t="shared" si="894"/>
        <v>0</v>
      </c>
      <c r="AL846" s="520">
        <f t="shared" si="895"/>
        <v>0</v>
      </c>
      <c r="AM846" s="520">
        <f t="shared" si="896"/>
        <v>0</v>
      </c>
      <c r="AN846" s="520">
        <f t="shared" si="897"/>
        <v>0</v>
      </c>
      <c r="AO846" s="520">
        <f t="shared" si="898"/>
        <v>0</v>
      </c>
      <c r="AP846" s="719"/>
      <c r="AQ846" s="719"/>
      <c r="AR846" s="719"/>
      <c r="AS846" s="719"/>
      <c r="AT846" s="719"/>
    </row>
    <row r="847" spans="1:46" s="555" customFormat="1" ht="22.5" customHeight="1">
      <c r="A847" s="451"/>
      <c r="B847" s="531" t="s">
        <v>400</v>
      </c>
      <c r="C847" s="566"/>
      <c r="D847" s="1001" t="s">
        <v>1113</v>
      </c>
      <c r="E847" s="525" t="s">
        <v>319</v>
      </c>
      <c r="F847" s="1322">
        <f t="shared" si="904"/>
        <v>1</v>
      </c>
      <c r="G847" s="527">
        <f>ROUNDUP(AA847,2)</f>
        <v>5.26</v>
      </c>
      <c r="H847" s="527">
        <f>ROUND(F847*G847,2)</f>
        <v>5.26</v>
      </c>
      <c r="I847" s="529"/>
      <c r="J847" s="309"/>
      <c r="K847" s="1175">
        <v>1</v>
      </c>
      <c r="L847" s="530">
        <f t="shared" si="900"/>
        <v>1.36</v>
      </c>
      <c r="M847" s="530">
        <f t="shared" si="901"/>
        <v>1.36</v>
      </c>
      <c r="N847" s="309"/>
      <c r="O847" s="778" t="s">
        <v>673</v>
      </c>
      <c r="P847" s="964">
        <v>0.2</v>
      </c>
      <c r="Q847" s="887"/>
      <c r="R847" s="884">
        <f>ROUND(SUM(AE890:AE890)*P847,2)</f>
        <v>5.17</v>
      </c>
      <c r="S847" s="886"/>
      <c r="T847" s="881">
        <f>R847*0.2</f>
        <v>1.034</v>
      </c>
      <c r="U847" s="803">
        <v>0</v>
      </c>
      <c r="V847" s="803">
        <v>0</v>
      </c>
      <c r="W847" s="803">
        <v>0</v>
      </c>
      <c r="X847" s="858">
        <f>SUMIF('Summary-E'!O$4:O$50,D847,'Summary-E'!Q$4:Q$50)</f>
        <v>0.97</v>
      </c>
      <c r="Y847" s="310">
        <f>ROUND((R847+S847/'Summary-E'!$M$63)*X847,2)</f>
        <v>5.01</v>
      </c>
      <c r="Z847" s="858">
        <f t="shared" si="887"/>
        <v>1.05</v>
      </c>
      <c r="AA847" s="813">
        <f t="shared" si="888"/>
        <v>5.26</v>
      </c>
      <c r="AB847" s="447">
        <f t="shared" si="889"/>
        <v>0.05</v>
      </c>
      <c r="AC847" s="310">
        <f t="shared" si="867"/>
        <v>1.0900000000000001</v>
      </c>
      <c r="AD847" s="717">
        <f>ROUND(AC847*'[1]Summary E&amp;M'!$R$94,2)</f>
        <v>1.36</v>
      </c>
      <c r="AE847" s="826">
        <f t="shared" si="890"/>
        <v>5.01</v>
      </c>
      <c r="AF847" s="826">
        <f t="shared" si="891"/>
        <v>1.0900000000000001</v>
      </c>
      <c r="AG847" s="744"/>
      <c r="AH847" s="728"/>
      <c r="AI847" s="519">
        <f t="shared" si="892"/>
        <v>0</v>
      </c>
      <c r="AJ847" s="519">
        <f t="shared" si="893"/>
        <v>0</v>
      </c>
      <c r="AK847" s="519">
        <f t="shared" si="894"/>
        <v>0</v>
      </c>
      <c r="AL847" s="520">
        <f t="shared" si="895"/>
        <v>0</v>
      </c>
      <c r="AM847" s="520">
        <f t="shared" si="896"/>
        <v>0</v>
      </c>
      <c r="AN847" s="520">
        <f t="shared" si="897"/>
        <v>0</v>
      </c>
      <c r="AO847" s="520">
        <f t="shared" si="898"/>
        <v>0</v>
      </c>
      <c r="AP847" s="719"/>
      <c r="AQ847" s="719"/>
      <c r="AR847" s="719"/>
      <c r="AS847" s="719"/>
      <c r="AT847" s="719"/>
    </row>
    <row r="848" spans="1:46" s="555" customFormat="1" ht="22.5" customHeight="1">
      <c r="A848" s="570"/>
      <c r="B848" s="568" t="s">
        <v>401</v>
      </c>
      <c r="C848" s="569"/>
      <c r="D848" s="570">
        <v>159</v>
      </c>
      <c r="E848" s="570" t="s">
        <v>322</v>
      </c>
      <c r="F848" s="1322">
        <f t="shared" si="904"/>
        <v>1</v>
      </c>
      <c r="G848" s="527">
        <f>ROUNDUP(AA848,2)</f>
        <v>11.58</v>
      </c>
      <c r="H848" s="527">
        <f>ROUND(F848*G848,2)</f>
        <v>11.58</v>
      </c>
      <c r="I848" s="901"/>
      <c r="J848" s="309"/>
      <c r="K848" s="1149">
        <v>1</v>
      </c>
      <c r="L848" s="530">
        <f t="shared" si="900"/>
        <v>1.5</v>
      </c>
      <c r="M848" s="530">
        <f t="shared" si="901"/>
        <v>1.5</v>
      </c>
      <c r="N848" s="309"/>
      <c r="O848" s="776">
        <v>159</v>
      </c>
      <c r="P848" s="777">
        <v>0.05</v>
      </c>
      <c r="Q848" s="777"/>
      <c r="R848" s="751">
        <f>ROUND((SUM(AE840:AE845))*P848,2)</f>
        <v>11.37</v>
      </c>
      <c r="S848" s="752"/>
      <c r="T848" s="792">
        <f>ROUND(R848*10%,2)</f>
        <v>1.1399999999999999</v>
      </c>
      <c r="U848" s="803">
        <v>0</v>
      </c>
      <c r="V848" s="803">
        <v>0</v>
      </c>
      <c r="W848" s="803">
        <v>0</v>
      </c>
      <c r="X848" s="858">
        <f>SUMIF('Summary-E'!O$4:O$50,D848,'Summary-E'!Q$4:Q$50)</f>
        <v>0.97</v>
      </c>
      <c r="Y848" s="310">
        <f>ROUND((R848+S848/'Summary-E'!$M$63)*X848,2)</f>
        <v>11.03</v>
      </c>
      <c r="Z848" s="858">
        <f t="shared" si="887"/>
        <v>1.05</v>
      </c>
      <c r="AA848" s="813">
        <f t="shared" si="888"/>
        <v>11.58</v>
      </c>
      <c r="AB848" s="447">
        <f t="shared" si="889"/>
        <v>0.05</v>
      </c>
      <c r="AC848" s="310">
        <f t="shared" si="867"/>
        <v>1.2</v>
      </c>
      <c r="AD848" s="717">
        <f>ROUND(AC848*'[1]Summary E&amp;M'!$R$94,2)</f>
        <v>1.5</v>
      </c>
      <c r="AE848" s="825">
        <f t="shared" si="890"/>
        <v>11.03</v>
      </c>
      <c r="AF848" s="825">
        <f t="shared" si="891"/>
        <v>1.2</v>
      </c>
      <c r="AG848" s="743"/>
      <c r="AH848" s="728"/>
      <c r="AI848" s="519">
        <f t="shared" si="892"/>
        <v>0</v>
      </c>
      <c r="AJ848" s="519">
        <f t="shared" si="893"/>
        <v>0</v>
      </c>
      <c r="AK848" s="519">
        <f t="shared" si="894"/>
        <v>0</v>
      </c>
      <c r="AL848" s="520">
        <f t="shared" si="895"/>
        <v>0</v>
      </c>
      <c r="AM848" s="520">
        <f t="shared" si="896"/>
        <v>0</v>
      </c>
      <c r="AN848" s="520">
        <f t="shared" si="897"/>
        <v>0</v>
      </c>
      <c r="AO848" s="520">
        <f t="shared" si="898"/>
        <v>0</v>
      </c>
      <c r="AP848" s="552"/>
      <c r="AQ848" s="552"/>
      <c r="AR848" s="552"/>
      <c r="AS848" s="552"/>
      <c r="AT848" s="552"/>
    </row>
    <row r="849" spans="1:46" s="555" customFormat="1" ht="22.5" customHeight="1">
      <c r="A849" s="638"/>
      <c r="B849" s="997"/>
      <c r="C849" s="566"/>
      <c r="D849" s="525"/>
      <c r="E849" s="525"/>
      <c r="F849" s="1314"/>
      <c r="G849" s="527"/>
      <c r="H849" s="527"/>
      <c r="I849" s="962"/>
      <c r="J849" s="590"/>
      <c r="K849" s="1149"/>
      <c r="L849" s="530">
        <f t="shared" si="900"/>
        <v>0</v>
      </c>
      <c r="M849" s="530">
        <f t="shared" si="901"/>
        <v>0</v>
      </c>
      <c r="N849" s="590"/>
      <c r="O849" s="776"/>
      <c r="P849" s="777"/>
      <c r="Q849" s="777"/>
      <c r="R849" s="751"/>
      <c r="S849" s="752"/>
      <c r="T849" s="792"/>
      <c r="U849" s="803"/>
      <c r="V849" s="803"/>
      <c r="W849" s="803"/>
      <c r="X849" s="858">
        <f>SUMIF('Summary-E'!O$4:O$50,D849,'Summary-E'!Q$4:Q$50)</f>
        <v>0</v>
      </c>
      <c r="Y849" s="310">
        <f>ROUND((R849+S849/'Summary-E'!$M$63)*X849,2)</f>
        <v>0</v>
      </c>
      <c r="Z849" s="858">
        <f t="shared" si="887"/>
        <v>1.05</v>
      </c>
      <c r="AA849" s="813"/>
      <c r="AB849" s="447"/>
      <c r="AC849" s="310">
        <f t="shared" si="867"/>
        <v>0</v>
      </c>
      <c r="AD849" s="717">
        <f>ROUND(AC849*'[1]Summary E&amp;M'!$R$94,2)</f>
        <v>0</v>
      </c>
      <c r="AE849" s="825">
        <f t="shared" si="890"/>
        <v>0</v>
      </c>
      <c r="AF849" s="825">
        <f t="shared" si="891"/>
        <v>0</v>
      </c>
      <c r="AG849" s="743"/>
      <c r="AH849" s="728"/>
      <c r="AI849" s="519"/>
      <c r="AJ849" s="519"/>
      <c r="AK849" s="519"/>
      <c r="AL849" s="520"/>
      <c r="AM849" s="520"/>
      <c r="AN849" s="520"/>
      <c r="AO849" s="520"/>
      <c r="AP849" s="552"/>
      <c r="AQ849" s="552"/>
      <c r="AR849" s="552"/>
      <c r="AS849" s="552"/>
      <c r="AT849" s="552"/>
    </row>
    <row r="850" spans="1:46" s="555" customFormat="1" ht="22.5" customHeight="1">
      <c r="A850" s="570"/>
      <c r="B850" s="568" t="s">
        <v>324</v>
      </c>
      <c r="C850" s="569"/>
      <c r="D850" s="570">
        <v>210</v>
      </c>
      <c r="E850" s="570" t="s">
        <v>319</v>
      </c>
      <c r="F850" s="1322">
        <f>K850</f>
        <v>1</v>
      </c>
      <c r="G850" s="527">
        <f>M852</f>
        <v>171.38000000000002</v>
      </c>
      <c r="H850" s="527">
        <f>ROUND(F850*G850,2)</f>
        <v>171.38</v>
      </c>
      <c r="I850" s="901"/>
      <c r="J850" s="309"/>
      <c r="K850" s="1149">
        <v>1</v>
      </c>
      <c r="L850" s="530"/>
      <c r="M850" s="530"/>
      <c r="N850" s="309"/>
      <c r="O850" s="776">
        <v>210</v>
      </c>
      <c r="P850" s="777"/>
      <c r="Q850" s="777"/>
      <c r="R850" s="751"/>
      <c r="S850" s="752"/>
      <c r="T850" s="796"/>
      <c r="U850" s="803">
        <v>0</v>
      </c>
      <c r="V850" s="803">
        <v>0</v>
      </c>
      <c r="W850" s="803">
        <v>0</v>
      </c>
      <c r="X850" s="858">
        <f>SUMIF('Summary-E'!O$4:O$50,D850,'Summary-E'!Q$4:Q$50)</f>
        <v>0.05</v>
      </c>
      <c r="Y850" s="310">
        <f>ROUND((R850+S850/'Summary-E'!$M$63)*X850,2)</f>
        <v>0</v>
      </c>
      <c r="Z850" s="858">
        <f t="shared" si="887"/>
        <v>1.05</v>
      </c>
      <c r="AA850" s="813">
        <f>ROUND(Y850*Z850,2)</f>
        <v>0</v>
      </c>
      <c r="AB850" s="447">
        <f>$AB$3</f>
        <v>0.05</v>
      </c>
      <c r="AC850" s="310">
        <f t="shared" si="867"/>
        <v>0</v>
      </c>
      <c r="AD850" s="717">
        <f>ROUND(AC850*'[1]Summary E&amp;M'!$R$94,2)</f>
        <v>0</v>
      </c>
      <c r="AE850" s="825">
        <f t="shared" si="890"/>
        <v>0</v>
      </c>
      <c r="AF850" s="825">
        <f t="shared" si="891"/>
        <v>0</v>
      </c>
      <c r="AG850" s="743"/>
      <c r="AH850" s="728"/>
      <c r="AI850" s="519">
        <f>$U850</f>
        <v>0</v>
      </c>
      <c r="AJ850" s="519">
        <f>$V850</f>
        <v>0</v>
      </c>
      <c r="AK850" s="519">
        <f>$W850</f>
        <v>0</v>
      </c>
      <c r="AL850" s="520">
        <f>ROUND(Y850*AI850+((Y850*(1+AI850))*AJ850)+((Y850*AI850+((Y850*(1+AI850))*AJ850))*AK850),2)</f>
        <v>0</v>
      </c>
      <c r="AM850" s="520">
        <f>AL850*$F850</f>
        <v>0</v>
      </c>
      <c r="AN850" s="520">
        <f>ROUND(AL850*Z850,2)</f>
        <v>0</v>
      </c>
      <c r="AO850" s="520">
        <f>AN850*$F850</f>
        <v>0</v>
      </c>
      <c r="AP850" s="552"/>
      <c r="AQ850" s="552"/>
      <c r="AR850" s="552"/>
      <c r="AS850" s="552"/>
      <c r="AT850" s="552"/>
    </row>
    <row r="851" spans="1:46" s="555" customFormat="1" ht="22.5" customHeight="1">
      <c r="A851" s="639"/>
      <c r="B851" s="591"/>
      <c r="C851" s="592"/>
      <c r="D851" s="593"/>
      <c r="E851" s="639"/>
      <c r="F851" s="1325"/>
      <c r="G851" s="541"/>
      <c r="H851" s="541"/>
      <c r="I851" s="595"/>
      <c r="J851" s="549"/>
      <c r="K851" s="1182"/>
      <c r="L851" s="550"/>
      <c r="M851" s="550"/>
      <c r="N851" s="549"/>
      <c r="O851" s="776"/>
      <c r="P851" s="777"/>
      <c r="Q851" s="777"/>
      <c r="R851" s="751"/>
      <c r="S851" s="752"/>
      <c r="T851" s="796"/>
      <c r="U851" s="803"/>
      <c r="V851" s="803"/>
      <c r="W851" s="803"/>
      <c r="X851" s="858">
        <f>SUMIF('Summary-E'!O$4:O$50,D851,'Summary-E'!Q$4:Q$50)</f>
        <v>0</v>
      </c>
      <c r="Y851" s="310">
        <f>ROUND((R851+S851/'Summary-E'!$M$63)*X851,2)</f>
        <v>0</v>
      </c>
      <c r="Z851" s="858">
        <f t="shared" si="887"/>
        <v>1.05</v>
      </c>
      <c r="AA851" s="816"/>
      <c r="AB851" s="552"/>
      <c r="AC851" s="310">
        <f t="shared" si="867"/>
        <v>0</v>
      </c>
      <c r="AD851" s="717">
        <f>ROUND(AC851*'[1]Summary E&amp;M'!$R$94,2)</f>
        <v>0</v>
      </c>
      <c r="AE851" s="836"/>
      <c r="AF851" s="836"/>
      <c r="AG851" s="743"/>
      <c r="AH851" s="737"/>
      <c r="AI851" s="552"/>
      <c r="AJ851" s="552"/>
      <c r="AK851" s="552"/>
      <c r="AL851" s="552"/>
      <c r="AM851" s="552"/>
      <c r="AN851" s="552"/>
      <c r="AO851" s="552"/>
      <c r="AP851" s="552"/>
      <c r="AQ851" s="552"/>
      <c r="AR851" s="552"/>
      <c r="AS851" s="552"/>
      <c r="AT851" s="552"/>
    </row>
    <row r="852" spans="1:46" s="711" customFormat="1" ht="22.5" customHeight="1">
      <c r="A852" s="973"/>
      <c r="B852" s="974" t="s">
        <v>416</v>
      </c>
      <c r="C852" s="979"/>
      <c r="D852" s="980"/>
      <c r="E852" s="973"/>
      <c r="F852" s="1317"/>
      <c r="G852" s="971"/>
      <c r="H852" s="971">
        <f>SUBTOTAL(9,H839:H851)</f>
        <v>591.89</v>
      </c>
      <c r="I852" s="981"/>
      <c r="J852" s="599"/>
      <c r="K852" s="1184"/>
      <c r="L852" s="600"/>
      <c r="M852" s="1051">
        <f>SUBTOTAL(9,M839:M849)</f>
        <v>171.38000000000002</v>
      </c>
      <c r="N852" s="599"/>
      <c r="O852" s="779"/>
      <c r="P852" s="780"/>
      <c r="Q852" s="780"/>
      <c r="R852" s="751"/>
      <c r="S852" s="752"/>
      <c r="T852" s="796"/>
      <c r="U852" s="803">
        <v>0</v>
      </c>
      <c r="V852" s="803">
        <v>0</v>
      </c>
      <c r="W852" s="803">
        <v>0</v>
      </c>
      <c r="X852" s="858">
        <f>SUMIF('Summary-E'!O$4:O$50,D852,'Summary-E'!Q$4:Q$50)</f>
        <v>0</v>
      </c>
      <c r="Y852" s="310">
        <f>ROUND((R852+S852/'Summary-E'!$M$63)*X852,2)</f>
        <v>0</v>
      </c>
      <c r="Z852" s="858">
        <f t="shared" si="887"/>
        <v>1.05</v>
      </c>
      <c r="AA852" s="816"/>
      <c r="AB852" s="552"/>
      <c r="AC852" s="310">
        <f t="shared" si="867"/>
        <v>0</v>
      </c>
      <c r="AD852" s="717">
        <f>ROUND(AC852*'[1]Summary E&amp;M'!$R$94,2)</f>
        <v>0</v>
      </c>
      <c r="AE852" s="823">
        <f>SUBTOTAL(9,AE839:AE851)</f>
        <v>398.53999999999996</v>
      </c>
      <c r="AF852" s="823">
        <f>SUBTOTAL(9,AF839:AF851)</f>
        <v>135.97999999999999</v>
      </c>
      <c r="AG852" s="614"/>
      <c r="AH852" s="730"/>
      <c r="AI852" s="713"/>
      <c r="AJ852" s="713"/>
      <c r="AK852" s="713"/>
      <c r="AL852" s="713"/>
      <c r="AM852" s="712">
        <f>SUBTOTAL(9,AM839:AM851)</f>
        <v>0</v>
      </c>
      <c r="AN852" s="713"/>
      <c r="AO852" s="712">
        <f>SUBTOTAL(9,AO839:AO851)</f>
        <v>0</v>
      </c>
      <c r="AP852" s="713"/>
      <c r="AQ852" s="713"/>
      <c r="AR852" s="713"/>
      <c r="AS852" s="713"/>
      <c r="AT852" s="713"/>
    </row>
    <row r="853" spans="1:46" s="555" customFormat="1" ht="22.5" customHeight="1">
      <c r="A853" s="451"/>
      <c r="B853" s="522"/>
      <c r="C853" s="572"/>
      <c r="D853" s="596"/>
      <c r="E853" s="1162"/>
      <c r="F853" s="1327"/>
      <c r="G853" s="527"/>
      <c r="H853" s="541"/>
      <c r="I853" s="598"/>
      <c r="J853" s="599"/>
      <c r="K853" s="1185"/>
      <c r="L853" s="600"/>
      <c r="M853" s="600"/>
      <c r="N853" s="599"/>
      <c r="O853" s="776"/>
      <c r="P853" s="777"/>
      <c r="Q853" s="777"/>
      <c r="R853" s="751"/>
      <c r="S853" s="752"/>
      <c r="T853" s="792"/>
      <c r="U853" s="803"/>
      <c r="V853" s="803"/>
      <c r="W853" s="803"/>
      <c r="X853" s="858">
        <f>SUMIF('Summary-E'!O$4:O$50,D853,'Summary-E'!Q$4:Q$50)</f>
        <v>0</v>
      </c>
      <c r="Y853" s="310">
        <f>ROUND((R853+S853/'Summary-E'!$M$63)*X853,2)</f>
        <v>0</v>
      </c>
      <c r="Z853" s="858">
        <f t="shared" si="887"/>
        <v>1.05</v>
      </c>
      <c r="AA853" s="813"/>
      <c r="AB853" s="447"/>
      <c r="AC853" s="310">
        <f t="shared" si="867"/>
        <v>0</v>
      </c>
      <c r="AD853" s="717">
        <f>ROUND(AC853*'[1]Summary E&amp;M'!$R$94,2)</f>
        <v>0</v>
      </c>
      <c r="AE853" s="825">
        <f t="shared" ref="AE853:AE863" si="905">ROUND($K853*$Y853,2)</f>
        <v>0</v>
      </c>
      <c r="AF853" s="825">
        <f t="shared" ref="AF853:AF863" si="906">ROUND($K853*$AC853,2)</f>
        <v>0</v>
      </c>
      <c r="AG853" s="743"/>
      <c r="AH853" s="728"/>
      <c r="AI853" s="519"/>
      <c r="AJ853" s="519"/>
      <c r="AK853" s="519"/>
      <c r="AL853" s="520"/>
      <c r="AM853" s="520"/>
      <c r="AN853" s="520"/>
      <c r="AO853" s="520"/>
      <c r="AP853" s="552"/>
      <c r="AQ853" s="552"/>
      <c r="AR853" s="552"/>
      <c r="AS853" s="552"/>
      <c r="AT853" s="552"/>
    </row>
    <row r="854" spans="1:46" s="555" customFormat="1" ht="22.5" customHeight="1">
      <c r="A854" s="620" t="s">
        <v>421</v>
      </c>
      <c r="B854" s="522" t="s">
        <v>623</v>
      </c>
      <c r="C854" s="566"/>
      <c r="D854" s="525"/>
      <c r="E854" s="525"/>
      <c r="F854" s="1314"/>
      <c r="G854" s="527"/>
      <c r="H854" s="527"/>
      <c r="I854" s="567"/>
      <c r="J854" s="309"/>
      <c r="K854" s="1149"/>
      <c r="L854" s="530"/>
      <c r="M854" s="530"/>
      <c r="N854" s="309"/>
      <c r="O854" s="776"/>
      <c r="P854" s="777"/>
      <c r="Q854" s="777"/>
      <c r="R854" s="751"/>
      <c r="S854" s="752"/>
      <c r="T854" s="792"/>
      <c r="U854" s="803">
        <v>0</v>
      </c>
      <c r="V854" s="803">
        <v>0</v>
      </c>
      <c r="W854" s="803">
        <v>0</v>
      </c>
      <c r="X854" s="858">
        <f>SUMIF('Summary-E'!O$4:O$50,D854,'Summary-E'!Q$4:Q$50)</f>
        <v>0</v>
      </c>
      <c r="Y854" s="310">
        <f>ROUND((R854+S854/'Summary-E'!$M$63)*X854,2)</f>
        <v>0</v>
      </c>
      <c r="Z854" s="858">
        <f t="shared" si="887"/>
        <v>1.05</v>
      </c>
      <c r="AA854" s="813">
        <f t="shared" ref="AA854:AA861" si="907">ROUND(Y854*Z854,2)</f>
        <v>0</v>
      </c>
      <c r="AB854" s="447">
        <f t="shared" ref="AB854:AB861" si="908">$AB$3</f>
        <v>0.05</v>
      </c>
      <c r="AC854" s="310">
        <f t="shared" si="867"/>
        <v>0</v>
      </c>
      <c r="AD854" s="717">
        <f>ROUND(AC854*'[1]Summary E&amp;M'!$R$94,2)</f>
        <v>0</v>
      </c>
      <c r="AE854" s="825">
        <f t="shared" si="905"/>
        <v>0</v>
      </c>
      <c r="AF854" s="825">
        <f t="shared" si="906"/>
        <v>0</v>
      </c>
      <c r="AG854" s="743"/>
      <c r="AH854" s="728"/>
      <c r="AI854" s="519">
        <f t="shared" ref="AI854:AI861" si="909">$U854</f>
        <v>0</v>
      </c>
      <c r="AJ854" s="519">
        <f t="shared" ref="AJ854:AJ861" si="910">$V854</f>
        <v>0</v>
      </c>
      <c r="AK854" s="519">
        <f t="shared" ref="AK854:AK861" si="911">$W854</f>
        <v>0</v>
      </c>
      <c r="AL854" s="520">
        <f t="shared" ref="AL854:AL861" si="912">ROUND(Y854*AI854+((Y854*(1+AI854))*AJ854)+((Y854*AI854+((Y854*(1+AI854))*AJ854))*AK854),2)</f>
        <v>0</v>
      </c>
      <c r="AM854" s="520">
        <f t="shared" ref="AM854:AM861" si="913">AL854*$F854</f>
        <v>0</v>
      </c>
      <c r="AN854" s="520">
        <f t="shared" ref="AN854:AN861" si="914">ROUND(AL854*Z854,2)</f>
        <v>0</v>
      </c>
      <c r="AO854" s="520">
        <f t="shared" ref="AO854:AO861" si="915">AN854*$F854</f>
        <v>0</v>
      </c>
      <c r="AP854" s="552"/>
      <c r="AQ854" s="552"/>
      <c r="AR854" s="552"/>
      <c r="AS854" s="552"/>
      <c r="AT854" s="552"/>
    </row>
    <row r="855" spans="1:46" s="555" customFormat="1" ht="22.5" customHeight="1">
      <c r="A855" s="638"/>
      <c r="B855" s="997" t="s">
        <v>624</v>
      </c>
      <c r="C855" s="566"/>
      <c r="D855" s="1206">
        <v>186</v>
      </c>
      <c r="E855" s="525" t="s">
        <v>436</v>
      </c>
      <c r="F855" s="1314"/>
      <c r="G855" s="589" t="s">
        <v>119</v>
      </c>
      <c r="H855" s="998"/>
      <c r="I855" s="434" t="s">
        <v>137</v>
      </c>
      <c r="J855" s="590"/>
      <c r="K855" s="1149"/>
      <c r="L855" s="530"/>
      <c r="M855" s="530"/>
      <c r="N855" s="590"/>
      <c r="O855" s="776">
        <v>186</v>
      </c>
      <c r="P855" s="777"/>
      <c r="Q855" s="777"/>
      <c r="R855" s="751"/>
      <c r="S855" s="752"/>
      <c r="T855" s="792"/>
      <c r="U855" s="803">
        <v>0</v>
      </c>
      <c r="V855" s="803">
        <v>0</v>
      </c>
      <c r="W855" s="803">
        <v>0</v>
      </c>
      <c r="X855" s="858">
        <f>SUMIF('Summary-E'!O$4:O$50,D855,'Summary-E'!Q$4:Q$50)</f>
        <v>0.97</v>
      </c>
      <c r="Y855" s="310">
        <f>ROUND((R855+S855/'Summary-E'!$M$63)*X855,2)</f>
        <v>0</v>
      </c>
      <c r="Z855" s="858">
        <f t="shared" si="887"/>
        <v>1.05</v>
      </c>
      <c r="AA855" s="813">
        <f t="shared" si="907"/>
        <v>0</v>
      </c>
      <c r="AB855" s="447">
        <f t="shared" si="908"/>
        <v>0.05</v>
      </c>
      <c r="AC855" s="310">
        <f t="shared" si="867"/>
        <v>0</v>
      </c>
      <c r="AD855" s="717">
        <f>ROUND(AC855*'[1]Summary E&amp;M'!$R$94,2)</f>
        <v>0</v>
      </c>
      <c r="AE855" s="825">
        <f t="shared" si="905"/>
        <v>0</v>
      </c>
      <c r="AF855" s="825">
        <f t="shared" si="906"/>
        <v>0</v>
      </c>
      <c r="AG855" s="743"/>
      <c r="AH855" s="728"/>
      <c r="AI855" s="519">
        <f t="shared" si="909"/>
        <v>0</v>
      </c>
      <c r="AJ855" s="519">
        <f t="shared" si="910"/>
        <v>0</v>
      </c>
      <c r="AK855" s="519">
        <f t="shared" si="911"/>
        <v>0</v>
      </c>
      <c r="AL855" s="520">
        <f t="shared" si="912"/>
        <v>0</v>
      </c>
      <c r="AM855" s="520">
        <f t="shared" si="913"/>
        <v>0</v>
      </c>
      <c r="AN855" s="520">
        <f t="shared" si="914"/>
        <v>0</v>
      </c>
      <c r="AO855" s="520">
        <f t="shared" si="915"/>
        <v>0</v>
      </c>
      <c r="AP855" s="552"/>
      <c r="AQ855" s="552"/>
      <c r="AR855" s="552"/>
      <c r="AS855" s="552"/>
      <c r="AT855" s="552"/>
    </row>
    <row r="856" spans="1:46" s="555" customFormat="1" ht="22.5" customHeight="1">
      <c r="A856" s="451"/>
      <c r="B856" s="531" t="s">
        <v>622</v>
      </c>
      <c r="C856" s="566"/>
      <c r="D856" s="1206">
        <v>186</v>
      </c>
      <c r="E856" s="525" t="s">
        <v>436</v>
      </c>
      <c r="F856" s="1322">
        <f>K856</f>
        <v>3</v>
      </c>
      <c r="G856" s="527">
        <f>ROUND(AA856,2)</f>
        <v>6.53</v>
      </c>
      <c r="H856" s="527">
        <f>ROUND(F856*G856,2)</f>
        <v>19.59</v>
      </c>
      <c r="I856" s="901"/>
      <c r="J856" s="309"/>
      <c r="K856" s="1149">
        <v>3</v>
      </c>
      <c r="L856" s="530">
        <f t="shared" ref="L856:L862" si="916">ROUND(AD856,2)</f>
        <v>4.5999999999999996</v>
      </c>
      <c r="M856" s="530">
        <f t="shared" ref="M856:M862" si="917">ROUND(L856*F856,2)</f>
        <v>13.8</v>
      </c>
      <c r="N856" s="309"/>
      <c r="O856" s="776" t="s">
        <v>683</v>
      </c>
      <c r="P856" s="777"/>
      <c r="Q856" s="777"/>
      <c r="R856" s="751"/>
      <c r="S856" s="752">
        <v>129300</v>
      </c>
      <c r="T856" s="792">
        <v>3.5</v>
      </c>
      <c r="U856" s="803">
        <v>0</v>
      </c>
      <c r="V856" s="803">
        <v>0</v>
      </c>
      <c r="W856" s="803">
        <v>0</v>
      </c>
      <c r="X856" s="858">
        <v>1</v>
      </c>
      <c r="Y856" s="310">
        <f>ROUND((R856+S856/'Summary-E'!$M$63)*X856,2)</f>
        <v>6.22</v>
      </c>
      <c r="Z856" s="858">
        <f t="shared" si="887"/>
        <v>1.05</v>
      </c>
      <c r="AA856" s="813">
        <f t="shared" si="907"/>
        <v>6.53</v>
      </c>
      <c r="AB856" s="447">
        <f t="shared" si="908"/>
        <v>0.05</v>
      </c>
      <c r="AC856" s="310">
        <f t="shared" si="867"/>
        <v>3.68</v>
      </c>
      <c r="AD856" s="717">
        <f>ROUND(AC856*'[1]Summary E&amp;M'!$R$94,2)</f>
        <v>4.5999999999999996</v>
      </c>
      <c r="AE856" s="825">
        <f t="shared" si="905"/>
        <v>18.66</v>
      </c>
      <c r="AF856" s="825">
        <f t="shared" si="906"/>
        <v>11.04</v>
      </c>
      <c r="AG856" s="743"/>
      <c r="AH856" s="728"/>
      <c r="AI856" s="519">
        <f t="shared" si="909"/>
        <v>0</v>
      </c>
      <c r="AJ856" s="519">
        <f t="shared" si="910"/>
        <v>0</v>
      </c>
      <c r="AK856" s="519">
        <f t="shared" si="911"/>
        <v>0</v>
      </c>
      <c r="AL856" s="520">
        <f t="shared" si="912"/>
        <v>0</v>
      </c>
      <c r="AM856" s="520">
        <f t="shared" si="913"/>
        <v>0</v>
      </c>
      <c r="AN856" s="520">
        <f t="shared" si="914"/>
        <v>0</v>
      </c>
      <c r="AO856" s="520">
        <f t="shared" si="915"/>
        <v>0</v>
      </c>
      <c r="AP856" s="552"/>
      <c r="AQ856" s="552"/>
      <c r="AR856" s="552"/>
      <c r="AS856" s="552"/>
      <c r="AT856" s="552"/>
    </row>
    <row r="857" spans="1:46" s="555" customFormat="1" ht="22.5" customHeight="1">
      <c r="A857" s="620"/>
      <c r="B857" s="531" t="s">
        <v>403</v>
      </c>
      <c r="C857" s="566" t="s">
        <v>329</v>
      </c>
      <c r="D857" s="1214" t="s">
        <v>1111</v>
      </c>
      <c r="E857" s="525" t="s">
        <v>321</v>
      </c>
      <c r="F857" s="1314">
        <f>ROUND(K857*'Summary-E'!$K$61,0)</f>
        <v>21</v>
      </c>
      <c r="G857" s="527">
        <f t="shared" ref="G857" si="918">ROUND(AA857,2)</f>
        <v>2.1</v>
      </c>
      <c r="H857" s="527">
        <f>ROUND(F857*G857,2)</f>
        <v>44.1</v>
      </c>
      <c r="I857" s="1120"/>
      <c r="J857" s="309"/>
      <c r="K857" s="1149">
        <v>20</v>
      </c>
      <c r="L857" s="530">
        <f t="shared" si="916"/>
        <v>0.79</v>
      </c>
      <c r="M857" s="530">
        <f t="shared" si="917"/>
        <v>16.59</v>
      </c>
      <c r="N857" s="309"/>
      <c r="O857" s="776" t="s">
        <v>131</v>
      </c>
      <c r="P857" s="777"/>
      <c r="Q857" s="777"/>
      <c r="R857" s="751">
        <v>2</v>
      </c>
      <c r="S857" s="752"/>
      <c r="T857" s="783">
        <v>0.6</v>
      </c>
      <c r="U857" s="803">
        <v>0</v>
      </c>
      <c r="V857" s="803">
        <v>0</v>
      </c>
      <c r="W857" s="803">
        <v>0</v>
      </c>
      <c r="X857" s="858">
        <v>1</v>
      </c>
      <c r="Y857" s="310">
        <f>ROUND((R857+S857/'Summary-E'!$M$63)*X857,2)</f>
        <v>2</v>
      </c>
      <c r="Z857" s="858">
        <f t="shared" si="887"/>
        <v>1.05</v>
      </c>
      <c r="AA857" s="813">
        <f t="shared" si="907"/>
        <v>2.1</v>
      </c>
      <c r="AB857" s="447">
        <f t="shared" si="908"/>
        <v>0.05</v>
      </c>
      <c r="AC857" s="310">
        <f t="shared" si="867"/>
        <v>0.63</v>
      </c>
      <c r="AD857" s="717">
        <f>ROUND(AC857*'[1]Summary E&amp;M'!$R$94,2)</f>
        <v>0.79</v>
      </c>
      <c r="AE857" s="825">
        <f t="shared" si="905"/>
        <v>40</v>
      </c>
      <c r="AF857" s="825">
        <f t="shared" si="906"/>
        <v>12.6</v>
      </c>
      <c r="AG857" s="743"/>
      <c r="AH857" s="728"/>
      <c r="AI857" s="519">
        <f t="shared" si="909"/>
        <v>0</v>
      </c>
      <c r="AJ857" s="519">
        <f t="shared" si="910"/>
        <v>0</v>
      </c>
      <c r="AK857" s="519">
        <f t="shared" si="911"/>
        <v>0</v>
      </c>
      <c r="AL857" s="520">
        <f>ROUND(Y857*AI857+((Y857*(1+AI857))*AJ857)+((Y857*AI857+((Y857*(1+AI857))*AJ857))*AK857),2)</f>
        <v>0</v>
      </c>
      <c r="AM857" s="520">
        <f>AL857*$F857</f>
        <v>0</v>
      </c>
      <c r="AN857" s="520">
        <f>ROUND(AL857*Z857,2)</f>
        <v>0</v>
      </c>
      <c r="AO857" s="520">
        <f>AN857*$F857</f>
        <v>0</v>
      </c>
      <c r="AP857" s="552"/>
      <c r="AQ857" s="552"/>
      <c r="AR857" s="552"/>
      <c r="AS857" s="552"/>
      <c r="AT857" s="552"/>
    </row>
    <row r="858" spans="1:46" s="555" customFormat="1" ht="22.5" customHeight="1">
      <c r="A858" s="570"/>
      <c r="B858" s="568" t="s">
        <v>333</v>
      </c>
      <c r="C858" s="569"/>
      <c r="D858" s="525" t="s">
        <v>1111</v>
      </c>
      <c r="E858" s="570" t="s">
        <v>322</v>
      </c>
      <c r="F858" s="1322">
        <f>K858</f>
        <v>1</v>
      </c>
      <c r="G858" s="527">
        <f>ROUND(AA858,2)</f>
        <v>12.22</v>
      </c>
      <c r="H858" s="527">
        <f>F858*G858</f>
        <v>12.22</v>
      </c>
      <c r="I858" s="901"/>
      <c r="J858" s="582"/>
      <c r="K858" s="1149">
        <v>1</v>
      </c>
      <c r="L858" s="530">
        <f t="shared" si="916"/>
        <v>1.58</v>
      </c>
      <c r="M858" s="530">
        <f t="shared" si="917"/>
        <v>1.58</v>
      </c>
      <c r="N858" s="1053"/>
      <c r="O858" s="776" t="s">
        <v>683</v>
      </c>
      <c r="P858" s="777">
        <v>0.3</v>
      </c>
      <c r="Q858" s="777"/>
      <c r="R858" s="751">
        <f>ROUND(SUM(AE857:AE857)*P858,2)</f>
        <v>12</v>
      </c>
      <c r="S858" s="752"/>
      <c r="T858" s="792">
        <f>ROUND(R858*10%,2)</f>
        <v>1.2</v>
      </c>
      <c r="U858" s="803">
        <v>0</v>
      </c>
      <c r="V858" s="803">
        <v>0</v>
      </c>
      <c r="W858" s="803">
        <v>0</v>
      </c>
      <c r="X858" s="858">
        <f>SUMIF('Summary-E'!O$4:O$50,D858,'Summary-E'!Q$4:Q$50)</f>
        <v>0.97</v>
      </c>
      <c r="Y858" s="310">
        <f>ROUND((R858+S858/'Summary-E'!$M$63)*X858,2)</f>
        <v>11.64</v>
      </c>
      <c r="Z858" s="858">
        <f t="shared" si="887"/>
        <v>1.05</v>
      </c>
      <c r="AA858" s="813">
        <f t="shared" si="907"/>
        <v>12.22</v>
      </c>
      <c r="AB858" s="447">
        <f t="shared" si="908"/>
        <v>0.05</v>
      </c>
      <c r="AC858" s="310">
        <f t="shared" si="867"/>
        <v>1.26</v>
      </c>
      <c r="AD858" s="717">
        <f>ROUND(AC858*'[1]Summary E&amp;M'!$R$94,2)</f>
        <v>1.58</v>
      </c>
      <c r="AE858" s="825">
        <f t="shared" si="905"/>
        <v>11.64</v>
      </c>
      <c r="AF858" s="825">
        <f t="shared" si="906"/>
        <v>1.26</v>
      </c>
      <c r="AG858" s="743"/>
      <c r="AH858" s="728"/>
      <c r="AI858" s="519">
        <f t="shared" si="909"/>
        <v>0</v>
      </c>
      <c r="AJ858" s="519">
        <f t="shared" si="910"/>
        <v>0</v>
      </c>
      <c r="AK858" s="519">
        <f t="shared" si="911"/>
        <v>0</v>
      </c>
      <c r="AL858" s="520">
        <f t="shared" si="912"/>
        <v>0</v>
      </c>
      <c r="AM858" s="520">
        <f t="shared" si="913"/>
        <v>0</v>
      </c>
      <c r="AN858" s="520">
        <f t="shared" si="914"/>
        <v>0</v>
      </c>
      <c r="AO858" s="520">
        <f t="shared" si="915"/>
        <v>0</v>
      </c>
      <c r="AP858" s="552"/>
      <c r="AQ858" s="552"/>
      <c r="AR858" s="552"/>
      <c r="AS858" s="552"/>
      <c r="AT858" s="552"/>
    </row>
    <row r="859" spans="1:46" s="555" customFormat="1" ht="22.5" customHeight="1">
      <c r="A859" s="638"/>
      <c r="B859" s="997" t="s">
        <v>718</v>
      </c>
      <c r="C859" s="566"/>
      <c r="D859" s="525" t="s">
        <v>139</v>
      </c>
      <c r="E859" s="525" t="s">
        <v>322</v>
      </c>
      <c r="F859" s="1322">
        <f>K859</f>
        <v>1</v>
      </c>
      <c r="G859" s="527">
        <f>ROUND(AA859,2)</f>
        <v>6.11</v>
      </c>
      <c r="H859" s="527">
        <f>ROUND(F859*G859,2)</f>
        <v>6.11</v>
      </c>
      <c r="I859" s="962"/>
      <c r="J859" s="590"/>
      <c r="K859" s="1149">
        <v>1</v>
      </c>
      <c r="L859" s="530">
        <f t="shared" si="916"/>
        <v>0.79</v>
      </c>
      <c r="M859" s="530">
        <f t="shared" si="917"/>
        <v>0.79</v>
      </c>
      <c r="N859" s="590"/>
      <c r="O859" s="776" t="s">
        <v>130</v>
      </c>
      <c r="P859" s="777">
        <v>0.15</v>
      </c>
      <c r="Q859" s="777"/>
      <c r="R859" s="751">
        <f>ROUND(SUM(AE857:AE857)*P859,2)</f>
        <v>6</v>
      </c>
      <c r="S859" s="752"/>
      <c r="T859" s="792">
        <f>ROUND(R859*10%,2)</f>
        <v>0.6</v>
      </c>
      <c r="U859" s="803">
        <v>0</v>
      </c>
      <c r="V859" s="803">
        <v>0</v>
      </c>
      <c r="W859" s="803">
        <v>0</v>
      </c>
      <c r="X859" s="858">
        <f>SUMIF('Summary-E'!O$4:O$50,D859,'Summary-E'!Q$4:Q$50)</f>
        <v>0.97</v>
      </c>
      <c r="Y859" s="310">
        <f>ROUND((R859+S859/'Summary-E'!$M$63)*X859,2)</f>
        <v>5.82</v>
      </c>
      <c r="Z859" s="858">
        <f t="shared" si="887"/>
        <v>1.05</v>
      </c>
      <c r="AA859" s="813">
        <f t="shared" si="907"/>
        <v>6.11</v>
      </c>
      <c r="AB859" s="447">
        <f t="shared" si="908"/>
        <v>0.05</v>
      </c>
      <c r="AC859" s="310">
        <f t="shared" si="867"/>
        <v>0.63</v>
      </c>
      <c r="AD859" s="717">
        <f>ROUND(AC859*'[1]Summary E&amp;M'!$R$94,2)</f>
        <v>0.79</v>
      </c>
      <c r="AE859" s="825">
        <f t="shared" si="905"/>
        <v>5.82</v>
      </c>
      <c r="AF859" s="825">
        <f t="shared" si="906"/>
        <v>0.63</v>
      </c>
      <c r="AG859" s="743"/>
      <c r="AH859" s="728"/>
      <c r="AI859" s="519">
        <f t="shared" si="909"/>
        <v>0</v>
      </c>
      <c r="AJ859" s="519">
        <f t="shared" si="910"/>
        <v>0</v>
      </c>
      <c r="AK859" s="519">
        <f t="shared" si="911"/>
        <v>0</v>
      </c>
      <c r="AL859" s="520">
        <f t="shared" si="912"/>
        <v>0</v>
      </c>
      <c r="AM859" s="520">
        <f t="shared" si="913"/>
        <v>0</v>
      </c>
      <c r="AN859" s="520">
        <f t="shared" si="914"/>
        <v>0</v>
      </c>
      <c r="AO859" s="520">
        <f t="shared" si="915"/>
        <v>0</v>
      </c>
      <c r="AP859" s="552"/>
      <c r="AQ859" s="552"/>
      <c r="AR859" s="552"/>
      <c r="AS859" s="552"/>
      <c r="AT859" s="552"/>
    </row>
    <row r="860" spans="1:46" s="555" customFormat="1" ht="22.5" customHeight="1">
      <c r="A860" s="570"/>
      <c r="B860" s="568" t="s">
        <v>401</v>
      </c>
      <c r="C860" s="569"/>
      <c r="D860" s="570">
        <v>159</v>
      </c>
      <c r="E860" s="570" t="s">
        <v>322</v>
      </c>
      <c r="F860" s="1322">
        <f>K860</f>
        <v>1</v>
      </c>
      <c r="G860" s="527">
        <f>ROUND(AA860,2)</f>
        <v>2.3199999999999998</v>
      </c>
      <c r="H860" s="527">
        <f>ROUND(F860*G860,2)</f>
        <v>2.3199999999999998</v>
      </c>
      <c r="I860" s="901"/>
      <c r="J860" s="309"/>
      <c r="K860" s="1149">
        <v>1</v>
      </c>
      <c r="L860" s="530">
        <f t="shared" si="916"/>
        <v>0</v>
      </c>
      <c r="M860" s="530">
        <f t="shared" si="917"/>
        <v>0</v>
      </c>
      <c r="N860" s="309"/>
      <c r="O860" s="776">
        <v>159</v>
      </c>
      <c r="P860" s="777">
        <v>0.03</v>
      </c>
      <c r="Q860" s="777"/>
      <c r="R860" s="751">
        <f>ROUND((SUM(AE856:AE859))*P860,2)</f>
        <v>2.2799999999999998</v>
      </c>
      <c r="S860" s="752"/>
      <c r="T860" s="792"/>
      <c r="U860" s="803">
        <v>0</v>
      </c>
      <c r="V860" s="803">
        <v>0</v>
      </c>
      <c r="W860" s="803">
        <v>0</v>
      </c>
      <c r="X860" s="858">
        <f>SUMIF('Summary-E'!O$4:O$50,D860,'Summary-E'!Q$4:Q$50)</f>
        <v>0.97</v>
      </c>
      <c r="Y860" s="310">
        <f>ROUND((R860+S860/'Summary-E'!$M$63)*X860,2)</f>
        <v>2.21</v>
      </c>
      <c r="Z860" s="858">
        <f t="shared" si="887"/>
        <v>1.05</v>
      </c>
      <c r="AA860" s="813">
        <f t="shared" si="907"/>
        <v>2.3199999999999998</v>
      </c>
      <c r="AB860" s="447">
        <f t="shared" si="908"/>
        <v>0.05</v>
      </c>
      <c r="AC860" s="310">
        <f t="shared" si="867"/>
        <v>0</v>
      </c>
      <c r="AD860" s="717">
        <f>ROUND(AC860*'[1]Summary E&amp;M'!$R$94,2)</f>
        <v>0</v>
      </c>
      <c r="AE860" s="825">
        <f t="shared" si="905"/>
        <v>2.21</v>
      </c>
      <c r="AF860" s="825">
        <f t="shared" si="906"/>
        <v>0</v>
      </c>
      <c r="AG860" s="743"/>
      <c r="AH860" s="728"/>
      <c r="AI860" s="519">
        <f t="shared" si="909"/>
        <v>0</v>
      </c>
      <c r="AJ860" s="519">
        <f t="shared" si="910"/>
        <v>0</v>
      </c>
      <c r="AK860" s="519">
        <f t="shared" si="911"/>
        <v>0</v>
      </c>
      <c r="AL860" s="520">
        <f t="shared" si="912"/>
        <v>0</v>
      </c>
      <c r="AM860" s="520">
        <f t="shared" si="913"/>
        <v>0</v>
      </c>
      <c r="AN860" s="520">
        <f t="shared" si="914"/>
        <v>0</v>
      </c>
      <c r="AO860" s="520">
        <f t="shared" si="915"/>
        <v>0</v>
      </c>
      <c r="AP860" s="552"/>
      <c r="AQ860" s="552"/>
      <c r="AR860" s="552"/>
      <c r="AS860" s="552"/>
      <c r="AT860" s="552"/>
    </row>
    <row r="861" spans="1:46" s="555" customFormat="1" ht="22.5" customHeight="1">
      <c r="A861" s="570"/>
      <c r="B861" s="568" t="s">
        <v>627</v>
      </c>
      <c r="C861" s="569"/>
      <c r="D861" s="570"/>
      <c r="E861" s="570" t="s">
        <v>322</v>
      </c>
      <c r="F861" s="1322">
        <f>K861</f>
        <v>1</v>
      </c>
      <c r="G861" s="589" t="s">
        <v>119</v>
      </c>
      <c r="H861" s="998"/>
      <c r="I861" s="435" t="s">
        <v>137</v>
      </c>
      <c r="J861" s="309"/>
      <c r="K861" s="1149">
        <v>1</v>
      </c>
      <c r="L861" s="530">
        <f t="shared" si="916"/>
        <v>0</v>
      </c>
      <c r="M861" s="530">
        <f t="shared" si="917"/>
        <v>0</v>
      </c>
      <c r="N861" s="309"/>
      <c r="O861" s="776">
        <v>159</v>
      </c>
      <c r="P861" s="777">
        <v>0.03</v>
      </c>
      <c r="Q861" s="777"/>
      <c r="R861" s="751"/>
      <c r="S861" s="752"/>
      <c r="T861" s="792"/>
      <c r="U861" s="803">
        <v>0</v>
      </c>
      <c r="V861" s="803">
        <v>0</v>
      </c>
      <c r="W861" s="803">
        <v>0</v>
      </c>
      <c r="X861" s="858">
        <f>SUMIF('Summary-E'!O$4:O$50,D861,'Summary-E'!Q$4:Q$50)</f>
        <v>0</v>
      </c>
      <c r="Y861" s="310">
        <f>ROUND((R861+S861/'Summary-E'!$M$63)*X861,2)</f>
        <v>0</v>
      </c>
      <c r="Z861" s="858">
        <f t="shared" si="887"/>
        <v>1.05</v>
      </c>
      <c r="AA861" s="813">
        <f t="shared" si="907"/>
        <v>0</v>
      </c>
      <c r="AB861" s="447">
        <f t="shared" si="908"/>
        <v>0.05</v>
      </c>
      <c r="AC861" s="310">
        <f t="shared" si="867"/>
        <v>0</v>
      </c>
      <c r="AD861" s="717">
        <f>ROUND(AC861*'[1]Summary E&amp;M'!$R$94,2)</f>
        <v>0</v>
      </c>
      <c r="AE861" s="825">
        <f t="shared" si="905"/>
        <v>0</v>
      </c>
      <c r="AF861" s="825">
        <f t="shared" si="906"/>
        <v>0</v>
      </c>
      <c r="AG861" s="743"/>
      <c r="AH861" s="728"/>
      <c r="AI861" s="519">
        <f t="shared" si="909"/>
        <v>0</v>
      </c>
      <c r="AJ861" s="519">
        <f t="shared" si="910"/>
        <v>0</v>
      </c>
      <c r="AK861" s="519">
        <f t="shared" si="911"/>
        <v>0</v>
      </c>
      <c r="AL861" s="520">
        <f t="shared" si="912"/>
        <v>0</v>
      </c>
      <c r="AM861" s="520">
        <f t="shared" si="913"/>
        <v>0</v>
      </c>
      <c r="AN861" s="520">
        <f t="shared" si="914"/>
        <v>0</v>
      </c>
      <c r="AO861" s="520">
        <f t="shared" si="915"/>
        <v>0</v>
      </c>
      <c r="AP861" s="552"/>
      <c r="AQ861" s="552"/>
      <c r="AR861" s="552"/>
      <c r="AS861" s="552"/>
      <c r="AT861" s="552"/>
    </row>
    <row r="862" spans="1:46" s="555" customFormat="1" ht="22.5" customHeight="1">
      <c r="A862" s="620"/>
      <c r="B862" s="522"/>
      <c r="C862" s="566"/>
      <c r="D862" s="525"/>
      <c r="E862" s="525"/>
      <c r="F862" s="1314"/>
      <c r="G862" s="527"/>
      <c r="H862" s="527"/>
      <c r="I862" s="901"/>
      <c r="J862" s="309"/>
      <c r="K862" s="1149"/>
      <c r="L862" s="530">
        <f t="shared" si="916"/>
        <v>0</v>
      </c>
      <c r="M862" s="530">
        <f t="shared" si="917"/>
        <v>0</v>
      </c>
      <c r="N862" s="309"/>
      <c r="O862" s="776"/>
      <c r="P862" s="777"/>
      <c r="Q862" s="777"/>
      <c r="R862" s="751"/>
      <c r="S862" s="752"/>
      <c r="T862" s="792"/>
      <c r="U862" s="803"/>
      <c r="V862" s="803"/>
      <c r="W862" s="803"/>
      <c r="X862" s="858">
        <f>SUMIF('Summary-E'!O$4:O$50,D862,'Summary-E'!Q$4:Q$50)</f>
        <v>0</v>
      </c>
      <c r="Y862" s="310">
        <f>ROUND((R862+S862/'Summary-E'!$M$63)*X862,2)</f>
        <v>0</v>
      </c>
      <c r="Z862" s="858">
        <f t="shared" si="887"/>
        <v>1.05</v>
      </c>
      <c r="AA862" s="817"/>
      <c r="AB862" s="726"/>
      <c r="AC862" s="310">
        <f t="shared" si="867"/>
        <v>0</v>
      </c>
      <c r="AD862" s="717">
        <f>ROUND(AC862*'[1]Summary E&amp;M'!$R$94,2)</f>
        <v>0</v>
      </c>
      <c r="AE862" s="825">
        <f t="shared" si="905"/>
        <v>0</v>
      </c>
      <c r="AF862" s="825">
        <f t="shared" si="906"/>
        <v>0</v>
      </c>
      <c r="AG862" s="743"/>
      <c r="AH862" s="728"/>
      <c r="AI862" s="519"/>
      <c r="AJ862" s="519"/>
      <c r="AK862" s="519"/>
      <c r="AL862" s="520"/>
      <c r="AM862" s="520"/>
      <c r="AN862" s="520"/>
      <c r="AO862" s="520"/>
      <c r="AP862" s="552"/>
      <c r="AQ862" s="552"/>
      <c r="AR862" s="552"/>
      <c r="AS862" s="552"/>
      <c r="AT862" s="552"/>
    </row>
    <row r="863" spans="1:46" s="555" customFormat="1" ht="22.5" customHeight="1">
      <c r="A863" s="570"/>
      <c r="B863" s="568" t="s">
        <v>324</v>
      </c>
      <c r="C863" s="569"/>
      <c r="D863" s="570">
        <v>210</v>
      </c>
      <c r="E863" s="570" t="s">
        <v>319</v>
      </c>
      <c r="F863" s="1322">
        <f>K863</f>
        <v>1</v>
      </c>
      <c r="G863" s="527">
        <f>M865</f>
        <v>32.76</v>
      </c>
      <c r="H863" s="527">
        <f>ROUND(F863*G863,2)</f>
        <v>32.76</v>
      </c>
      <c r="I863" s="901"/>
      <c r="J863" s="309"/>
      <c r="K863" s="1149">
        <v>1</v>
      </c>
      <c r="L863" s="530"/>
      <c r="M863" s="530"/>
      <c r="N863" s="309"/>
      <c r="O863" s="776">
        <v>210</v>
      </c>
      <c r="P863" s="777"/>
      <c r="Q863" s="777"/>
      <c r="R863" s="751"/>
      <c r="S863" s="752"/>
      <c r="T863" s="796"/>
      <c r="U863" s="803">
        <v>0</v>
      </c>
      <c r="V863" s="803">
        <v>0</v>
      </c>
      <c r="W863" s="803">
        <v>0</v>
      </c>
      <c r="X863" s="858">
        <f>SUMIF('Summary-E'!O$4:O$50,D863,'Summary-E'!Q$4:Q$50)</f>
        <v>0.05</v>
      </c>
      <c r="Y863" s="310">
        <f>ROUND((R863+S863/'Summary-E'!$M$63)*X863,2)</f>
        <v>0</v>
      </c>
      <c r="Z863" s="858">
        <f t="shared" si="887"/>
        <v>1.05</v>
      </c>
      <c r="AA863" s="813">
        <f>ROUND(Y863*Z863,2)</f>
        <v>0</v>
      </c>
      <c r="AB863" s="447">
        <f>$AB$3</f>
        <v>0.05</v>
      </c>
      <c r="AC863" s="310">
        <f t="shared" si="867"/>
        <v>0</v>
      </c>
      <c r="AD863" s="717">
        <f>ROUND(AC863*'[1]Summary E&amp;M'!$R$94,2)</f>
        <v>0</v>
      </c>
      <c r="AE863" s="825">
        <f t="shared" si="905"/>
        <v>0</v>
      </c>
      <c r="AF863" s="825">
        <f t="shared" si="906"/>
        <v>0</v>
      </c>
      <c r="AG863" s="743"/>
      <c r="AH863" s="728"/>
      <c r="AI863" s="519">
        <f>$U863</f>
        <v>0</v>
      </c>
      <c r="AJ863" s="519">
        <f>$V863</f>
        <v>0</v>
      </c>
      <c r="AK863" s="519">
        <f>$W863</f>
        <v>0</v>
      </c>
      <c r="AL863" s="520">
        <f>ROUND(Y863*AI863+((Y863*(1+AI863))*AJ863)+((Y863*AI863+((Y863*(1+AI863))*AJ863))*AK863),2)</f>
        <v>0</v>
      </c>
      <c r="AM863" s="520">
        <f>AL863*$F863</f>
        <v>0</v>
      </c>
      <c r="AN863" s="520">
        <f>ROUND(AL863*Z863,2)</f>
        <v>0</v>
      </c>
      <c r="AO863" s="520">
        <f>AN863*$F863</f>
        <v>0</v>
      </c>
      <c r="AP863" s="552"/>
      <c r="AQ863" s="552"/>
      <c r="AR863" s="552"/>
      <c r="AS863" s="552"/>
      <c r="AT863" s="552"/>
    </row>
    <row r="864" spans="1:46" s="555" customFormat="1" ht="22.5" customHeight="1">
      <c r="A864" s="620"/>
      <c r="B864" s="522"/>
      <c r="C864" s="566"/>
      <c r="D864" s="588"/>
      <c r="E864" s="525"/>
      <c r="F864" s="1314"/>
      <c r="G864" s="527"/>
      <c r="H864" s="527"/>
      <c r="I864" s="567"/>
      <c r="J864" s="309"/>
      <c r="K864" s="1149"/>
      <c r="L864" s="530"/>
      <c r="M864" s="602"/>
      <c r="N864" s="309"/>
      <c r="O864" s="776"/>
      <c r="P864" s="777"/>
      <c r="Q864" s="777"/>
      <c r="R864" s="751"/>
      <c r="S864" s="752"/>
      <c r="T864" s="796"/>
      <c r="U864" s="803"/>
      <c r="V864" s="803"/>
      <c r="W864" s="803"/>
      <c r="X864" s="858">
        <f>SUMIF('Summary-E'!O$4:O$50,D864,'Summary-E'!Q$4:Q$50)</f>
        <v>0</v>
      </c>
      <c r="Y864" s="310">
        <f>ROUND((R864+S864/'Summary-E'!$M$63)*X864,2)</f>
        <v>0</v>
      </c>
      <c r="Z864" s="858">
        <f t="shared" si="887"/>
        <v>1.05</v>
      </c>
      <c r="AA864" s="817"/>
      <c r="AB864" s="726"/>
      <c r="AC864" s="310">
        <f t="shared" si="867"/>
        <v>0</v>
      </c>
      <c r="AD864" s="717">
        <f>ROUND(AC864*'[1]Summary E&amp;M'!$R$94,2)</f>
        <v>0</v>
      </c>
      <c r="AE864" s="836"/>
      <c r="AF864" s="836"/>
      <c r="AG864" s="743"/>
      <c r="AH864" s="728"/>
      <c r="AI864" s="519"/>
      <c r="AJ864" s="519"/>
      <c r="AK864" s="519"/>
      <c r="AL864" s="520"/>
      <c r="AM864" s="520"/>
      <c r="AN864" s="520"/>
      <c r="AO864" s="520"/>
      <c r="AP864" s="552"/>
      <c r="AQ864" s="552"/>
      <c r="AR864" s="552"/>
      <c r="AS864" s="552"/>
      <c r="AT864" s="552"/>
    </row>
    <row r="865" spans="1:68" s="711" customFormat="1" ht="22.5" customHeight="1">
      <c r="A865" s="1238"/>
      <c r="B865" s="974" t="s">
        <v>422</v>
      </c>
      <c r="C865" s="979"/>
      <c r="D865" s="980"/>
      <c r="E865" s="973"/>
      <c r="F865" s="1317"/>
      <c r="G865" s="971"/>
      <c r="H865" s="971">
        <f>SUBTOTAL(9,H854:H864)</f>
        <v>117.1</v>
      </c>
      <c r="I865" s="981"/>
      <c r="J865" s="599"/>
      <c r="K865" s="1184"/>
      <c r="L865" s="600"/>
      <c r="M865" s="1051">
        <f>SUBTOTAL(9,M854:M862)</f>
        <v>32.76</v>
      </c>
      <c r="N865" s="599"/>
      <c r="O865" s="779"/>
      <c r="P865" s="780"/>
      <c r="Q865" s="780"/>
      <c r="R865" s="759"/>
      <c r="S865" s="760"/>
      <c r="T865" s="796"/>
      <c r="U865" s="803">
        <v>0</v>
      </c>
      <c r="V865" s="803">
        <v>0</v>
      </c>
      <c r="W865" s="803">
        <v>0</v>
      </c>
      <c r="X865" s="858">
        <f>SUMIF('Summary-E'!O$4:O$50,D865,'Summary-E'!Q$4:Q$50)</f>
        <v>0</v>
      </c>
      <c r="Y865" s="310">
        <f>ROUND((R865+S865/'Summary-E'!$M$63)*X865,2)</f>
        <v>0</v>
      </c>
      <c r="Z865" s="858">
        <f t="shared" si="887"/>
        <v>1.05</v>
      </c>
      <c r="AA865" s="816"/>
      <c r="AB865" s="552"/>
      <c r="AC865" s="310">
        <f t="shared" si="867"/>
        <v>0</v>
      </c>
      <c r="AD865" s="717">
        <f>ROUND(AC865*'[1]Summary E&amp;M'!$R$94,2)</f>
        <v>0</v>
      </c>
      <c r="AE865" s="823">
        <f>SUBTOTAL(9,AE854:AE864)</f>
        <v>78.33</v>
      </c>
      <c r="AF865" s="823">
        <f>SUBTOTAL(9,AF854:AF864)</f>
        <v>25.53</v>
      </c>
      <c r="AG865" s="614"/>
      <c r="AH865" s="730"/>
      <c r="AI865" s="713"/>
      <c r="AJ865" s="713"/>
      <c r="AK865" s="713"/>
      <c r="AL865" s="713"/>
      <c r="AM865" s="712">
        <f>SUBTOTAL(9,AM854:AM864)</f>
        <v>0</v>
      </c>
      <c r="AN865" s="713"/>
      <c r="AO865" s="712">
        <f>SUBTOTAL(9,AO854:AO864)</f>
        <v>0</v>
      </c>
      <c r="AP865" s="713"/>
      <c r="AQ865" s="713"/>
      <c r="AR865" s="713"/>
      <c r="AS865" s="713"/>
      <c r="AT865" s="713"/>
    </row>
    <row r="866" spans="1:68" s="555" customFormat="1" ht="22.5" customHeight="1">
      <c r="A866" s="451"/>
      <c r="B866" s="522"/>
      <c r="C866" s="572"/>
      <c r="D866" s="603"/>
      <c r="E866" s="603"/>
      <c r="F866" s="1328"/>
      <c r="G866" s="527"/>
      <c r="H866" s="541"/>
      <c r="I866" s="598"/>
      <c r="J866" s="599"/>
      <c r="K866" s="1173"/>
      <c r="L866" s="600"/>
      <c r="M866" s="604"/>
      <c r="N866" s="599"/>
      <c r="O866" s="776"/>
      <c r="P866" s="777"/>
      <c r="Q866" s="777"/>
      <c r="R866" s="751"/>
      <c r="S866" s="752"/>
      <c r="T866" s="796"/>
      <c r="U866" s="803"/>
      <c r="V866" s="803"/>
      <c r="W866" s="803"/>
      <c r="X866" s="858">
        <f>SUMIF('Summary-E'!O$4:O$50,D866,'Summary-E'!Q$4:Q$50)</f>
        <v>0</v>
      </c>
      <c r="Y866" s="310">
        <f>ROUND((R866+S866/'Summary-E'!$M$63)*X866,2)</f>
        <v>0</v>
      </c>
      <c r="Z866" s="858">
        <f t="shared" si="887"/>
        <v>1.05</v>
      </c>
      <c r="AA866" s="813"/>
      <c r="AB866" s="429"/>
      <c r="AC866" s="310">
        <f t="shared" si="867"/>
        <v>0</v>
      </c>
      <c r="AD866" s="717">
        <f>ROUND(AC866*'[1]Summary E&amp;M'!$R$94,2)</f>
        <v>0</v>
      </c>
      <c r="AE866" s="835"/>
      <c r="AF866" s="835"/>
      <c r="AG866" s="738"/>
      <c r="AH866" s="739"/>
      <c r="AI866" s="553"/>
      <c r="AJ866" s="552"/>
      <c r="AK866" s="552"/>
      <c r="AL866" s="552"/>
      <c r="AM866" s="552"/>
      <c r="AN866" s="552"/>
      <c r="AO866" s="553"/>
      <c r="AP866" s="552"/>
      <c r="AQ866" s="553"/>
      <c r="AR866" s="552"/>
      <c r="AS866" s="552"/>
      <c r="AT866" s="552"/>
    </row>
    <row r="867" spans="1:68" s="555" customFormat="1" ht="22.5" customHeight="1">
      <c r="A867" s="620" t="s">
        <v>520</v>
      </c>
      <c r="B867" s="522" t="s">
        <v>417</v>
      </c>
      <c r="C867" s="566"/>
      <c r="D867" s="588"/>
      <c r="E867" s="588"/>
      <c r="F867" s="1328"/>
      <c r="G867" s="605"/>
      <c r="H867" s="605"/>
      <c r="I867" s="606"/>
      <c r="J867" s="428"/>
      <c r="K867" s="1173"/>
      <c r="L867" s="960"/>
      <c r="M867" s="1052"/>
      <c r="N867" s="428"/>
      <c r="O867" s="786"/>
      <c r="P867" s="777"/>
      <c r="Q867" s="777"/>
      <c r="R867" s="751"/>
      <c r="S867" s="752"/>
      <c r="T867" s="796"/>
      <c r="U867" s="803">
        <v>0</v>
      </c>
      <c r="V867" s="803">
        <v>0</v>
      </c>
      <c r="W867" s="803">
        <v>0</v>
      </c>
      <c r="X867" s="858">
        <f>SUMIF('Summary-E'!O$4:O$50,D867,'Summary-E'!Q$4:Q$50)</f>
        <v>0</v>
      </c>
      <c r="Y867" s="310">
        <f>ROUND((R867+S867/'Summary-E'!$M$63)*X867,2)</f>
        <v>0</v>
      </c>
      <c r="Z867" s="858">
        <f t="shared" si="887"/>
        <v>1.05</v>
      </c>
      <c r="AA867" s="813">
        <f t="shared" ref="AA867:AA876" si="919">ROUND(Y867*Z867,2)</f>
        <v>0</v>
      </c>
      <c r="AB867" s="447">
        <f t="shared" ref="AB867:AB876" si="920">$AB$3</f>
        <v>0.05</v>
      </c>
      <c r="AC867" s="310">
        <f t="shared" si="867"/>
        <v>0</v>
      </c>
      <c r="AD867" s="717">
        <f>ROUND(AC867*'[1]Summary E&amp;M'!$R$94,2)</f>
        <v>0</v>
      </c>
      <c r="AE867" s="825">
        <f t="shared" ref="AE867:AE878" si="921">ROUND($K867*$Y867,2)</f>
        <v>0</v>
      </c>
      <c r="AF867" s="825">
        <f t="shared" ref="AF867:AF878" si="922">ROUND($K867*$AC867,2)</f>
        <v>0</v>
      </c>
      <c r="AG867" s="743"/>
      <c r="AH867" s="728"/>
      <c r="AI867" s="519">
        <f t="shared" ref="AI867:AI876" si="923">$U867</f>
        <v>0</v>
      </c>
      <c r="AJ867" s="519">
        <f t="shared" ref="AJ867:AJ876" si="924">$V867</f>
        <v>0</v>
      </c>
      <c r="AK867" s="519">
        <f t="shared" ref="AK867:AK876" si="925">$W867</f>
        <v>0</v>
      </c>
      <c r="AL867" s="520">
        <f>ROUND(Y867*AI867+((Y867*(1+AI867))*AJ867)+((Y867*AI867+((Y867*(1+AI867))*AJ867))*AK867),2)</f>
        <v>0</v>
      </c>
      <c r="AM867" s="520">
        <f>AL867*$F867</f>
        <v>0</v>
      </c>
      <c r="AN867" s="520">
        <f>ROUND(AL867*Z867,2)</f>
        <v>0</v>
      </c>
      <c r="AO867" s="520">
        <f>AN867*$F867</f>
        <v>0</v>
      </c>
      <c r="AP867" s="718"/>
      <c r="AQ867" s="718"/>
      <c r="AR867" s="718"/>
      <c r="AS867" s="718"/>
      <c r="AT867" s="718"/>
    </row>
    <row r="868" spans="1:68" s="555" customFormat="1" ht="22.5" customHeight="1">
      <c r="A868" s="620"/>
      <c r="B868" s="531" t="s">
        <v>425</v>
      </c>
      <c r="C868" s="566"/>
      <c r="D868" s="996" t="s">
        <v>1130</v>
      </c>
      <c r="E868" s="525" t="s">
        <v>418</v>
      </c>
      <c r="F868" s="1322">
        <f>K868</f>
        <v>1</v>
      </c>
      <c r="G868" s="1477" t="s">
        <v>1301</v>
      </c>
      <c r="H868" s="1478"/>
      <c r="I868" s="1120"/>
      <c r="J868" s="582"/>
      <c r="K868" s="1149">
        <v>1</v>
      </c>
      <c r="L868" s="530">
        <f t="shared" ref="L868:L876" si="926">ROUND(AD868,2)</f>
        <v>6.56</v>
      </c>
      <c r="M868" s="530">
        <f t="shared" ref="M868:M876" si="927">ROUND(L868*F868,2)</f>
        <v>6.56</v>
      </c>
      <c r="N868" s="309"/>
      <c r="O868" s="786" t="s">
        <v>135</v>
      </c>
      <c r="P868" s="777"/>
      <c r="Q868" s="777"/>
      <c r="R868" s="751"/>
      <c r="S868" s="752"/>
      <c r="T868" s="792">
        <v>5</v>
      </c>
      <c r="U868" s="803">
        <v>0</v>
      </c>
      <c r="V868" s="803">
        <v>0</v>
      </c>
      <c r="W868" s="803">
        <v>0</v>
      </c>
      <c r="X868" s="858">
        <v>1</v>
      </c>
      <c r="Y868" s="310">
        <f>ROUND((R868+S868/'Summary-E'!$M$63)*X868,2)</f>
        <v>0</v>
      </c>
      <c r="Z868" s="858">
        <f t="shared" si="887"/>
        <v>1.05</v>
      </c>
      <c r="AA868" s="813">
        <f t="shared" si="919"/>
        <v>0</v>
      </c>
      <c r="AB868" s="447">
        <f t="shared" si="920"/>
        <v>0.05</v>
      </c>
      <c r="AC868" s="310">
        <f t="shared" si="867"/>
        <v>5.25</v>
      </c>
      <c r="AD868" s="717">
        <f>ROUND(AC868*'[1]Summary E&amp;M'!$R$94,2)</f>
        <v>6.56</v>
      </c>
      <c r="AE868" s="825">
        <f t="shared" si="921"/>
        <v>0</v>
      </c>
      <c r="AF868" s="825">
        <f t="shared" si="922"/>
        <v>5.25</v>
      </c>
      <c r="AG868" s="743"/>
      <c r="AH868" s="728"/>
      <c r="AI868" s="519">
        <f t="shared" si="923"/>
        <v>0</v>
      </c>
      <c r="AJ868" s="519">
        <f t="shared" si="924"/>
        <v>0</v>
      </c>
      <c r="AK868" s="519">
        <f t="shared" si="925"/>
        <v>0</v>
      </c>
      <c r="AL868" s="520">
        <f>ROUND(Y868*AI868+((Y868*(1+AI868))*AJ868)+((Y868*AI868+((Y868*(1+AI868))*AJ868))*AK868),2)</f>
        <v>0</v>
      </c>
      <c r="AM868" s="520">
        <f>AL868*$F868</f>
        <v>0</v>
      </c>
      <c r="AN868" s="520">
        <f>ROUND(AL868*Z868,2)</f>
        <v>0</v>
      </c>
      <c r="AO868" s="520">
        <f>AN868*$F868</f>
        <v>0</v>
      </c>
      <c r="AP868" s="552"/>
      <c r="AQ868" s="552"/>
      <c r="AR868" s="552"/>
      <c r="AS868" s="552"/>
      <c r="AT868" s="552"/>
    </row>
    <row r="869" spans="1:68" s="555" customFormat="1" ht="22.5" customHeight="1">
      <c r="A869" s="620"/>
      <c r="B869" s="531" t="s">
        <v>992</v>
      </c>
      <c r="C869" s="566" t="s">
        <v>1236</v>
      </c>
      <c r="D869" s="996" t="s">
        <v>1130</v>
      </c>
      <c r="E869" s="525" t="s">
        <v>418</v>
      </c>
      <c r="F869" s="1322">
        <f>K869</f>
        <v>2</v>
      </c>
      <c r="G869" s="527">
        <f t="shared" ref="G869:G876" si="928">ROUND(AA869,2)</f>
        <v>9.94</v>
      </c>
      <c r="H869" s="847">
        <f>F869*G869</f>
        <v>19.88</v>
      </c>
      <c r="I869" s="1120"/>
      <c r="J869" s="582"/>
      <c r="K869" s="1149">
        <v>2</v>
      </c>
      <c r="L869" s="530">
        <f t="shared" si="926"/>
        <v>4.5999999999999996</v>
      </c>
      <c r="M869" s="530">
        <f t="shared" si="927"/>
        <v>9.1999999999999993</v>
      </c>
      <c r="N869" s="1053"/>
      <c r="O869" s="786" t="s">
        <v>135</v>
      </c>
      <c r="P869" s="777"/>
      <c r="Q869" s="777"/>
      <c r="R869" s="751"/>
      <c r="S869" s="752">
        <v>197000</v>
      </c>
      <c r="T869" s="792">
        <v>3.5</v>
      </c>
      <c r="U869" s="803">
        <v>0</v>
      </c>
      <c r="V869" s="803">
        <v>0</v>
      </c>
      <c r="W869" s="803">
        <v>0</v>
      </c>
      <c r="X869" s="858">
        <v>1</v>
      </c>
      <c r="Y869" s="310">
        <f>ROUND((R869+S869/'Summary-E'!$M$63)*X869,2)</f>
        <v>9.4700000000000006</v>
      </c>
      <c r="Z869" s="858">
        <f t="shared" si="887"/>
        <v>1.05</v>
      </c>
      <c r="AA869" s="813">
        <f t="shared" si="919"/>
        <v>9.94</v>
      </c>
      <c r="AB869" s="447">
        <f t="shared" si="920"/>
        <v>0.05</v>
      </c>
      <c r="AC869" s="310">
        <f t="shared" si="867"/>
        <v>3.68</v>
      </c>
      <c r="AD869" s="717">
        <f>ROUND(AC869*'[1]Summary E&amp;M'!$R$94,2)</f>
        <v>4.5999999999999996</v>
      </c>
      <c r="AE869" s="825">
        <f t="shared" si="921"/>
        <v>18.940000000000001</v>
      </c>
      <c r="AF869" s="825">
        <f t="shared" si="922"/>
        <v>7.36</v>
      </c>
      <c r="AG869" s="743"/>
      <c r="AH869" s="728"/>
      <c r="AI869" s="519">
        <f t="shared" si="923"/>
        <v>0</v>
      </c>
      <c r="AJ869" s="519">
        <f t="shared" si="924"/>
        <v>0</v>
      </c>
      <c r="AK869" s="519">
        <f t="shared" si="925"/>
        <v>0</v>
      </c>
      <c r="AL869" s="520">
        <f>ROUND(Y869*AI869+((Y869*(1+AI869))*AJ869)+((Y869*AI869+((Y869*(1+AI869))*AJ869))*AK869),2)</f>
        <v>0</v>
      </c>
      <c r="AM869" s="520">
        <f>AL869*$F869</f>
        <v>0</v>
      </c>
      <c r="AN869" s="520">
        <f>ROUND(AL869*Z869,2)</f>
        <v>0</v>
      </c>
      <c r="AO869" s="520">
        <f>AN869*$F869</f>
        <v>0</v>
      </c>
      <c r="AP869" s="552"/>
      <c r="AQ869" s="552"/>
      <c r="AR869" s="552"/>
      <c r="AS869" s="552"/>
      <c r="AT869" s="552"/>
    </row>
    <row r="870" spans="1:68" s="555" customFormat="1" ht="22.5" customHeight="1">
      <c r="A870" s="620"/>
      <c r="B870" s="531" t="s">
        <v>403</v>
      </c>
      <c r="C870" s="566" t="s">
        <v>329</v>
      </c>
      <c r="D870" s="1214" t="s">
        <v>1111</v>
      </c>
      <c r="E870" s="525" t="s">
        <v>321</v>
      </c>
      <c r="F870" s="1314">
        <f>ROUND(K870*'Summary-E'!$K$61,0)</f>
        <v>21</v>
      </c>
      <c r="G870" s="527">
        <f t="shared" si="928"/>
        <v>2.1</v>
      </c>
      <c r="H870" s="847">
        <f>ROUND(F870*G870,2)</f>
        <v>44.1</v>
      </c>
      <c r="I870" s="1120"/>
      <c r="J870" s="309"/>
      <c r="K870" s="1149">
        <v>20</v>
      </c>
      <c r="L870" s="530">
        <f t="shared" si="926"/>
        <v>0.79</v>
      </c>
      <c r="M870" s="530">
        <f t="shared" si="927"/>
        <v>16.59</v>
      </c>
      <c r="N870" s="309"/>
      <c r="O870" s="776" t="s">
        <v>131</v>
      </c>
      <c r="P870" s="777"/>
      <c r="Q870" s="777"/>
      <c r="R870" s="751">
        <v>2</v>
      </c>
      <c r="S870" s="752"/>
      <c r="T870" s="783">
        <v>0.6</v>
      </c>
      <c r="U870" s="803">
        <v>0</v>
      </c>
      <c r="V870" s="803">
        <v>0</v>
      </c>
      <c r="W870" s="803">
        <v>0</v>
      </c>
      <c r="X870" s="858">
        <v>1</v>
      </c>
      <c r="Y870" s="310">
        <f>ROUND((R870+S870/'Summary-E'!$M$63)*X870,2)</f>
        <v>2</v>
      </c>
      <c r="Z870" s="858">
        <f t="shared" si="887"/>
        <v>1.05</v>
      </c>
      <c r="AA870" s="813">
        <f t="shared" si="919"/>
        <v>2.1</v>
      </c>
      <c r="AB870" s="447">
        <f t="shared" si="920"/>
        <v>0.05</v>
      </c>
      <c r="AC870" s="310">
        <f t="shared" ref="AC870:AC884" si="929">ROUND((T870*(1+AB870)),2)</f>
        <v>0.63</v>
      </c>
      <c r="AD870" s="717">
        <f>ROUND(AC870*'[1]Summary E&amp;M'!$R$94,2)</f>
        <v>0.79</v>
      </c>
      <c r="AE870" s="825">
        <f t="shared" si="921"/>
        <v>40</v>
      </c>
      <c r="AF870" s="825">
        <f t="shared" si="922"/>
        <v>12.6</v>
      </c>
      <c r="AG870" s="743"/>
      <c r="AH870" s="728"/>
      <c r="AI870" s="519">
        <f t="shared" si="923"/>
        <v>0</v>
      </c>
      <c r="AJ870" s="519">
        <f t="shared" si="924"/>
        <v>0</v>
      </c>
      <c r="AK870" s="519">
        <f t="shared" si="925"/>
        <v>0</v>
      </c>
      <c r="AL870" s="520">
        <f>ROUND(Y870*AI870+((Y870*(1+AI870))*AJ870)+((Y870*AI870+((Y870*(1+AI870))*AJ870))*AK870),2)</f>
        <v>0</v>
      </c>
      <c r="AM870" s="520">
        <f>AL870*$F870</f>
        <v>0</v>
      </c>
      <c r="AN870" s="520">
        <f>ROUND(AL870*Z870,2)</f>
        <v>0</v>
      </c>
      <c r="AO870" s="520">
        <f>AN870*$F870</f>
        <v>0</v>
      </c>
      <c r="AP870" s="552"/>
      <c r="AQ870" s="552"/>
      <c r="AR870" s="552"/>
      <c r="AS870" s="552"/>
      <c r="AT870" s="552"/>
    </row>
    <row r="871" spans="1:68" s="555" customFormat="1" ht="22.5" customHeight="1">
      <c r="A871" s="570"/>
      <c r="B871" s="568" t="s">
        <v>333</v>
      </c>
      <c r="C871" s="569"/>
      <c r="D871" s="525" t="s">
        <v>1113</v>
      </c>
      <c r="E871" s="570" t="s">
        <v>322</v>
      </c>
      <c r="F871" s="1322">
        <f>K871</f>
        <v>1</v>
      </c>
      <c r="G871" s="527">
        <f t="shared" si="928"/>
        <v>12.22</v>
      </c>
      <c r="H871" s="847">
        <f>F871*G871</f>
        <v>12.22</v>
      </c>
      <c r="I871" s="1120"/>
      <c r="J871" s="582"/>
      <c r="K871" s="1149">
        <v>1</v>
      </c>
      <c r="L871" s="530">
        <f t="shared" si="926"/>
        <v>1.58</v>
      </c>
      <c r="M871" s="530">
        <f t="shared" si="927"/>
        <v>1.58</v>
      </c>
      <c r="N871" s="1053"/>
      <c r="O871" s="776" t="s">
        <v>683</v>
      </c>
      <c r="P871" s="777">
        <v>0.3</v>
      </c>
      <c r="Q871" s="777"/>
      <c r="R871" s="751">
        <f>ROUND(SUM(AE870:AE870)*P871,2)</f>
        <v>12</v>
      </c>
      <c r="S871" s="752"/>
      <c r="T871" s="792">
        <f>ROUND(R871*10%,2)</f>
        <v>1.2</v>
      </c>
      <c r="U871" s="803">
        <v>0</v>
      </c>
      <c r="V871" s="803">
        <v>0</v>
      </c>
      <c r="W871" s="803">
        <v>0</v>
      </c>
      <c r="X871" s="858">
        <f>SUMIF('Summary-E'!O$4:O$50,D871,'Summary-E'!Q$4:Q$50)</f>
        <v>0.97</v>
      </c>
      <c r="Y871" s="310">
        <f>ROUND((R871+S871/'Summary-E'!$M$63)*X871,2)</f>
        <v>11.64</v>
      </c>
      <c r="Z871" s="858">
        <f t="shared" si="887"/>
        <v>1.05</v>
      </c>
      <c r="AA871" s="813">
        <f t="shared" si="919"/>
        <v>12.22</v>
      </c>
      <c r="AB871" s="447">
        <f t="shared" si="920"/>
        <v>0.05</v>
      </c>
      <c r="AC871" s="310">
        <f t="shared" si="929"/>
        <v>1.26</v>
      </c>
      <c r="AD871" s="717">
        <f>ROUND(AC871*'[1]Summary E&amp;M'!$R$94,2)</f>
        <v>1.58</v>
      </c>
      <c r="AE871" s="825">
        <f t="shared" si="921"/>
        <v>11.64</v>
      </c>
      <c r="AF871" s="825">
        <f t="shared" si="922"/>
        <v>1.26</v>
      </c>
      <c r="AG871" s="743"/>
      <c r="AH871" s="728"/>
      <c r="AI871" s="519">
        <f t="shared" si="923"/>
        <v>0</v>
      </c>
      <c r="AJ871" s="519">
        <f t="shared" si="924"/>
        <v>0</v>
      </c>
      <c r="AK871" s="519">
        <f t="shared" si="925"/>
        <v>0</v>
      </c>
      <c r="AL871" s="520">
        <f t="shared" ref="AL871:AL876" si="930">ROUND(Y871*AI871+((Y871*(1+AI871))*AJ871)+((Y871*AI871+((Y871*(1+AI871))*AJ871))*AK871),2)</f>
        <v>0</v>
      </c>
      <c r="AM871" s="520">
        <f t="shared" ref="AM871:AM876" si="931">AL871*$F871</f>
        <v>0</v>
      </c>
      <c r="AN871" s="520">
        <f t="shared" ref="AN871:AN876" si="932">ROUND(AL871*Z871,2)</f>
        <v>0</v>
      </c>
      <c r="AO871" s="520">
        <f t="shared" ref="AO871:AO876" si="933">AN871*$F871</f>
        <v>0</v>
      </c>
      <c r="AP871" s="552"/>
      <c r="AQ871" s="552"/>
      <c r="AR871" s="552"/>
      <c r="AS871" s="552"/>
      <c r="AT871" s="552"/>
    </row>
    <row r="872" spans="1:68" s="555" customFormat="1" ht="22.5" customHeight="1">
      <c r="A872" s="638"/>
      <c r="B872" s="997" t="s">
        <v>718</v>
      </c>
      <c r="C872" s="566"/>
      <c r="D872" s="525" t="s">
        <v>139</v>
      </c>
      <c r="E872" s="525" t="s">
        <v>322</v>
      </c>
      <c r="F872" s="1322">
        <f>K872</f>
        <v>1</v>
      </c>
      <c r="G872" s="527">
        <f t="shared" si="928"/>
        <v>6.11</v>
      </c>
      <c r="H872" s="847">
        <f>ROUND(F872*G872,2)</f>
        <v>6.11</v>
      </c>
      <c r="I872" s="1121"/>
      <c r="J872" s="590"/>
      <c r="K872" s="1149">
        <v>1</v>
      </c>
      <c r="L872" s="530">
        <f t="shared" si="926"/>
        <v>0.79</v>
      </c>
      <c r="M872" s="530">
        <f t="shared" si="927"/>
        <v>0.79</v>
      </c>
      <c r="N872" s="590"/>
      <c r="O872" s="776" t="s">
        <v>139</v>
      </c>
      <c r="P872" s="777">
        <v>0.15</v>
      </c>
      <c r="Q872" s="777"/>
      <c r="R872" s="751">
        <f>ROUND(SUM(AE870:AE870)*P872,2)</f>
        <v>6</v>
      </c>
      <c r="S872" s="752"/>
      <c r="T872" s="792">
        <f>ROUND(R872*10%,2)</f>
        <v>0.6</v>
      </c>
      <c r="U872" s="803">
        <v>0</v>
      </c>
      <c r="V872" s="803">
        <v>0</v>
      </c>
      <c r="W872" s="803">
        <v>0</v>
      </c>
      <c r="X872" s="858">
        <f>SUMIF('Summary-E'!O$4:O$50,D872,'Summary-E'!Q$4:Q$50)</f>
        <v>0.97</v>
      </c>
      <c r="Y872" s="310">
        <f>ROUND((R872+S872/'Summary-E'!$M$63)*X872,2)</f>
        <v>5.82</v>
      </c>
      <c r="Z872" s="858">
        <f t="shared" si="887"/>
        <v>1.05</v>
      </c>
      <c r="AA872" s="813">
        <f t="shared" si="919"/>
        <v>6.11</v>
      </c>
      <c r="AB872" s="447">
        <f t="shared" si="920"/>
        <v>0.05</v>
      </c>
      <c r="AC872" s="310">
        <f t="shared" si="929"/>
        <v>0.63</v>
      </c>
      <c r="AD872" s="717">
        <f>ROUND(AC872*'[1]Summary E&amp;M'!$R$94,2)</f>
        <v>0.79</v>
      </c>
      <c r="AE872" s="825">
        <f t="shared" si="921"/>
        <v>5.82</v>
      </c>
      <c r="AF872" s="825">
        <f t="shared" si="922"/>
        <v>0.63</v>
      </c>
      <c r="AG872" s="743"/>
      <c r="AH872" s="728"/>
      <c r="AI872" s="519">
        <f t="shared" si="923"/>
        <v>0</v>
      </c>
      <c r="AJ872" s="519">
        <f t="shared" si="924"/>
        <v>0</v>
      </c>
      <c r="AK872" s="519">
        <f t="shared" si="925"/>
        <v>0</v>
      </c>
      <c r="AL872" s="520">
        <f t="shared" si="930"/>
        <v>0</v>
      </c>
      <c r="AM872" s="520">
        <f t="shared" si="931"/>
        <v>0</v>
      </c>
      <c r="AN872" s="520">
        <f t="shared" si="932"/>
        <v>0</v>
      </c>
      <c r="AO872" s="520">
        <f t="shared" si="933"/>
        <v>0</v>
      </c>
      <c r="AP872" s="552"/>
      <c r="AQ872" s="552"/>
      <c r="AR872" s="552"/>
      <c r="AS872" s="552"/>
      <c r="AT872" s="552"/>
    </row>
    <row r="873" spans="1:68" s="555" customFormat="1" ht="22.5" customHeight="1">
      <c r="A873" s="451"/>
      <c r="B873" s="531" t="s">
        <v>928</v>
      </c>
      <c r="C873" s="566" t="s">
        <v>1001</v>
      </c>
      <c r="D873" s="1001" t="s">
        <v>1114</v>
      </c>
      <c r="E873" s="525" t="s">
        <v>319</v>
      </c>
      <c r="F873" s="1322">
        <f>K873</f>
        <v>110</v>
      </c>
      <c r="G873" s="527">
        <f>ROUNDUP(AA873,2)</f>
        <v>1.44</v>
      </c>
      <c r="H873" s="847">
        <f>ROUND(F873*G873,2)</f>
        <v>158.4</v>
      </c>
      <c r="I873" s="529"/>
      <c r="J873" s="309"/>
      <c r="K873" s="1175">
        <v>110</v>
      </c>
      <c r="L873" s="530">
        <f t="shared" si="926"/>
        <v>0.93</v>
      </c>
      <c r="M873" s="530">
        <f t="shared" si="927"/>
        <v>102.3</v>
      </c>
      <c r="N873" s="309"/>
      <c r="O873" s="778" t="s">
        <v>673</v>
      </c>
      <c r="P873" s="1093"/>
      <c r="Q873" s="1094"/>
      <c r="R873" s="882"/>
      <c r="S873" s="883">
        <v>29300</v>
      </c>
      <c r="T873" s="879">
        <v>0.7</v>
      </c>
      <c r="U873" s="803">
        <v>0</v>
      </c>
      <c r="V873" s="803">
        <v>0</v>
      </c>
      <c r="W873" s="803">
        <v>0</v>
      </c>
      <c r="X873" s="858">
        <f>SUMIF('Summary-E'!O$4:O$50,D873,'Summary-E'!Q$4:Q$50)</f>
        <v>0.97</v>
      </c>
      <c r="Y873" s="310">
        <f>ROUND((R873+S873/'[7]Summary E&amp;M'!$M$104)*X873,2)</f>
        <v>1.37</v>
      </c>
      <c r="Z873" s="858">
        <f t="shared" si="887"/>
        <v>1.05</v>
      </c>
      <c r="AA873" s="813">
        <f t="shared" si="919"/>
        <v>1.44</v>
      </c>
      <c r="AB873" s="447">
        <f t="shared" si="920"/>
        <v>0.05</v>
      </c>
      <c r="AC873" s="310">
        <f t="shared" si="929"/>
        <v>0.74</v>
      </c>
      <c r="AD873" s="717">
        <f>ROUND(AC873*'[11]Summary E&amp;M'!$R$94,2)</f>
        <v>0.93</v>
      </c>
      <c r="AE873" s="826">
        <f t="shared" si="921"/>
        <v>150.69999999999999</v>
      </c>
      <c r="AF873" s="826">
        <f t="shared" si="922"/>
        <v>81.400000000000006</v>
      </c>
      <c r="AG873" s="744"/>
      <c r="AH873" s="728"/>
      <c r="AI873" s="519">
        <f t="shared" si="923"/>
        <v>0</v>
      </c>
      <c r="AJ873" s="519">
        <f t="shared" si="924"/>
        <v>0</v>
      </c>
      <c r="AK873" s="519">
        <f t="shared" si="925"/>
        <v>0</v>
      </c>
      <c r="AL873" s="520">
        <f t="shared" si="930"/>
        <v>0</v>
      </c>
      <c r="AM873" s="520">
        <f t="shared" si="931"/>
        <v>0</v>
      </c>
      <c r="AN873" s="520">
        <f t="shared" si="932"/>
        <v>0</v>
      </c>
      <c r="AO873" s="520">
        <f t="shared" si="933"/>
        <v>0</v>
      </c>
      <c r="AP873" s="719"/>
      <c r="AQ873" s="719"/>
      <c r="AR873" s="719"/>
      <c r="AS873" s="719"/>
      <c r="AT873" s="719"/>
    </row>
    <row r="874" spans="1:68" s="555" customFormat="1" ht="22.5" customHeight="1">
      <c r="A874" s="451"/>
      <c r="B874" s="531" t="s">
        <v>121</v>
      </c>
      <c r="C874" s="566" t="s">
        <v>1240</v>
      </c>
      <c r="D874" s="570">
        <v>131</v>
      </c>
      <c r="E874" s="525" t="s">
        <v>321</v>
      </c>
      <c r="F874" s="1314">
        <f>ROUND(K874*'Summary-E'!$K$61,0)</f>
        <v>147</v>
      </c>
      <c r="G874" s="527">
        <f t="shared" si="928"/>
        <v>0.46</v>
      </c>
      <c r="H874" s="847">
        <f>F874*G874</f>
        <v>67.62</v>
      </c>
      <c r="I874" s="1120"/>
      <c r="J874" s="582"/>
      <c r="K874" s="1149">
        <v>140</v>
      </c>
      <c r="L874" s="530">
        <f t="shared" si="926"/>
        <v>0.66</v>
      </c>
      <c r="M874" s="530">
        <f t="shared" si="927"/>
        <v>97.02</v>
      </c>
      <c r="N874" s="1053"/>
      <c r="O874" s="786">
        <v>131</v>
      </c>
      <c r="P874" s="777"/>
      <c r="Q874" s="777"/>
      <c r="R874" s="751"/>
      <c r="S874" s="752">
        <v>9150</v>
      </c>
      <c r="T874" s="792">
        <v>0.5</v>
      </c>
      <c r="U874" s="803">
        <v>0</v>
      </c>
      <c r="V874" s="803">
        <v>0</v>
      </c>
      <c r="W874" s="803">
        <v>0</v>
      </c>
      <c r="X874" s="858">
        <v>1</v>
      </c>
      <c r="Y874" s="310">
        <f>ROUND((R874+S874/'Summary-E'!$M$63)*X874,2)</f>
        <v>0.44</v>
      </c>
      <c r="Z874" s="858">
        <f t="shared" si="887"/>
        <v>1.05</v>
      </c>
      <c r="AA874" s="813">
        <f t="shared" si="919"/>
        <v>0.46</v>
      </c>
      <c r="AB874" s="447">
        <f t="shared" si="920"/>
        <v>0.05</v>
      </c>
      <c r="AC874" s="310">
        <f t="shared" si="929"/>
        <v>0.53</v>
      </c>
      <c r="AD874" s="717">
        <f>ROUND(AC874*'[1]Summary E&amp;M'!$R$94,2)</f>
        <v>0.66</v>
      </c>
      <c r="AE874" s="825">
        <f t="shared" si="921"/>
        <v>61.6</v>
      </c>
      <c r="AF874" s="825">
        <f t="shared" si="922"/>
        <v>74.2</v>
      </c>
      <c r="AG874" s="743"/>
      <c r="AH874" s="728"/>
      <c r="AI874" s="519">
        <f t="shared" si="923"/>
        <v>0</v>
      </c>
      <c r="AJ874" s="519">
        <f t="shared" si="924"/>
        <v>0</v>
      </c>
      <c r="AK874" s="519">
        <f t="shared" si="925"/>
        <v>0</v>
      </c>
      <c r="AL874" s="520">
        <f t="shared" si="930"/>
        <v>0</v>
      </c>
      <c r="AM874" s="520">
        <f t="shared" si="931"/>
        <v>0</v>
      </c>
      <c r="AN874" s="520">
        <f t="shared" si="932"/>
        <v>0</v>
      </c>
      <c r="AO874" s="520">
        <f t="shared" si="933"/>
        <v>0</v>
      </c>
      <c r="AP874" s="552"/>
      <c r="AQ874" s="552"/>
      <c r="AR874" s="552"/>
      <c r="AS874" s="552"/>
      <c r="AT874" s="552"/>
    </row>
    <row r="875" spans="1:68" s="555" customFormat="1" ht="22.5" customHeight="1">
      <c r="A875" s="570"/>
      <c r="B875" s="568" t="s">
        <v>401</v>
      </c>
      <c r="C875" s="569"/>
      <c r="D875" s="570">
        <v>159</v>
      </c>
      <c r="E875" s="570" t="s">
        <v>322</v>
      </c>
      <c r="F875" s="1322">
        <f>K875</f>
        <v>1</v>
      </c>
      <c r="G875" s="527">
        <f t="shared" si="928"/>
        <v>8.82</v>
      </c>
      <c r="H875" s="527">
        <f>ROUND(F875*G875,2)</f>
        <v>8.82</v>
      </c>
      <c r="I875" s="1120"/>
      <c r="J875" s="309"/>
      <c r="K875" s="1149">
        <v>1</v>
      </c>
      <c r="L875" s="530">
        <f t="shared" si="926"/>
        <v>1.1399999999999999</v>
      </c>
      <c r="M875" s="530">
        <f t="shared" si="927"/>
        <v>1.1399999999999999</v>
      </c>
      <c r="N875" s="309"/>
      <c r="O875" s="776">
        <v>159</v>
      </c>
      <c r="P875" s="777">
        <v>0.03</v>
      </c>
      <c r="Q875" s="777"/>
      <c r="R875" s="751">
        <f>ROUND(SUM(AE868:AE874)*P875,2)</f>
        <v>8.66</v>
      </c>
      <c r="S875" s="752"/>
      <c r="T875" s="792">
        <f>R875*0.1</f>
        <v>0.8660000000000001</v>
      </c>
      <c r="U875" s="803">
        <v>0</v>
      </c>
      <c r="V875" s="803">
        <v>0</v>
      </c>
      <c r="W875" s="803">
        <v>0</v>
      </c>
      <c r="X875" s="858">
        <f>SUMIF('Summary-E'!O$4:O$50,D875,'Summary-E'!Q$4:Q$50)</f>
        <v>0.97</v>
      </c>
      <c r="Y875" s="310">
        <f>ROUND((R875+S875/'Summary-E'!$M$63)*X875,2)</f>
        <v>8.4</v>
      </c>
      <c r="Z875" s="858">
        <f t="shared" si="887"/>
        <v>1.05</v>
      </c>
      <c r="AA875" s="813">
        <f t="shared" si="919"/>
        <v>8.82</v>
      </c>
      <c r="AB875" s="447">
        <f t="shared" si="920"/>
        <v>0.05</v>
      </c>
      <c r="AC875" s="310">
        <f t="shared" si="929"/>
        <v>0.91</v>
      </c>
      <c r="AD875" s="717">
        <f>ROUND(AC875*'[1]Summary E&amp;M'!$R$94,2)</f>
        <v>1.1399999999999999</v>
      </c>
      <c r="AE875" s="825">
        <f t="shared" si="921"/>
        <v>8.4</v>
      </c>
      <c r="AF875" s="825">
        <f t="shared" si="922"/>
        <v>0.91</v>
      </c>
      <c r="AG875" s="743"/>
      <c r="AH875" s="728"/>
      <c r="AI875" s="519">
        <f t="shared" si="923"/>
        <v>0</v>
      </c>
      <c r="AJ875" s="519">
        <f t="shared" si="924"/>
        <v>0</v>
      </c>
      <c r="AK875" s="519">
        <f t="shared" si="925"/>
        <v>0</v>
      </c>
      <c r="AL875" s="520">
        <f t="shared" si="930"/>
        <v>0</v>
      </c>
      <c r="AM875" s="520">
        <f t="shared" si="931"/>
        <v>0</v>
      </c>
      <c r="AN875" s="520">
        <f t="shared" si="932"/>
        <v>0</v>
      </c>
      <c r="AO875" s="520">
        <f t="shared" si="933"/>
        <v>0</v>
      </c>
      <c r="AP875" s="552"/>
      <c r="AQ875" s="552"/>
      <c r="AR875" s="552"/>
      <c r="AS875" s="552"/>
      <c r="AT875" s="552"/>
    </row>
    <row r="876" spans="1:68" s="555" customFormat="1" ht="22.5" customHeight="1">
      <c r="A876" s="570"/>
      <c r="B876" s="568" t="s">
        <v>327</v>
      </c>
      <c r="C876" s="569"/>
      <c r="D876" s="570" t="s">
        <v>134</v>
      </c>
      <c r="E876" s="570" t="s">
        <v>319</v>
      </c>
      <c r="F876" s="1322">
        <f>K876</f>
        <v>1</v>
      </c>
      <c r="G876" s="527">
        <f t="shared" si="928"/>
        <v>91.67</v>
      </c>
      <c r="H876" s="527">
        <f>ROUND(F876*G876,2)</f>
        <v>91.67</v>
      </c>
      <c r="I876" s="1120"/>
      <c r="J876" s="309"/>
      <c r="K876" s="1149">
        <v>1</v>
      </c>
      <c r="L876" s="530">
        <f t="shared" si="926"/>
        <v>26.25</v>
      </c>
      <c r="M876" s="530">
        <f t="shared" si="927"/>
        <v>26.25</v>
      </c>
      <c r="N876" s="309"/>
      <c r="O876" s="776" t="s">
        <v>134</v>
      </c>
      <c r="P876" s="777"/>
      <c r="Q876" s="777"/>
      <c r="R876" s="751">
        <v>90</v>
      </c>
      <c r="S876" s="752"/>
      <c r="T876" s="792">
        <v>20</v>
      </c>
      <c r="U876" s="803">
        <v>0</v>
      </c>
      <c r="V876" s="803">
        <v>0</v>
      </c>
      <c r="W876" s="803">
        <v>0</v>
      </c>
      <c r="X876" s="858">
        <f>SUMIF('Summary-E'!O$4:O$50,D876,'Summary-E'!Q$4:Q$50)</f>
        <v>0.97</v>
      </c>
      <c r="Y876" s="310">
        <f>ROUND((R876+S876/'Summary-E'!$M$63)*X876,2)</f>
        <v>87.3</v>
      </c>
      <c r="Z876" s="858">
        <f t="shared" si="887"/>
        <v>1.05</v>
      </c>
      <c r="AA876" s="813">
        <f t="shared" si="919"/>
        <v>91.67</v>
      </c>
      <c r="AB876" s="447">
        <f t="shared" si="920"/>
        <v>0.05</v>
      </c>
      <c r="AC876" s="310">
        <f t="shared" si="929"/>
        <v>21</v>
      </c>
      <c r="AD876" s="717">
        <f>ROUND(AC876*'[1]Summary E&amp;M'!$R$94,2)</f>
        <v>26.25</v>
      </c>
      <c r="AE876" s="825">
        <f t="shared" si="921"/>
        <v>87.3</v>
      </c>
      <c r="AF876" s="825">
        <f t="shared" si="922"/>
        <v>21</v>
      </c>
      <c r="AG876" s="743"/>
      <c r="AH876" s="728"/>
      <c r="AI876" s="519">
        <f t="shared" si="923"/>
        <v>0</v>
      </c>
      <c r="AJ876" s="519">
        <f t="shared" si="924"/>
        <v>0</v>
      </c>
      <c r="AK876" s="519">
        <f t="shared" si="925"/>
        <v>0</v>
      </c>
      <c r="AL876" s="520">
        <f t="shared" si="930"/>
        <v>0</v>
      </c>
      <c r="AM876" s="520">
        <f t="shared" si="931"/>
        <v>0</v>
      </c>
      <c r="AN876" s="520">
        <f t="shared" si="932"/>
        <v>0</v>
      </c>
      <c r="AO876" s="520">
        <f t="shared" si="933"/>
        <v>0</v>
      </c>
      <c r="AP876" s="552"/>
      <c r="AQ876" s="552"/>
      <c r="AR876" s="552"/>
      <c r="AS876" s="552"/>
      <c r="AT876" s="552"/>
    </row>
    <row r="877" spans="1:68" s="555" customFormat="1" ht="22.5" customHeight="1">
      <c r="A877" s="451"/>
      <c r="B877" s="531"/>
      <c r="C877" s="566"/>
      <c r="D877" s="525"/>
      <c r="E877" s="525"/>
      <c r="F877" s="1314"/>
      <c r="G877" s="527"/>
      <c r="H877" s="527"/>
      <c r="I877" s="567"/>
      <c r="J877" s="582"/>
      <c r="K877" s="1149"/>
      <c r="L877" s="530"/>
      <c r="M877" s="530"/>
      <c r="N877" s="1053"/>
      <c r="O877" s="786"/>
      <c r="P877" s="777"/>
      <c r="Q877" s="777"/>
      <c r="R877" s="751"/>
      <c r="S877" s="752"/>
      <c r="T877" s="792"/>
      <c r="U877" s="803"/>
      <c r="V877" s="803"/>
      <c r="W877" s="803"/>
      <c r="X877" s="858">
        <f>SUMIF('Summary-E'!O$4:O$50,D877,'Summary-E'!Q$4:Q$50)</f>
        <v>0</v>
      </c>
      <c r="Y877" s="310"/>
      <c r="Z877" s="858">
        <f t="shared" si="887"/>
        <v>1.05</v>
      </c>
      <c r="AA877" s="813"/>
      <c r="AB877" s="447"/>
      <c r="AC877" s="310"/>
      <c r="AD877" s="717"/>
      <c r="AE877" s="825"/>
      <c r="AF877" s="825"/>
      <c r="AG877" s="743"/>
      <c r="AH877" s="728"/>
      <c r="AI877" s="519"/>
      <c r="AJ877" s="519"/>
      <c r="AK877" s="519"/>
      <c r="AL877" s="520"/>
      <c r="AM877" s="520"/>
      <c r="AN877" s="520"/>
      <c r="AO877" s="520"/>
      <c r="AP877" s="552"/>
      <c r="AQ877" s="552"/>
      <c r="AR877" s="552"/>
      <c r="AS877" s="552"/>
      <c r="AT877" s="552"/>
    </row>
    <row r="878" spans="1:68" s="711" customFormat="1" ht="22.5" customHeight="1">
      <c r="A878" s="570"/>
      <c r="B878" s="568" t="s">
        <v>324</v>
      </c>
      <c r="C878" s="569"/>
      <c r="D878" s="570">
        <v>210</v>
      </c>
      <c r="E878" s="570" t="s">
        <v>319</v>
      </c>
      <c r="F878" s="1322">
        <f>K878</f>
        <v>1</v>
      </c>
      <c r="G878" s="527">
        <f>M880</f>
        <v>261.42999999999995</v>
      </c>
      <c r="H878" s="527">
        <f>F878*G878</f>
        <v>261.42999999999995</v>
      </c>
      <c r="I878" s="567"/>
      <c r="J878" s="582"/>
      <c r="K878" s="1149">
        <v>1</v>
      </c>
      <c r="L878" s="530"/>
      <c r="M878" s="530"/>
      <c r="N878" s="1053"/>
      <c r="O878" s="786">
        <v>210</v>
      </c>
      <c r="P878" s="777"/>
      <c r="Q878" s="777"/>
      <c r="R878" s="751"/>
      <c r="S878" s="752"/>
      <c r="T878" s="796"/>
      <c r="U878" s="803">
        <v>0</v>
      </c>
      <c r="V878" s="803">
        <v>0</v>
      </c>
      <c r="W878" s="803">
        <v>0</v>
      </c>
      <c r="X878" s="858">
        <f>SUMIF('Summary-E'!O$4:O$50,D878,'Summary-E'!Q$4:Q$50)</f>
        <v>0.05</v>
      </c>
      <c r="Y878" s="310">
        <f>ROUND((R878+S878/'Summary-E'!$M$63)*X878,2)</f>
        <v>0</v>
      </c>
      <c r="Z878" s="858">
        <f t="shared" si="887"/>
        <v>1.05</v>
      </c>
      <c r="AA878" s="813">
        <f>ROUND(Y878*Z878,2)</f>
        <v>0</v>
      </c>
      <c r="AB878" s="447">
        <f>$AB$3</f>
        <v>0.05</v>
      </c>
      <c r="AC878" s="310">
        <f t="shared" si="929"/>
        <v>0</v>
      </c>
      <c r="AD878" s="717">
        <f>ROUND(AC878*'[1]Summary E&amp;M'!$R$94,2)</f>
        <v>0</v>
      </c>
      <c r="AE878" s="825">
        <f t="shared" si="921"/>
        <v>0</v>
      </c>
      <c r="AF878" s="825">
        <f t="shared" si="922"/>
        <v>0</v>
      </c>
      <c r="AG878" s="743"/>
      <c r="AH878" s="728"/>
      <c r="AI878" s="519">
        <f>$U878</f>
        <v>0</v>
      </c>
      <c r="AJ878" s="519">
        <f>$V878</f>
        <v>0</v>
      </c>
      <c r="AK878" s="519">
        <f>$W878</f>
        <v>0</v>
      </c>
      <c r="AL878" s="520">
        <f>ROUND(Y878*AI878+((Y878*(1+AI878))*AJ878)+((Y878*AI878+((Y878*(1+AI878))*AJ878))*AK878),2)</f>
        <v>0</v>
      </c>
      <c r="AM878" s="520">
        <f>AL878*$F878</f>
        <v>0</v>
      </c>
      <c r="AN878" s="520">
        <f>ROUND(AL878*Z878,2)</f>
        <v>0</v>
      </c>
      <c r="AO878" s="520">
        <f>AN878*$F878</f>
        <v>0</v>
      </c>
      <c r="AP878" s="552"/>
      <c r="AQ878" s="552"/>
      <c r="AR878" s="552"/>
      <c r="AS878" s="552"/>
      <c r="AT878" s="552"/>
      <c r="AU878" s="555"/>
      <c r="AV878" s="555"/>
      <c r="AW878" s="555"/>
      <c r="AX878" s="555"/>
      <c r="AY878" s="555"/>
      <c r="AZ878" s="555"/>
      <c r="BA878" s="555"/>
      <c r="BB878" s="555"/>
      <c r="BC878" s="555"/>
      <c r="BD878" s="555"/>
      <c r="BE878" s="555"/>
      <c r="BF878" s="555"/>
      <c r="BG878" s="555"/>
      <c r="BH878" s="555"/>
      <c r="BI878" s="555"/>
      <c r="BJ878" s="555"/>
      <c r="BK878" s="555"/>
      <c r="BL878" s="555"/>
      <c r="BM878" s="555"/>
      <c r="BN878" s="555"/>
      <c r="BO878" s="555"/>
      <c r="BP878" s="555"/>
    </row>
    <row r="879" spans="1:68" s="555" customFormat="1" ht="22.5" customHeight="1">
      <c r="A879" s="616"/>
      <c r="B879" s="573"/>
      <c r="C879" s="574"/>
      <c r="D879" s="575"/>
      <c r="E879" s="616"/>
      <c r="F879" s="1326"/>
      <c r="G879" s="607"/>
      <c r="H879" s="608"/>
      <c r="I879" s="578"/>
      <c r="J879" s="609"/>
      <c r="K879" s="1183"/>
      <c r="L879" s="610"/>
      <c r="M879" s="610"/>
      <c r="N879" s="1053"/>
      <c r="O879" s="786"/>
      <c r="P879" s="777"/>
      <c r="Q879" s="777"/>
      <c r="R879" s="751"/>
      <c r="S879" s="752"/>
      <c r="T879" s="796"/>
      <c r="U879" s="803"/>
      <c r="V879" s="803"/>
      <c r="W879" s="803"/>
      <c r="X879" s="858">
        <f>SUMIF('Summary-E'!O$4:O$50,D879,'Summary-E'!Q$4:Q$50)</f>
        <v>0</v>
      </c>
      <c r="Y879" s="310">
        <f>ROUND((R879+S879/'Summary-E'!$M$63)*X879,2)</f>
        <v>0</v>
      </c>
      <c r="Z879" s="858">
        <f t="shared" si="887"/>
        <v>1.05</v>
      </c>
      <c r="AA879" s="818"/>
      <c r="AB879" s="310"/>
      <c r="AC879" s="310">
        <f t="shared" si="929"/>
        <v>0</v>
      </c>
      <c r="AD879" s="717">
        <f>ROUND(AC879*'[1]Summary E&amp;M'!$R$94,2)</f>
        <v>0</v>
      </c>
      <c r="AE879" s="835"/>
      <c r="AF879" s="835"/>
      <c r="AG879" s="738"/>
      <c r="AH879" s="737"/>
      <c r="AI879" s="552"/>
      <c r="AJ879" s="552"/>
      <c r="AK879" s="552"/>
      <c r="AL879" s="552"/>
      <c r="AM879" s="552"/>
      <c r="AN879" s="552"/>
      <c r="AO879" s="552"/>
      <c r="AP879" s="552"/>
      <c r="AQ879" s="552"/>
      <c r="AR879" s="552"/>
      <c r="AS879" s="552"/>
      <c r="AT879" s="552"/>
    </row>
    <row r="880" spans="1:68" s="711" customFormat="1" ht="22.5" customHeight="1">
      <c r="A880" s="1238"/>
      <c r="B880" s="974" t="s">
        <v>521</v>
      </c>
      <c r="C880" s="979"/>
      <c r="D880" s="980"/>
      <c r="E880" s="973"/>
      <c r="F880" s="1317"/>
      <c r="G880" s="982"/>
      <c r="H880" s="971">
        <f>SUBTOTAL(9,H867:H879)</f>
        <v>670.25</v>
      </c>
      <c r="I880" s="981"/>
      <c r="J880" s="609"/>
      <c r="K880" s="1184"/>
      <c r="L880" s="600"/>
      <c r="M880" s="1051">
        <f>SUBTOTAL(9,M867:M878)</f>
        <v>261.42999999999995</v>
      </c>
      <c r="N880" s="1054"/>
      <c r="O880" s="787"/>
      <c r="P880" s="780"/>
      <c r="Q880" s="780"/>
      <c r="R880" s="759"/>
      <c r="S880" s="760"/>
      <c r="T880" s="797"/>
      <c r="U880" s="806"/>
      <c r="V880" s="806"/>
      <c r="W880" s="803"/>
      <c r="X880" s="858">
        <f>SUMIF('Summary-E'!O$4:O$50,D880,'Summary-E'!Q$4:Q$50)</f>
        <v>0</v>
      </c>
      <c r="Y880" s="310">
        <f>ROUND((R880+S880/'Summary-E'!$M$63)*X880,2)</f>
        <v>0</v>
      </c>
      <c r="Z880" s="858">
        <f t="shared" si="887"/>
        <v>1.05</v>
      </c>
      <c r="AA880" s="818"/>
      <c r="AB880" s="310"/>
      <c r="AC880" s="310">
        <f t="shared" si="929"/>
        <v>0</v>
      </c>
      <c r="AD880" s="717">
        <f>ROUND(AC880*'[1]Summary E&amp;M'!$R$94,2)</f>
        <v>0</v>
      </c>
      <c r="AE880" s="823">
        <f>SUBTOTAL(9,AE867:AE879)</f>
        <v>384.4</v>
      </c>
      <c r="AF880" s="823">
        <f>SUBTOTAL(9,AF867:AF879)</f>
        <v>204.60999999999999</v>
      </c>
      <c r="AG880" s="614"/>
      <c r="AH880" s="730"/>
      <c r="AI880" s="846"/>
      <c r="AJ880" s="846"/>
      <c r="AK880" s="713"/>
      <c r="AL880" s="713"/>
      <c r="AM880" s="727">
        <f>SUBTOTAL(9,AM867:AM879)</f>
        <v>0</v>
      </c>
      <c r="AN880" s="713"/>
      <c r="AO880" s="727">
        <f>SUBTOTAL(9,AO867:AO879)</f>
        <v>0</v>
      </c>
      <c r="AP880" s="713"/>
      <c r="AQ880" s="713"/>
      <c r="AR880" s="713"/>
      <c r="AS880" s="713"/>
      <c r="AT880" s="713"/>
    </row>
    <row r="881" spans="1:68" s="555" customFormat="1" ht="22.5" customHeight="1">
      <c r="A881" s="545"/>
      <c r="B881" s="543"/>
      <c r="C881" s="544"/>
      <c r="D881" s="580"/>
      <c r="E881" s="545"/>
      <c r="F881" s="1329"/>
      <c r="G881" s="611"/>
      <c r="H881" s="612"/>
      <c r="I881" s="613"/>
      <c r="J881" s="582"/>
      <c r="K881" s="1186"/>
      <c r="L881" s="610"/>
      <c r="M881" s="610"/>
      <c r="N881" s="1053"/>
      <c r="O881" s="786"/>
      <c r="P881" s="777"/>
      <c r="Q881" s="777"/>
      <c r="R881" s="751"/>
      <c r="S881" s="752"/>
      <c r="T881" s="796"/>
      <c r="U881" s="803"/>
      <c r="V881" s="803"/>
      <c r="W881" s="803"/>
      <c r="X881" s="858">
        <f>SUMIF('Summary-E'!O$4:O$50,D881,'Summary-E'!Q$4:Q$50)</f>
        <v>0</v>
      </c>
      <c r="Y881" s="310">
        <f>ROUND((R881+S881/'Summary-E'!$M$63)*X881,2)</f>
        <v>0</v>
      </c>
      <c r="Z881" s="858">
        <f t="shared" si="887"/>
        <v>1.05</v>
      </c>
      <c r="AA881" s="818"/>
      <c r="AB881" s="310"/>
      <c r="AC881" s="310">
        <f t="shared" si="929"/>
        <v>0</v>
      </c>
      <c r="AD881" s="717">
        <f>ROUND(AC881*'[1]Summary E&amp;M'!$R$94,2)</f>
        <v>0</v>
      </c>
      <c r="AE881" s="832"/>
      <c r="AF881" s="832"/>
      <c r="AG881" s="614"/>
      <c r="AH881" s="737"/>
      <c r="AI881" s="552"/>
      <c r="AJ881" s="552"/>
      <c r="AK881" s="552"/>
      <c r="AL881" s="552"/>
      <c r="AM881" s="615"/>
      <c r="AN881" s="552"/>
      <c r="AO881" s="615"/>
      <c r="AP881" s="552"/>
      <c r="AQ881" s="552"/>
      <c r="AR881" s="552"/>
      <c r="AS881" s="552"/>
      <c r="AT881" s="552"/>
    </row>
    <row r="882" spans="1:68" s="555" customFormat="1" ht="22.5" customHeight="1">
      <c r="A882" s="620" t="s">
        <v>770</v>
      </c>
      <c r="B882" s="522" t="s">
        <v>338</v>
      </c>
      <c r="C882" s="566"/>
      <c r="D882" s="525"/>
      <c r="E882" s="588"/>
      <c r="F882" s="1328"/>
      <c r="G882" s="605"/>
      <c r="H882" s="605"/>
      <c r="I882" s="606"/>
      <c r="J882" s="428"/>
      <c r="K882" s="1173"/>
      <c r="L882" s="960"/>
      <c r="M882" s="960"/>
      <c r="N882" s="428"/>
      <c r="O882" s="786"/>
      <c r="P882" s="777"/>
      <c r="Q882" s="777"/>
      <c r="R882" s="751"/>
      <c r="S882" s="752"/>
      <c r="T882" s="792"/>
      <c r="U882" s="803">
        <v>0</v>
      </c>
      <c r="V882" s="803">
        <v>0</v>
      </c>
      <c r="W882" s="803">
        <v>0</v>
      </c>
      <c r="X882" s="858">
        <f>SUMIF('Summary-E'!O$4:O$50,D882,'Summary-E'!Q$4:Q$50)</f>
        <v>0</v>
      </c>
      <c r="Y882" s="310">
        <f>ROUND((R882+S882/'Summary-E'!$M$63)*X882,2)</f>
        <v>0</v>
      </c>
      <c r="Z882" s="858">
        <f t="shared" si="887"/>
        <v>1.05</v>
      </c>
      <c r="AA882" s="813">
        <f t="shared" ref="AA882:AA892" si="934">ROUND(Y882*Z882,2)</f>
        <v>0</v>
      </c>
      <c r="AB882" s="447">
        <f t="shared" ref="AB882:AB892" si="935">$AB$3</f>
        <v>0.05</v>
      </c>
      <c r="AC882" s="310">
        <f t="shared" si="929"/>
        <v>0</v>
      </c>
      <c r="AD882" s="717">
        <f>ROUND(AC882*'[1]Summary E&amp;M'!$R$94,2)</f>
        <v>0</v>
      </c>
      <c r="AE882" s="825">
        <f t="shared" ref="AE882:AE894" si="936">ROUND($K882*$Y882,2)</f>
        <v>0</v>
      </c>
      <c r="AF882" s="825">
        <f t="shared" ref="AF882:AF894" si="937">ROUND($K882*$AC882,2)</f>
        <v>0</v>
      </c>
      <c r="AG882" s="743"/>
      <c r="AH882" s="728"/>
      <c r="AI882" s="519">
        <f t="shared" ref="AI882:AI892" si="938">$U882</f>
        <v>0</v>
      </c>
      <c r="AJ882" s="519">
        <f t="shared" ref="AJ882:AJ892" si="939">$V882</f>
        <v>0</v>
      </c>
      <c r="AK882" s="519">
        <f t="shared" ref="AK882:AK892" si="940">$W882</f>
        <v>0</v>
      </c>
      <c r="AL882" s="520">
        <f t="shared" ref="AL882:AL892" si="941">ROUND(Y882*AI882+((Y882*(1+AI882))*AJ882)+((Y882*AI882+((Y882*(1+AI882))*AJ882))*AK882),2)</f>
        <v>0</v>
      </c>
      <c r="AM882" s="520">
        <f t="shared" ref="AM882:AM892" si="942">AL882*$F882</f>
        <v>0</v>
      </c>
      <c r="AN882" s="520">
        <f t="shared" ref="AN882:AN892" si="943">ROUND(AL882*Z882,2)</f>
        <v>0</v>
      </c>
      <c r="AO882" s="520">
        <f t="shared" ref="AO882:AO892" si="944">AN882*$F882</f>
        <v>0</v>
      </c>
      <c r="AP882" s="718"/>
      <c r="AQ882" s="718"/>
      <c r="AR882" s="718"/>
      <c r="AS882" s="718"/>
      <c r="AT882" s="718"/>
    </row>
    <row r="883" spans="1:68" s="555" customFormat="1" ht="22.5" customHeight="1">
      <c r="A883" s="620"/>
      <c r="B883" s="531" t="s">
        <v>1234</v>
      </c>
      <c r="C883" s="566"/>
      <c r="D883" s="525" t="s">
        <v>1129</v>
      </c>
      <c r="E883" s="525" t="s">
        <v>436</v>
      </c>
      <c r="F883" s="1322">
        <f>K883</f>
        <v>1</v>
      </c>
      <c r="G883" s="1477" t="s">
        <v>1301</v>
      </c>
      <c r="H883" s="1478"/>
      <c r="I883" s="901"/>
      <c r="J883" s="582"/>
      <c r="K883" s="1149">
        <v>1</v>
      </c>
      <c r="L883" s="530">
        <f t="shared" ref="L883:L893" si="945">ROUND(AD883,2)</f>
        <v>39.380000000000003</v>
      </c>
      <c r="M883" s="530">
        <f t="shared" ref="M883:M893" si="946">ROUND(L883*F883,2)</f>
        <v>39.380000000000003</v>
      </c>
      <c r="N883" s="309"/>
      <c r="O883" s="786" t="s">
        <v>136</v>
      </c>
      <c r="P883" s="777"/>
      <c r="Q883" s="777"/>
      <c r="R883" s="751"/>
      <c r="S883" s="752"/>
      <c r="T883" s="792">
        <v>30</v>
      </c>
      <c r="U883" s="803">
        <v>0</v>
      </c>
      <c r="V883" s="803">
        <v>0</v>
      </c>
      <c r="W883" s="803">
        <v>0</v>
      </c>
      <c r="X883" s="858">
        <v>1</v>
      </c>
      <c r="Y883" s="310">
        <f>ROUND((R883+S883/'Summary-E'!$M$63)*X883,2)</f>
        <v>0</v>
      </c>
      <c r="Z883" s="858">
        <f t="shared" si="887"/>
        <v>1.05</v>
      </c>
      <c r="AA883" s="813">
        <f t="shared" si="934"/>
        <v>0</v>
      </c>
      <c r="AB883" s="447">
        <f t="shared" si="935"/>
        <v>0.05</v>
      </c>
      <c r="AC883" s="310">
        <f t="shared" si="929"/>
        <v>31.5</v>
      </c>
      <c r="AD883" s="717">
        <f>ROUND(AC883*'[1]Summary E&amp;M'!$R$94,2)</f>
        <v>39.380000000000003</v>
      </c>
      <c r="AE883" s="825">
        <f t="shared" si="936"/>
        <v>0</v>
      </c>
      <c r="AF883" s="825">
        <f t="shared" si="937"/>
        <v>31.5</v>
      </c>
      <c r="AG883" s="743"/>
      <c r="AH883" s="728"/>
      <c r="AI883" s="519">
        <f t="shared" si="938"/>
        <v>0</v>
      </c>
      <c r="AJ883" s="519">
        <f t="shared" si="939"/>
        <v>0</v>
      </c>
      <c r="AK883" s="519">
        <f t="shared" si="940"/>
        <v>0</v>
      </c>
      <c r="AL883" s="520">
        <f t="shared" si="941"/>
        <v>0</v>
      </c>
      <c r="AM883" s="520">
        <f t="shared" si="942"/>
        <v>0</v>
      </c>
      <c r="AN883" s="520">
        <f t="shared" si="943"/>
        <v>0</v>
      </c>
      <c r="AO883" s="520">
        <f t="shared" si="944"/>
        <v>0</v>
      </c>
      <c r="AP883" s="552"/>
      <c r="AQ883" s="552"/>
      <c r="AR883" s="552"/>
      <c r="AS883" s="552"/>
      <c r="AT883" s="552"/>
    </row>
    <row r="884" spans="1:68" s="555" customFormat="1" ht="22.5" customHeight="1">
      <c r="A884" s="620"/>
      <c r="B884" s="531" t="s">
        <v>1235</v>
      </c>
      <c r="C884" s="566"/>
      <c r="D884" s="525" t="s">
        <v>1129</v>
      </c>
      <c r="E884" s="525" t="s">
        <v>319</v>
      </c>
      <c r="F884" s="1322">
        <f>K884</f>
        <v>1</v>
      </c>
      <c r="G884" s="527">
        <f>ROUND(AA884,2)</f>
        <v>488.4</v>
      </c>
      <c r="H884" s="527">
        <f t="shared" ref="H884:H890" si="947">F884*G884</f>
        <v>488.4</v>
      </c>
      <c r="I884" s="901"/>
      <c r="J884" s="582"/>
      <c r="K884" s="1149">
        <v>1</v>
      </c>
      <c r="L884" s="530">
        <f t="shared" si="945"/>
        <v>26.25</v>
      </c>
      <c r="M884" s="530">
        <f t="shared" si="946"/>
        <v>26.25</v>
      </c>
      <c r="N884" s="309"/>
      <c r="O884" s="786" t="s">
        <v>136</v>
      </c>
      <c r="P884" s="777"/>
      <c r="Q884" s="777"/>
      <c r="R884" s="751"/>
      <c r="S884" s="752">
        <v>9675000</v>
      </c>
      <c r="T884" s="792">
        <v>20</v>
      </c>
      <c r="U884" s="803">
        <v>0</v>
      </c>
      <c r="V884" s="803">
        <v>0</v>
      </c>
      <c r="W884" s="803">
        <v>0</v>
      </c>
      <c r="X884" s="858">
        <v>1</v>
      </c>
      <c r="Y884" s="310">
        <f>ROUND((R884+S884/'Summary-E'!$M$63)*X884,2)</f>
        <v>465.14</v>
      </c>
      <c r="Z884" s="858">
        <f t="shared" si="887"/>
        <v>1.05</v>
      </c>
      <c r="AA884" s="813">
        <f t="shared" si="934"/>
        <v>488.4</v>
      </c>
      <c r="AB884" s="447">
        <f t="shared" si="935"/>
        <v>0.05</v>
      </c>
      <c r="AC884" s="310">
        <f t="shared" si="929"/>
        <v>21</v>
      </c>
      <c r="AD884" s="717">
        <f>ROUND(AC884*'[1]Summary E&amp;M'!$R$94,2)</f>
        <v>26.25</v>
      </c>
      <c r="AE884" s="825">
        <f t="shared" si="936"/>
        <v>465.14</v>
      </c>
      <c r="AF884" s="825">
        <f t="shared" si="937"/>
        <v>21</v>
      </c>
      <c r="AG884" s="743"/>
      <c r="AH884" s="728"/>
      <c r="AI884" s="519">
        <f t="shared" si="938"/>
        <v>0</v>
      </c>
      <c r="AJ884" s="519">
        <f t="shared" si="939"/>
        <v>0</v>
      </c>
      <c r="AK884" s="519">
        <f t="shared" si="940"/>
        <v>0</v>
      </c>
      <c r="AL884" s="520">
        <f t="shared" si="941"/>
        <v>0</v>
      </c>
      <c r="AM884" s="520">
        <f t="shared" si="942"/>
        <v>0</v>
      </c>
      <c r="AN884" s="520">
        <f t="shared" si="943"/>
        <v>0</v>
      </c>
      <c r="AO884" s="520">
        <f t="shared" si="944"/>
        <v>0</v>
      </c>
      <c r="AP884" s="552"/>
      <c r="AQ884" s="552"/>
      <c r="AR884" s="552"/>
      <c r="AS884" s="552"/>
      <c r="AT884" s="552"/>
    </row>
    <row r="885" spans="1:68" s="555" customFormat="1" ht="22.5" customHeight="1">
      <c r="A885" s="451"/>
      <c r="B885" s="531" t="s">
        <v>928</v>
      </c>
      <c r="C885" s="566" t="s">
        <v>1001</v>
      </c>
      <c r="D885" s="1001" t="s">
        <v>1114</v>
      </c>
      <c r="E885" s="525" t="s">
        <v>319</v>
      </c>
      <c r="F885" s="1322">
        <f>K885</f>
        <v>110</v>
      </c>
      <c r="G885" s="527">
        <f>ROUNDUP(AA885,2)</f>
        <v>1.48</v>
      </c>
      <c r="H885" s="527">
        <f>ROUND(F885*G885,2)</f>
        <v>162.80000000000001</v>
      </c>
      <c r="I885" s="529"/>
      <c r="J885" s="309"/>
      <c r="K885" s="1175">
        <v>110</v>
      </c>
      <c r="L885" s="530">
        <f t="shared" si="945"/>
        <v>0.93</v>
      </c>
      <c r="M885" s="530">
        <f t="shared" si="946"/>
        <v>102.3</v>
      </c>
      <c r="N885" s="309"/>
      <c r="O885" s="778" t="s">
        <v>673</v>
      </c>
      <c r="P885" s="1093"/>
      <c r="Q885" s="1094"/>
      <c r="R885" s="882"/>
      <c r="S885" s="883">
        <v>29300</v>
      </c>
      <c r="T885" s="879">
        <v>0.7</v>
      </c>
      <c r="U885" s="803">
        <v>0</v>
      </c>
      <c r="V885" s="803">
        <v>0</v>
      </c>
      <c r="W885" s="803">
        <v>0</v>
      </c>
      <c r="X885" s="858">
        <v>1</v>
      </c>
      <c r="Y885" s="310">
        <f>ROUND((R885+S885/'[7]Summary E&amp;M'!$M$104)*X885,2)</f>
        <v>1.41</v>
      </c>
      <c r="Z885" s="858">
        <f t="shared" si="887"/>
        <v>1.05</v>
      </c>
      <c r="AA885" s="813">
        <f t="shared" si="934"/>
        <v>1.48</v>
      </c>
      <c r="AB885" s="447">
        <f t="shared" si="935"/>
        <v>0.05</v>
      </c>
      <c r="AC885" s="310">
        <f t="shared" ref="AC885:AC887" si="948">ROUND((T885*(1+AB885)),2)</f>
        <v>0.74</v>
      </c>
      <c r="AD885" s="717">
        <f>ROUND(AC885*'[11]Summary E&amp;M'!$R$94,2)</f>
        <v>0.93</v>
      </c>
      <c r="AE885" s="826">
        <f t="shared" si="936"/>
        <v>155.1</v>
      </c>
      <c r="AF885" s="826">
        <f t="shared" si="937"/>
        <v>81.400000000000006</v>
      </c>
      <c r="AG885" s="744"/>
      <c r="AH885" s="728"/>
      <c r="AI885" s="519">
        <f t="shared" si="938"/>
        <v>0</v>
      </c>
      <c r="AJ885" s="519">
        <f t="shared" si="939"/>
        <v>0</v>
      </c>
      <c r="AK885" s="519">
        <f t="shared" si="940"/>
        <v>0</v>
      </c>
      <c r="AL885" s="520">
        <f t="shared" si="941"/>
        <v>0</v>
      </c>
      <c r="AM885" s="520">
        <f t="shared" si="942"/>
        <v>0</v>
      </c>
      <c r="AN885" s="520">
        <f t="shared" si="943"/>
        <v>0</v>
      </c>
      <c r="AO885" s="520">
        <f t="shared" si="944"/>
        <v>0</v>
      </c>
      <c r="AP885" s="719"/>
      <c r="AQ885" s="719"/>
      <c r="AR885" s="719"/>
      <c r="AS885" s="719"/>
      <c r="AT885" s="719"/>
    </row>
    <row r="886" spans="1:68" s="555" customFormat="1" ht="22.5" customHeight="1">
      <c r="A886" s="620"/>
      <c r="B886" s="531" t="s">
        <v>403</v>
      </c>
      <c r="C886" s="566" t="s">
        <v>329</v>
      </c>
      <c r="D886" s="1214" t="s">
        <v>1111</v>
      </c>
      <c r="E886" s="525" t="s">
        <v>321</v>
      </c>
      <c r="F886" s="1314">
        <f>ROUND(K886*'Summary-E'!$K$61,0)</f>
        <v>21</v>
      </c>
      <c r="G886" s="527">
        <f t="shared" ref="G886:G887" si="949">ROUND(AA886,2)</f>
        <v>2.1</v>
      </c>
      <c r="H886" s="527">
        <f>ROUND(F886*G886,2)</f>
        <v>44.1</v>
      </c>
      <c r="I886" s="1120"/>
      <c r="J886" s="309"/>
      <c r="K886" s="1149">
        <v>20</v>
      </c>
      <c r="L886" s="530">
        <f t="shared" si="945"/>
        <v>0.79</v>
      </c>
      <c r="M886" s="530">
        <f t="shared" si="946"/>
        <v>16.59</v>
      </c>
      <c r="N886" s="309"/>
      <c r="O886" s="776" t="s">
        <v>131</v>
      </c>
      <c r="P886" s="777"/>
      <c r="Q886" s="777"/>
      <c r="R886" s="751">
        <v>2</v>
      </c>
      <c r="S886" s="752"/>
      <c r="T886" s="783">
        <v>0.6</v>
      </c>
      <c r="U886" s="803">
        <v>0</v>
      </c>
      <c r="V886" s="803">
        <v>0</v>
      </c>
      <c r="W886" s="803">
        <v>0</v>
      </c>
      <c r="X886" s="858">
        <v>1</v>
      </c>
      <c r="Y886" s="310">
        <f>ROUND((R886+S886/'Summary-E'!$M$63)*X886,2)</f>
        <v>2</v>
      </c>
      <c r="Z886" s="858">
        <f t="shared" si="887"/>
        <v>1.05</v>
      </c>
      <c r="AA886" s="813">
        <f t="shared" si="934"/>
        <v>2.1</v>
      </c>
      <c r="AB886" s="447">
        <f t="shared" si="935"/>
        <v>0.05</v>
      </c>
      <c r="AC886" s="310">
        <f t="shared" si="948"/>
        <v>0.63</v>
      </c>
      <c r="AD886" s="717">
        <f>ROUND(AC886*'[1]Summary E&amp;M'!$R$94,2)</f>
        <v>0.79</v>
      </c>
      <c r="AE886" s="825">
        <f t="shared" si="936"/>
        <v>40</v>
      </c>
      <c r="AF886" s="825">
        <f t="shared" si="937"/>
        <v>12.6</v>
      </c>
      <c r="AG886" s="743"/>
      <c r="AH886" s="728"/>
      <c r="AI886" s="519">
        <f t="shared" si="938"/>
        <v>0</v>
      </c>
      <c r="AJ886" s="519">
        <f t="shared" si="939"/>
        <v>0</v>
      </c>
      <c r="AK886" s="519">
        <f t="shared" si="940"/>
        <v>0</v>
      </c>
      <c r="AL886" s="520">
        <f>ROUND(Y886*AI886+((Y886*(1+AI886))*AJ886)+((Y886*AI886+((Y886*(1+AI886))*AJ886))*AK886),2)</f>
        <v>0</v>
      </c>
      <c r="AM886" s="520">
        <f>AL886*$F886</f>
        <v>0</v>
      </c>
      <c r="AN886" s="520">
        <f>ROUND(AL886*Z886,2)</f>
        <v>0</v>
      </c>
      <c r="AO886" s="520">
        <f>AN886*$F886</f>
        <v>0</v>
      </c>
      <c r="AP886" s="552"/>
      <c r="AQ886" s="552"/>
      <c r="AR886" s="552"/>
      <c r="AS886" s="552"/>
      <c r="AT886" s="552"/>
    </row>
    <row r="887" spans="1:68" s="555" customFormat="1" ht="22.5" customHeight="1">
      <c r="A887" s="570"/>
      <c r="B887" s="568" t="s">
        <v>333</v>
      </c>
      <c r="C887" s="569"/>
      <c r="D887" s="525" t="s">
        <v>1113</v>
      </c>
      <c r="E887" s="570" t="s">
        <v>322</v>
      </c>
      <c r="F887" s="1322">
        <f>K887</f>
        <v>1</v>
      </c>
      <c r="G887" s="527">
        <f t="shared" si="949"/>
        <v>12.22</v>
      </c>
      <c r="H887" s="527">
        <f>F887*G887</f>
        <v>12.22</v>
      </c>
      <c r="I887" s="1120"/>
      <c r="J887" s="582"/>
      <c r="K887" s="1149">
        <v>1</v>
      </c>
      <c r="L887" s="530">
        <f t="shared" si="945"/>
        <v>1.58</v>
      </c>
      <c r="M887" s="530">
        <f t="shared" si="946"/>
        <v>1.58</v>
      </c>
      <c r="N887" s="1053"/>
      <c r="O887" s="776" t="s">
        <v>683</v>
      </c>
      <c r="P887" s="777">
        <v>0.3</v>
      </c>
      <c r="Q887" s="777"/>
      <c r="R887" s="751">
        <f>ROUND(SUM(AE886:AE886)*P887,2)</f>
        <v>12</v>
      </c>
      <c r="S887" s="752"/>
      <c r="T887" s="792">
        <f>ROUND(R887*10%,2)</f>
        <v>1.2</v>
      </c>
      <c r="U887" s="803">
        <v>0</v>
      </c>
      <c r="V887" s="803">
        <v>0</v>
      </c>
      <c r="W887" s="803">
        <v>0</v>
      </c>
      <c r="X887" s="858">
        <f>SUMIF('Summary-E'!O$4:O$50,D887,'Summary-E'!Q$4:Q$50)</f>
        <v>0.97</v>
      </c>
      <c r="Y887" s="310">
        <f>ROUND((R887+S887/'Summary-E'!$M$63)*X887,2)</f>
        <v>11.64</v>
      </c>
      <c r="Z887" s="858">
        <f t="shared" si="887"/>
        <v>1.05</v>
      </c>
      <c r="AA887" s="813">
        <f t="shared" si="934"/>
        <v>12.22</v>
      </c>
      <c r="AB887" s="447">
        <f t="shared" si="935"/>
        <v>0.05</v>
      </c>
      <c r="AC887" s="310">
        <f t="shared" si="948"/>
        <v>1.26</v>
      </c>
      <c r="AD887" s="717">
        <f>ROUND(AC887*'[1]Summary E&amp;M'!$R$94,2)</f>
        <v>1.58</v>
      </c>
      <c r="AE887" s="825">
        <f t="shared" si="936"/>
        <v>11.64</v>
      </c>
      <c r="AF887" s="825">
        <f t="shared" si="937"/>
        <v>1.26</v>
      </c>
      <c r="AG887" s="743"/>
      <c r="AH887" s="728"/>
      <c r="AI887" s="519">
        <f t="shared" si="938"/>
        <v>0</v>
      </c>
      <c r="AJ887" s="519">
        <f t="shared" si="939"/>
        <v>0</v>
      </c>
      <c r="AK887" s="519">
        <f t="shared" si="940"/>
        <v>0</v>
      </c>
      <c r="AL887" s="520">
        <f t="shared" ref="AL887" si="950">ROUND(Y887*AI887+((Y887*(1+AI887))*AJ887)+((Y887*AI887+((Y887*(1+AI887))*AJ887))*AK887),2)</f>
        <v>0</v>
      </c>
      <c r="AM887" s="520">
        <f t="shared" ref="AM887" si="951">AL887*$F887</f>
        <v>0</v>
      </c>
      <c r="AN887" s="520">
        <f t="shared" ref="AN887" si="952">ROUND(AL887*Z887,2)</f>
        <v>0</v>
      </c>
      <c r="AO887" s="520">
        <f t="shared" ref="AO887" si="953">AN887*$F887</f>
        <v>0</v>
      </c>
      <c r="AP887" s="552"/>
      <c r="AQ887" s="552"/>
      <c r="AR887" s="552"/>
      <c r="AS887" s="552"/>
      <c r="AT887" s="552"/>
    </row>
    <row r="888" spans="1:68" s="555" customFormat="1" ht="22.5" customHeight="1">
      <c r="A888" s="451"/>
      <c r="B888" s="531" t="s">
        <v>1000</v>
      </c>
      <c r="C888" s="566" t="s">
        <v>1238</v>
      </c>
      <c r="D888" s="570">
        <v>131</v>
      </c>
      <c r="E888" s="525" t="s">
        <v>321</v>
      </c>
      <c r="F888" s="1314">
        <f>ROUND(K888*'Summary-E'!$K$61,0)</f>
        <v>137</v>
      </c>
      <c r="G888" s="527">
        <f t="shared" ref="G888:G892" si="954">ROUND(AA888,2)</f>
        <v>7.17</v>
      </c>
      <c r="H888" s="527">
        <f t="shared" si="947"/>
        <v>982.29</v>
      </c>
      <c r="I888" s="567"/>
      <c r="J888" s="582"/>
      <c r="K888" s="1149">
        <v>130</v>
      </c>
      <c r="L888" s="530">
        <f t="shared" si="945"/>
        <v>1.98</v>
      </c>
      <c r="M888" s="530">
        <f t="shared" si="946"/>
        <v>271.26</v>
      </c>
      <c r="N888" s="1053"/>
      <c r="O888" s="786">
        <v>131</v>
      </c>
      <c r="P888" s="777"/>
      <c r="Q888" s="777"/>
      <c r="R888" s="751"/>
      <c r="S888" s="752">
        <v>142000</v>
      </c>
      <c r="T888" s="792">
        <v>1.5</v>
      </c>
      <c r="U888" s="803">
        <v>0</v>
      </c>
      <c r="V888" s="803">
        <v>0</v>
      </c>
      <c r="W888" s="803">
        <v>0</v>
      </c>
      <c r="X888" s="858">
        <v>1</v>
      </c>
      <c r="Y888" s="310">
        <f>ROUND((R888+S888/'Summary-E'!$M$63)*X888,2)</f>
        <v>6.83</v>
      </c>
      <c r="Z888" s="858">
        <f t="shared" si="887"/>
        <v>1.05</v>
      </c>
      <c r="AA888" s="813">
        <f t="shared" si="934"/>
        <v>7.17</v>
      </c>
      <c r="AB888" s="447">
        <f t="shared" si="935"/>
        <v>0.05</v>
      </c>
      <c r="AC888" s="310">
        <f t="shared" ref="AC888:AC896" si="955">ROUND((T888*(1+AB888)),2)</f>
        <v>1.58</v>
      </c>
      <c r="AD888" s="717">
        <f>ROUND(AC888*'[1]Summary E&amp;M'!$R$94,2)</f>
        <v>1.98</v>
      </c>
      <c r="AE888" s="825">
        <f t="shared" si="936"/>
        <v>887.9</v>
      </c>
      <c r="AF888" s="825">
        <f t="shared" si="937"/>
        <v>205.4</v>
      </c>
      <c r="AG888" s="743"/>
      <c r="AH888" s="728"/>
      <c r="AI888" s="519">
        <f t="shared" si="938"/>
        <v>0</v>
      </c>
      <c r="AJ888" s="519">
        <f t="shared" si="939"/>
        <v>0</v>
      </c>
      <c r="AK888" s="519">
        <f t="shared" si="940"/>
        <v>0</v>
      </c>
      <c r="AL888" s="520">
        <f t="shared" si="941"/>
        <v>0</v>
      </c>
      <c r="AM888" s="520">
        <f t="shared" si="942"/>
        <v>0</v>
      </c>
      <c r="AN888" s="520">
        <f t="shared" si="943"/>
        <v>0</v>
      </c>
      <c r="AO888" s="520">
        <f t="shared" si="944"/>
        <v>0</v>
      </c>
      <c r="AP888" s="552"/>
      <c r="AQ888" s="552"/>
      <c r="AR888" s="552"/>
      <c r="AS888" s="552"/>
      <c r="AT888" s="552"/>
    </row>
    <row r="889" spans="1:68" s="555" customFormat="1" ht="22.5" customHeight="1">
      <c r="A889" s="451"/>
      <c r="B889" s="531" t="s">
        <v>121</v>
      </c>
      <c r="C889" s="566" t="s">
        <v>1239</v>
      </c>
      <c r="D889" s="570">
        <v>131</v>
      </c>
      <c r="E889" s="525" t="s">
        <v>321</v>
      </c>
      <c r="F889" s="1314">
        <f>ROUND(K889*'Summary-E'!$K$61,0)</f>
        <v>147</v>
      </c>
      <c r="G889" s="527">
        <f t="shared" si="954"/>
        <v>0.46</v>
      </c>
      <c r="H889" s="527">
        <f>F889*G889</f>
        <v>67.62</v>
      </c>
      <c r="I889" s="1120"/>
      <c r="J889" s="582"/>
      <c r="K889" s="1149">
        <v>140</v>
      </c>
      <c r="L889" s="530">
        <f t="shared" si="945"/>
        <v>0.66</v>
      </c>
      <c r="M889" s="530">
        <f t="shared" si="946"/>
        <v>97.02</v>
      </c>
      <c r="N889" s="1053"/>
      <c r="O889" s="786">
        <v>131</v>
      </c>
      <c r="P889" s="777"/>
      <c r="Q889" s="777"/>
      <c r="R889" s="751"/>
      <c r="S889" s="752">
        <v>9150</v>
      </c>
      <c r="T889" s="792">
        <v>0.5</v>
      </c>
      <c r="U889" s="803">
        <v>0</v>
      </c>
      <c r="V889" s="803">
        <v>0</v>
      </c>
      <c r="W889" s="803">
        <v>0</v>
      </c>
      <c r="X889" s="858">
        <v>1</v>
      </c>
      <c r="Y889" s="310">
        <f>ROUND((R889+S889/'Summary-E'!$M$63)*X889,2)</f>
        <v>0.44</v>
      </c>
      <c r="Z889" s="858">
        <f t="shared" si="887"/>
        <v>1.05</v>
      </c>
      <c r="AA889" s="813">
        <f t="shared" si="934"/>
        <v>0.46</v>
      </c>
      <c r="AB889" s="447">
        <f t="shared" si="935"/>
        <v>0.05</v>
      </c>
      <c r="AC889" s="310">
        <f t="shared" si="955"/>
        <v>0.53</v>
      </c>
      <c r="AD889" s="717">
        <f>ROUND(AC889*'[1]Summary E&amp;M'!$R$94,2)</f>
        <v>0.66</v>
      </c>
      <c r="AE889" s="825">
        <f t="shared" si="936"/>
        <v>61.6</v>
      </c>
      <c r="AF889" s="825">
        <f t="shared" si="937"/>
        <v>74.2</v>
      </c>
      <c r="AG889" s="743"/>
      <c r="AH889" s="728"/>
      <c r="AI889" s="519">
        <f t="shared" si="938"/>
        <v>0</v>
      </c>
      <c r="AJ889" s="519">
        <f t="shared" si="939"/>
        <v>0</v>
      </c>
      <c r="AK889" s="519">
        <f t="shared" si="940"/>
        <v>0</v>
      </c>
      <c r="AL889" s="520">
        <f t="shared" si="941"/>
        <v>0</v>
      </c>
      <c r="AM889" s="520">
        <f t="shared" si="942"/>
        <v>0</v>
      </c>
      <c r="AN889" s="520">
        <f t="shared" si="943"/>
        <v>0</v>
      </c>
      <c r="AO889" s="520">
        <f t="shared" si="944"/>
        <v>0</v>
      </c>
      <c r="AP889" s="552"/>
      <c r="AQ889" s="552"/>
      <c r="AR889" s="552"/>
      <c r="AS889" s="552"/>
      <c r="AT889" s="552"/>
    </row>
    <row r="890" spans="1:68" s="555" customFormat="1" ht="22.5" customHeight="1">
      <c r="A890" s="451"/>
      <c r="B890" s="531" t="s">
        <v>769</v>
      </c>
      <c r="C890" s="566"/>
      <c r="D890" s="570" t="s">
        <v>690</v>
      </c>
      <c r="E890" s="525" t="s">
        <v>322</v>
      </c>
      <c r="F890" s="1314">
        <f>ROUND(K890*'[1]Summary E&amp;M'!$K$98,0)</f>
        <v>1</v>
      </c>
      <c r="G890" s="527">
        <f t="shared" si="954"/>
        <v>27.13</v>
      </c>
      <c r="H890" s="527">
        <f t="shared" si="947"/>
        <v>27.13</v>
      </c>
      <c r="I890" s="567"/>
      <c r="J890" s="582"/>
      <c r="K890" s="1149">
        <v>1</v>
      </c>
      <c r="L890" s="530">
        <f t="shared" si="945"/>
        <v>4.2</v>
      </c>
      <c r="M890" s="530">
        <f t="shared" si="946"/>
        <v>4.2</v>
      </c>
      <c r="N890" s="1053"/>
      <c r="O890" s="786">
        <v>131</v>
      </c>
      <c r="P890" s="777">
        <v>0.03</v>
      </c>
      <c r="Q890" s="777"/>
      <c r="R890" s="751">
        <f>ROUND(SUM(AE888:AE888)*P890,2)</f>
        <v>26.64</v>
      </c>
      <c r="S890" s="752"/>
      <c r="T890" s="792">
        <f>ROUND(R890*12%,2)</f>
        <v>3.2</v>
      </c>
      <c r="U890" s="803">
        <v>0</v>
      </c>
      <c r="V890" s="803">
        <v>0</v>
      </c>
      <c r="W890" s="803">
        <v>0</v>
      </c>
      <c r="X890" s="858">
        <f>SUMIF('Summary-E'!O$4:O$50,D890,'Summary-E'!Q$4:Q$50)</f>
        <v>0.97</v>
      </c>
      <c r="Y890" s="310">
        <f>ROUND((R890+S890/'Summary-E'!$M$63)*X890,2)</f>
        <v>25.84</v>
      </c>
      <c r="Z890" s="858">
        <f t="shared" si="887"/>
        <v>1.05</v>
      </c>
      <c r="AA890" s="813">
        <f t="shared" si="934"/>
        <v>27.13</v>
      </c>
      <c r="AB890" s="447">
        <f t="shared" si="935"/>
        <v>0.05</v>
      </c>
      <c r="AC890" s="310">
        <f>ROUND((T890*(1+AB890)),2)</f>
        <v>3.36</v>
      </c>
      <c r="AD890" s="717">
        <f>ROUND(AC890*'[1]Summary E&amp;M'!$R$94,2)</f>
        <v>4.2</v>
      </c>
      <c r="AE890" s="825">
        <f t="shared" si="936"/>
        <v>25.84</v>
      </c>
      <c r="AF890" s="825">
        <f t="shared" si="937"/>
        <v>3.36</v>
      </c>
      <c r="AG890" s="743"/>
      <c r="AH890" s="728"/>
      <c r="AI890" s="519">
        <f t="shared" si="938"/>
        <v>0</v>
      </c>
      <c r="AJ890" s="519">
        <f t="shared" si="939"/>
        <v>0</v>
      </c>
      <c r="AK890" s="519">
        <f t="shared" si="940"/>
        <v>0</v>
      </c>
      <c r="AL890" s="520">
        <f>ROUND(Y890*AI890+((Y890*(1+AI890))*AJ890)+((Y890*AI890+((Y890*(1+AI890))*AJ890))*AK890),2)</f>
        <v>0</v>
      </c>
      <c r="AM890" s="520">
        <f>AL890*$F890</f>
        <v>0</v>
      </c>
      <c r="AN890" s="520">
        <f>ROUND(AL890*Z890,2)</f>
        <v>0</v>
      </c>
      <c r="AO890" s="520">
        <f>AN890*$F890</f>
        <v>0</v>
      </c>
      <c r="AP890" s="552"/>
      <c r="AQ890" s="552"/>
      <c r="AR890" s="552"/>
      <c r="AS890" s="552"/>
      <c r="AT890" s="552"/>
    </row>
    <row r="891" spans="1:68" s="555" customFormat="1" ht="22.5" customHeight="1">
      <c r="A891" s="570"/>
      <c r="B891" s="568" t="s">
        <v>401</v>
      </c>
      <c r="C891" s="569"/>
      <c r="D891" s="570">
        <v>159</v>
      </c>
      <c r="E891" s="570" t="s">
        <v>322</v>
      </c>
      <c r="F891" s="1322">
        <f>K891</f>
        <v>1</v>
      </c>
      <c r="G891" s="527">
        <f t="shared" si="954"/>
        <v>79.430000000000007</v>
      </c>
      <c r="H891" s="527">
        <f>ROUND(F891*G891,2)</f>
        <v>79.430000000000007</v>
      </c>
      <c r="I891" s="567"/>
      <c r="J891" s="309"/>
      <c r="K891" s="1149">
        <v>1</v>
      </c>
      <c r="L891" s="530">
        <f t="shared" si="945"/>
        <v>12.29</v>
      </c>
      <c r="M891" s="530">
        <f t="shared" si="946"/>
        <v>12.29</v>
      </c>
      <c r="N891" s="309"/>
      <c r="O891" s="776">
        <v>159</v>
      </c>
      <c r="P891" s="777">
        <v>0.05</v>
      </c>
      <c r="Q891" s="777"/>
      <c r="R891" s="751">
        <f>ROUND(SUM(AE881:AE888)*P891,2)</f>
        <v>77.989999999999995</v>
      </c>
      <c r="S891" s="752"/>
      <c r="T891" s="792">
        <f>ROUND(R891*12%,2)</f>
        <v>9.36</v>
      </c>
      <c r="U891" s="803">
        <v>0</v>
      </c>
      <c r="V891" s="803">
        <v>0</v>
      </c>
      <c r="W891" s="803">
        <v>0</v>
      </c>
      <c r="X891" s="858">
        <f>SUMIF('Summary-E'!O$4:O$50,D891,'Summary-E'!Q$4:Q$50)</f>
        <v>0.97</v>
      </c>
      <c r="Y891" s="310">
        <f>ROUND((R891+S891/'Summary-E'!$M$63)*X891,2)</f>
        <v>75.650000000000006</v>
      </c>
      <c r="Z891" s="858">
        <f t="shared" si="887"/>
        <v>1.05</v>
      </c>
      <c r="AA891" s="813">
        <f t="shared" si="934"/>
        <v>79.430000000000007</v>
      </c>
      <c r="AB891" s="447">
        <f t="shared" si="935"/>
        <v>0.05</v>
      </c>
      <c r="AC891" s="310">
        <f t="shared" si="955"/>
        <v>9.83</v>
      </c>
      <c r="AD891" s="717">
        <f>ROUND(AC891*'[1]Summary E&amp;M'!$R$94,2)</f>
        <v>12.29</v>
      </c>
      <c r="AE891" s="825">
        <f t="shared" si="936"/>
        <v>75.650000000000006</v>
      </c>
      <c r="AF891" s="825">
        <f t="shared" si="937"/>
        <v>9.83</v>
      </c>
      <c r="AG891" s="743"/>
      <c r="AH891" s="728"/>
      <c r="AI891" s="519">
        <f t="shared" si="938"/>
        <v>0</v>
      </c>
      <c r="AJ891" s="519">
        <f t="shared" si="939"/>
        <v>0</v>
      </c>
      <c r="AK891" s="519">
        <f t="shared" si="940"/>
        <v>0</v>
      </c>
      <c r="AL891" s="520">
        <f t="shared" si="941"/>
        <v>0</v>
      </c>
      <c r="AM891" s="520">
        <f t="shared" si="942"/>
        <v>0</v>
      </c>
      <c r="AN891" s="520">
        <f t="shared" si="943"/>
        <v>0</v>
      </c>
      <c r="AO891" s="520">
        <f t="shared" si="944"/>
        <v>0</v>
      </c>
      <c r="AP891" s="552"/>
      <c r="AQ891" s="552"/>
      <c r="AR891" s="552"/>
      <c r="AS891" s="552"/>
      <c r="AT891" s="552"/>
    </row>
    <row r="892" spans="1:68" s="555" customFormat="1" ht="22.5" customHeight="1">
      <c r="A892" s="570"/>
      <c r="B892" s="568" t="s">
        <v>327</v>
      </c>
      <c r="C892" s="569"/>
      <c r="D892" s="570" t="s">
        <v>134</v>
      </c>
      <c r="E892" s="570" t="s">
        <v>319</v>
      </c>
      <c r="F892" s="1322">
        <f>K892</f>
        <v>1</v>
      </c>
      <c r="G892" s="527">
        <f t="shared" si="954"/>
        <v>203.7</v>
      </c>
      <c r="H892" s="527">
        <f>ROUND(F892*G892,2)</f>
        <v>203.7</v>
      </c>
      <c r="I892" s="567"/>
      <c r="J892" s="309"/>
      <c r="K892" s="1149">
        <v>1</v>
      </c>
      <c r="L892" s="530">
        <f t="shared" si="945"/>
        <v>0</v>
      </c>
      <c r="M892" s="530">
        <f t="shared" si="946"/>
        <v>0</v>
      </c>
      <c r="N892" s="309"/>
      <c r="O892" s="776" t="s">
        <v>134</v>
      </c>
      <c r="P892" s="777"/>
      <c r="Q892" s="777"/>
      <c r="R892" s="751">
        <v>200</v>
      </c>
      <c r="S892" s="752"/>
      <c r="T892" s="792"/>
      <c r="U892" s="803">
        <v>0</v>
      </c>
      <c r="V892" s="803">
        <v>0</v>
      </c>
      <c r="W892" s="803">
        <v>0</v>
      </c>
      <c r="X892" s="858">
        <f>SUMIF('Summary-E'!O$4:O$50,D892,'Summary-E'!Q$4:Q$50)</f>
        <v>0.97</v>
      </c>
      <c r="Y892" s="310">
        <f>ROUND((R892+S892/'Summary-E'!$M$63)*X892,2)</f>
        <v>194</v>
      </c>
      <c r="Z892" s="858">
        <f t="shared" si="887"/>
        <v>1.05</v>
      </c>
      <c r="AA892" s="813">
        <f t="shared" si="934"/>
        <v>203.7</v>
      </c>
      <c r="AB892" s="447">
        <f t="shared" si="935"/>
        <v>0.05</v>
      </c>
      <c r="AC892" s="310">
        <f t="shared" si="955"/>
        <v>0</v>
      </c>
      <c r="AD892" s="717">
        <f>ROUND(AC892*'[1]Summary E&amp;M'!$R$94,2)</f>
        <v>0</v>
      </c>
      <c r="AE892" s="825">
        <f t="shared" si="936"/>
        <v>194</v>
      </c>
      <c r="AF892" s="825">
        <f t="shared" si="937"/>
        <v>0</v>
      </c>
      <c r="AG892" s="743"/>
      <c r="AH892" s="728"/>
      <c r="AI892" s="519">
        <f t="shared" si="938"/>
        <v>0</v>
      </c>
      <c r="AJ892" s="519">
        <f t="shared" si="939"/>
        <v>0</v>
      </c>
      <c r="AK892" s="519">
        <f t="shared" si="940"/>
        <v>0</v>
      </c>
      <c r="AL892" s="520">
        <f t="shared" si="941"/>
        <v>0</v>
      </c>
      <c r="AM892" s="520">
        <f t="shared" si="942"/>
        <v>0</v>
      </c>
      <c r="AN892" s="520">
        <f t="shared" si="943"/>
        <v>0</v>
      </c>
      <c r="AO892" s="520">
        <f t="shared" si="944"/>
        <v>0</v>
      </c>
      <c r="AP892" s="552"/>
      <c r="AQ892" s="552"/>
      <c r="AR892" s="552"/>
      <c r="AS892" s="552"/>
      <c r="AT892" s="552"/>
    </row>
    <row r="893" spans="1:68" s="555" customFormat="1" ht="22.5" customHeight="1">
      <c r="A893" s="620"/>
      <c r="B893" s="531"/>
      <c r="C893" s="566"/>
      <c r="D893" s="525"/>
      <c r="E893" s="525"/>
      <c r="F893" s="1314"/>
      <c r="G893" s="527"/>
      <c r="H893" s="527"/>
      <c r="I893" s="567"/>
      <c r="J893" s="582"/>
      <c r="K893" s="1149"/>
      <c r="L893" s="530">
        <f t="shared" si="945"/>
        <v>0</v>
      </c>
      <c r="M893" s="530">
        <f t="shared" si="946"/>
        <v>0</v>
      </c>
      <c r="N893" s="309"/>
      <c r="O893" s="786"/>
      <c r="P893" s="777"/>
      <c r="Q893" s="777"/>
      <c r="R893" s="751"/>
      <c r="S893" s="752"/>
      <c r="T893" s="792"/>
      <c r="U893" s="803"/>
      <c r="V893" s="803"/>
      <c r="W893" s="803"/>
      <c r="X893" s="858">
        <f>SUMIF('Summary-E'!O$4:O$50,D893,'Summary-E'!Q$4:Q$50)</f>
        <v>0</v>
      </c>
      <c r="Y893" s="310">
        <f>ROUND((R893+S893/'Summary-E'!$M$63)*X893,2)</f>
        <v>0</v>
      </c>
      <c r="Z893" s="858">
        <f t="shared" si="887"/>
        <v>1.05</v>
      </c>
      <c r="AA893" s="813"/>
      <c r="AB893" s="447"/>
      <c r="AC893" s="310">
        <f t="shared" si="955"/>
        <v>0</v>
      </c>
      <c r="AD893" s="717">
        <f>ROUND(AC893*'[1]Summary E&amp;M'!$R$94,2)</f>
        <v>0</v>
      </c>
      <c r="AE893" s="825">
        <f t="shared" si="936"/>
        <v>0</v>
      </c>
      <c r="AF893" s="825">
        <f t="shared" si="937"/>
        <v>0</v>
      </c>
      <c r="AG893" s="743"/>
      <c r="AH893" s="728"/>
      <c r="AI893" s="519"/>
      <c r="AJ893" s="519"/>
      <c r="AK893" s="519"/>
      <c r="AL893" s="520"/>
      <c r="AM893" s="520"/>
      <c r="AN893" s="520"/>
      <c r="AO893" s="520"/>
      <c r="AP893" s="552"/>
      <c r="AQ893" s="552"/>
      <c r="AR893" s="552"/>
      <c r="AS893" s="552"/>
      <c r="AT893" s="552"/>
    </row>
    <row r="894" spans="1:68" s="711" customFormat="1" ht="22.5" customHeight="1">
      <c r="A894" s="570"/>
      <c r="B894" s="568" t="s">
        <v>324</v>
      </c>
      <c r="C894" s="569"/>
      <c r="D894" s="570">
        <v>210</v>
      </c>
      <c r="E894" s="570" t="s">
        <v>319</v>
      </c>
      <c r="F894" s="1322">
        <f>K894</f>
        <v>1</v>
      </c>
      <c r="G894" s="527">
        <f>M896</f>
        <v>570.87</v>
      </c>
      <c r="H894" s="527">
        <f>F894*G894</f>
        <v>570.87</v>
      </c>
      <c r="I894" s="567"/>
      <c r="J894" s="582"/>
      <c r="K894" s="1149">
        <v>1</v>
      </c>
      <c r="L894" s="530"/>
      <c r="M894" s="530"/>
      <c r="N894" s="1053"/>
      <c r="O894" s="786">
        <v>210</v>
      </c>
      <c r="P894" s="777"/>
      <c r="Q894" s="777"/>
      <c r="R894" s="751"/>
      <c r="S894" s="752"/>
      <c r="T894" s="796"/>
      <c r="U894" s="803">
        <v>0</v>
      </c>
      <c r="V894" s="803">
        <v>0</v>
      </c>
      <c r="W894" s="803">
        <v>0</v>
      </c>
      <c r="X894" s="858">
        <f>SUMIF('Summary-E'!O$4:O$50,D894,'Summary-E'!Q$4:Q$50)</f>
        <v>0.05</v>
      </c>
      <c r="Y894" s="310">
        <f>ROUND((R894+S894/'Summary-E'!$M$63)*X894,2)</f>
        <v>0</v>
      </c>
      <c r="Z894" s="858">
        <f t="shared" si="887"/>
        <v>1.05</v>
      </c>
      <c r="AA894" s="813">
        <f>ROUND(Y894*Z894,2)</f>
        <v>0</v>
      </c>
      <c r="AB894" s="447">
        <f>$AB$3</f>
        <v>0.05</v>
      </c>
      <c r="AC894" s="310">
        <f t="shared" si="955"/>
        <v>0</v>
      </c>
      <c r="AD894" s="717">
        <f>ROUND(AC894*'[1]Summary E&amp;M'!$R$94,2)</f>
        <v>0</v>
      </c>
      <c r="AE894" s="825">
        <f t="shared" si="936"/>
        <v>0</v>
      </c>
      <c r="AF894" s="825">
        <f t="shared" si="937"/>
        <v>0</v>
      </c>
      <c r="AG894" s="743"/>
      <c r="AH894" s="728"/>
      <c r="AI894" s="519">
        <f>$U894</f>
        <v>0</v>
      </c>
      <c r="AJ894" s="519">
        <f>$V894</f>
        <v>0</v>
      </c>
      <c r="AK894" s="519">
        <f>$W894</f>
        <v>0</v>
      </c>
      <c r="AL894" s="520">
        <f>ROUND(Y894*AI894+((Y894*(1+AI894))*AJ894)+((Y894*AI894+((Y894*(1+AI894))*AJ894))*AK894),2)</f>
        <v>0</v>
      </c>
      <c r="AM894" s="520">
        <f>AL894*$F894</f>
        <v>0</v>
      </c>
      <c r="AN894" s="520">
        <f>ROUND(AL894*Z894,2)</f>
        <v>0</v>
      </c>
      <c r="AO894" s="520">
        <f>AN894*$F894</f>
        <v>0</v>
      </c>
      <c r="AP894" s="552"/>
      <c r="AQ894" s="552"/>
      <c r="AR894" s="552"/>
      <c r="AS894" s="552"/>
      <c r="AT894" s="552"/>
      <c r="AU894" s="555"/>
      <c r="AV894" s="555"/>
      <c r="AW894" s="555"/>
      <c r="AX894" s="555"/>
      <c r="AY894" s="555"/>
      <c r="AZ894" s="555"/>
      <c r="BA894" s="555"/>
      <c r="BB894" s="555"/>
      <c r="BC894" s="555"/>
      <c r="BD894" s="555"/>
      <c r="BE894" s="555"/>
      <c r="BF894" s="555"/>
      <c r="BG894" s="555"/>
      <c r="BH894" s="555"/>
      <c r="BI894" s="555"/>
      <c r="BJ894" s="555"/>
      <c r="BK894" s="555"/>
      <c r="BL894" s="555"/>
      <c r="BM894" s="555"/>
      <c r="BN894" s="555"/>
      <c r="BO894" s="555"/>
      <c r="BP894" s="555"/>
    </row>
    <row r="895" spans="1:68" s="555" customFormat="1" ht="22.5" customHeight="1">
      <c r="A895" s="616"/>
      <c r="B895" s="573"/>
      <c r="C895" s="574"/>
      <c r="D895" s="616"/>
      <c r="E895" s="1163"/>
      <c r="F895" s="1326"/>
      <c r="G895" s="607"/>
      <c r="H895" s="608"/>
      <c r="I895" s="578"/>
      <c r="J895" s="609"/>
      <c r="K895" s="1183"/>
      <c r="L895" s="610"/>
      <c r="M895" s="610"/>
      <c r="N895" s="1053"/>
      <c r="O895" s="786"/>
      <c r="P895" s="777"/>
      <c r="Q895" s="777"/>
      <c r="R895" s="751"/>
      <c r="S895" s="752"/>
      <c r="T895" s="796"/>
      <c r="U895" s="803"/>
      <c r="V895" s="803"/>
      <c r="W895" s="803"/>
      <c r="X895" s="858">
        <f>SUMIF('Summary-E'!O$4:O$50,D895,'Summary-E'!Q$4:Q$50)</f>
        <v>0</v>
      </c>
      <c r="Y895" s="310">
        <f>ROUND((R895+S895/'Summary-E'!$M$63)*X895,2)</f>
        <v>0</v>
      </c>
      <c r="Z895" s="858">
        <f t="shared" si="887"/>
        <v>1.05</v>
      </c>
      <c r="AA895" s="818"/>
      <c r="AB895" s="310"/>
      <c r="AC895" s="310">
        <f t="shared" si="955"/>
        <v>0</v>
      </c>
      <c r="AD895" s="717">
        <f>ROUND(AC895*'[1]Summary E&amp;M'!$R$94,2)</f>
        <v>0</v>
      </c>
      <c r="AE895" s="835"/>
      <c r="AF895" s="835"/>
      <c r="AG895" s="738"/>
      <c r="AH895" s="737"/>
      <c r="AI895" s="552"/>
      <c r="AJ895" s="552"/>
      <c r="AK895" s="552"/>
      <c r="AL895" s="552"/>
      <c r="AM895" s="552"/>
      <c r="AN895" s="552"/>
      <c r="AO895" s="552"/>
      <c r="AP895" s="552"/>
      <c r="AQ895" s="552"/>
      <c r="AR895" s="552"/>
      <c r="AS895" s="552"/>
      <c r="AT895" s="552"/>
    </row>
    <row r="896" spans="1:68" s="711" customFormat="1" ht="22.5" customHeight="1">
      <c r="A896" s="1238"/>
      <c r="B896" s="974" t="s">
        <v>522</v>
      </c>
      <c r="C896" s="979"/>
      <c r="D896" s="980"/>
      <c r="E896" s="973"/>
      <c r="F896" s="1317"/>
      <c r="G896" s="982"/>
      <c r="H896" s="971">
        <f>SUBTOTAL(9,H882:H895)</f>
        <v>2638.56</v>
      </c>
      <c r="I896" s="981"/>
      <c r="J896" s="609"/>
      <c r="K896" s="1184"/>
      <c r="L896" s="600"/>
      <c r="M896" s="1051">
        <f>SUBTOTAL(9,M882:M894)</f>
        <v>570.87</v>
      </c>
      <c r="N896" s="1054"/>
      <c r="O896" s="787"/>
      <c r="P896" s="780"/>
      <c r="Q896" s="780"/>
      <c r="R896" s="759"/>
      <c r="S896" s="752"/>
      <c r="T896" s="796"/>
      <c r="U896" s="803"/>
      <c r="V896" s="803"/>
      <c r="W896" s="803"/>
      <c r="X896" s="858">
        <f>SUMIF('Summary-E'!O$4:O$50,D896,'Summary-E'!Q$4:Q$50)</f>
        <v>0</v>
      </c>
      <c r="Y896" s="310">
        <f>ROUND((R896+S896/'Summary-E'!$M$63)*X896,2)</f>
        <v>0</v>
      </c>
      <c r="Z896" s="858">
        <f t="shared" si="887"/>
        <v>1.05</v>
      </c>
      <c r="AA896" s="818"/>
      <c r="AB896" s="552"/>
      <c r="AC896" s="310">
        <f t="shared" si="955"/>
        <v>0</v>
      </c>
      <c r="AD896" s="717">
        <f>ROUND(AC896*'[1]Summary E&amp;M'!$R$94,2)</f>
        <v>0</v>
      </c>
      <c r="AE896" s="823">
        <f>SUBTOTAL(9,AE882:AE895)</f>
        <v>1916.87</v>
      </c>
      <c r="AF896" s="823">
        <f>SUBTOTAL(9,AF882:AF895)</f>
        <v>440.54999999999995</v>
      </c>
      <c r="AG896" s="614"/>
      <c r="AH896" s="730"/>
      <c r="AI896" s="713"/>
      <c r="AJ896" s="713"/>
      <c r="AK896" s="713"/>
      <c r="AL896" s="713"/>
      <c r="AM896" s="712">
        <f>SUBTOTAL(9,AM882:AM895)</f>
        <v>0</v>
      </c>
      <c r="AN896" s="713"/>
      <c r="AO896" s="712">
        <f>SUBTOTAL(9,AO882:AO895)</f>
        <v>0</v>
      </c>
      <c r="AP896" s="713"/>
      <c r="AQ896" s="713"/>
      <c r="AR896" s="713"/>
      <c r="AS896" s="713"/>
      <c r="AT896" s="713"/>
    </row>
    <row r="897" spans="1:68" ht="22.5" customHeight="1">
      <c r="B897" s="555"/>
      <c r="C897" s="555"/>
      <c r="D897" s="555"/>
      <c r="E897" s="556"/>
      <c r="F897" s="1333"/>
      <c r="G897" s="953"/>
      <c r="H897" s="953"/>
      <c r="I897" s="436"/>
    </row>
    <row r="898" spans="1:68" s="555" customFormat="1" ht="22.5" customHeight="1">
      <c r="A898" s="430"/>
      <c r="E898" s="556"/>
      <c r="F898" s="1333"/>
      <c r="G898" s="953"/>
      <c r="H898" s="874">
        <f>ROUND(SUBTOTAL(9,H56:H896),0)</f>
        <v>1077848</v>
      </c>
      <c r="I898" s="436"/>
      <c r="J898" s="354"/>
      <c r="K898" s="1165"/>
      <c r="L898" s="1068"/>
      <c r="M898" s="1068"/>
      <c r="N898" s="1068"/>
      <c r="O898" s="556"/>
      <c r="P898" s="1067"/>
      <c r="Q898" s="1067"/>
      <c r="AE898" s="1095">
        <f>ROUND(SUBTOTAL(9,AE56:AE896),0)</f>
        <v>818807</v>
      </c>
      <c r="AF898" s="1095">
        <f>ROUND(SUBTOTAL(9,AF56:AF896),0)</f>
        <v>153396</v>
      </c>
      <c r="AG898" s="1070"/>
      <c r="AH898" s="1070"/>
      <c r="AI898" s="1070"/>
      <c r="AJ898" s="1070"/>
      <c r="AK898" s="1070"/>
      <c r="AL898" s="1070"/>
      <c r="AM898" s="1095">
        <f>ROUND(SUBTOTAL(9,AM56:AM896),0)</f>
        <v>0</v>
      </c>
      <c r="AN898" s="1070"/>
      <c r="AO898" s="1095">
        <f>ROUND(SUBTOTAL(9,AO56:AO896),0)</f>
        <v>0</v>
      </c>
      <c r="AT898" s="172"/>
      <c r="AU898" s="172"/>
      <c r="AV898" s="172"/>
      <c r="AW898" s="172"/>
      <c r="AX898" s="172"/>
      <c r="AY898" s="172"/>
      <c r="AZ898" s="172"/>
      <c r="BA898" s="172"/>
      <c r="BB898" s="172"/>
      <c r="BC898" s="172"/>
      <c r="BD898" s="172"/>
      <c r="BE898" s="172"/>
      <c r="BF898" s="172"/>
      <c r="BG898" s="172"/>
      <c r="BH898" s="172"/>
      <c r="BI898" s="172"/>
      <c r="BJ898" s="172"/>
      <c r="BK898" s="172"/>
      <c r="BL898" s="172"/>
      <c r="BM898" s="172"/>
      <c r="BN898" s="172"/>
      <c r="BO898" s="172"/>
      <c r="BP898" s="172"/>
    </row>
    <row r="899" spans="1:68" s="555" customFormat="1" ht="22.5" customHeight="1">
      <c r="A899" s="430"/>
      <c r="E899" s="556"/>
      <c r="F899" s="1333"/>
      <c r="G899" s="953"/>
      <c r="H899" s="953"/>
      <c r="I899" s="436"/>
      <c r="J899" s="354"/>
      <c r="K899" s="1165"/>
      <c r="L899" s="1068"/>
      <c r="M899" s="1068"/>
      <c r="N899" s="1068"/>
      <c r="O899" s="556"/>
      <c r="P899" s="1067"/>
      <c r="Q899" s="1067"/>
      <c r="AE899" s="1070"/>
      <c r="AF899" s="1070"/>
      <c r="AT899" s="172"/>
      <c r="AU899" s="172"/>
      <c r="AV899" s="172"/>
      <c r="AW899" s="172"/>
      <c r="AX899" s="172"/>
      <c r="AY899" s="172"/>
      <c r="AZ899" s="172"/>
      <c r="BA899" s="172"/>
      <c r="BB899" s="172"/>
      <c r="BC899" s="172"/>
      <c r="BD899" s="172"/>
      <c r="BE899" s="172"/>
      <c r="BF899" s="172"/>
      <c r="BG899" s="172"/>
      <c r="BH899" s="172"/>
      <c r="BI899" s="172"/>
      <c r="BJ899" s="172"/>
      <c r="BK899" s="172"/>
      <c r="BL899" s="172"/>
      <c r="BM899" s="172"/>
      <c r="BN899" s="172"/>
      <c r="BO899" s="172"/>
      <c r="BP899" s="172"/>
    </row>
    <row r="900" spans="1:68" s="555" customFormat="1" ht="22.5" customHeight="1">
      <c r="A900" s="430"/>
      <c r="E900" s="556"/>
      <c r="F900" s="1333"/>
      <c r="G900" s="953"/>
      <c r="H900" s="953"/>
      <c r="I900" s="436"/>
      <c r="J900" s="354"/>
      <c r="K900" s="1165"/>
      <c r="L900" s="1068"/>
      <c r="M900" s="1068"/>
      <c r="N900" s="1068"/>
      <c r="O900" s="556"/>
      <c r="P900" s="1067"/>
      <c r="Q900" s="1067"/>
      <c r="AE900" s="1070"/>
      <c r="AF900" s="1070"/>
      <c r="AT900" s="172"/>
      <c r="AU900" s="172"/>
      <c r="AV900" s="172"/>
      <c r="AW900" s="172"/>
      <c r="AX900" s="172"/>
      <c r="AY900" s="172"/>
      <c r="AZ900" s="172"/>
      <c r="BA900" s="172"/>
      <c r="BB900" s="172"/>
      <c r="BC900" s="172"/>
      <c r="BD900" s="172"/>
      <c r="BE900" s="172"/>
      <c r="BF900" s="172"/>
      <c r="BG900" s="172"/>
      <c r="BH900" s="172"/>
      <c r="BI900" s="172"/>
      <c r="BJ900" s="172"/>
      <c r="BK900" s="172"/>
      <c r="BL900" s="172"/>
      <c r="BM900" s="172"/>
      <c r="BN900" s="172"/>
      <c r="BO900" s="172"/>
      <c r="BP900" s="172"/>
    </row>
    <row r="901" spans="1:68" s="555" customFormat="1" ht="22.5" customHeight="1">
      <c r="A901" s="430"/>
      <c r="D901" s="1372"/>
      <c r="E901" s="556"/>
      <c r="G901" s="953"/>
      <c r="H901" s="953"/>
      <c r="I901" s="436"/>
      <c r="J901" s="354"/>
      <c r="K901" s="1165"/>
      <c r="L901" s="1068"/>
      <c r="M901" s="1068"/>
      <c r="N901" s="1068"/>
      <c r="O901" s="556"/>
      <c r="P901" s="1067"/>
      <c r="Q901" s="1067"/>
      <c r="AE901" s="1070"/>
      <c r="AF901" s="1070"/>
      <c r="AT901" s="172"/>
      <c r="AU901" s="172"/>
      <c r="AV901" s="172"/>
      <c r="AW901" s="172"/>
      <c r="AX901" s="172"/>
      <c r="AY901" s="172"/>
      <c r="AZ901" s="172"/>
      <c r="BA901" s="172"/>
      <c r="BB901" s="172"/>
      <c r="BC901" s="172"/>
      <c r="BD901" s="172"/>
      <c r="BE901" s="172"/>
      <c r="BF901" s="172"/>
      <c r="BG901" s="172"/>
      <c r="BH901" s="172"/>
      <c r="BI901" s="172"/>
      <c r="BJ901" s="172"/>
      <c r="BK901" s="172"/>
      <c r="BL901" s="172"/>
      <c r="BM901" s="172"/>
      <c r="BN901" s="172"/>
      <c r="BO901" s="172"/>
      <c r="BP901" s="172"/>
    </row>
    <row r="902" spans="1:68" s="555" customFormat="1" ht="22.5" customHeight="1">
      <c r="A902" s="172"/>
      <c r="D902" s="1373"/>
      <c r="E902" s="556"/>
      <c r="I902" s="382"/>
      <c r="J902" s="172"/>
      <c r="K902" s="1189"/>
      <c r="P902" s="643"/>
      <c r="AE902" s="1070"/>
      <c r="AF902" s="1070"/>
      <c r="AT902" s="172"/>
      <c r="AU902" s="172"/>
      <c r="AV902" s="172"/>
      <c r="AW902" s="172"/>
      <c r="AX902" s="172"/>
      <c r="AY902" s="172"/>
      <c r="AZ902" s="172"/>
      <c r="BA902" s="172"/>
      <c r="BB902" s="172"/>
      <c r="BC902" s="172"/>
      <c r="BD902" s="172"/>
      <c r="BE902" s="172"/>
      <c r="BF902" s="172"/>
      <c r="BG902" s="172"/>
      <c r="BH902" s="172"/>
      <c r="BI902" s="172"/>
      <c r="BJ902" s="172"/>
      <c r="BK902" s="172"/>
      <c r="BL902" s="172"/>
      <c r="BM902" s="172"/>
      <c r="BN902" s="172"/>
      <c r="BO902" s="172"/>
      <c r="BP902" s="172"/>
    </row>
    <row r="903" spans="1:68" s="555" customFormat="1" ht="22.5" customHeight="1">
      <c r="A903" s="172"/>
      <c r="B903" s="555" t="str">
        <f t="shared" ref="B903:C905" si="956">B301</f>
        <v>GI  conduit</v>
      </c>
      <c r="C903" s="555" t="str">
        <f t="shared" si="956"/>
        <v>EMT 1 1/2</v>
      </c>
      <c r="D903" s="1373">
        <f>F301</f>
        <v>2616</v>
      </c>
      <c r="E903" s="556" t="s">
        <v>321</v>
      </c>
      <c r="I903" s="382"/>
      <c r="J903" s="172"/>
      <c r="K903" s="1189"/>
      <c r="P903" s="643"/>
      <c r="AE903" s="1070"/>
      <c r="AF903" s="1070"/>
      <c r="AT903" s="172"/>
      <c r="AU903" s="172"/>
      <c r="AV903" s="172"/>
      <c r="AW903" s="172"/>
      <c r="AX903" s="172"/>
      <c r="AY903" s="172"/>
      <c r="AZ903" s="172"/>
      <c r="BA903" s="172"/>
      <c r="BB903" s="172"/>
      <c r="BC903" s="172"/>
      <c r="BD903" s="172"/>
      <c r="BE903" s="172"/>
      <c r="BF903" s="172"/>
      <c r="BG903" s="172"/>
      <c r="BH903" s="172"/>
      <c r="BI903" s="172"/>
      <c r="BJ903" s="172"/>
      <c r="BK903" s="172"/>
      <c r="BL903" s="172"/>
      <c r="BM903" s="172"/>
      <c r="BN903" s="172"/>
      <c r="BO903" s="172"/>
      <c r="BP903" s="172"/>
    </row>
    <row r="904" spans="1:68" s="555" customFormat="1" ht="22.5" customHeight="1">
      <c r="A904" s="172"/>
      <c r="B904" s="555" t="str">
        <f t="shared" si="956"/>
        <v>GI  conduit</v>
      </c>
      <c r="C904" s="555" t="str">
        <f t="shared" si="956"/>
        <v>EMT 1</v>
      </c>
      <c r="D904" s="1375">
        <f>F302+F502+F726</f>
        <v>3968</v>
      </c>
      <c r="E904" s="556" t="s">
        <v>321</v>
      </c>
      <c r="I904" s="382"/>
      <c r="J904" s="172"/>
      <c r="K904" s="1189"/>
      <c r="P904" s="643"/>
      <c r="AE904" s="1070"/>
      <c r="AF904" s="1070"/>
      <c r="AT904" s="172"/>
      <c r="AU904" s="172"/>
      <c r="AV904" s="172"/>
      <c r="AW904" s="172"/>
      <c r="AX904" s="172"/>
      <c r="AY904" s="172"/>
      <c r="AZ904" s="172"/>
      <c r="BA904" s="172"/>
      <c r="BB904" s="172"/>
      <c r="BC904" s="172"/>
      <c r="BD904" s="172"/>
      <c r="BE904" s="172"/>
      <c r="BF904" s="172"/>
      <c r="BG904" s="172"/>
      <c r="BH904" s="172"/>
      <c r="BI904" s="172"/>
      <c r="BJ904" s="172"/>
      <c r="BK904" s="172"/>
      <c r="BL904" s="172"/>
      <c r="BM904" s="172"/>
      <c r="BN904" s="172"/>
      <c r="BO904" s="172"/>
      <c r="BP904" s="172"/>
    </row>
    <row r="905" spans="1:68" s="555" customFormat="1" ht="22.5" customHeight="1">
      <c r="A905" s="172"/>
      <c r="B905" s="555" t="str">
        <f t="shared" si="956"/>
        <v>GI  conduit</v>
      </c>
      <c r="C905" s="555" t="str">
        <f t="shared" si="956"/>
        <v>EMT 3/4</v>
      </c>
      <c r="D905" s="1375">
        <f>F303+F503+F727</f>
        <v>4411</v>
      </c>
      <c r="E905" s="556" t="s">
        <v>321</v>
      </c>
      <c r="I905" s="382"/>
      <c r="J905" s="172"/>
      <c r="K905" s="1189"/>
      <c r="P905" s="643"/>
      <c r="AE905" s="1070"/>
      <c r="AF905" s="1070"/>
      <c r="AT905" s="172"/>
      <c r="AU905" s="172"/>
      <c r="AV905" s="172"/>
      <c r="AW905" s="172"/>
      <c r="AX905" s="172"/>
      <c r="AY905" s="172"/>
      <c r="AZ905" s="172"/>
      <c r="BA905" s="172"/>
      <c r="BB905" s="172"/>
      <c r="BC905" s="172"/>
      <c r="BD905" s="172"/>
      <c r="BE905" s="172"/>
      <c r="BF905" s="172"/>
      <c r="BG905" s="172"/>
      <c r="BH905" s="172"/>
      <c r="BI905" s="172"/>
      <c r="BJ905" s="172"/>
      <c r="BK905" s="172"/>
      <c r="BL905" s="172"/>
      <c r="BM905" s="172"/>
      <c r="BN905" s="172"/>
      <c r="BO905" s="172"/>
      <c r="BP905" s="172"/>
    </row>
    <row r="906" spans="1:68" s="555" customFormat="1" ht="22.5" customHeight="1">
      <c r="A906" s="172"/>
      <c r="B906" s="555" t="str">
        <f>B312</f>
        <v xml:space="preserve">GI conduit </v>
      </c>
      <c r="C906" s="555" t="str">
        <f>C312</f>
        <v>DN25 - E25</v>
      </c>
      <c r="D906" s="1375">
        <f>F312</f>
        <v>208</v>
      </c>
      <c r="E906" s="556" t="s">
        <v>321</v>
      </c>
      <c r="I906" s="382"/>
      <c r="J906" s="172"/>
      <c r="K906" s="1189"/>
      <c r="P906" s="643"/>
      <c r="AE906" s="1070"/>
      <c r="AF906" s="1070"/>
      <c r="AT906" s="172"/>
      <c r="AU906" s="172"/>
      <c r="AV906" s="172"/>
      <c r="AW906" s="172"/>
      <c r="AX906" s="172"/>
      <c r="AY906" s="172"/>
      <c r="AZ906" s="172"/>
      <c r="BA906" s="172"/>
      <c r="BB906" s="172"/>
      <c r="BC906" s="172"/>
      <c r="BD906" s="172"/>
      <c r="BE906" s="172"/>
      <c r="BF906" s="172"/>
      <c r="BG906" s="172"/>
      <c r="BH906" s="172"/>
      <c r="BI906" s="172"/>
      <c r="BJ906" s="172"/>
      <c r="BK906" s="172"/>
      <c r="BL906" s="172"/>
      <c r="BM906" s="172"/>
      <c r="BN906" s="172"/>
      <c r="BO906" s="172"/>
      <c r="BP906" s="172"/>
    </row>
    <row r="907" spans="1:68" s="555" customFormat="1" ht="22.5" customHeight="1">
      <c r="A907" s="172"/>
      <c r="B907" s="555" t="str">
        <f t="shared" ref="B907:C909" si="957">B304</f>
        <v>GI Flexible conduit</v>
      </c>
      <c r="C907" s="555" t="str">
        <f t="shared" si="957"/>
        <v>DN50</v>
      </c>
      <c r="D907" s="1375">
        <f>F304</f>
        <v>53</v>
      </c>
      <c r="E907" s="556" t="s">
        <v>321</v>
      </c>
      <c r="I907" s="382"/>
      <c r="J907" s="172"/>
      <c r="K907" s="1189"/>
      <c r="P907" s="643"/>
      <c r="AE907" s="1070"/>
      <c r="AF907" s="1070"/>
      <c r="AT907" s="172"/>
      <c r="AU907" s="172"/>
      <c r="AV907" s="172"/>
      <c r="AW907" s="172"/>
      <c r="AX907" s="172"/>
      <c r="AY907" s="172"/>
      <c r="AZ907" s="172"/>
      <c r="BA907" s="172"/>
      <c r="BB907" s="172"/>
      <c r="BC907" s="172"/>
      <c r="BD907" s="172"/>
      <c r="BE907" s="172"/>
      <c r="BF907" s="172"/>
      <c r="BG907" s="172"/>
      <c r="BH907" s="172"/>
      <c r="BI907" s="172"/>
      <c r="BJ907" s="172"/>
      <c r="BK907" s="172"/>
      <c r="BL907" s="172"/>
      <c r="BM907" s="172"/>
      <c r="BN907" s="172"/>
      <c r="BO907" s="172"/>
      <c r="BP907" s="172"/>
    </row>
    <row r="908" spans="1:68" s="555" customFormat="1" ht="22.5" customHeight="1">
      <c r="A908" s="172"/>
      <c r="B908" s="555" t="str">
        <f t="shared" si="957"/>
        <v>GI Flexible conduit</v>
      </c>
      <c r="C908" s="555" t="str">
        <f t="shared" si="957"/>
        <v>DN32</v>
      </c>
      <c r="D908" s="1375">
        <f>F305+F646</f>
        <v>555</v>
      </c>
      <c r="E908" s="556" t="s">
        <v>321</v>
      </c>
      <c r="I908" s="382"/>
      <c r="J908" s="172"/>
      <c r="K908" s="1189"/>
      <c r="P908" s="643"/>
      <c r="AE908" s="1070"/>
      <c r="AF908" s="1070"/>
      <c r="AT908" s="172"/>
      <c r="AU908" s="172"/>
      <c r="AV908" s="172"/>
      <c r="AW908" s="172"/>
      <c r="AX908" s="172"/>
      <c r="AY908" s="172"/>
      <c r="AZ908" s="172"/>
      <c r="BA908" s="172"/>
      <c r="BB908" s="172"/>
      <c r="BC908" s="172"/>
      <c r="BD908" s="172"/>
      <c r="BE908" s="172"/>
      <c r="BF908" s="172"/>
      <c r="BG908" s="172"/>
      <c r="BH908" s="172"/>
      <c r="BI908" s="172"/>
      <c r="BJ908" s="172"/>
      <c r="BK908" s="172"/>
      <c r="BL908" s="172"/>
      <c r="BM908" s="172"/>
      <c r="BN908" s="172"/>
      <c r="BO908" s="172"/>
      <c r="BP908" s="172"/>
    </row>
    <row r="909" spans="1:68" s="555" customFormat="1" ht="22.5" customHeight="1">
      <c r="A909" s="172"/>
      <c r="B909" s="555" t="str">
        <f t="shared" si="957"/>
        <v>GI Flexible conduit</v>
      </c>
      <c r="C909" s="555" t="str">
        <f t="shared" si="957"/>
        <v>DN25</v>
      </c>
      <c r="D909" s="1375">
        <f>F306</f>
        <v>589</v>
      </c>
      <c r="E909" s="556" t="s">
        <v>321</v>
      </c>
      <c r="I909" s="382"/>
      <c r="J909" s="172"/>
      <c r="K909" s="1189"/>
      <c r="P909" s="643"/>
      <c r="AE909" s="1070"/>
      <c r="AF909" s="1070"/>
      <c r="AT909" s="172"/>
      <c r="AU909" s="172"/>
      <c r="AV909" s="172"/>
      <c r="AW909" s="172"/>
      <c r="AX909" s="172"/>
      <c r="AY909" s="172"/>
      <c r="AZ909" s="172"/>
      <c r="BA909" s="172"/>
      <c r="BB909" s="172"/>
      <c r="BC909" s="172"/>
      <c r="BD909" s="172"/>
      <c r="BE909" s="172"/>
      <c r="BF909" s="172"/>
      <c r="BG909" s="172"/>
      <c r="BH909" s="172"/>
      <c r="BI909" s="172"/>
      <c r="BJ909" s="172"/>
      <c r="BK909" s="172"/>
      <c r="BL909" s="172"/>
      <c r="BM909" s="172"/>
      <c r="BN909" s="172"/>
      <c r="BO909" s="172"/>
      <c r="BP909" s="172"/>
    </row>
    <row r="910" spans="1:68" s="555" customFormat="1" ht="22.5" customHeight="1">
      <c r="A910" s="172"/>
      <c r="B910" s="555" t="str">
        <f>B324</f>
        <v xml:space="preserve">PVC conduit </v>
      </c>
      <c r="C910" s="555" t="str">
        <f>C433</f>
        <v xml:space="preserve">DN32  </v>
      </c>
      <c r="D910" s="1374">
        <f>F433+F523+F644</f>
        <v>2102</v>
      </c>
      <c r="E910" s="556" t="s">
        <v>321</v>
      </c>
      <c r="I910" s="382"/>
      <c r="J910" s="172"/>
      <c r="K910" s="1189"/>
      <c r="P910" s="643"/>
      <c r="AE910" s="1070"/>
      <c r="AF910" s="1070"/>
      <c r="AT910" s="172"/>
      <c r="AU910" s="172"/>
      <c r="AV910" s="172"/>
      <c r="AW910" s="172"/>
      <c r="AX910" s="172"/>
      <c r="AY910" s="172"/>
      <c r="AZ910" s="172"/>
      <c r="BA910" s="172"/>
      <c r="BB910" s="172"/>
      <c r="BC910" s="172"/>
      <c r="BD910" s="172"/>
      <c r="BE910" s="172"/>
      <c r="BF910" s="172"/>
      <c r="BG910" s="172"/>
      <c r="BH910" s="172"/>
      <c r="BI910" s="172"/>
      <c r="BJ910" s="172"/>
      <c r="BK910" s="172"/>
      <c r="BL910" s="172"/>
      <c r="BM910" s="172"/>
      <c r="BN910" s="172"/>
      <c r="BO910" s="172"/>
      <c r="BP910" s="172"/>
    </row>
    <row r="911" spans="1:68" s="555" customFormat="1" ht="22.5" customHeight="1">
      <c r="A911" s="172"/>
      <c r="B911" s="555" t="str">
        <f>B324</f>
        <v xml:space="preserve">PVC conduit </v>
      </c>
      <c r="C911" s="555" t="str">
        <f>C324</f>
        <v>DN25</v>
      </c>
      <c r="D911" s="1374">
        <f>F324+F402+F413+F434+F459+F472+F485+F539+F614+F625+F645+F646+F670+F684+F707+F791+F808+F826+F842+F857+F870+F886</f>
        <v>20841</v>
      </c>
      <c r="E911" s="556" t="s">
        <v>321</v>
      </c>
      <c r="I911" s="382"/>
      <c r="J911" s="172"/>
      <c r="K911" s="1189"/>
      <c r="P911" s="643"/>
      <c r="AE911" s="1070"/>
      <c r="AF911" s="1070"/>
      <c r="AT911" s="172"/>
      <c r="AU911" s="172"/>
      <c r="AV911" s="172"/>
      <c r="AW911" s="172"/>
      <c r="AX911" s="172"/>
      <c r="AY911" s="172"/>
      <c r="AZ911" s="172"/>
      <c r="BA911" s="172"/>
      <c r="BB911" s="172"/>
      <c r="BC911" s="172"/>
      <c r="BD911" s="172"/>
      <c r="BE911" s="172"/>
      <c r="BF911" s="172"/>
      <c r="BG911" s="172"/>
      <c r="BH911" s="172"/>
      <c r="BI911" s="172"/>
      <c r="BJ911" s="172"/>
      <c r="BK911" s="172"/>
      <c r="BL911" s="172"/>
      <c r="BM911" s="172"/>
      <c r="BN911" s="172"/>
      <c r="BO911" s="172"/>
      <c r="BP911" s="172"/>
    </row>
    <row r="912" spans="1:68" s="555" customFormat="1" ht="22.5" customHeight="1">
      <c r="A912" s="172"/>
      <c r="B912" s="555" t="str">
        <f>B435</f>
        <v xml:space="preserve">PVC flexible conduit </v>
      </c>
      <c r="C912" s="555" t="str">
        <f>C435</f>
        <v xml:space="preserve">DN32  </v>
      </c>
      <c r="D912" s="555">
        <f>F435</f>
        <v>53</v>
      </c>
      <c r="E912" s="556" t="s">
        <v>321</v>
      </c>
      <c r="I912" s="382"/>
      <c r="J912" s="172"/>
      <c r="K912" s="1189"/>
      <c r="O912" s="643"/>
      <c r="AD912" s="1070"/>
      <c r="AE912" s="1070"/>
      <c r="AS912" s="172"/>
      <c r="AT912" s="172"/>
      <c r="AU912" s="172"/>
      <c r="AV912" s="172"/>
      <c r="AW912" s="172"/>
      <c r="AX912" s="172"/>
      <c r="AY912" s="172"/>
      <c r="AZ912" s="172"/>
      <c r="BA912" s="172"/>
      <c r="BB912" s="172"/>
      <c r="BC912" s="172"/>
      <c r="BD912" s="172"/>
      <c r="BE912" s="172"/>
      <c r="BF912" s="172"/>
      <c r="BG912" s="172"/>
      <c r="BH912" s="172"/>
      <c r="BI912" s="172"/>
      <c r="BJ912" s="172"/>
      <c r="BK912" s="172"/>
      <c r="BL912" s="172"/>
      <c r="BM912" s="172"/>
      <c r="BN912" s="172"/>
      <c r="BO912" s="172"/>
    </row>
    <row r="913" spans="1:68" s="555" customFormat="1" ht="23.25" customHeight="1">
      <c r="A913" s="172"/>
      <c r="B913" s="555" t="str">
        <f>B436</f>
        <v xml:space="preserve">PVC flexible conduit </v>
      </c>
      <c r="C913" s="555" t="str">
        <f>C436</f>
        <v>DN25</v>
      </c>
      <c r="D913" s="1374">
        <f>F403+F436+F540+F708</f>
        <v>360</v>
      </c>
      <c r="E913" s="556" t="s">
        <v>321</v>
      </c>
      <c r="I913" s="382"/>
      <c r="J913" s="172"/>
      <c r="K913" s="1189"/>
      <c r="AC913" s="1070"/>
      <c r="AD913" s="1070"/>
      <c r="AR913" s="172"/>
      <c r="AS913" s="172"/>
      <c r="AT913" s="172"/>
      <c r="AU913" s="172"/>
      <c r="AV913" s="172"/>
      <c r="AW913" s="172"/>
      <c r="AX913" s="172"/>
      <c r="AY913" s="172"/>
      <c r="AZ913" s="172"/>
      <c r="BA913" s="172"/>
      <c r="BB913" s="172"/>
      <c r="BC913" s="172"/>
      <c r="BD913" s="172"/>
      <c r="BE913" s="172"/>
      <c r="BF913" s="172"/>
      <c r="BG913" s="172"/>
      <c r="BH913" s="172"/>
      <c r="BI913" s="172"/>
      <c r="BJ913" s="172"/>
      <c r="BK913" s="172"/>
      <c r="BL913" s="172"/>
      <c r="BM913" s="172"/>
      <c r="BN913" s="172"/>
    </row>
    <row r="914" spans="1:68" s="555" customFormat="1" ht="20.25" customHeight="1">
      <c r="A914" s="172"/>
      <c r="D914" s="1373"/>
      <c r="E914" s="556"/>
      <c r="I914" s="382"/>
      <c r="J914" s="172"/>
      <c r="K914" s="1189"/>
      <c r="AB914" s="1070"/>
      <c r="AC914" s="1070"/>
      <c r="AQ914" s="172"/>
      <c r="AR914" s="172"/>
      <c r="AS914" s="172"/>
      <c r="AT914" s="172"/>
      <c r="AU914" s="172"/>
      <c r="AV914" s="172"/>
      <c r="AW914" s="172"/>
      <c r="AX914" s="172"/>
      <c r="AY914" s="172"/>
      <c r="AZ914" s="172"/>
      <c r="BA914" s="172"/>
      <c r="BB914" s="172"/>
      <c r="BC914" s="172"/>
      <c r="BD914" s="172"/>
      <c r="BE914" s="172"/>
      <c r="BF914" s="172"/>
      <c r="BG914" s="172"/>
      <c r="BH914" s="172"/>
      <c r="BI914" s="172"/>
      <c r="BJ914" s="172"/>
      <c r="BK914" s="172"/>
      <c r="BL914" s="172"/>
      <c r="BM914" s="172"/>
    </row>
    <row r="915" spans="1:68" s="555" customFormat="1" ht="20.25" customHeight="1">
      <c r="A915" s="172"/>
      <c r="D915" s="1373"/>
      <c r="E915" s="556"/>
      <c r="I915" s="382"/>
      <c r="J915" s="172"/>
      <c r="K915" s="1189"/>
      <c r="P915" s="643"/>
      <c r="AT915" s="172"/>
      <c r="AU915" s="172"/>
      <c r="AV915" s="172"/>
      <c r="AW915" s="172"/>
      <c r="AX915" s="172"/>
      <c r="AY915" s="172"/>
      <c r="AZ915" s="172"/>
      <c r="BA915" s="172"/>
      <c r="BB915" s="172"/>
      <c r="BC915" s="172"/>
      <c r="BD915" s="172"/>
      <c r="BE915" s="172"/>
      <c r="BF915" s="172"/>
      <c r="BG915" s="172"/>
      <c r="BH915" s="172"/>
      <c r="BI915" s="172"/>
      <c r="BJ915" s="172"/>
      <c r="BK915" s="172"/>
      <c r="BL915" s="172"/>
      <c r="BM915" s="172"/>
      <c r="BN915" s="172"/>
      <c r="BO915" s="172"/>
      <c r="BP915" s="172"/>
    </row>
    <row r="916" spans="1:68" s="555" customFormat="1" ht="409.6">
      <c r="A916" s="172"/>
      <c r="E916" s="556"/>
      <c r="F916" s="1334"/>
      <c r="I916" s="382"/>
      <c r="J916" s="172"/>
      <c r="K916" s="1189"/>
      <c r="P916" s="643"/>
      <c r="AT916" s="172"/>
      <c r="AU916" s="172"/>
      <c r="AV916" s="172"/>
      <c r="AW916" s="172"/>
      <c r="AX916" s="172"/>
      <c r="AY916" s="172"/>
      <c r="AZ916" s="172"/>
      <c r="BA916" s="172"/>
      <c r="BB916" s="172"/>
      <c r="BC916" s="172"/>
      <c r="BD916" s="172"/>
      <c r="BE916" s="172"/>
      <c r="BF916" s="172"/>
      <c r="BG916" s="172"/>
      <c r="BH916" s="172"/>
      <c r="BI916" s="172"/>
      <c r="BJ916" s="172"/>
      <c r="BK916" s="172"/>
      <c r="BL916" s="172"/>
      <c r="BM916" s="172"/>
      <c r="BN916" s="172"/>
      <c r="BO916" s="172"/>
      <c r="BP916" s="172"/>
    </row>
    <row r="917" spans="1:68" s="555" customFormat="1" ht="409.6">
      <c r="A917" s="172"/>
      <c r="E917" s="556"/>
      <c r="F917" s="1334"/>
      <c r="I917" s="382"/>
      <c r="J917" s="172"/>
      <c r="K917" s="1189"/>
      <c r="P917" s="643"/>
      <c r="AT917" s="172"/>
      <c r="AU917" s="172"/>
      <c r="AV917" s="172"/>
      <c r="AW917" s="172"/>
      <c r="AX917" s="172"/>
      <c r="AY917" s="172"/>
      <c r="AZ917" s="172"/>
      <c r="BA917" s="172"/>
      <c r="BB917" s="172"/>
      <c r="BC917" s="172"/>
      <c r="BD917" s="172"/>
      <c r="BE917" s="172"/>
      <c r="BF917" s="172"/>
      <c r="BG917" s="172"/>
      <c r="BH917" s="172"/>
      <c r="BI917" s="172"/>
      <c r="BJ917" s="172"/>
      <c r="BK917" s="172"/>
      <c r="BL917" s="172"/>
      <c r="BM917" s="172"/>
      <c r="BN917" s="172"/>
      <c r="BO917" s="172"/>
      <c r="BP917" s="172"/>
    </row>
    <row r="918" spans="1:68" s="555" customFormat="1" ht="409.6">
      <c r="A918" s="172"/>
      <c r="E918" s="556"/>
      <c r="F918" s="1334"/>
      <c r="I918" s="382"/>
      <c r="J918" s="172"/>
      <c r="K918" s="1189"/>
      <c r="P918" s="643"/>
      <c r="AT918" s="172"/>
      <c r="AU918" s="172"/>
      <c r="AV918" s="172"/>
      <c r="AW918" s="172"/>
      <c r="AX918" s="172"/>
      <c r="AY918" s="172"/>
      <c r="AZ918" s="172"/>
      <c r="BA918" s="172"/>
      <c r="BB918" s="172"/>
      <c r="BC918" s="172"/>
      <c r="BD918" s="172"/>
      <c r="BE918" s="172"/>
      <c r="BF918" s="172"/>
      <c r="BG918" s="172"/>
      <c r="BH918" s="172"/>
      <c r="BI918" s="172"/>
      <c r="BJ918" s="172"/>
      <c r="BK918" s="172"/>
      <c r="BL918" s="172"/>
      <c r="BM918" s="172"/>
      <c r="BN918" s="172"/>
      <c r="BO918" s="172"/>
      <c r="BP918" s="172"/>
    </row>
    <row r="919" spans="1:68" s="555" customFormat="1" ht="409.6">
      <c r="A919" s="172"/>
      <c r="E919" s="556"/>
      <c r="F919" s="1334"/>
      <c r="I919" s="382"/>
      <c r="J919" s="172"/>
      <c r="K919" s="1189"/>
      <c r="P919" s="643"/>
      <c r="AT919" s="172"/>
      <c r="AU919" s="172"/>
      <c r="AV919" s="172"/>
      <c r="AW919" s="172"/>
      <c r="AX919" s="172"/>
      <c r="AY919" s="172"/>
      <c r="AZ919" s="172"/>
      <c r="BA919" s="172"/>
      <c r="BB919" s="172"/>
      <c r="BC919" s="172"/>
      <c r="BD919" s="172"/>
      <c r="BE919" s="172"/>
      <c r="BF919" s="172"/>
      <c r="BG919" s="172"/>
      <c r="BH919" s="172"/>
      <c r="BI919" s="172"/>
      <c r="BJ919" s="172"/>
      <c r="BK919" s="172"/>
      <c r="BL919" s="172"/>
      <c r="BM919" s="172"/>
      <c r="BN919" s="172"/>
      <c r="BO919" s="172"/>
      <c r="BP919" s="172"/>
    </row>
    <row r="920" spans="1:68" s="555" customFormat="1" ht="409.6">
      <c r="A920" s="172"/>
      <c r="E920" s="556"/>
      <c r="F920" s="1334"/>
      <c r="I920" s="382"/>
      <c r="J920" s="172"/>
      <c r="K920" s="1189"/>
      <c r="P920" s="643"/>
      <c r="AT920" s="172"/>
      <c r="AU920" s="172"/>
      <c r="AV920" s="172"/>
      <c r="AW920" s="172"/>
      <c r="AX920" s="172"/>
      <c r="AY920" s="172"/>
      <c r="AZ920" s="172"/>
      <c r="BA920" s="172"/>
      <c r="BB920" s="172"/>
      <c r="BC920" s="172"/>
      <c r="BD920" s="172"/>
      <c r="BE920" s="172"/>
      <c r="BF920" s="172"/>
      <c r="BG920" s="172"/>
      <c r="BH920" s="172"/>
      <c r="BI920" s="172"/>
      <c r="BJ920" s="172"/>
      <c r="BK920" s="172"/>
      <c r="BL920" s="172"/>
      <c r="BM920" s="172"/>
      <c r="BN920" s="172"/>
      <c r="BO920" s="172"/>
      <c r="BP920" s="172"/>
    </row>
    <row r="921" spans="1:68" s="555" customFormat="1" ht="409.6">
      <c r="A921" s="172"/>
      <c r="E921" s="556"/>
      <c r="F921" s="1334"/>
      <c r="I921" s="382"/>
      <c r="J921" s="172"/>
      <c r="K921" s="1189"/>
      <c r="P921" s="643"/>
      <c r="AT921" s="172"/>
      <c r="AU921" s="172"/>
      <c r="AV921" s="172"/>
      <c r="AW921" s="172"/>
      <c r="AX921" s="172"/>
      <c r="AY921" s="172"/>
      <c r="AZ921" s="172"/>
      <c r="BA921" s="172"/>
      <c r="BB921" s="172"/>
      <c r="BC921" s="172"/>
      <c r="BD921" s="172"/>
      <c r="BE921" s="172"/>
      <c r="BF921" s="172"/>
      <c r="BG921" s="172"/>
      <c r="BH921" s="172"/>
      <c r="BI921" s="172"/>
      <c r="BJ921" s="172"/>
      <c r="BK921" s="172"/>
      <c r="BL921" s="172"/>
      <c r="BM921" s="172"/>
      <c r="BN921" s="172"/>
      <c r="BO921" s="172"/>
      <c r="BP921" s="172"/>
    </row>
    <row r="922" spans="1:68" s="555" customFormat="1" ht="409.6">
      <c r="A922" s="172"/>
      <c r="E922" s="556"/>
      <c r="F922" s="1334"/>
      <c r="I922" s="382"/>
      <c r="J922" s="172"/>
      <c r="K922" s="1189"/>
      <c r="P922" s="643"/>
      <c r="AT922" s="172"/>
      <c r="AU922" s="172"/>
      <c r="AV922" s="172"/>
      <c r="AW922" s="172"/>
      <c r="AX922" s="172"/>
      <c r="AY922" s="172"/>
      <c r="AZ922" s="172"/>
      <c r="BA922" s="172"/>
      <c r="BB922" s="172"/>
      <c r="BC922" s="172"/>
      <c r="BD922" s="172"/>
      <c r="BE922" s="172"/>
      <c r="BF922" s="172"/>
      <c r="BG922" s="172"/>
      <c r="BH922" s="172"/>
      <c r="BI922" s="172"/>
      <c r="BJ922" s="172"/>
      <c r="BK922" s="172"/>
      <c r="BL922" s="172"/>
      <c r="BM922" s="172"/>
      <c r="BN922" s="172"/>
      <c r="BO922" s="172"/>
      <c r="BP922" s="172"/>
    </row>
    <row r="923" spans="1:68" s="555" customFormat="1" ht="409.6">
      <c r="A923" s="172"/>
      <c r="E923" s="556"/>
      <c r="F923" s="1334"/>
      <c r="I923" s="382"/>
      <c r="J923" s="172"/>
      <c r="K923" s="1189"/>
      <c r="P923" s="643"/>
      <c r="AT923" s="172"/>
      <c r="AU923" s="172"/>
      <c r="AV923" s="172"/>
      <c r="AW923" s="172"/>
      <c r="AX923" s="172"/>
      <c r="AY923" s="172"/>
      <c r="AZ923" s="172"/>
      <c r="BA923" s="172"/>
      <c r="BB923" s="172"/>
      <c r="BC923" s="172"/>
      <c r="BD923" s="172"/>
      <c r="BE923" s="172"/>
      <c r="BF923" s="172"/>
      <c r="BG923" s="172"/>
      <c r="BH923" s="172"/>
      <c r="BI923" s="172"/>
      <c r="BJ923" s="172"/>
      <c r="BK923" s="172"/>
      <c r="BL923" s="172"/>
      <c r="BM923" s="172"/>
      <c r="BN923" s="172"/>
      <c r="BO923" s="172"/>
      <c r="BP923" s="172"/>
    </row>
    <row r="924" spans="1:68" s="555" customFormat="1" ht="409.6">
      <c r="A924" s="172"/>
      <c r="E924" s="556"/>
      <c r="F924" s="1334"/>
      <c r="I924" s="382"/>
      <c r="J924" s="172"/>
      <c r="K924" s="1189"/>
      <c r="P924" s="643"/>
      <c r="AT924" s="172"/>
      <c r="AU924" s="172"/>
      <c r="AV924" s="172"/>
      <c r="AW924" s="172"/>
      <c r="AX924" s="172"/>
      <c r="AY924" s="172"/>
      <c r="AZ924" s="172"/>
      <c r="BA924" s="172"/>
      <c r="BB924" s="172"/>
      <c r="BC924" s="172"/>
      <c r="BD924" s="172"/>
      <c r="BE924" s="172"/>
      <c r="BF924" s="172"/>
      <c r="BG924" s="172"/>
      <c r="BH924" s="172"/>
      <c r="BI924" s="172"/>
      <c r="BJ924" s="172"/>
      <c r="BK924" s="172"/>
      <c r="BL924" s="172"/>
      <c r="BM924" s="172"/>
      <c r="BN924" s="172"/>
      <c r="BO924" s="172"/>
      <c r="BP924" s="172"/>
    </row>
    <row r="925" spans="1:68" s="555" customFormat="1" ht="409.6">
      <c r="A925" s="172"/>
      <c r="E925" s="556"/>
      <c r="F925" s="1334"/>
      <c r="I925" s="382"/>
      <c r="J925" s="172"/>
      <c r="K925" s="1189"/>
      <c r="P925" s="643"/>
      <c r="AT925" s="172"/>
      <c r="AU925" s="172"/>
      <c r="AV925" s="172"/>
      <c r="AW925" s="172"/>
      <c r="AX925" s="172"/>
      <c r="AY925" s="172"/>
      <c r="AZ925" s="172"/>
      <c r="BA925" s="172"/>
      <c r="BB925" s="172"/>
      <c r="BC925" s="172"/>
      <c r="BD925" s="172"/>
      <c r="BE925" s="172"/>
      <c r="BF925" s="172"/>
      <c r="BG925" s="172"/>
      <c r="BH925" s="172"/>
      <c r="BI925" s="172"/>
      <c r="BJ925" s="172"/>
      <c r="BK925" s="172"/>
      <c r="BL925" s="172"/>
      <c r="BM925" s="172"/>
      <c r="BN925" s="172"/>
      <c r="BO925" s="172"/>
      <c r="BP925" s="172"/>
    </row>
    <row r="926" spans="1:68" s="555" customFormat="1" ht="409.6">
      <c r="A926" s="172"/>
      <c r="E926" s="556"/>
      <c r="F926" s="1334"/>
      <c r="I926" s="382"/>
      <c r="J926" s="172"/>
      <c r="K926" s="1189"/>
      <c r="P926" s="643"/>
      <c r="AT926" s="172"/>
      <c r="AU926" s="172"/>
      <c r="AV926" s="172"/>
      <c r="AW926" s="172"/>
      <c r="AX926" s="172"/>
      <c r="AY926" s="172"/>
      <c r="AZ926" s="172"/>
      <c r="BA926" s="172"/>
      <c r="BB926" s="172"/>
      <c r="BC926" s="172"/>
      <c r="BD926" s="172"/>
      <c r="BE926" s="172"/>
      <c r="BF926" s="172"/>
      <c r="BG926" s="172"/>
      <c r="BH926" s="172"/>
      <c r="BI926" s="172"/>
      <c r="BJ926" s="172"/>
      <c r="BK926" s="172"/>
      <c r="BL926" s="172"/>
      <c r="BM926" s="172"/>
      <c r="BN926" s="172"/>
      <c r="BO926" s="172"/>
      <c r="BP926" s="172"/>
    </row>
    <row r="927" spans="1:68" s="555" customFormat="1" ht="409.6">
      <c r="A927" s="172"/>
      <c r="E927" s="556"/>
      <c r="F927" s="1334"/>
      <c r="I927" s="382"/>
      <c r="J927" s="172"/>
      <c r="K927" s="1189"/>
      <c r="P927" s="643"/>
      <c r="AT927" s="172"/>
      <c r="AU927" s="172"/>
      <c r="AV927" s="172"/>
      <c r="AW927" s="172"/>
      <c r="AX927" s="172"/>
      <c r="AY927" s="172"/>
      <c r="AZ927" s="172"/>
      <c r="BA927" s="172"/>
      <c r="BB927" s="172"/>
      <c r="BC927" s="172"/>
      <c r="BD927" s="172"/>
      <c r="BE927" s="172"/>
      <c r="BF927" s="172"/>
      <c r="BG927" s="172"/>
      <c r="BH927" s="172"/>
      <c r="BI927" s="172"/>
      <c r="BJ927" s="172"/>
      <c r="BK927" s="172"/>
      <c r="BL927" s="172"/>
      <c r="BM927" s="172"/>
      <c r="BN927" s="172"/>
      <c r="BO927" s="172"/>
      <c r="BP927" s="172"/>
    </row>
    <row r="928" spans="1:68" s="555" customFormat="1" ht="409.6">
      <c r="A928" s="172"/>
      <c r="E928" s="556"/>
      <c r="F928" s="1334"/>
      <c r="I928" s="382"/>
      <c r="J928" s="172"/>
      <c r="K928" s="1189"/>
      <c r="P928" s="643"/>
      <c r="AT928" s="172"/>
      <c r="AU928" s="172"/>
      <c r="AV928" s="172"/>
      <c r="AW928" s="172"/>
      <c r="AX928" s="172"/>
      <c r="AY928" s="172"/>
      <c r="AZ928" s="172"/>
      <c r="BA928" s="172"/>
      <c r="BB928" s="172"/>
      <c r="BC928" s="172"/>
      <c r="BD928" s="172"/>
      <c r="BE928" s="172"/>
      <c r="BF928" s="172"/>
      <c r="BG928" s="172"/>
      <c r="BH928" s="172"/>
      <c r="BI928" s="172"/>
      <c r="BJ928" s="172"/>
      <c r="BK928" s="172"/>
      <c r="BL928" s="172"/>
      <c r="BM928" s="172"/>
      <c r="BN928" s="172"/>
      <c r="BO928" s="172"/>
      <c r="BP928" s="172"/>
    </row>
    <row r="929" spans="1:68" s="555" customFormat="1" ht="409.6">
      <c r="A929" s="172"/>
      <c r="E929" s="556"/>
      <c r="F929" s="1334"/>
      <c r="I929" s="382"/>
      <c r="J929" s="172"/>
      <c r="K929" s="1189"/>
      <c r="P929" s="643"/>
      <c r="AT929" s="172"/>
      <c r="AU929" s="172"/>
      <c r="AV929" s="172"/>
      <c r="AW929" s="172"/>
      <c r="AX929" s="172"/>
      <c r="AY929" s="172"/>
      <c r="AZ929" s="172"/>
      <c r="BA929" s="172"/>
      <c r="BB929" s="172"/>
      <c r="BC929" s="172"/>
      <c r="BD929" s="172"/>
      <c r="BE929" s="172"/>
      <c r="BF929" s="172"/>
      <c r="BG929" s="172"/>
      <c r="BH929" s="172"/>
      <c r="BI929" s="172"/>
      <c r="BJ929" s="172"/>
      <c r="BK929" s="172"/>
      <c r="BL929" s="172"/>
      <c r="BM929" s="172"/>
      <c r="BN929" s="172"/>
      <c r="BO929" s="172"/>
      <c r="BP929" s="172"/>
    </row>
    <row r="930" spans="1:68" s="555" customFormat="1" ht="409.6">
      <c r="A930" s="172"/>
      <c r="E930" s="556"/>
      <c r="F930" s="1334"/>
      <c r="I930" s="382"/>
      <c r="J930" s="172"/>
      <c r="K930" s="1189"/>
      <c r="P930" s="643"/>
      <c r="AT930" s="172"/>
      <c r="AU930" s="172"/>
      <c r="AV930" s="172"/>
      <c r="AW930" s="172"/>
      <c r="AX930" s="172"/>
      <c r="AY930" s="172"/>
      <c r="AZ930" s="172"/>
      <c r="BA930" s="172"/>
      <c r="BB930" s="172"/>
      <c r="BC930" s="172"/>
      <c r="BD930" s="172"/>
      <c r="BE930" s="172"/>
      <c r="BF930" s="172"/>
      <c r="BG930" s="172"/>
      <c r="BH930" s="172"/>
      <c r="BI930" s="172"/>
      <c r="BJ930" s="172"/>
      <c r="BK930" s="172"/>
      <c r="BL930" s="172"/>
      <c r="BM930" s="172"/>
      <c r="BN930" s="172"/>
      <c r="BO930" s="172"/>
      <c r="BP930" s="172"/>
    </row>
    <row r="931" spans="1:68" s="555" customFormat="1" ht="409.6">
      <c r="A931" s="172"/>
      <c r="E931" s="556"/>
      <c r="F931" s="1334"/>
      <c r="I931" s="382"/>
      <c r="J931" s="172"/>
      <c r="K931" s="1189"/>
      <c r="P931" s="643"/>
      <c r="AT931" s="172"/>
      <c r="AU931" s="172"/>
      <c r="AV931" s="172"/>
      <c r="AW931" s="172"/>
      <c r="AX931" s="172"/>
      <c r="AY931" s="172"/>
      <c r="AZ931" s="172"/>
      <c r="BA931" s="172"/>
      <c r="BB931" s="172"/>
      <c r="BC931" s="172"/>
      <c r="BD931" s="172"/>
      <c r="BE931" s="172"/>
      <c r="BF931" s="172"/>
      <c r="BG931" s="172"/>
      <c r="BH931" s="172"/>
      <c r="BI931" s="172"/>
      <c r="BJ931" s="172"/>
      <c r="BK931" s="172"/>
      <c r="BL931" s="172"/>
      <c r="BM931" s="172"/>
      <c r="BN931" s="172"/>
      <c r="BO931" s="172"/>
      <c r="BP931" s="172"/>
    </row>
    <row r="932" spans="1:68" s="555" customFormat="1" ht="409.6">
      <c r="A932" s="172"/>
      <c r="E932" s="556"/>
      <c r="F932" s="1334"/>
      <c r="I932" s="382"/>
      <c r="J932" s="172"/>
      <c r="K932" s="1189"/>
      <c r="P932" s="643"/>
      <c r="AT932" s="172"/>
      <c r="AU932" s="172"/>
      <c r="AV932" s="172"/>
      <c r="AW932" s="172"/>
      <c r="AX932" s="172"/>
      <c r="AY932" s="172"/>
      <c r="AZ932" s="172"/>
      <c r="BA932" s="172"/>
      <c r="BB932" s="172"/>
      <c r="BC932" s="172"/>
      <c r="BD932" s="172"/>
      <c r="BE932" s="172"/>
      <c r="BF932" s="172"/>
      <c r="BG932" s="172"/>
      <c r="BH932" s="172"/>
      <c r="BI932" s="172"/>
      <c r="BJ932" s="172"/>
      <c r="BK932" s="172"/>
      <c r="BL932" s="172"/>
      <c r="BM932" s="172"/>
      <c r="BN932" s="172"/>
      <c r="BO932" s="172"/>
      <c r="BP932" s="172"/>
    </row>
    <row r="933" spans="1:68" s="555" customFormat="1" ht="409.6">
      <c r="A933" s="172"/>
      <c r="E933" s="556"/>
      <c r="F933" s="1334"/>
      <c r="I933" s="382"/>
      <c r="J933" s="172"/>
      <c r="K933" s="1189"/>
      <c r="P933" s="643"/>
      <c r="AT933" s="172"/>
      <c r="AU933" s="172"/>
      <c r="AV933" s="172"/>
      <c r="AW933" s="172"/>
      <c r="AX933" s="172"/>
      <c r="AY933" s="172"/>
      <c r="AZ933" s="172"/>
      <c r="BA933" s="172"/>
      <c r="BB933" s="172"/>
      <c r="BC933" s="172"/>
      <c r="BD933" s="172"/>
      <c r="BE933" s="172"/>
      <c r="BF933" s="172"/>
      <c r="BG933" s="172"/>
      <c r="BH933" s="172"/>
      <c r="BI933" s="172"/>
      <c r="BJ933" s="172"/>
      <c r="BK933" s="172"/>
      <c r="BL933" s="172"/>
      <c r="BM933" s="172"/>
      <c r="BN933" s="172"/>
      <c r="BO933" s="172"/>
      <c r="BP933" s="172"/>
    </row>
    <row r="934" spans="1:68" s="555" customFormat="1" ht="409.6">
      <c r="A934" s="172"/>
      <c r="E934" s="556"/>
      <c r="F934" s="1334"/>
      <c r="I934" s="382"/>
      <c r="J934" s="172"/>
      <c r="K934" s="1189"/>
      <c r="P934" s="643"/>
      <c r="AT934" s="172"/>
      <c r="AU934" s="172"/>
      <c r="AV934" s="172"/>
      <c r="AW934" s="172"/>
      <c r="AX934" s="172"/>
      <c r="AY934" s="172"/>
      <c r="AZ934" s="172"/>
      <c r="BA934" s="172"/>
      <c r="BB934" s="172"/>
      <c r="BC934" s="172"/>
      <c r="BD934" s="172"/>
      <c r="BE934" s="172"/>
      <c r="BF934" s="172"/>
      <c r="BG934" s="172"/>
      <c r="BH934" s="172"/>
      <c r="BI934" s="172"/>
      <c r="BJ934" s="172"/>
      <c r="BK934" s="172"/>
      <c r="BL934" s="172"/>
      <c r="BM934" s="172"/>
      <c r="BN934" s="172"/>
      <c r="BO934" s="172"/>
      <c r="BP934" s="172"/>
    </row>
    <row r="935" spans="1:68" s="555" customFormat="1" ht="409.6">
      <c r="A935" s="172"/>
      <c r="E935" s="556"/>
      <c r="F935" s="1334"/>
      <c r="I935" s="382"/>
      <c r="J935" s="172"/>
      <c r="K935" s="1189"/>
      <c r="P935" s="643"/>
      <c r="AT935" s="172"/>
      <c r="AU935" s="172"/>
      <c r="AV935" s="172"/>
      <c r="AW935" s="172"/>
      <c r="AX935" s="172"/>
      <c r="AY935" s="172"/>
      <c r="AZ935" s="172"/>
      <c r="BA935" s="172"/>
      <c r="BB935" s="172"/>
      <c r="BC935" s="172"/>
      <c r="BD935" s="172"/>
      <c r="BE935" s="172"/>
      <c r="BF935" s="172"/>
      <c r="BG935" s="172"/>
      <c r="BH935" s="172"/>
      <c r="BI935" s="172"/>
      <c r="BJ935" s="172"/>
      <c r="BK935" s="172"/>
      <c r="BL935" s="172"/>
      <c r="BM935" s="172"/>
      <c r="BN935" s="172"/>
      <c r="BO935" s="172"/>
      <c r="BP935" s="172"/>
    </row>
    <row r="936" spans="1:68" s="555" customFormat="1" ht="409.6">
      <c r="A936" s="172"/>
      <c r="E936" s="556"/>
      <c r="F936" s="1334"/>
      <c r="I936" s="382"/>
      <c r="J936" s="172"/>
      <c r="K936" s="1189"/>
      <c r="P936" s="643"/>
      <c r="AT936" s="172"/>
      <c r="AU936" s="172"/>
      <c r="AV936" s="172"/>
      <c r="AW936" s="172"/>
      <c r="AX936" s="172"/>
      <c r="AY936" s="172"/>
      <c r="AZ936" s="172"/>
      <c r="BA936" s="172"/>
      <c r="BB936" s="172"/>
      <c r="BC936" s="172"/>
      <c r="BD936" s="172"/>
      <c r="BE936" s="172"/>
      <c r="BF936" s="172"/>
      <c r="BG936" s="172"/>
      <c r="BH936" s="172"/>
      <c r="BI936" s="172"/>
      <c r="BJ936" s="172"/>
      <c r="BK936" s="172"/>
      <c r="BL936" s="172"/>
      <c r="BM936" s="172"/>
      <c r="BN936" s="172"/>
      <c r="BO936" s="172"/>
      <c r="BP936" s="172"/>
    </row>
    <row r="937" spans="1:68" s="555" customFormat="1" ht="409.6">
      <c r="A937" s="172"/>
      <c r="E937" s="556"/>
      <c r="F937" s="1334"/>
      <c r="I937" s="382"/>
      <c r="J937" s="172"/>
      <c r="K937" s="1189"/>
      <c r="P937" s="643"/>
      <c r="AT937" s="172"/>
      <c r="AU937" s="172"/>
      <c r="AV937" s="172"/>
      <c r="AW937" s="172"/>
      <c r="AX937" s="172"/>
      <c r="AY937" s="172"/>
      <c r="AZ937" s="172"/>
      <c r="BA937" s="172"/>
      <c r="BB937" s="172"/>
      <c r="BC937" s="172"/>
      <c r="BD937" s="172"/>
      <c r="BE937" s="172"/>
      <c r="BF937" s="172"/>
      <c r="BG937" s="172"/>
      <c r="BH937" s="172"/>
      <c r="BI937" s="172"/>
      <c r="BJ937" s="172"/>
      <c r="BK937" s="172"/>
      <c r="BL937" s="172"/>
      <c r="BM937" s="172"/>
      <c r="BN937" s="172"/>
      <c r="BO937" s="172"/>
      <c r="BP937" s="172"/>
    </row>
    <row r="938" spans="1:68" s="555" customFormat="1" ht="409.6">
      <c r="A938" s="172"/>
      <c r="E938" s="556"/>
      <c r="F938" s="1334"/>
      <c r="I938" s="382"/>
      <c r="J938" s="172"/>
      <c r="K938" s="1189"/>
      <c r="P938" s="643"/>
      <c r="AT938" s="172"/>
      <c r="AU938" s="172"/>
      <c r="AV938" s="172"/>
      <c r="AW938" s="172"/>
      <c r="AX938" s="172"/>
      <c r="AY938" s="172"/>
      <c r="AZ938" s="172"/>
      <c r="BA938" s="172"/>
      <c r="BB938" s="172"/>
      <c r="BC938" s="172"/>
      <c r="BD938" s="172"/>
      <c r="BE938" s="172"/>
      <c r="BF938" s="172"/>
      <c r="BG938" s="172"/>
      <c r="BH938" s="172"/>
      <c r="BI938" s="172"/>
      <c r="BJ938" s="172"/>
      <c r="BK938" s="172"/>
      <c r="BL938" s="172"/>
      <c r="BM938" s="172"/>
      <c r="BN938" s="172"/>
      <c r="BO938" s="172"/>
      <c r="BP938" s="172"/>
    </row>
    <row r="939" spans="1:68" s="555" customFormat="1" ht="409.6">
      <c r="A939" s="172"/>
      <c r="E939" s="556"/>
      <c r="F939" s="1334"/>
      <c r="I939" s="382"/>
      <c r="J939" s="172"/>
      <c r="K939" s="1189"/>
      <c r="P939" s="643"/>
      <c r="AT939" s="172"/>
      <c r="AU939" s="172"/>
      <c r="AV939" s="172"/>
      <c r="AW939" s="172"/>
      <c r="AX939" s="172"/>
      <c r="AY939" s="172"/>
      <c r="AZ939" s="172"/>
      <c r="BA939" s="172"/>
      <c r="BB939" s="172"/>
      <c r="BC939" s="172"/>
      <c r="BD939" s="172"/>
      <c r="BE939" s="172"/>
      <c r="BF939" s="172"/>
      <c r="BG939" s="172"/>
      <c r="BH939" s="172"/>
      <c r="BI939" s="172"/>
      <c r="BJ939" s="172"/>
      <c r="BK939" s="172"/>
      <c r="BL939" s="172"/>
      <c r="BM939" s="172"/>
      <c r="BN939" s="172"/>
      <c r="BO939" s="172"/>
      <c r="BP939" s="172"/>
    </row>
    <row r="940" spans="1:68" s="555" customFormat="1" ht="409.6">
      <c r="A940" s="172"/>
      <c r="E940" s="556"/>
      <c r="F940" s="1334"/>
      <c r="I940" s="382"/>
      <c r="J940" s="172"/>
      <c r="K940" s="1189"/>
      <c r="P940" s="643"/>
      <c r="AT940" s="172"/>
      <c r="AU940" s="172"/>
      <c r="AV940" s="172"/>
      <c r="AW940" s="172"/>
      <c r="AX940" s="172"/>
      <c r="AY940" s="172"/>
      <c r="AZ940" s="172"/>
      <c r="BA940" s="172"/>
      <c r="BB940" s="172"/>
      <c r="BC940" s="172"/>
      <c r="BD940" s="172"/>
      <c r="BE940" s="172"/>
      <c r="BF940" s="172"/>
      <c r="BG940" s="172"/>
      <c r="BH940" s="172"/>
      <c r="BI940" s="172"/>
      <c r="BJ940" s="172"/>
      <c r="BK940" s="172"/>
      <c r="BL940" s="172"/>
      <c r="BM940" s="172"/>
      <c r="BN940" s="172"/>
      <c r="BO940" s="172"/>
      <c r="BP940" s="172"/>
    </row>
    <row r="941" spans="1:68" s="555" customFormat="1" ht="409.6">
      <c r="A941" s="172"/>
      <c r="E941" s="556"/>
      <c r="F941" s="1334"/>
      <c r="I941" s="382"/>
      <c r="J941" s="172"/>
      <c r="K941" s="1189"/>
      <c r="P941" s="643"/>
      <c r="AT941" s="172"/>
      <c r="AU941" s="172"/>
      <c r="AV941" s="172"/>
      <c r="AW941" s="172"/>
      <c r="AX941" s="172"/>
      <c r="AY941" s="172"/>
      <c r="AZ941" s="172"/>
      <c r="BA941" s="172"/>
      <c r="BB941" s="172"/>
      <c r="BC941" s="172"/>
      <c r="BD941" s="172"/>
      <c r="BE941" s="172"/>
      <c r="BF941" s="172"/>
      <c r="BG941" s="172"/>
      <c r="BH941" s="172"/>
      <c r="BI941" s="172"/>
      <c r="BJ941" s="172"/>
      <c r="BK941" s="172"/>
      <c r="BL941" s="172"/>
      <c r="BM941" s="172"/>
      <c r="BN941" s="172"/>
      <c r="BO941" s="172"/>
      <c r="BP941" s="172"/>
    </row>
    <row r="942" spans="1:68" s="555" customFormat="1" ht="409.6">
      <c r="A942" s="172"/>
      <c r="E942" s="556"/>
      <c r="F942" s="1334"/>
      <c r="I942" s="382"/>
      <c r="J942" s="172"/>
      <c r="K942" s="1189"/>
      <c r="P942" s="643"/>
      <c r="AT942" s="172"/>
      <c r="AU942" s="172"/>
      <c r="AV942" s="172"/>
      <c r="AW942" s="172"/>
      <c r="AX942" s="172"/>
      <c r="AY942" s="172"/>
      <c r="AZ942" s="172"/>
      <c r="BA942" s="172"/>
      <c r="BB942" s="172"/>
      <c r="BC942" s="172"/>
      <c r="BD942" s="172"/>
      <c r="BE942" s="172"/>
      <c r="BF942" s="172"/>
      <c r="BG942" s="172"/>
      <c r="BH942" s="172"/>
      <c r="BI942" s="172"/>
      <c r="BJ942" s="172"/>
      <c r="BK942" s="172"/>
      <c r="BL942" s="172"/>
      <c r="BM942" s="172"/>
      <c r="BN942" s="172"/>
      <c r="BO942" s="172"/>
      <c r="BP942" s="172"/>
    </row>
    <row r="943" spans="1:68" s="555" customFormat="1" ht="409.6">
      <c r="A943" s="172"/>
      <c r="E943" s="556"/>
      <c r="F943" s="1334"/>
      <c r="I943" s="382"/>
      <c r="J943" s="172"/>
      <c r="K943" s="1189"/>
      <c r="P943" s="643"/>
      <c r="AT943" s="172"/>
      <c r="AU943" s="172"/>
      <c r="AV943" s="172"/>
      <c r="AW943" s="172"/>
      <c r="AX943" s="172"/>
      <c r="AY943" s="172"/>
      <c r="AZ943" s="172"/>
      <c r="BA943" s="172"/>
      <c r="BB943" s="172"/>
      <c r="BC943" s="172"/>
      <c r="BD943" s="172"/>
      <c r="BE943" s="172"/>
      <c r="BF943" s="172"/>
      <c r="BG943" s="172"/>
      <c r="BH943" s="172"/>
      <c r="BI943" s="172"/>
      <c r="BJ943" s="172"/>
      <c r="BK943" s="172"/>
      <c r="BL943" s="172"/>
      <c r="BM943" s="172"/>
      <c r="BN943" s="172"/>
      <c r="BO943" s="172"/>
      <c r="BP943" s="172"/>
    </row>
    <row r="944" spans="1:68" s="555" customFormat="1" ht="409.6">
      <c r="A944" s="172"/>
      <c r="E944" s="556"/>
      <c r="F944" s="1334"/>
      <c r="I944" s="382"/>
      <c r="J944" s="172"/>
      <c r="K944" s="1189"/>
      <c r="P944" s="643"/>
      <c r="AT944" s="172"/>
      <c r="AU944" s="172"/>
      <c r="AV944" s="172"/>
      <c r="AW944" s="172"/>
      <c r="AX944" s="172"/>
      <c r="AY944" s="172"/>
      <c r="AZ944" s="172"/>
      <c r="BA944" s="172"/>
      <c r="BB944" s="172"/>
      <c r="BC944" s="172"/>
      <c r="BD944" s="172"/>
      <c r="BE944" s="172"/>
      <c r="BF944" s="172"/>
      <c r="BG944" s="172"/>
      <c r="BH944" s="172"/>
      <c r="BI944" s="172"/>
      <c r="BJ944" s="172"/>
      <c r="BK944" s="172"/>
      <c r="BL944" s="172"/>
      <c r="BM944" s="172"/>
      <c r="BN944" s="172"/>
      <c r="BO944" s="172"/>
      <c r="BP944" s="172"/>
    </row>
    <row r="945" spans="1:68" s="555" customFormat="1" ht="409.6">
      <c r="A945" s="172"/>
      <c r="E945" s="556"/>
      <c r="F945" s="1334"/>
      <c r="I945" s="382"/>
      <c r="J945" s="172"/>
      <c r="K945" s="1189"/>
      <c r="P945" s="643"/>
      <c r="AT945" s="172"/>
      <c r="AU945" s="172"/>
      <c r="AV945" s="172"/>
      <c r="AW945" s="172"/>
      <c r="AX945" s="172"/>
      <c r="AY945" s="172"/>
      <c r="AZ945" s="172"/>
      <c r="BA945" s="172"/>
      <c r="BB945" s="172"/>
      <c r="BC945" s="172"/>
      <c r="BD945" s="172"/>
      <c r="BE945" s="172"/>
      <c r="BF945" s="172"/>
      <c r="BG945" s="172"/>
      <c r="BH945" s="172"/>
      <c r="BI945" s="172"/>
      <c r="BJ945" s="172"/>
      <c r="BK945" s="172"/>
      <c r="BL945" s="172"/>
      <c r="BM945" s="172"/>
      <c r="BN945" s="172"/>
      <c r="BO945" s="172"/>
      <c r="BP945" s="172"/>
    </row>
    <row r="946" spans="1:68" s="555" customFormat="1" ht="409.6">
      <c r="A946" s="172"/>
      <c r="E946" s="556"/>
      <c r="F946" s="1334"/>
      <c r="I946" s="382"/>
      <c r="J946" s="172"/>
      <c r="K946" s="1189"/>
      <c r="P946" s="643"/>
      <c r="AT946" s="172"/>
      <c r="AU946" s="172"/>
      <c r="AV946" s="172"/>
      <c r="AW946" s="172"/>
      <c r="AX946" s="172"/>
      <c r="AY946" s="172"/>
      <c r="AZ946" s="172"/>
      <c r="BA946" s="172"/>
      <c r="BB946" s="172"/>
      <c r="BC946" s="172"/>
      <c r="BD946" s="172"/>
      <c r="BE946" s="172"/>
      <c r="BF946" s="172"/>
      <c r="BG946" s="172"/>
      <c r="BH946" s="172"/>
      <c r="BI946" s="172"/>
      <c r="BJ946" s="172"/>
      <c r="BK946" s="172"/>
      <c r="BL946" s="172"/>
      <c r="BM946" s="172"/>
      <c r="BN946" s="172"/>
      <c r="BO946" s="172"/>
      <c r="BP946" s="172"/>
    </row>
    <row r="947" spans="1:68" s="555" customFormat="1" ht="409.6">
      <c r="A947" s="172"/>
      <c r="E947" s="556"/>
      <c r="F947" s="1334"/>
      <c r="I947" s="382"/>
      <c r="J947" s="172"/>
      <c r="K947" s="1189"/>
      <c r="P947" s="643"/>
      <c r="AT947" s="172"/>
      <c r="AU947" s="172"/>
      <c r="AV947" s="172"/>
      <c r="AW947" s="172"/>
      <c r="AX947" s="172"/>
      <c r="AY947" s="172"/>
      <c r="AZ947" s="172"/>
      <c r="BA947" s="172"/>
      <c r="BB947" s="172"/>
      <c r="BC947" s="172"/>
      <c r="BD947" s="172"/>
      <c r="BE947" s="172"/>
      <c r="BF947" s="172"/>
      <c r="BG947" s="172"/>
      <c r="BH947" s="172"/>
      <c r="BI947" s="172"/>
      <c r="BJ947" s="172"/>
      <c r="BK947" s="172"/>
      <c r="BL947" s="172"/>
      <c r="BM947" s="172"/>
      <c r="BN947" s="172"/>
      <c r="BO947" s="172"/>
      <c r="BP947" s="172"/>
    </row>
    <row r="948" spans="1:68" s="555" customFormat="1" ht="409.6">
      <c r="A948" s="172"/>
      <c r="E948" s="556"/>
      <c r="F948" s="1334"/>
      <c r="I948" s="382"/>
      <c r="J948" s="172"/>
      <c r="K948" s="1189"/>
      <c r="P948" s="643"/>
      <c r="AT948" s="172"/>
      <c r="AU948" s="172"/>
      <c r="AV948" s="172"/>
      <c r="AW948" s="172"/>
      <c r="AX948" s="172"/>
      <c r="AY948" s="172"/>
      <c r="AZ948" s="172"/>
      <c r="BA948" s="172"/>
      <c r="BB948" s="172"/>
      <c r="BC948" s="172"/>
      <c r="BD948" s="172"/>
      <c r="BE948" s="172"/>
      <c r="BF948" s="172"/>
      <c r="BG948" s="172"/>
      <c r="BH948" s="172"/>
      <c r="BI948" s="172"/>
      <c r="BJ948" s="172"/>
      <c r="BK948" s="172"/>
      <c r="BL948" s="172"/>
      <c r="BM948" s="172"/>
      <c r="BN948" s="172"/>
      <c r="BO948" s="172"/>
      <c r="BP948" s="172"/>
    </row>
    <row r="949" spans="1:68" s="555" customFormat="1" ht="409.6">
      <c r="A949" s="172"/>
      <c r="E949" s="556"/>
      <c r="F949" s="1334"/>
      <c r="I949" s="382"/>
      <c r="J949" s="172"/>
      <c r="K949" s="1189"/>
      <c r="P949" s="643"/>
      <c r="AT949" s="172"/>
      <c r="AU949" s="172"/>
      <c r="AV949" s="172"/>
      <c r="AW949" s="172"/>
      <c r="AX949" s="172"/>
      <c r="AY949" s="172"/>
      <c r="AZ949" s="172"/>
      <c r="BA949" s="172"/>
      <c r="BB949" s="172"/>
      <c r="BC949" s="172"/>
      <c r="BD949" s="172"/>
      <c r="BE949" s="172"/>
      <c r="BF949" s="172"/>
      <c r="BG949" s="172"/>
      <c r="BH949" s="172"/>
      <c r="BI949" s="172"/>
      <c r="BJ949" s="172"/>
      <c r="BK949" s="172"/>
      <c r="BL949" s="172"/>
      <c r="BM949" s="172"/>
      <c r="BN949" s="172"/>
      <c r="BO949" s="172"/>
      <c r="BP949" s="172"/>
    </row>
    <row r="950" spans="1:68" s="555" customFormat="1" ht="409.6">
      <c r="A950" s="172"/>
      <c r="E950" s="556"/>
      <c r="F950" s="1334"/>
      <c r="I950" s="382"/>
      <c r="J950" s="172"/>
      <c r="K950" s="1189"/>
      <c r="P950" s="643"/>
      <c r="AT950" s="172"/>
      <c r="AU950" s="172"/>
      <c r="AV950" s="172"/>
      <c r="AW950" s="172"/>
      <c r="AX950" s="172"/>
      <c r="AY950" s="172"/>
      <c r="AZ950" s="172"/>
      <c r="BA950" s="172"/>
      <c r="BB950" s="172"/>
      <c r="BC950" s="172"/>
      <c r="BD950" s="172"/>
      <c r="BE950" s="172"/>
      <c r="BF950" s="172"/>
      <c r="BG950" s="172"/>
      <c r="BH950" s="172"/>
      <c r="BI950" s="172"/>
      <c r="BJ950" s="172"/>
      <c r="BK950" s="172"/>
      <c r="BL950" s="172"/>
      <c r="BM950" s="172"/>
      <c r="BN950" s="172"/>
      <c r="BO950" s="172"/>
      <c r="BP950" s="172"/>
    </row>
    <row r="951" spans="1:68" s="555" customFormat="1" ht="409.6">
      <c r="A951" s="172"/>
      <c r="E951" s="556"/>
      <c r="F951" s="1334"/>
      <c r="I951" s="382"/>
      <c r="J951" s="172"/>
      <c r="K951" s="1189"/>
      <c r="P951" s="643"/>
      <c r="AT951" s="172"/>
      <c r="AU951" s="172"/>
      <c r="AV951" s="172"/>
      <c r="AW951" s="172"/>
      <c r="AX951" s="172"/>
      <c r="AY951" s="172"/>
      <c r="AZ951" s="172"/>
      <c r="BA951" s="172"/>
      <c r="BB951" s="172"/>
      <c r="BC951" s="172"/>
      <c r="BD951" s="172"/>
      <c r="BE951" s="172"/>
      <c r="BF951" s="172"/>
      <c r="BG951" s="172"/>
      <c r="BH951" s="172"/>
      <c r="BI951" s="172"/>
      <c r="BJ951" s="172"/>
      <c r="BK951" s="172"/>
      <c r="BL951" s="172"/>
      <c r="BM951" s="172"/>
      <c r="BN951" s="172"/>
      <c r="BO951" s="172"/>
      <c r="BP951" s="172"/>
    </row>
    <row r="952" spans="1:68" s="555" customFormat="1" ht="409.6">
      <c r="A952" s="172"/>
      <c r="E952" s="556"/>
      <c r="F952" s="1334"/>
      <c r="I952" s="382"/>
      <c r="J952" s="172"/>
      <c r="K952" s="1189"/>
      <c r="P952" s="643"/>
      <c r="AT952" s="172"/>
      <c r="AU952" s="172"/>
      <c r="AV952" s="172"/>
      <c r="AW952" s="172"/>
      <c r="AX952" s="172"/>
      <c r="AY952" s="172"/>
      <c r="AZ952" s="172"/>
      <c r="BA952" s="172"/>
      <c r="BB952" s="172"/>
      <c r="BC952" s="172"/>
      <c r="BD952" s="172"/>
      <c r="BE952" s="172"/>
      <c r="BF952" s="172"/>
      <c r="BG952" s="172"/>
      <c r="BH952" s="172"/>
      <c r="BI952" s="172"/>
      <c r="BJ952" s="172"/>
      <c r="BK952" s="172"/>
      <c r="BL952" s="172"/>
      <c r="BM952" s="172"/>
      <c r="BN952" s="172"/>
      <c r="BO952" s="172"/>
      <c r="BP952" s="172"/>
    </row>
    <row r="953" spans="1:68" s="555" customFormat="1" ht="409.6">
      <c r="A953" s="172"/>
      <c r="E953" s="556"/>
      <c r="F953" s="1334"/>
      <c r="I953" s="382"/>
      <c r="J953" s="172"/>
      <c r="K953" s="1189"/>
      <c r="P953" s="643"/>
      <c r="AT953" s="172"/>
      <c r="AU953" s="172"/>
      <c r="AV953" s="172"/>
      <c r="AW953" s="172"/>
      <c r="AX953" s="172"/>
      <c r="AY953" s="172"/>
      <c r="AZ953" s="172"/>
      <c r="BA953" s="172"/>
      <c r="BB953" s="172"/>
      <c r="BC953" s="172"/>
      <c r="BD953" s="172"/>
      <c r="BE953" s="172"/>
      <c r="BF953" s="172"/>
      <c r="BG953" s="172"/>
      <c r="BH953" s="172"/>
      <c r="BI953" s="172"/>
      <c r="BJ953" s="172"/>
      <c r="BK953" s="172"/>
      <c r="BL953" s="172"/>
      <c r="BM953" s="172"/>
      <c r="BN953" s="172"/>
      <c r="BO953" s="172"/>
      <c r="BP953" s="172"/>
    </row>
    <row r="954" spans="1:68" s="555" customFormat="1" ht="409.6">
      <c r="A954" s="172"/>
      <c r="E954" s="556"/>
      <c r="F954" s="1334"/>
      <c r="I954" s="382"/>
      <c r="J954" s="172"/>
      <c r="K954" s="1189"/>
      <c r="P954" s="643"/>
      <c r="AT954" s="172"/>
      <c r="AU954" s="172"/>
      <c r="AV954" s="172"/>
      <c r="AW954" s="172"/>
      <c r="AX954" s="172"/>
      <c r="AY954" s="172"/>
      <c r="AZ954" s="172"/>
      <c r="BA954" s="172"/>
      <c r="BB954" s="172"/>
      <c r="BC954" s="172"/>
      <c r="BD954" s="172"/>
      <c r="BE954" s="172"/>
      <c r="BF954" s="172"/>
      <c r="BG954" s="172"/>
      <c r="BH954" s="172"/>
      <c r="BI954" s="172"/>
      <c r="BJ954" s="172"/>
      <c r="BK954" s="172"/>
      <c r="BL954" s="172"/>
      <c r="BM954" s="172"/>
      <c r="BN954" s="172"/>
      <c r="BO954" s="172"/>
      <c r="BP954" s="172"/>
    </row>
    <row r="955" spans="1:68" s="555" customFormat="1" ht="409.6">
      <c r="A955" s="172"/>
      <c r="E955" s="556"/>
      <c r="F955" s="1334"/>
      <c r="I955" s="382"/>
      <c r="J955" s="172"/>
      <c r="K955" s="1189"/>
      <c r="P955" s="643"/>
      <c r="AT955" s="172"/>
      <c r="AU955" s="172"/>
      <c r="AV955" s="172"/>
      <c r="AW955" s="172"/>
      <c r="AX955" s="172"/>
      <c r="AY955" s="172"/>
      <c r="AZ955" s="172"/>
      <c r="BA955" s="172"/>
      <c r="BB955" s="172"/>
      <c r="BC955" s="172"/>
      <c r="BD955" s="172"/>
      <c r="BE955" s="172"/>
      <c r="BF955" s="172"/>
      <c r="BG955" s="172"/>
      <c r="BH955" s="172"/>
      <c r="BI955" s="172"/>
      <c r="BJ955" s="172"/>
      <c r="BK955" s="172"/>
      <c r="BL955" s="172"/>
      <c r="BM955" s="172"/>
      <c r="BN955" s="172"/>
      <c r="BO955" s="172"/>
      <c r="BP955" s="172"/>
    </row>
    <row r="956" spans="1:68" s="555" customFormat="1" ht="409.6">
      <c r="A956" s="172"/>
      <c r="E956" s="556"/>
      <c r="F956" s="1334"/>
      <c r="I956" s="382"/>
      <c r="J956" s="172"/>
      <c r="K956" s="1189"/>
      <c r="P956" s="643"/>
      <c r="AT956" s="172"/>
      <c r="AU956" s="172"/>
      <c r="AV956" s="172"/>
      <c r="AW956" s="172"/>
      <c r="AX956" s="172"/>
      <c r="AY956" s="172"/>
      <c r="AZ956" s="172"/>
      <c r="BA956" s="172"/>
      <c r="BB956" s="172"/>
      <c r="BC956" s="172"/>
      <c r="BD956" s="172"/>
      <c r="BE956" s="172"/>
      <c r="BF956" s="172"/>
      <c r="BG956" s="172"/>
      <c r="BH956" s="172"/>
      <c r="BI956" s="172"/>
      <c r="BJ956" s="172"/>
      <c r="BK956" s="172"/>
      <c r="BL956" s="172"/>
      <c r="BM956" s="172"/>
      <c r="BN956" s="172"/>
      <c r="BO956" s="172"/>
      <c r="BP956" s="172"/>
    </row>
    <row r="957" spans="1:68" s="555" customFormat="1" ht="409.6">
      <c r="A957" s="172"/>
      <c r="E957" s="556"/>
      <c r="F957" s="1334"/>
      <c r="I957" s="382"/>
      <c r="J957" s="172"/>
      <c r="K957" s="1189"/>
      <c r="P957" s="643"/>
      <c r="AT957" s="172"/>
      <c r="AU957" s="172"/>
      <c r="AV957" s="172"/>
      <c r="AW957" s="172"/>
      <c r="AX957" s="172"/>
      <c r="AY957" s="172"/>
      <c r="AZ957" s="172"/>
      <c r="BA957" s="172"/>
      <c r="BB957" s="172"/>
      <c r="BC957" s="172"/>
      <c r="BD957" s="172"/>
      <c r="BE957" s="172"/>
      <c r="BF957" s="172"/>
      <c r="BG957" s="172"/>
      <c r="BH957" s="172"/>
      <c r="BI957" s="172"/>
      <c r="BJ957" s="172"/>
      <c r="BK957" s="172"/>
      <c r="BL957" s="172"/>
      <c r="BM957" s="172"/>
      <c r="BN957" s="172"/>
      <c r="BO957" s="172"/>
      <c r="BP957" s="172"/>
    </row>
    <row r="958" spans="1:68" s="555" customFormat="1" ht="409.6">
      <c r="A958" s="172"/>
      <c r="E958" s="556"/>
      <c r="F958" s="1334"/>
      <c r="I958" s="382"/>
      <c r="J958" s="172"/>
      <c r="K958" s="1189"/>
      <c r="P958" s="643"/>
      <c r="AT958" s="172"/>
      <c r="AU958" s="172"/>
      <c r="AV958" s="172"/>
      <c r="AW958" s="172"/>
      <c r="AX958" s="172"/>
      <c r="AY958" s="172"/>
      <c r="AZ958" s="172"/>
      <c r="BA958" s="172"/>
      <c r="BB958" s="172"/>
      <c r="BC958" s="172"/>
      <c r="BD958" s="172"/>
      <c r="BE958" s="172"/>
      <c r="BF958" s="172"/>
      <c r="BG958" s="172"/>
      <c r="BH958" s="172"/>
      <c r="BI958" s="172"/>
      <c r="BJ958" s="172"/>
      <c r="BK958" s="172"/>
      <c r="BL958" s="172"/>
      <c r="BM958" s="172"/>
      <c r="BN958" s="172"/>
      <c r="BO958" s="172"/>
      <c r="BP958" s="172"/>
    </row>
    <row r="959" spans="1:68" s="555" customFormat="1" ht="409.6">
      <c r="A959" s="172"/>
      <c r="E959" s="556"/>
      <c r="F959" s="1334"/>
      <c r="I959" s="382"/>
      <c r="J959" s="172"/>
      <c r="K959" s="1189"/>
      <c r="P959" s="643"/>
      <c r="AT959" s="172"/>
      <c r="AU959" s="172"/>
      <c r="AV959" s="172"/>
      <c r="AW959" s="172"/>
      <c r="AX959" s="172"/>
      <c r="AY959" s="172"/>
      <c r="AZ959" s="172"/>
      <c r="BA959" s="172"/>
      <c r="BB959" s="172"/>
      <c r="BC959" s="172"/>
      <c r="BD959" s="172"/>
      <c r="BE959" s="172"/>
      <c r="BF959" s="172"/>
      <c r="BG959" s="172"/>
      <c r="BH959" s="172"/>
      <c r="BI959" s="172"/>
      <c r="BJ959" s="172"/>
      <c r="BK959" s="172"/>
      <c r="BL959" s="172"/>
      <c r="BM959" s="172"/>
      <c r="BN959" s="172"/>
      <c r="BO959" s="172"/>
      <c r="BP959" s="172"/>
    </row>
    <row r="960" spans="1:68" s="555" customFormat="1" ht="409.6">
      <c r="A960" s="172"/>
      <c r="E960" s="556"/>
      <c r="F960" s="1334"/>
      <c r="I960" s="382"/>
      <c r="J960" s="172"/>
      <c r="K960" s="1189"/>
      <c r="P960" s="643"/>
      <c r="AT960" s="172"/>
      <c r="AU960" s="172"/>
      <c r="AV960" s="172"/>
      <c r="AW960" s="172"/>
      <c r="AX960" s="172"/>
      <c r="AY960" s="172"/>
      <c r="AZ960" s="172"/>
      <c r="BA960" s="172"/>
      <c r="BB960" s="172"/>
      <c r="BC960" s="172"/>
      <c r="BD960" s="172"/>
      <c r="BE960" s="172"/>
      <c r="BF960" s="172"/>
      <c r="BG960" s="172"/>
      <c r="BH960" s="172"/>
      <c r="BI960" s="172"/>
      <c r="BJ960" s="172"/>
      <c r="BK960" s="172"/>
      <c r="BL960" s="172"/>
      <c r="BM960" s="172"/>
      <c r="BN960" s="172"/>
      <c r="BO960" s="172"/>
      <c r="BP960" s="172"/>
    </row>
    <row r="961" spans="1:68" s="555" customFormat="1" ht="409.6">
      <c r="A961" s="172"/>
      <c r="E961" s="556"/>
      <c r="F961" s="1334"/>
      <c r="I961" s="382"/>
      <c r="J961" s="172"/>
      <c r="K961" s="1189"/>
      <c r="P961" s="643"/>
      <c r="AT961" s="172"/>
      <c r="AU961" s="172"/>
      <c r="AV961" s="172"/>
      <c r="AW961" s="172"/>
      <c r="AX961" s="172"/>
      <c r="AY961" s="172"/>
      <c r="AZ961" s="172"/>
      <c r="BA961" s="172"/>
      <c r="BB961" s="172"/>
      <c r="BC961" s="172"/>
      <c r="BD961" s="172"/>
      <c r="BE961" s="172"/>
      <c r="BF961" s="172"/>
      <c r="BG961" s="172"/>
      <c r="BH961" s="172"/>
      <c r="BI961" s="172"/>
      <c r="BJ961" s="172"/>
      <c r="BK961" s="172"/>
      <c r="BL961" s="172"/>
      <c r="BM961" s="172"/>
      <c r="BN961" s="172"/>
      <c r="BO961" s="172"/>
      <c r="BP961" s="172"/>
    </row>
    <row r="962" spans="1:68" s="555" customFormat="1" ht="409.6">
      <c r="A962" s="172"/>
      <c r="E962" s="556"/>
      <c r="F962" s="1334"/>
      <c r="I962" s="382"/>
      <c r="J962" s="172"/>
      <c r="K962" s="1189"/>
      <c r="P962" s="643"/>
      <c r="AT962" s="172"/>
      <c r="AU962" s="172"/>
      <c r="AV962" s="172"/>
      <c r="AW962" s="172"/>
      <c r="AX962" s="172"/>
      <c r="AY962" s="172"/>
      <c r="AZ962" s="172"/>
      <c r="BA962" s="172"/>
      <c r="BB962" s="172"/>
      <c r="BC962" s="172"/>
      <c r="BD962" s="172"/>
      <c r="BE962" s="172"/>
      <c r="BF962" s="172"/>
      <c r="BG962" s="172"/>
      <c r="BH962" s="172"/>
      <c r="BI962" s="172"/>
      <c r="BJ962" s="172"/>
      <c r="BK962" s="172"/>
      <c r="BL962" s="172"/>
      <c r="BM962" s="172"/>
      <c r="BN962" s="172"/>
      <c r="BO962" s="172"/>
      <c r="BP962" s="172"/>
    </row>
    <row r="963" spans="1:68" s="555" customFormat="1" ht="409.6">
      <c r="A963" s="172"/>
      <c r="E963" s="556"/>
      <c r="F963" s="1334"/>
      <c r="I963" s="382"/>
      <c r="J963" s="172"/>
      <c r="K963" s="1189"/>
      <c r="P963" s="643"/>
      <c r="AT963" s="172"/>
      <c r="AU963" s="172"/>
      <c r="AV963" s="172"/>
      <c r="AW963" s="172"/>
      <c r="AX963" s="172"/>
      <c r="AY963" s="172"/>
      <c r="AZ963" s="172"/>
      <c r="BA963" s="172"/>
      <c r="BB963" s="172"/>
      <c r="BC963" s="172"/>
      <c r="BD963" s="172"/>
      <c r="BE963" s="172"/>
      <c r="BF963" s="172"/>
      <c r="BG963" s="172"/>
      <c r="BH963" s="172"/>
      <c r="BI963" s="172"/>
      <c r="BJ963" s="172"/>
      <c r="BK963" s="172"/>
      <c r="BL963" s="172"/>
      <c r="BM963" s="172"/>
      <c r="BN963" s="172"/>
      <c r="BO963" s="172"/>
      <c r="BP963" s="172"/>
    </row>
    <row r="964" spans="1:68" s="555" customFormat="1" ht="409.6">
      <c r="A964" s="172"/>
      <c r="E964" s="556"/>
      <c r="F964" s="1334"/>
      <c r="I964" s="382"/>
      <c r="J964" s="172"/>
      <c r="K964" s="1189"/>
      <c r="P964" s="643"/>
      <c r="AT964" s="172"/>
      <c r="AU964" s="172"/>
      <c r="AV964" s="172"/>
      <c r="AW964" s="172"/>
      <c r="AX964" s="172"/>
      <c r="AY964" s="172"/>
      <c r="AZ964" s="172"/>
      <c r="BA964" s="172"/>
      <c r="BB964" s="172"/>
      <c r="BC964" s="172"/>
      <c r="BD964" s="172"/>
      <c r="BE964" s="172"/>
      <c r="BF964" s="172"/>
      <c r="BG964" s="172"/>
      <c r="BH964" s="172"/>
      <c r="BI964" s="172"/>
      <c r="BJ964" s="172"/>
      <c r="BK964" s="172"/>
      <c r="BL964" s="172"/>
      <c r="BM964" s="172"/>
      <c r="BN964" s="172"/>
      <c r="BO964" s="172"/>
      <c r="BP964" s="172"/>
    </row>
    <row r="965" spans="1:68" s="555" customFormat="1" ht="409.6">
      <c r="A965" s="172"/>
      <c r="E965" s="556"/>
      <c r="F965" s="1334"/>
      <c r="I965" s="382"/>
      <c r="J965" s="172"/>
      <c r="K965" s="1189"/>
      <c r="P965" s="643"/>
      <c r="AT965" s="172"/>
      <c r="AU965" s="172"/>
      <c r="AV965" s="172"/>
      <c r="AW965" s="172"/>
      <c r="AX965" s="172"/>
      <c r="AY965" s="172"/>
      <c r="AZ965" s="172"/>
      <c r="BA965" s="172"/>
      <c r="BB965" s="172"/>
      <c r="BC965" s="172"/>
      <c r="BD965" s="172"/>
      <c r="BE965" s="172"/>
      <c r="BF965" s="172"/>
      <c r="BG965" s="172"/>
      <c r="BH965" s="172"/>
      <c r="BI965" s="172"/>
      <c r="BJ965" s="172"/>
      <c r="BK965" s="172"/>
      <c r="BL965" s="172"/>
      <c r="BM965" s="172"/>
      <c r="BN965" s="172"/>
      <c r="BO965" s="172"/>
      <c r="BP965" s="172"/>
    </row>
    <row r="966" spans="1:68" s="555" customFormat="1" ht="409.6">
      <c r="A966" s="172"/>
      <c r="E966" s="556"/>
      <c r="F966" s="1334"/>
      <c r="I966" s="382"/>
      <c r="J966" s="172"/>
      <c r="K966" s="1189"/>
      <c r="P966" s="643"/>
      <c r="AT966" s="172"/>
      <c r="AU966" s="172"/>
      <c r="AV966" s="172"/>
      <c r="AW966" s="172"/>
      <c r="AX966" s="172"/>
      <c r="AY966" s="172"/>
      <c r="AZ966" s="172"/>
      <c r="BA966" s="172"/>
      <c r="BB966" s="172"/>
      <c r="BC966" s="172"/>
      <c r="BD966" s="172"/>
      <c r="BE966" s="172"/>
      <c r="BF966" s="172"/>
      <c r="BG966" s="172"/>
      <c r="BH966" s="172"/>
      <c r="BI966" s="172"/>
      <c r="BJ966" s="172"/>
      <c r="BK966" s="172"/>
      <c r="BL966" s="172"/>
      <c r="BM966" s="172"/>
      <c r="BN966" s="172"/>
      <c r="BO966" s="172"/>
      <c r="BP966" s="172"/>
    </row>
    <row r="967" spans="1:68" s="555" customFormat="1" ht="409.6">
      <c r="A967" s="172"/>
      <c r="E967" s="556"/>
      <c r="F967" s="1334"/>
      <c r="I967" s="382"/>
      <c r="J967" s="172"/>
      <c r="K967" s="1189"/>
      <c r="P967" s="643"/>
      <c r="AT967" s="172"/>
      <c r="AU967" s="172"/>
      <c r="AV967" s="172"/>
      <c r="AW967" s="172"/>
      <c r="AX967" s="172"/>
      <c r="AY967" s="172"/>
      <c r="AZ967" s="172"/>
      <c r="BA967" s="172"/>
      <c r="BB967" s="172"/>
      <c r="BC967" s="172"/>
      <c r="BD967" s="172"/>
      <c r="BE967" s="172"/>
      <c r="BF967" s="172"/>
      <c r="BG967" s="172"/>
      <c r="BH967" s="172"/>
      <c r="BI967" s="172"/>
      <c r="BJ967" s="172"/>
      <c r="BK967" s="172"/>
      <c r="BL967" s="172"/>
      <c r="BM967" s="172"/>
      <c r="BN967" s="172"/>
      <c r="BO967" s="172"/>
      <c r="BP967" s="172"/>
    </row>
    <row r="968" spans="1:68" s="555" customFormat="1" ht="409.6">
      <c r="A968" s="172"/>
      <c r="E968" s="556"/>
      <c r="F968" s="1334"/>
      <c r="I968" s="382"/>
      <c r="J968" s="172"/>
      <c r="K968" s="1189"/>
      <c r="P968" s="643"/>
      <c r="AT968" s="172"/>
      <c r="AU968" s="172"/>
      <c r="AV968" s="172"/>
      <c r="AW968" s="172"/>
      <c r="AX968" s="172"/>
      <c r="AY968" s="172"/>
      <c r="AZ968" s="172"/>
      <c r="BA968" s="172"/>
      <c r="BB968" s="172"/>
      <c r="BC968" s="172"/>
      <c r="BD968" s="172"/>
      <c r="BE968" s="172"/>
      <c r="BF968" s="172"/>
      <c r="BG968" s="172"/>
      <c r="BH968" s="172"/>
      <c r="BI968" s="172"/>
      <c r="BJ968" s="172"/>
      <c r="BK968" s="172"/>
      <c r="BL968" s="172"/>
      <c r="BM968" s="172"/>
      <c r="BN968" s="172"/>
      <c r="BO968" s="172"/>
      <c r="BP968" s="172"/>
    </row>
    <row r="969" spans="1:68" s="555" customFormat="1" ht="409.6">
      <c r="A969" s="172"/>
      <c r="E969" s="556"/>
      <c r="F969" s="1334"/>
      <c r="I969" s="382"/>
      <c r="J969" s="172"/>
      <c r="K969" s="1189"/>
      <c r="P969" s="643"/>
      <c r="AT969" s="172"/>
      <c r="AU969" s="172"/>
      <c r="AV969" s="172"/>
      <c r="AW969" s="172"/>
      <c r="AX969" s="172"/>
      <c r="AY969" s="172"/>
      <c r="AZ969" s="172"/>
      <c r="BA969" s="172"/>
      <c r="BB969" s="172"/>
      <c r="BC969" s="172"/>
      <c r="BD969" s="172"/>
      <c r="BE969" s="172"/>
      <c r="BF969" s="172"/>
      <c r="BG969" s="172"/>
      <c r="BH969" s="172"/>
      <c r="BI969" s="172"/>
      <c r="BJ969" s="172"/>
      <c r="BK969" s="172"/>
      <c r="BL969" s="172"/>
      <c r="BM969" s="172"/>
      <c r="BN969" s="172"/>
      <c r="BO969" s="172"/>
      <c r="BP969" s="172"/>
    </row>
    <row r="970" spans="1:68" s="555" customFormat="1" ht="409.6">
      <c r="A970" s="172"/>
      <c r="E970" s="556"/>
      <c r="F970" s="1334"/>
      <c r="I970" s="382"/>
      <c r="J970" s="172"/>
      <c r="K970" s="1189"/>
      <c r="P970" s="643"/>
      <c r="AT970" s="172"/>
      <c r="AU970" s="172"/>
      <c r="AV970" s="172"/>
      <c r="AW970" s="172"/>
      <c r="AX970" s="172"/>
      <c r="AY970" s="172"/>
      <c r="AZ970" s="172"/>
      <c r="BA970" s="172"/>
      <c r="BB970" s="172"/>
      <c r="BC970" s="172"/>
      <c r="BD970" s="172"/>
      <c r="BE970" s="172"/>
      <c r="BF970" s="172"/>
      <c r="BG970" s="172"/>
      <c r="BH970" s="172"/>
      <c r="BI970" s="172"/>
      <c r="BJ970" s="172"/>
      <c r="BK970" s="172"/>
      <c r="BL970" s="172"/>
      <c r="BM970" s="172"/>
      <c r="BN970" s="172"/>
      <c r="BO970" s="172"/>
      <c r="BP970" s="172"/>
    </row>
    <row r="971" spans="1:68" s="555" customFormat="1" ht="409.6">
      <c r="A971" s="172"/>
      <c r="E971" s="556"/>
      <c r="F971" s="1334"/>
      <c r="I971" s="382"/>
      <c r="J971" s="172"/>
      <c r="K971" s="1189"/>
      <c r="P971" s="643"/>
      <c r="AT971" s="172"/>
      <c r="AU971" s="172"/>
      <c r="AV971" s="172"/>
      <c r="AW971" s="172"/>
      <c r="AX971" s="172"/>
      <c r="AY971" s="172"/>
      <c r="AZ971" s="172"/>
      <c r="BA971" s="172"/>
      <c r="BB971" s="172"/>
      <c r="BC971" s="172"/>
      <c r="BD971" s="172"/>
      <c r="BE971" s="172"/>
      <c r="BF971" s="172"/>
      <c r="BG971" s="172"/>
      <c r="BH971" s="172"/>
      <c r="BI971" s="172"/>
      <c r="BJ971" s="172"/>
      <c r="BK971" s="172"/>
      <c r="BL971" s="172"/>
      <c r="BM971" s="172"/>
      <c r="BN971" s="172"/>
      <c r="BO971" s="172"/>
      <c r="BP971" s="172"/>
    </row>
    <row r="972" spans="1:68" s="555" customFormat="1" ht="409.6">
      <c r="A972" s="172"/>
      <c r="E972" s="556"/>
      <c r="F972" s="1334"/>
      <c r="I972" s="382"/>
      <c r="J972" s="172"/>
      <c r="K972" s="1189"/>
      <c r="P972" s="643"/>
      <c r="AT972" s="172"/>
      <c r="AU972" s="172"/>
      <c r="AV972" s="172"/>
      <c r="AW972" s="172"/>
      <c r="AX972" s="172"/>
      <c r="AY972" s="172"/>
      <c r="AZ972" s="172"/>
      <c r="BA972" s="172"/>
      <c r="BB972" s="172"/>
      <c r="BC972" s="172"/>
      <c r="BD972" s="172"/>
      <c r="BE972" s="172"/>
      <c r="BF972" s="172"/>
      <c r="BG972" s="172"/>
      <c r="BH972" s="172"/>
      <c r="BI972" s="172"/>
      <c r="BJ972" s="172"/>
      <c r="BK972" s="172"/>
      <c r="BL972" s="172"/>
      <c r="BM972" s="172"/>
      <c r="BN972" s="172"/>
      <c r="BO972" s="172"/>
      <c r="BP972" s="172"/>
    </row>
    <row r="973" spans="1:68" s="555" customFormat="1" ht="409.6">
      <c r="A973" s="172"/>
      <c r="E973" s="556"/>
      <c r="F973" s="1334"/>
      <c r="I973" s="382"/>
      <c r="J973" s="172"/>
      <c r="K973" s="1189"/>
      <c r="P973" s="643"/>
      <c r="AT973" s="172"/>
      <c r="AU973" s="172"/>
      <c r="AV973" s="172"/>
      <c r="AW973" s="172"/>
      <c r="AX973" s="172"/>
      <c r="AY973" s="172"/>
      <c r="AZ973" s="172"/>
      <c r="BA973" s="172"/>
      <c r="BB973" s="172"/>
      <c r="BC973" s="172"/>
      <c r="BD973" s="172"/>
      <c r="BE973" s="172"/>
      <c r="BF973" s="172"/>
      <c r="BG973" s="172"/>
      <c r="BH973" s="172"/>
      <c r="BI973" s="172"/>
      <c r="BJ973" s="172"/>
      <c r="BK973" s="172"/>
      <c r="BL973" s="172"/>
      <c r="BM973" s="172"/>
      <c r="BN973" s="172"/>
      <c r="BO973" s="172"/>
      <c r="BP973" s="172"/>
    </row>
    <row r="974" spans="1:68" s="555" customFormat="1" ht="409.6">
      <c r="A974" s="172"/>
      <c r="E974" s="556"/>
      <c r="F974" s="1334"/>
      <c r="I974" s="382"/>
      <c r="J974" s="172"/>
      <c r="K974" s="1189"/>
      <c r="P974" s="643"/>
      <c r="AT974" s="172"/>
      <c r="AU974" s="172"/>
      <c r="AV974" s="172"/>
      <c r="AW974" s="172"/>
      <c r="AX974" s="172"/>
      <c r="AY974" s="172"/>
      <c r="AZ974" s="172"/>
      <c r="BA974" s="172"/>
      <c r="BB974" s="172"/>
      <c r="BC974" s="172"/>
      <c r="BD974" s="172"/>
      <c r="BE974" s="172"/>
      <c r="BF974" s="172"/>
      <c r="BG974" s="172"/>
      <c r="BH974" s="172"/>
      <c r="BI974" s="172"/>
      <c r="BJ974" s="172"/>
      <c r="BK974" s="172"/>
      <c r="BL974" s="172"/>
      <c r="BM974" s="172"/>
      <c r="BN974" s="172"/>
      <c r="BO974" s="172"/>
      <c r="BP974" s="172"/>
    </row>
    <row r="975" spans="1:68" s="555" customFormat="1" ht="409.6">
      <c r="A975" s="172"/>
      <c r="E975" s="556"/>
      <c r="F975" s="1334"/>
      <c r="I975" s="382"/>
      <c r="J975" s="172"/>
      <c r="K975" s="1189"/>
      <c r="P975" s="643"/>
      <c r="AT975" s="172"/>
      <c r="AU975" s="172"/>
      <c r="AV975" s="172"/>
      <c r="AW975" s="172"/>
      <c r="AX975" s="172"/>
      <c r="AY975" s="172"/>
      <c r="AZ975" s="172"/>
      <c r="BA975" s="172"/>
      <c r="BB975" s="172"/>
      <c r="BC975" s="172"/>
      <c r="BD975" s="172"/>
      <c r="BE975" s="172"/>
      <c r="BF975" s="172"/>
      <c r="BG975" s="172"/>
      <c r="BH975" s="172"/>
      <c r="BI975" s="172"/>
      <c r="BJ975" s="172"/>
      <c r="BK975" s="172"/>
      <c r="BL975" s="172"/>
      <c r="BM975" s="172"/>
      <c r="BN975" s="172"/>
      <c r="BO975" s="172"/>
      <c r="BP975" s="172"/>
    </row>
    <row r="976" spans="1:68" s="555" customFormat="1" ht="409.6">
      <c r="A976" s="172"/>
      <c r="E976" s="556"/>
      <c r="F976" s="1334"/>
      <c r="I976" s="382"/>
      <c r="J976" s="172"/>
      <c r="K976" s="1189"/>
      <c r="P976" s="643"/>
      <c r="AT976" s="172"/>
      <c r="AU976" s="172"/>
      <c r="AV976" s="172"/>
      <c r="AW976" s="172"/>
      <c r="AX976" s="172"/>
      <c r="AY976" s="172"/>
      <c r="AZ976" s="172"/>
      <c r="BA976" s="172"/>
      <c r="BB976" s="172"/>
      <c r="BC976" s="172"/>
      <c r="BD976" s="172"/>
      <c r="BE976" s="172"/>
      <c r="BF976" s="172"/>
      <c r="BG976" s="172"/>
      <c r="BH976" s="172"/>
      <c r="BI976" s="172"/>
      <c r="BJ976" s="172"/>
      <c r="BK976" s="172"/>
      <c r="BL976" s="172"/>
      <c r="BM976" s="172"/>
      <c r="BN976" s="172"/>
      <c r="BO976" s="172"/>
      <c r="BP976" s="172"/>
    </row>
    <row r="977" spans="1:68" s="555" customFormat="1" ht="409.6">
      <c r="A977" s="172"/>
      <c r="E977" s="556"/>
      <c r="F977" s="1334"/>
      <c r="I977" s="382"/>
      <c r="J977" s="172"/>
      <c r="K977" s="1189"/>
      <c r="P977" s="643"/>
      <c r="AT977" s="172"/>
      <c r="AU977" s="172"/>
      <c r="AV977" s="172"/>
      <c r="AW977" s="172"/>
      <c r="AX977" s="172"/>
      <c r="AY977" s="172"/>
      <c r="AZ977" s="172"/>
      <c r="BA977" s="172"/>
      <c r="BB977" s="172"/>
      <c r="BC977" s="172"/>
      <c r="BD977" s="172"/>
      <c r="BE977" s="172"/>
      <c r="BF977" s="172"/>
      <c r="BG977" s="172"/>
      <c r="BH977" s="172"/>
      <c r="BI977" s="172"/>
      <c r="BJ977" s="172"/>
      <c r="BK977" s="172"/>
      <c r="BL977" s="172"/>
      <c r="BM977" s="172"/>
      <c r="BN977" s="172"/>
      <c r="BO977" s="172"/>
      <c r="BP977" s="172"/>
    </row>
    <row r="978" spans="1:68" s="555" customFormat="1" ht="409.6">
      <c r="A978" s="172"/>
      <c r="E978" s="556"/>
      <c r="F978" s="1334"/>
      <c r="I978" s="382"/>
      <c r="J978" s="172"/>
      <c r="K978" s="1189"/>
      <c r="P978" s="643"/>
      <c r="AT978" s="172"/>
      <c r="AU978" s="172"/>
      <c r="AV978" s="172"/>
      <c r="AW978" s="172"/>
      <c r="AX978" s="172"/>
      <c r="AY978" s="172"/>
      <c r="AZ978" s="172"/>
      <c r="BA978" s="172"/>
      <c r="BB978" s="172"/>
      <c r="BC978" s="172"/>
      <c r="BD978" s="172"/>
      <c r="BE978" s="172"/>
      <c r="BF978" s="172"/>
      <c r="BG978" s="172"/>
      <c r="BH978" s="172"/>
      <c r="BI978" s="172"/>
      <c r="BJ978" s="172"/>
      <c r="BK978" s="172"/>
      <c r="BL978" s="172"/>
      <c r="BM978" s="172"/>
      <c r="BN978" s="172"/>
      <c r="BO978" s="172"/>
      <c r="BP978" s="172"/>
    </row>
    <row r="979" spans="1:68" s="555" customFormat="1" ht="409.6">
      <c r="A979" s="172"/>
      <c r="E979" s="556"/>
      <c r="F979" s="1334"/>
      <c r="I979" s="382"/>
      <c r="J979" s="172"/>
      <c r="K979" s="1189"/>
      <c r="P979" s="643"/>
      <c r="AT979" s="172"/>
      <c r="AU979" s="172"/>
      <c r="AV979" s="172"/>
      <c r="AW979" s="172"/>
      <c r="AX979" s="172"/>
      <c r="AY979" s="172"/>
      <c r="AZ979" s="172"/>
      <c r="BA979" s="172"/>
      <c r="BB979" s="172"/>
      <c r="BC979" s="172"/>
      <c r="BD979" s="172"/>
      <c r="BE979" s="172"/>
      <c r="BF979" s="172"/>
      <c r="BG979" s="172"/>
      <c r="BH979" s="172"/>
      <c r="BI979" s="172"/>
      <c r="BJ979" s="172"/>
      <c r="BK979" s="172"/>
      <c r="BL979" s="172"/>
      <c r="BM979" s="172"/>
      <c r="BN979" s="172"/>
      <c r="BO979" s="172"/>
      <c r="BP979" s="172"/>
    </row>
    <row r="980" spans="1:68" s="555" customFormat="1" ht="409.6">
      <c r="A980" s="172"/>
      <c r="E980" s="556"/>
      <c r="F980" s="1334"/>
      <c r="I980" s="382"/>
      <c r="J980" s="172"/>
      <c r="K980" s="1189"/>
      <c r="P980" s="643"/>
      <c r="AT980" s="172"/>
      <c r="AU980" s="172"/>
      <c r="AV980" s="172"/>
      <c r="AW980" s="172"/>
      <c r="AX980" s="172"/>
      <c r="AY980" s="172"/>
      <c r="AZ980" s="172"/>
      <c r="BA980" s="172"/>
      <c r="BB980" s="172"/>
      <c r="BC980" s="172"/>
      <c r="BD980" s="172"/>
      <c r="BE980" s="172"/>
      <c r="BF980" s="172"/>
      <c r="BG980" s="172"/>
      <c r="BH980" s="172"/>
      <c r="BI980" s="172"/>
      <c r="BJ980" s="172"/>
      <c r="BK980" s="172"/>
      <c r="BL980" s="172"/>
      <c r="BM980" s="172"/>
      <c r="BN980" s="172"/>
      <c r="BO980" s="172"/>
      <c r="BP980" s="172"/>
    </row>
    <row r="981" spans="1:68" s="555" customFormat="1" ht="409.6">
      <c r="A981" s="172"/>
      <c r="E981" s="556"/>
      <c r="F981" s="1334"/>
      <c r="I981" s="382"/>
      <c r="J981" s="172"/>
      <c r="K981" s="1189"/>
      <c r="P981" s="643"/>
      <c r="AT981" s="172"/>
      <c r="AU981" s="172"/>
      <c r="AV981" s="172"/>
      <c r="AW981" s="172"/>
      <c r="AX981" s="172"/>
      <c r="AY981" s="172"/>
      <c r="AZ981" s="172"/>
      <c r="BA981" s="172"/>
      <c r="BB981" s="172"/>
      <c r="BC981" s="172"/>
      <c r="BD981" s="172"/>
      <c r="BE981" s="172"/>
      <c r="BF981" s="172"/>
      <c r="BG981" s="172"/>
      <c r="BH981" s="172"/>
      <c r="BI981" s="172"/>
      <c r="BJ981" s="172"/>
      <c r="BK981" s="172"/>
      <c r="BL981" s="172"/>
      <c r="BM981" s="172"/>
      <c r="BN981" s="172"/>
      <c r="BO981" s="172"/>
      <c r="BP981" s="172"/>
    </row>
    <row r="982" spans="1:68" s="555" customFormat="1" ht="409.6">
      <c r="A982" s="172"/>
      <c r="E982" s="556"/>
      <c r="F982" s="1334"/>
      <c r="I982" s="382"/>
      <c r="J982" s="172"/>
      <c r="K982" s="1189"/>
      <c r="P982" s="643"/>
      <c r="AT982" s="172"/>
      <c r="AU982" s="172"/>
      <c r="AV982" s="172"/>
      <c r="AW982" s="172"/>
      <c r="AX982" s="172"/>
      <c r="AY982" s="172"/>
      <c r="AZ982" s="172"/>
      <c r="BA982" s="172"/>
      <c r="BB982" s="172"/>
      <c r="BC982" s="172"/>
      <c r="BD982" s="172"/>
      <c r="BE982" s="172"/>
      <c r="BF982" s="172"/>
      <c r="BG982" s="172"/>
      <c r="BH982" s="172"/>
      <c r="BI982" s="172"/>
      <c r="BJ982" s="172"/>
      <c r="BK982" s="172"/>
      <c r="BL982" s="172"/>
      <c r="BM982" s="172"/>
      <c r="BN982" s="172"/>
      <c r="BO982" s="172"/>
      <c r="BP982" s="172"/>
    </row>
    <row r="983" spans="1:68" s="555" customFormat="1" ht="409.6">
      <c r="A983" s="172"/>
      <c r="E983" s="556"/>
      <c r="F983" s="1334"/>
      <c r="I983" s="382"/>
      <c r="J983" s="172"/>
      <c r="K983" s="1189"/>
      <c r="P983" s="643"/>
      <c r="AT983" s="172"/>
      <c r="AU983" s="172"/>
      <c r="AV983" s="172"/>
      <c r="AW983" s="172"/>
      <c r="AX983" s="172"/>
      <c r="AY983" s="172"/>
      <c r="AZ983" s="172"/>
      <c r="BA983" s="172"/>
      <c r="BB983" s="172"/>
      <c r="BC983" s="172"/>
      <c r="BD983" s="172"/>
      <c r="BE983" s="172"/>
      <c r="BF983" s="172"/>
      <c r="BG983" s="172"/>
      <c r="BH983" s="172"/>
      <c r="BI983" s="172"/>
      <c r="BJ983" s="172"/>
      <c r="BK983" s="172"/>
      <c r="BL983" s="172"/>
      <c r="BM983" s="172"/>
      <c r="BN983" s="172"/>
      <c r="BO983" s="172"/>
      <c r="BP983" s="172"/>
    </row>
    <row r="984" spans="1:68" s="555" customFormat="1" ht="409.6">
      <c r="A984" s="172"/>
      <c r="E984" s="556"/>
      <c r="F984" s="1334"/>
      <c r="I984" s="382"/>
      <c r="J984" s="172"/>
      <c r="K984" s="1189"/>
      <c r="P984" s="643"/>
      <c r="AT984" s="172"/>
      <c r="AU984" s="172"/>
      <c r="AV984" s="172"/>
      <c r="AW984" s="172"/>
      <c r="AX984" s="172"/>
      <c r="AY984" s="172"/>
      <c r="AZ984" s="172"/>
      <c r="BA984" s="172"/>
      <c r="BB984" s="172"/>
      <c r="BC984" s="172"/>
      <c r="BD984" s="172"/>
      <c r="BE984" s="172"/>
      <c r="BF984" s="172"/>
      <c r="BG984" s="172"/>
      <c r="BH984" s="172"/>
      <c r="BI984" s="172"/>
      <c r="BJ984" s="172"/>
      <c r="BK984" s="172"/>
      <c r="BL984" s="172"/>
      <c r="BM984" s="172"/>
      <c r="BN984" s="172"/>
      <c r="BO984" s="172"/>
      <c r="BP984" s="172"/>
    </row>
    <row r="985" spans="1:68" s="555" customFormat="1" ht="409.6">
      <c r="A985" s="172"/>
      <c r="E985" s="556"/>
      <c r="F985" s="1334"/>
      <c r="I985" s="382"/>
      <c r="J985" s="172"/>
      <c r="K985" s="1189"/>
      <c r="P985" s="643"/>
      <c r="AT985" s="172"/>
      <c r="AU985" s="172"/>
      <c r="AV985" s="172"/>
      <c r="AW985" s="172"/>
      <c r="AX985" s="172"/>
      <c r="AY985" s="172"/>
      <c r="AZ985" s="172"/>
      <c r="BA985" s="172"/>
      <c r="BB985" s="172"/>
      <c r="BC985" s="172"/>
      <c r="BD985" s="172"/>
      <c r="BE985" s="172"/>
      <c r="BF985" s="172"/>
      <c r="BG985" s="172"/>
      <c r="BH985" s="172"/>
      <c r="BI985" s="172"/>
      <c r="BJ985" s="172"/>
      <c r="BK985" s="172"/>
      <c r="BL985" s="172"/>
      <c r="BM985" s="172"/>
      <c r="BN985" s="172"/>
      <c r="BO985" s="172"/>
      <c r="BP985" s="172"/>
    </row>
    <row r="986" spans="1:68" s="555" customFormat="1" ht="409.6">
      <c r="A986" s="172"/>
      <c r="E986" s="556"/>
      <c r="F986" s="1334"/>
      <c r="I986" s="382"/>
      <c r="J986" s="172"/>
      <c r="K986" s="1189"/>
      <c r="P986" s="643"/>
      <c r="AT986" s="172"/>
      <c r="AU986" s="172"/>
      <c r="AV986" s="172"/>
      <c r="AW986" s="172"/>
      <c r="AX986" s="172"/>
      <c r="AY986" s="172"/>
      <c r="AZ986" s="172"/>
      <c r="BA986" s="172"/>
      <c r="BB986" s="172"/>
      <c r="BC986" s="172"/>
      <c r="BD986" s="172"/>
      <c r="BE986" s="172"/>
      <c r="BF986" s="172"/>
      <c r="BG986" s="172"/>
      <c r="BH986" s="172"/>
      <c r="BI986" s="172"/>
      <c r="BJ986" s="172"/>
      <c r="BK986" s="172"/>
      <c r="BL986" s="172"/>
      <c r="BM986" s="172"/>
      <c r="BN986" s="172"/>
      <c r="BO986" s="172"/>
      <c r="BP986" s="172"/>
    </row>
    <row r="987" spans="1:68" s="555" customFormat="1" ht="409.6">
      <c r="A987" s="172"/>
      <c r="E987" s="556"/>
      <c r="F987" s="1334"/>
      <c r="I987" s="382"/>
      <c r="J987" s="172"/>
      <c r="K987" s="1189"/>
      <c r="P987" s="643"/>
      <c r="AT987" s="172"/>
      <c r="AU987" s="172"/>
      <c r="AV987" s="172"/>
      <c r="AW987" s="172"/>
      <c r="AX987" s="172"/>
      <c r="AY987" s="172"/>
      <c r="AZ987" s="172"/>
      <c r="BA987" s="172"/>
      <c r="BB987" s="172"/>
      <c r="BC987" s="172"/>
      <c r="BD987" s="172"/>
      <c r="BE987" s="172"/>
      <c r="BF987" s="172"/>
      <c r="BG987" s="172"/>
      <c r="BH987" s="172"/>
      <c r="BI987" s="172"/>
      <c r="BJ987" s="172"/>
      <c r="BK987" s="172"/>
      <c r="BL987" s="172"/>
      <c r="BM987" s="172"/>
      <c r="BN987" s="172"/>
      <c r="BO987" s="172"/>
      <c r="BP987" s="172"/>
    </row>
    <row r="988" spans="1:68" s="555" customFormat="1" ht="409.6">
      <c r="A988" s="172"/>
      <c r="E988" s="556"/>
      <c r="F988" s="1334"/>
      <c r="I988" s="382"/>
      <c r="J988" s="172"/>
      <c r="K988" s="1189"/>
      <c r="P988" s="643"/>
      <c r="AT988" s="172"/>
      <c r="AU988" s="172"/>
      <c r="AV988" s="172"/>
      <c r="AW988" s="172"/>
      <c r="AX988" s="172"/>
      <c r="AY988" s="172"/>
      <c r="AZ988" s="172"/>
      <c r="BA988" s="172"/>
      <c r="BB988" s="172"/>
      <c r="BC988" s="172"/>
      <c r="BD988" s="172"/>
      <c r="BE988" s="172"/>
      <c r="BF988" s="172"/>
      <c r="BG988" s="172"/>
      <c r="BH988" s="172"/>
      <c r="BI988" s="172"/>
      <c r="BJ988" s="172"/>
      <c r="BK988" s="172"/>
      <c r="BL988" s="172"/>
      <c r="BM988" s="172"/>
      <c r="BN988" s="172"/>
      <c r="BO988" s="172"/>
      <c r="BP988" s="172"/>
    </row>
    <row r="989" spans="1:68" s="555" customFormat="1" ht="409.6">
      <c r="A989" s="172"/>
      <c r="E989" s="556"/>
      <c r="F989" s="1334"/>
      <c r="I989" s="382"/>
      <c r="J989" s="172"/>
      <c r="K989" s="1189"/>
      <c r="P989" s="643"/>
      <c r="AT989" s="172"/>
      <c r="AU989" s="172"/>
      <c r="AV989" s="172"/>
      <c r="AW989" s="172"/>
      <c r="AX989" s="172"/>
      <c r="AY989" s="172"/>
      <c r="AZ989" s="172"/>
      <c r="BA989" s="172"/>
      <c r="BB989" s="172"/>
      <c r="BC989" s="172"/>
      <c r="BD989" s="172"/>
      <c r="BE989" s="172"/>
      <c r="BF989" s="172"/>
      <c r="BG989" s="172"/>
      <c r="BH989" s="172"/>
      <c r="BI989" s="172"/>
      <c r="BJ989" s="172"/>
      <c r="BK989" s="172"/>
      <c r="BL989" s="172"/>
      <c r="BM989" s="172"/>
      <c r="BN989" s="172"/>
      <c r="BO989" s="172"/>
      <c r="BP989" s="172"/>
    </row>
    <row r="990" spans="1:68" s="555" customFormat="1" ht="409.6">
      <c r="A990" s="172"/>
      <c r="E990" s="556"/>
      <c r="F990" s="1334"/>
      <c r="I990" s="382"/>
      <c r="J990" s="172"/>
      <c r="K990" s="1189"/>
      <c r="P990" s="643"/>
      <c r="AT990" s="172"/>
      <c r="AU990" s="172"/>
      <c r="AV990" s="172"/>
      <c r="AW990" s="172"/>
      <c r="AX990" s="172"/>
      <c r="AY990" s="172"/>
      <c r="AZ990" s="172"/>
      <c r="BA990" s="172"/>
      <c r="BB990" s="172"/>
      <c r="BC990" s="172"/>
      <c r="BD990" s="172"/>
      <c r="BE990" s="172"/>
      <c r="BF990" s="172"/>
      <c r="BG990" s="172"/>
      <c r="BH990" s="172"/>
      <c r="BI990" s="172"/>
      <c r="BJ990" s="172"/>
      <c r="BK990" s="172"/>
      <c r="BL990" s="172"/>
      <c r="BM990" s="172"/>
      <c r="BN990" s="172"/>
      <c r="BO990" s="172"/>
      <c r="BP990" s="172"/>
    </row>
    <row r="991" spans="1:68" s="555" customFormat="1" ht="409.6">
      <c r="A991" s="172"/>
      <c r="E991" s="556"/>
      <c r="F991" s="1334"/>
      <c r="I991" s="382"/>
      <c r="J991" s="172"/>
      <c r="K991" s="1189"/>
      <c r="P991" s="643"/>
      <c r="AT991" s="172"/>
      <c r="AU991" s="172"/>
      <c r="AV991" s="172"/>
      <c r="AW991" s="172"/>
      <c r="AX991" s="172"/>
      <c r="AY991" s="172"/>
      <c r="AZ991" s="172"/>
      <c r="BA991" s="172"/>
      <c r="BB991" s="172"/>
      <c r="BC991" s="172"/>
      <c r="BD991" s="172"/>
      <c r="BE991" s="172"/>
      <c r="BF991" s="172"/>
      <c r="BG991" s="172"/>
      <c r="BH991" s="172"/>
      <c r="BI991" s="172"/>
      <c r="BJ991" s="172"/>
      <c r="BK991" s="172"/>
      <c r="BL991" s="172"/>
      <c r="BM991" s="172"/>
      <c r="BN991" s="172"/>
      <c r="BO991" s="172"/>
      <c r="BP991" s="172"/>
    </row>
    <row r="992" spans="1:68" s="555" customFormat="1" ht="409.6">
      <c r="A992" s="172"/>
      <c r="E992" s="556"/>
      <c r="F992" s="1334"/>
      <c r="I992" s="382"/>
      <c r="J992" s="172"/>
      <c r="K992" s="1189"/>
      <c r="P992" s="643"/>
      <c r="AT992" s="172"/>
      <c r="AU992" s="172"/>
      <c r="AV992" s="172"/>
      <c r="AW992" s="172"/>
      <c r="AX992" s="172"/>
      <c r="AY992" s="172"/>
      <c r="AZ992" s="172"/>
      <c r="BA992" s="172"/>
      <c r="BB992" s="172"/>
      <c r="BC992" s="172"/>
      <c r="BD992" s="172"/>
      <c r="BE992" s="172"/>
      <c r="BF992" s="172"/>
      <c r="BG992" s="172"/>
      <c r="BH992" s="172"/>
      <c r="BI992" s="172"/>
      <c r="BJ992" s="172"/>
      <c r="BK992" s="172"/>
      <c r="BL992" s="172"/>
      <c r="BM992" s="172"/>
      <c r="BN992" s="172"/>
      <c r="BO992" s="172"/>
      <c r="BP992" s="172"/>
    </row>
    <row r="993" spans="1:68" s="555" customFormat="1" ht="409.6">
      <c r="A993" s="172"/>
      <c r="E993" s="556"/>
      <c r="F993" s="1334"/>
      <c r="I993" s="382"/>
      <c r="J993" s="172"/>
      <c r="K993" s="1189"/>
      <c r="P993" s="643"/>
      <c r="AT993" s="172"/>
      <c r="AU993" s="172"/>
      <c r="AV993" s="172"/>
      <c r="AW993" s="172"/>
      <c r="AX993" s="172"/>
      <c r="AY993" s="172"/>
      <c r="AZ993" s="172"/>
      <c r="BA993" s="172"/>
      <c r="BB993" s="172"/>
      <c r="BC993" s="172"/>
      <c r="BD993" s="172"/>
      <c r="BE993" s="172"/>
      <c r="BF993" s="172"/>
      <c r="BG993" s="172"/>
      <c r="BH993" s="172"/>
      <c r="BI993" s="172"/>
      <c r="BJ993" s="172"/>
      <c r="BK993" s="172"/>
      <c r="BL993" s="172"/>
      <c r="BM993" s="172"/>
      <c r="BN993" s="172"/>
      <c r="BO993" s="172"/>
      <c r="BP993" s="172"/>
    </row>
    <row r="994" spans="1:68" s="555" customFormat="1" ht="409.6">
      <c r="A994" s="172"/>
      <c r="E994" s="556"/>
      <c r="F994" s="1334"/>
      <c r="I994" s="382"/>
      <c r="J994" s="172"/>
      <c r="K994" s="1189"/>
      <c r="P994" s="643"/>
      <c r="AT994" s="172"/>
      <c r="AU994" s="172"/>
      <c r="AV994" s="172"/>
      <c r="AW994" s="172"/>
      <c r="AX994" s="172"/>
      <c r="AY994" s="172"/>
      <c r="AZ994" s="172"/>
      <c r="BA994" s="172"/>
      <c r="BB994" s="172"/>
      <c r="BC994" s="172"/>
      <c r="BD994" s="172"/>
      <c r="BE994" s="172"/>
      <c r="BF994" s="172"/>
      <c r="BG994" s="172"/>
      <c r="BH994" s="172"/>
      <c r="BI994" s="172"/>
      <c r="BJ994" s="172"/>
      <c r="BK994" s="172"/>
      <c r="BL994" s="172"/>
      <c r="BM994" s="172"/>
      <c r="BN994" s="172"/>
      <c r="BO994" s="172"/>
      <c r="BP994" s="172"/>
    </row>
    <row r="995" spans="1:68" s="555" customFormat="1" ht="409.6">
      <c r="A995" s="172"/>
      <c r="E995" s="556"/>
      <c r="F995" s="1334"/>
      <c r="I995" s="382"/>
      <c r="J995" s="172"/>
      <c r="K995" s="1189"/>
      <c r="P995" s="643"/>
      <c r="AT995" s="172"/>
      <c r="AU995" s="172"/>
      <c r="AV995" s="172"/>
      <c r="AW995" s="172"/>
      <c r="AX995" s="172"/>
      <c r="AY995" s="172"/>
      <c r="AZ995" s="172"/>
      <c r="BA995" s="172"/>
      <c r="BB995" s="172"/>
      <c r="BC995" s="172"/>
      <c r="BD995" s="172"/>
      <c r="BE995" s="172"/>
      <c r="BF995" s="172"/>
      <c r="BG995" s="172"/>
      <c r="BH995" s="172"/>
      <c r="BI995" s="172"/>
      <c r="BJ995" s="172"/>
      <c r="BK995" s="172"/>
      <c r="BL995" s="172"/>
      <c r="BM995" s="172"/>
      <c r="BN995" s="172"/>
      <c r="BO995" s="172"/>
      <c r="BP995" s="172"/>
    </row>
    <row r="996" spans="1:68" s="555" customFormat="1" ht="409.6">
      <c r="A996" s="172"/>
      <c r="E996" s="556"/>
      <c r="F996" s="1334"/>
      <c r="I996" s="382"/>
      <c r="J996" s="172"/>
      <c r="K996" s="1189"/>
      <c r="P996" s="643"/>
      <c r="AT996" s="172"/>
      <c r="AU996" s="172"/>
      <c r="AV996" s="172"/>
      <c r="AW996" s="172"/>
      <c r="AX996" s="172"/>
      <c r="AY996" s="172"/>
      <c r="AZ996" s="172"/>
      <c r="BA996" s="172"/>
      <c r="BB996" s="172"/>
      <c r="BC996" s="172"/>
      <c r="BD996" s="172"/>
      <c r="BE996" s="172"/>
      <c r="BF996" s="172"/>
      <c r="BG996" s="172"/>
      <c r="BH996" s="172"/>
      <c r="BI996" s="172"/>
      <c r="BJ996" s="172"/>
      <c r="BK996" s="172"/>
      <c r="BL996" s="172"/>
      <c r="BM996" s="172"/>
      <c r="BN996" s="172"/>
      <c r="BO996" s="172"/>
      <c r="BP996" s="172"/>
    </row>
    <row r="997" spans="1:68" s="555" customFormat="1" ht="409.6">
      <c r="A997" s="172"/>
      <c r="E997" s="556"/>
      <c r="F997" s="1334"/>
      <c r="I997" s="382"/>
      <c r="J997" s="172"/>
      <c r="K997" s="1189"/>
      <c r="P997" s="643"/>
      <c r="AT997" s="172"/>
      <c r="AU997" s="172"/>
      <c r="AV997" s="172"/>
      <c r="AW997" s="172"/>
      <c r="AX997" s="172"/>
      <c r="AY997" s="172"/>
      <c r="AZ997" s="172"/>
      <c r="BA997" s="172"/>
      <c r="BB997" s="172"/>
      <c r="BC997" s="172"/>
      <c r="BD997" s="172"/>
      <c r="BE997" s="172"/>
      <c r="BF997" s="172"/>
      <c r="BG997" s="172"/>
      <c r="BH997" s="172"/>
      <c r="BI997" s="172"/>
      <c r="BJ997" s="172"/>
      <c r="BK997" s="172"/>
      <c r="BL997" s="172"/>
      <c r="BM997" s="172"/>
      <c r="BN997" s="172"/>
      <c r="BO997" s="172"/>
      <c r="BP997" s="172"/>
    </row>
    <row r="998" spans="1:68" s="555" customFormat="1" ht="409.6">
      <c r="A998" s="172"/>
      <c r="E998" s="556"/>
      <c r="F998" s="1334"/>
      <c r="I998" s="382"/>
      <c r="J998" s="172"/>
      <c r="K998" s="1189"/>
      <c r="P998" s="643"/>
      <c r="AT998" s="172"/>
      <c r="AU998" s="172"/>
      <c r="AV998" s="172"/>
      <c r="AW998" s="172"/>
      <c r="AX998" s="172"/>
      <c r="AY998" s="172"/>
      <c r="AZ998" s="172"/>
      <c r="BA998" s="172"/>
      <c r="BB998" s="172"/>
      <c r="BC998" s="172"/>
      <c r="BD998" s="172"/>
      <c r="BE998" s="172"/>
      <c r="BF998" s="172"/>
      <c r="BG998" s="172"/>
      <c r="BH998" s="172"/>
      <c r="BI998" s="172"/>
      <c r="BJ998" s="172"/>
      <c r="BK998" s="172"/>
      <c r="BL998" s="172"/>
      <c r="BM998" s="172"/>
      <c r="BN998" s="172"/>
      <c r="BO998" s="172"/>
      <c r="BP998" s="172"/>
    </row>
    <row r="999" spans="1:68" s="555" customFormat="1" ht="409.6">
      <c r="A999" s="172"/>
      <c r="E999" s="556"/>
      <c r="F999" s="1334"/>
      <c r="I999" s="382"/>
      <c r="J999" s="172"/>
      <c r="K999" s="1189"/>
      <c r="P999" s="643"/>
      <c r="AT999" s="172"/>
      <c r="AU999" s="172"/>
      <c r="AV999" s="172"/>
      <c r="AW999" s="172"/>
      <c r="AX999" s="172"/>
      <c r="AY999" s="172"/>
      <c r="AZ999" s="172"/>
      <c r="BA999" s="172"/>
      <c r="BB999" s="172"/>
      <c r="BC999" s="172"/>
      <c r="BD999" s="172"/>
      <c r="BE999" s="172"/>
      <c r="BF999" s="172"/>
      <c r="BG999" s="172"/>
      <c r="BH999" s="172"/>
      <c r="BI999" s="172"/>
      <c r="BJ999" s="172"/>
      <c r="BK999" s="172"/>
      <c r="BL999" s="172"/>
      <c r="BM999" s="172"/>
      <c r="BN999" s="172"/>
      <c r="BO999" s="172"/>
      <c r="BP999" s="172"/>
    </row>
    <row r="1000" spans="1:68" s="555" customFormat="1" ht="409.6">
      <c r="A1000" s="172"/>
      <c r="E1000" s="556"/>
      <c r="F1000" s="1334"/>
      <c r="I1000" s="382"/>
      <c r="J1000" s="172"/>
      <c r="K1000" s="1189"/>
      <c r="P1000" s="643"/>
      <c r="AT1000" s="172"/>
      <c r="AU1000" s="172"/>
      <c r="AV1000" s="172"/>
      <c r="AW1000" s="172"/>
      <c r="AX1000" s="172"/>
      <c r="AY1000" s="172"/>
      <c r="AZ1000" s="172"/>
      <c r="BA1000" s="172"/>
      <c r="BB1000" s="172"/>
      <c r="BC1000" s="172"/>
      <c r="BD1000" s="172"/>
      <c r="BE1000" s="172"/>
      <c r="BF1000" s="172"/>
      <c r="BG1000" s="172"/>
      <c r="BH1000" s="172"/>
      <c r="BI1000" s="172"/>
      <c r="BJ1000" s="172"/>
      <c r="BK1000" s="172"/>
      <c r="BL1000" s="172"/>
      <c r="BM1000" s="172"/>
      <c r="BN1000" s="172"/>
      <c r="BO1000" s="172"/>
      <c r="BP1000" s="172"/>
    </row>
    <row r="1001" spans="1:68" s="555" customFormat="1" ht="409.6">
      <c r="A1001" s="172"/>
      <c r="E1001" s="556"/>
      <c r="F1001" s="1334"/>
      <c r="I1001" s="382"/>
      <c r="J1001" s="172"/>
      <c r="K1001" s="1189"/>
      <c r="P1001" s="643"/>
      <c r="AT1001" s="172"/>
      <c r="AU1001" s="172"/>
      <c r="AV1001" s="172"/>
      <c r="AW1001" s="172"/>
      <c r="AX1001" s="172"/>
      <c r="AY1001" s="172"/>
      <c r="AZ1001" s="172"/>
      <c r="BA1001" s="172"/>
      <c r="BB1001" s="172"/>
      <c r="BC1001" s="172"/>
      <c r="BD1001" s="172"/>
      <c r="BE1001" s="172"/>
      <c r="BF1001" s="172"/>
      <c r="BG1001" s="172"/>
      <c r="BH1001" s="172"/>
      <c r="BI1001" s="172"/>
      <c r="BJ1001" s="172"/>
      <c r="BK1001" s="172"/>
      <c r="BL1001" s="172"/>
      <c r="BM1001" s="172"/>
      <c r="BN1001" s="172"/>
      <c r="BO1001" s="172"/>
      <c r="BP1001" s="172"/>
    </row>
    <row r="1002" spans="1:68" s="555" customFormat="1" ht="409.6">
      <c r="A1002" s="172"/>
      <c r="E1002" s="556"/>
      <c r="F1002" s="1334"/>
      <c r="I1002" s="382"/>
      <c r="J1002" s="172"/>
      <c r="K1002" s="1189"/>
      <c r="P1002" s="643"/>
      <c r="AT1002" s="172"/>
      <c r="AU1002" s="172"/>
      <c r="AV1002" s="172"/>
      <c r="AW1002" s="172"/>
      <c r="AX1002" s="172"/>
      <c r="AY1002" s="172"/>
      <c r="AZ1002" s="172"/>
      <c r="BA1002" s="172"/>
      <c r="BB1002" s="172"/>
      <c r="BC1002" s="172"/>
      <c r="BD1002" s="172"/>
      <c r="BE1002" s="172"/>
      <c r="BF1002" s="172"/>
      <c r="BG1002" s="172"/>
      <c r="BH1002" s="172"/>
      <c r="BI1002" s="172"/>
      <c r="BJ1002" s="172"/>
      <c r="BK1002" s="172"/>
      <c r="BL1002" s="172"/>
      <c r="BM1002" s="172"/>
      <c r="BN1002" s="172"/>
      <c r="BO1002" s="172"/>
      <c r="BP1002" s="172"/>
    </row>
    <row r="1003" spans="1:68" s="555" customFormat="1" ht="409.6">
      <c r="A1003" s="172"/>
      <c r="E1003" s="556"/>
      <c r="F1003" s="1334"/>
      <c r="I1003" s="382"/>
      <c r="J1003" s="172"/>
      <c r="K1003" s="1189"/>
      <c r="P1003" s="643"/>
      <c r="AT1003" s="172"/>
      <c r="AU1003" s="172"/>
      <c r="AV1003" s="172"/>
      <c r="AW1003" s="172"/>
      <c r="AX1003" s="172"/>
      <c r="AY1003" s="172"/>
      <c r="AZ1003" s="172"/>
      <c r="BA1003" s="172"/>
      <c r="BB1003" s="172"/>
      <c r="BC1003" s="172"/>
      <c r="BD1003" s="172"/>
      <c r="BE1003" s="172"/>
      <c r="BF1003" s="172"/>
      <c r="BG1003" s="172"/>
      <c r="BH1003" s="172"/>
      <c r="BI1003" s="172"/>
      <c r="BJ1003" s="172"/>
      <c r="BK1003" s="172"/>
      <c r="BL1003" s="172"/>
      <c r="BM1003" s="172"/>
      <c r="BN1003" s="172"/>
      <c r="BO1003" s="172"/>
      <c r="BP1003" s="172"/>
    </row>
    <row r="1004" spans="1:68" s="555" customFormat="1" ht="409.6">
      <c r="A1004" s="172"/>
      <c r="E1004" s="556"/>
      <c r="F1004" s="1334"/>
      <c r="I1004" s="382"/>
      <c r="J1004" s="172"/>
      <c r="K1004" s="1189"/>
      <c r="P1004" s="643"/>
      <c r="AT1004" s="172"/>
      <c r="AU1004" s="172"/>
      <c r="AV1004" s="172"/>
      <c r="AW1004" s="172"/>
      <c r="AX1004" s="172"/>
      <c r="AY1004" s="172"/>
      <c r="AZ1004" s="172"/>
      <c r="BA1004" s="172"/>
      <c r="BB1004" s="172"/>
      <c r="BC1004" s="172"/>
      <c r="BD1004" s="172"/>
      <c r="BE1004" s="172"/>
      <c r="BF1004" s="172"/>
      <c r="BG1004" s="172"/>
      <c r="BH1004" s="172"/>
      <c r="BI1004" s="172"/>
      <c r="BJ1004" s="172"/>
      <c r="BK1004" s="172"/>
      <c r="BL1004" s="172"/>
      <c r="BM1004" s="172"/>
      <c r="BN1004" s="172"/>
      <c r="BO1004" s="172"/>
      <c r="BP1004" s="172"/>
    </row>
    <row r="1005" spans="1:68" s="555" customFormat="1" ht="409.6">
      <c r="A1005" s="172"/>
      <c r="E1005" s="556"/>
      <c r="F1005" s="1334"/>
      <c r="I1005" s="382"/>
      <c r="J1005" s="172"/>
      <c r="K1005" s="1189"/>
      <c r="P1005" s="643"/>
      <c r="AT1005" s="172"/>
      <c r="AU1005" s="172"/>
      <c r="AV1005" s="172"/>
      <c r="AW1005" s="172"/>
      <c r="AX1005" s="172"/>
      <c r="AY1005" s="172"/>
      <c r="AZ1005" s="172"/>
      <c r="BA1005" s="172"/>
      <c r="BB1005" s="172"/>
      <c r="BC1005" s="172"/>
      <c r="BD1005" s="172"/>
      <c r="BE1005" s="172"/>
      <c r="BF1005" s="172"/>
      <c r="BG1005" s="172"/>
      <c r="BH1005" s="172"/>
      <c r="BI1005" s="172"/>
      <c r="BJ1005" s="172"/>
      <c r="BK1005" s="172"/>
      <c r="BL1005" s="172"/>
      <c r="BM1005" s="172"/>
      <c r="BN1005" s="172"/>
      <c r="BO1005" s="172"/>
      <c r="BP1005" s="172"/>
    </row>
    <row r="1006" spans="1:68" s="555" customFormat="1" ht="409.6">
      <c r="A1006" s="172"/>
      <c r="E1006" s="556"/>
      <c r="F1006" s="1334"/>
      <c r="I1006" s="382"/>
      <c r="J1006" s="172"/>
      <c r="K1006" s="1189"/>
      <c r="P1006" s="643"/>
      <c r="AT1006" s="172"/>
      <c r="AU1006" s="172"/>
      <c r="AV1006" s="172"/>
      <c r="AW1006" s="172"/>
      <c r="AX1006" s="172"/>
      <c r="AY1006" s="172"/>
      <c r="AZ1006" s="172"/>
      <c r="BA1006" s="172"/>
      <c r="BB1006" s="172"/>
      <c r="BC1006" s="172"/>
      <c r="BD1006" s="172"/>
      <c r="BE1006" s="172"/>
      <c r="BF1006" s="172"/>
      <c r="BG1006" s="172"/>
      <c r="BH1006" s="172"/>
      <c r="BI1006" s="172"/>
      <c r="BJ1006" s="172"/>
      <c r="BK1006" s="172"/>
      <c r="BL1006" s="172"/>
      <c r="BM1006" s="172"/>
      <c r="BN1006" s="172"/>
      <c r="BO1006" s="172"/>
      <c r="BP1006" s="172"/>
    </row>
    <row r="1007" spans="1:68" s="555" customFormat="1" ht="409.6">
      <c r="A1007" s="172"/>
      <c r="E1007" s="556"/>
      <c r="F1007" s="1334"/>
      <c r="I1007" s="382"/>
      <c r="J1007" s="172"/>
      <c r="K1007" s="1189"/>
      <c r="P1007" s="643"/>
      <c r="AT1007" s="172"/>
      <c r="AU1007" s="172"/>
      <c r="AV1007" s="172"/>
      <c r="AW1007" s="172"/>
      <c r="AX1007" s="172"/>
      <c r="AY1007" s="172"/>
      <c r="AZ1007" s="172"/>
      <c r="BA1007" s="172"/>
      <c r="BB1007" s="172"/>
      <c r="BC1007" s="172"/>
      <c r="BD1007" s="172"/>
      <c r="BE1007" s="172"/>
      <c r="BF1007" s="172"/>
      <c r="BG1007" s="172"/>
      <c r="BH1007" s="172"/>
      <c r="BI1007" s="172"/>
      <c r="BJ1007" s="172"/>
      <c r="BK1007" s="172"/>
      <c r="BL1007" s="172"/>
      <c r="BM1007" s="172"/>
      <c r="BN1007" s="172"/>
      <c r="BO1007" s="172"/>
      <c r="BP1007" s="172"/>
    </row>
    <row r="1008" spans="1:68" s="555" customFormat="1" ht="409.6">
      <c r="A1008" s="172"/>
      <c r="E1008" s="556"/>
      <c r="F1008" s="1334"/>
      <c r="I1008" s="382"/>
      <c r="J1008" s="172"/>
      <c r="K1008" s="1189"/>
      <c r="P1008" s="643"/>
      <c r="AT1008" s="172"/>
      <c r="AU1008" s="172"/>
      <c r="AV1008" s="172"/>
      <c r="AW1008" s="172"/>
      <c r="AX1008" s="172"/>
      <c r="AY1008" s="172"/>
      <c r="AZ1008" s="172"/>
      <c r="BA1008" s="172"/>
      <c r="BB1008" s="172"/>
      <c r="BC1008" s="172"/>
      <c r="BD1008" s="172"/>
      <c r="BE1008" s="172"/>
      <c r="BF1008" s="172"/>
      <c r="BG1008" s="172"/>
      <c r="BH1008" s="172"/>
      <c r="BI1008" s="172"/>
      <c r="BJ1008" s="172"/>
      <c r="BK1008" s="172"/>
      <c r="BL1008" s="172"/>
      <c r="BM1008" s="172"/>
      <c r="BN1008" s="172"/>
      <c r="BO1008" s="172"/>
      <c r="BP1008" s="172"/>
    </row>
    <row r="1009" spans="1:68" s="555" customFormat="1" ht="409.6">
      <c r="A1009" s="172"/>
      <c r="E1009" s="556"/>
      <c r="F1009" s="1334"/>
      <c r="I1009" s="382"/>
      <c r="J1009" s="172"/>
      <c r="K1009" s="1189"/>
      <c r="P1009" s="643"/>
      <c r="AT1009" s="172"/>
      <c r="AU1009" s="172"/>
      <c r="AV1009" s="172"/>
      <c r="AW1009" s="172"/>
      <c r="AX1009" s="172"/>
      <c r="AY1009" s="172"/>
      <c r="AZ1009" s="172"/>
      <c r="BA1009" s="172"/>
      <c r="BB1009" s="172"/>
      <c r="BC1009" s="172"/>
      <c r="BD1009" s="172"/>
      <c r="BE1009" s="172"/>
      <c r="BF1009" s="172"/>
      <c r="BG1009" s="172"/>
      <c r="BH1009" s="172"/>
      <c r="BI1009" s="172"/>
      <c r="BJ1009" s="172"/>
      <c r="BK1009" s="172"/>
      <c r="BL1009" s="172"/>
      <c r="BM1009" s="172"/>
      <c r="BN1009" s="172"/>
      <c r="BO1009" s="172"/>
      <c r="BP1009" s="172"/>
    </row>
    <row r="1010" spans="1:68" s="555" customFormat="1" ht="409.6">
      <c r="A1010" s="172"/>
      <c r="E1010" s="556"/>
      <c r="F1010" s="1334"/>
      <c r="I1010" s="382"/>
      <c r="J1010" s="172"/>
      <c r="K1010" s="1189"/>
      <c r="P1010" s="643"/>
      <c r="AT1010" s="172"/>
      <c r="AU1010" s="172"/>
      <c r="AV1010" s="172"/>
      <c r="AW1010" s="172"/>
      <c r="AX1010" s="172"/>
      <c r="AY1010" s="172"/>
      <c r="AZ1010" s="172"/>
      <c r="BA1010" s="172"/>
      <c r="BB1010" s="172"/>
      <c r="BC1010" s="172"/>
      <c r="BD1010" s="172"/>
      <c r="BE1010" s="172"/>
      <c r="BF1010" s="172"/>
      <c r="BG1010" s="172"/>
      <c r="BH1010" s="172"/>
      <c r="BI1010" s="172"/>
      <c r="BJ1010" s="172"/>
      <c r="BK1010" s="172"/>
      <c r="BL1010" s="172"/>
      <c r="BM1010" s="172"/>
      <c r="BN1010" s="172"/>
      <c r="BO1010" s="172"/>
      <c r="BP1010" s="172"/>
    </row>
    <row r="1011" spans="1:68" s="555" customFormat="1" ht="409.6">
      <c r="A1011" s="172"/>
      <c r="E1011" s="556"/>
      <c r="F1011" s="1334"/>
      <c r="I1011" s="382"/>
      <c r="J1011" s="172"/>
      <c r="K1011" s="1189"/>
      <c r="P1011" s="643"/>
      <c r="AT1011" s="172"/>
      <c r="AU1011" s="172"/>
      <c r="AV1011" s="172"/>
      <c r="AW1011" s="172"/>
      <c r="AX1011" s="172"/>
      <c r="AY1011" s="172"/>
      <c r="AZ1011" s="172"/>
      <c r="BA1011" s="172"/>
      <c r="BB1011" s="172"/>
      <c r="BC1011" s="172"/>
      <c r="BD1011" s="172"/>
      <c r="BE1011" s="172"/>
      <c r="BF1011" s="172"/>
      <c r="BG1011" s="172"/>
      <c r="BH1011" s="172"/>
      <c r="BI1011" s="172"/>
      <c r="BJ1011" s="172"/>
      <c r="BK1011" s="172"/>
      <c r="BL1011" s="172"/>
      <c r="BM1011" s="172"/>
      <c r="BN1011" s="172"/>
      <c r="BO1011" s="172"/>
      <c r="BP1011" s="172"/>
    </row>
    <row r="1012" spans="1:68" s="555" customFormat="1" ht="409.6">
      <c r="A1012" s="172"/>
      <c r="E1012" s="556"/>
      <c r="F1012" s="1334"/>
      <c r="I1012" s="382"/>
      <c r="J1012" s="172"/>
      <c r="K1012" s="1189"/>
      <c r="P1012" s="643"/>
      <c r="AT1012" s="172"/>
      <c r="AU1012" s="172"/>
      <c r="AV1012" s="172"/>
      <c r="AW1012" s="172"/>
      <c r="AX1012" s="172"/>
      <c r="AY1012" s="172"/>
      <c r="AZ1012" s="172"/>
      <c r="BA1012" s="172"/>
      <c r="BB1012" s="172"/>
      <c r="BC1012" s="172"/>
      <c r="BD1012" s="172"/>
      <c r="BE1012" s="172"/>
      <c r="BF1012" s="172"/>
      <c r="BG1012" s="172"/>
      <c r="BH1012" s="172"/>
      <c r="BI1012" s="172"/>
      <c r="BJ1012" s="172"/>
      <c r="BK1012" s="172"/>
      <c r="BL1012" s="172"/>
      <c r="BM1012" s="172"/>
      <c r="BN1012" s="172"/>
      <c r="BO1012" s="172"/>
      <c r="BP1012" s="172"/>
    </row>
    <row r="1013" spans="1:68" s="555" customFormat="1" ht="409.6">
      <c r="A1013" s="172"/>
      <c r="E1013" s="556"/>
      <c r="F1013" s="1334"/>
      <c r="I1013" s="382"/>
      <c r="J1013" s="172"/>
      <c r="K1013" s="1189"/>
      <c r="P1013" s="643"/>
      <c r="AT1013" s="172"/>
      <c r="AU1013" s="172"/>
      <c r="AV1013" s="172"/>
      <c r="AW1013" s="172"/>
      <c r="AX1013" s="172"/>
      <c r="AY1013" s="172"/>
      <c r="AZ1013" s="172"/>
      <c r="BA1013" s="172"/>
      <c r="BB1013" s="172"/>
      <c r="BC1013" s="172"/>
      <c r="BD1013" s="172"/>
      <c r="BE1013" s="172"/>
      <c r="BF1013" s="172"/>
      <c r="BG1013" s="172"/>
      <c r="BH1013" s="172"/>
      <c r="BI1013" s="172"/>
      <c r="BJ1013" s="172"/>
      <c r="BK1013" s="172"/>
      <c r="BL1013" s="172"/>
      <c r="BM1013" s="172"/>
      <c r="BN1013" s="172"/>
      <c r="BO1013" s="172"/>
      <c r="BP1013" s="172"/>
    </row>
    <row r="1014" spans="1:68" s="555" customFormat="1" ht="409.6">
      <c r="A1014" s="172"/>
      <c r="E1014" s="556"/>
      <c r="F1014" s="1334"/>
      <c r="I1014" s="382"/>
      <c r="J1014" s="172"/>
      <c r="K1014" s="1189"/>
      <c r="P1014" s="643"/>
      <c r="AT1014" s="172"/>
      <c r="AU1014" s="172"/>
      <c r="AV1014" s="172"/>
      <c r="AW1014" s="172"/>
      <c r="AX1014" s="172"/>
      <c r="AY1014" s="172"/>
      <c r="AZ1014" s="172"/>
      <c r="BA1014" s="172"/>
      <c r="BB1014" s="172"/>
      <c r="BC1014" s="172"/>
      <c r="BD1014" s="172"/>
      <c r="BE1014" s="172"/>
      <c r="BF1014" s="172"/>
      <c r="BG1014" s="172"/>
      <c r="BH1014" s="172"/>
      <c r="BI1014" s="172"/>
      <c r="BJ1014" s="172"/>
      <c r="BK1014" s="172"/>
      <c r="BL1014" s="172"/>
      <c r="BM1014" s="172"/>
      <c r="BN1014" s="172"/>
      <c r="BO1014" s="172"/>
      <c r="BP1014" s="172"/>
    </row>
    <row r="1015" spans="1:68" s="555" customFormat="1" ht="409.6">
      <c r="A1015" s="172"/>
      <c r="E1015" s="556"/>
      <c r="F1015" s="1334"/>
      <c r="I1015" s="382"/>
      <c r="J1015" s="172"/>
      <c r="K1015" s="1189"/>
      <c r="P1015" s="643"/>
      <c r="AT1015" s="172"/>
      <c r="AU1015" s="172"/>
      <c r="AV1015" s="172"/>
      <c r="AW1015" s="172"/>
      <c r="AX1015" s="172"/>
      <c r="AY1015" s="172"/>
      <c r="AZ1015" s="172"/>
      <c r="BA1015" s="172"/>
      <c r="BB1015" s="172"/>
      <c r="BC1015" s="172"/>
      <c r="BD1015" s="172"/>
      <c r="BE1015" s="172"/>
      <c r="BF1015" s="172"/>
      <c r="BG1015" s="172"/>
      <c r="BH1015" s="172"/>
      <c r="BI1015" s="172"/>
      <c r="BJ1015" s="172"/>
      <c r="BK1015" s="172"/>
      <c r="BL1015" s="172"/>
      <c r="BM1015" s="172"/>
      <c r="BN1015" s="172"/>
      <c r="BO1015" s="172"/>
      <c r="BP1015" s="172"/>
    </row>
    <row r="1016" spans="1:68" s="555" customFormat="1" ht="409.6">
      <c r="A1016" s="172"/>
      <c r="E1016" s="556"/>
      <c r="F1016" s="1334"/>
      <c r="I1016" s="382"/>
      <c r="J1016" s="172"/>
      <c r="K1016" s="1189"/>
      <c r="P1016" s="643"/>
      <c r="AT1016" s="172"/>
      <c r="AU1016" s="172"/>
      <c r="AV1016" s="172"/>
      <c r="AW1016" s="172"/>
      <c r="AX1016" s="172"/>
      <c r="AY1016" s="172"/>
      <c r="AZ1016" s="172"/>
      <c r="BA1016" s="172"/>
      <c r="BB1016" s="172"/>
      <c r="BC1016" s="172"/>
      <c r="BD1016" s="172"/>
      <c r="BE1016" s="172"/>
      <c r="BF1016" s="172"/>
      <c r="BG1016" s="172"/>
      <c r="BH1016" s="172"/>
      <c r="BI1016" s="172"/>
      <c r="BJ1016" s="172"/>
      <c r="BK1016" s="172"/>
      <c r="BL1016" s="172"/>
      <c r="BM1016" s="172"/>
      <c r="BN1016" s="172"/>
      <c r="BO1016" s="172"/>
      <c r="BP1016" s="172"/>
    </row>
    <row r="1017" spans="1:68" s="555" customFormat="1" ht="409.6">
      <c r="A1017" s="172"/>
      <c r="E1017" s="556"/>
      <c r="F1017" s="1334"/>
      <c r="I1017" s="382"/>
      <c r="J1017" s="172"/>
      <c r="K1017" s="1189"/>
      <c r="P1017" s="643"/>
      <c r="AT1017" s="172"/>
      <c r="AU1017" s="172"/>
      <c r="AV1017" s="172"/>
      <c r="AW1017" s="172"/>
      <c r="AX1017" s="172"/>
      <c r="AY1017" s="172"/>
      <c r="AZ1017" s="172"/>
      <c r="BA1017" s="172"/>
      <c r="BB1017" s="172"/>
      <c r="BC1017" s="172"/>
      <c r="BD1017" s="172"/>
      <c r="BE1017" s="172"/>
      <c r="BF1017" s="172"/>
      <c r="BG1017" s="172"/>
      <c r="BH1017" s="172"/>
      <c r="BI1017" s="172"/>
      <c r="BJ1017" s="172"/>
      <c r="BK1017" s="172"/>
      <c r="BL1017" s="172"/>
      <c r="BM1017" s="172"/>
      <c r="BN1017" s="172"/>
      <c r="BO1017" s="172"/>
      <c r="BP1017" s="172"/>
    </row>
    <row r="1018" spans="1:68" s="555" customFormat="1" ht="409.6">
      <c r="A1018" s="172"/>
      <c r="E1018" s="556"/>
      <c r="F1018" s="1334"/>
      <c r="I1018" s="382"/>
      <c r="J1018" s="172"/>
      <c r="K1018" s="1189"/>
      <c r="P1018" s="643"/>
      <c r="AT1018" s="172"/>
      <c r="AU1018" s="172"/>
      <c r="AV1018" s="172"/>
      <c r="AW1018" s="172"/>
      <c r="AX1018" s="172"/>
      <c r="AY1018" s="172"/>
      <c r="AZ1018" s="172"/>
      <c r="BA1018" s="172"/>
      <c r="BB1018" s="172"/>
      <c r="BC1018" s="172"/>
      <c r="BD1018" s="172"/>
      <c r="BE1018" s="172"/>
      <c r="BF1018" s="172"/>
      <c r="BG1018" s="172"/>
      <c r="BH1018" s="172"/>
      <c r="BI1018" s="172"/>
      <c r="BJ1018" s="172"/>
      <c r="BK1018" s="172"/>
      <c r="BL1018" s="172"/>
      <c r="BM1018" s="172"/>
      <c r="BN1018" s="172"/>
      <c r="BO1018" s="172"/>
      <c r="BP1018" s="172"/>
    </row>
    <row r="1019" spans="1:68" s="555" customFormat="1" ht="409.6">
      <c r="A1019" s="172"/>
      <c r="E1019" s="556"/>
      <c r="F1019" s="1334"/>
      <c r="I1019" s="382"/>
      <c r="J1019" s="172"/>
      <c r="K1019" s="1189"/>
      <c r="P1019" s="643"/>
      <c r="AT1019" s="172"/>
      <c r="AU1019" s="172"/>
      <c r="AV1019" s="172"/>
      <c r="AW1019" s="172"/>
      <c r="AX1019" s="172"/>
      <c r="AY1019" s="172"/>
      <c r="AZ1019" s="172"/>
      <c r="BA1019" s="172"/>
      <c r="BB1019" s="172"/>
      <c r="BC1019" s="172"/>
      <c r="BD1019" s="172"/>
      <c r="BE1019" s="172"/>
      <c r="BF1019" s="172"/>
      <c r="BG1019" s="172"/>
      <c r="BH1019" s="172"/>
      <c r="BI1019" s="172"/>
      <c r="BJ1019" s="172"/>
      <c r="BK1019" s="172"/>
      <c r="BL1019" s="172"/>
      <c r="BM1019" s="172"/>
      <c r="BN1019" s="172"/>
      <c r="BO1019" s="172"/>
      <c r="BP1019" s="172"/>
    </row>
    <row r="1020" spans="1:68" s="555" customFormat="1" ht="409.6">
      <c r="A1020" s="172"/>
      <c r="E1020" s="556"/>
      <c r="F1020" s="1334"/>
      <c r="I1020" s="382"/>
      <c r="J1020" s="172"/>
      <c r="K1020" s="1189"/>
      <c r="P1020" s="643"/>
      <c r="AT1020" s="172"/>
      <c r="AU1020" s="172"/>
      <c r="AV1020" s="172"/>
      <c r="AW1020" s="172"/>
      <c r="AX1020" s="172"/>
      <c r="AY1020" s="172"/>
      <c r="AZ1020" s="172"/>
      <c r="BA1020" s="172"/>
      <c r="BB1020" s="172"/>
      <c r="BC1020" s="172"/>
      <c r="BD1020" s="172"/>
      <c r="BE1020" s="172"/>
      <c r="BF1020" s="172"/>
      <c r="BG1020" s="172"/>
      <c r="BH1020" s="172"/>
      <c r="BI1020" s="172"/>
      <c r="BJ1020" s="172"/>
      <c r="BK1020" s="172"/>
      <c r="BL1020" s="172"/>
      <c r="BM1020" s="172"/>
      <c r="BN1020" s="172"/>
      <c r="BO1020" s="172"/>
      <c r="BP1020" s="172"/>
    </row>
    <row r="1021" spans="1:68" s="555" customFormat="1" ht="409.6">
      <c r="A1021" s="172"/>
      <c r="E1021" s="556"/>
      <c r="F1021" s="1334"/>
      <c r="I1021" s="382"/>
      <c r="J1021" s="172"/>
      <c r="K1021" s="1189"/>
      <c r="P1021" s="643"/>
      <c r="AT1021" s="172"/>
      <c r="AU1021" s="172"/>
      <c r="AV1021" s="172"/>
      <c r="AW1021" s="172"/>
      <c r="AX1021" s="172"/>
      <c r="AY1021" s="172"/>
      <c r="AZ1021" s="172"/>
      <c r="BA1021" s="172"/>
      <c r="BB1021" s="172"/>
      <c r="BC1021" s="172"/>
      <c r="BD1021" s="172"/>
      <c r="BE1021" s="172"/>
      <c r="BF1021" s="172"/>
      <c r="BG1021" s="172"/>
      <c r="BH1021" s="172"/>
      <c r="BI1021" s="172"/>
      <c r="BJ1021" s="172"/>
      <c r="BK1021" s="172"/>
      <c r="BL1021" s="172"/>
      <c r="BM1021" s="172"/>
      <c r="BN1021" s="172"/>
      <c r="BO1021" s="172"/>
      <c r="BP1021" s="172"/>
    </row>
    <row r="1022" spans="1:68" s="555" customFormat="1" ht="409.6">
      <c r="A1022" s="172"/>
      <c r="E1022" s="556"/>
      <c r="F1022" s="1334"/>
      <c r="I1022" s="382"/>
      <c r="J1022" s="172"/>
      <c r="K1022" s="1189"/>
      <c r="P1022" s="643"/>
      <c r="AT1022" s="172"/>
      <c r="AU1022" s="172"/>
      <c r="AV1022" s="172"/>
      <c r="AW1022" s="172"/>
      <c r="AX1022" s="172"/>
      <c r="AY1022" s="172"/>
      <c r="AZ1022" s="172"/>
      <c r="BA1022" s="172"/>
      <c r="BB1022" s="172"/>
      <c r="BC1022" s="172"/>
      <c r="BD1022" s="172"/>
      <c r="BE1022" s="172"/>
      <c r="BF1022" s="172"/>
      <c r="BG1022" s="172"/>
      <c r="BH1022" s="172"/>
      <c r="BI1022" s="172"/>
      <c r="BJ1022" s="172"/>
      <c r="BK1022" s="172"/>
      <c r="BL1022" s="172"/>
      <c r="BM1022" s="172"/>
      <c r="BN1022" s="172"/>
      <c r="BO1022" s="172"/>
      <c r="BP1022" s="172"/>
    </row>
    <row r="1023" spans="1:68" s="555" customFormat="1" ht="409.6">
      <c r="A1023" s="172"/>
      <c r="E1023" s="556"/>
      <c r="F1023" s="1334"/>
      <c r="I1023" s="382"/>
      <c r="J1023" s="172"/>
      <c r="K1023" s="1189"/>
      <c r="P1023" s="643"/>
      <c r="AT1023" s="172"/>
      <c r="AU1023" s="172"/>
      <c r="AV1023" s="172"/>
      <c r="AW1023" s="172"/>
      <c r="AX1023" s="172"/>
      <c r="AY1023" s="172"/>
      <c r="AZ1023" s="172"/>
      <c r="BA1023" s="172"/>
      <c r="BB1023" s="172"/>
      <c r="BC1023" s="172"/>
      <c r="BD1023" s="172"/>
      <c r="BE1023" s="172"/>
      <c r="BF1023" s="172"/>
      <c r="BG1023" s="172"/>
      <c r="BH1023" s="172"/>
      <c r="BI1023" s="172"/>
      <c r="BJ1023" s="172"/>
      <c r="BK1023" s="172"/>
      <c r="BL1023" s="172"/>
      <c r="BM1023" s="172"/>
      <c r="BN1023" s="172"/>
      <c r="BO1023" s="172"/>
      <c r="BP1023" s="172"/>
    </row>
    <row r="1024" spans="1:68" s="555" customFormat="1" ht="409.6">
      <c r="A1024" s="172"/>
      <c r="E1024" s="556"/>
      <c r="F1024" s="1334"/>
      <c r="I1024" s="382"/>
      <c r="J1024" s="172"/>
      <c r="K1024" s="1189"/>
      <c r="P1024" s="643"/>
      <c r="AT1024" s="172"/>
      <c r="AU1024" s="172"/>
      <c r="AV1024" s="172"/>
      <c r="AW1024" s="172"/>
      <c r="AX1024" s="172"/>
      <c r="AY1024" s="172"/>
      <c r="AZ1024" s="172"/>
      <c r="BA1024" s="172"/>
      <c r="BB1024" s="172"/>
      <c r="BC1024" s="172"/>
      <c r="BD1024" s="172"/>
      <c r="BE1024" s="172"/>
      <c r="BF1024" s="172"/>
      <c r="BG1024" s="172"/>
      <c r="BH1024" s="172"/>
      <c r="BI1024" s="172"/>
      <c r="BJ1024" s="172"/>
      <c r="BK1024" s="172"/>
      <c r="BL1024" s="172"/>
      <c r="BM1024" s="172"/>
      <c r="BN1024" s="172"/>
      <c r="BO1024" s="172"/>
      <c r="BP1024" s="172"/>
    </row>
    <row r="1025" spans="1:68" s="555" customFormat="1" ht="409.6">
      <c r="A1025" s="172"/>
      <c r="E1025" s="556"/>
      <c r="F1025" s="1334"/>
      <c r="I1025" s="382"/>
      <c r="J1025" s="172"/>
      <c r="K1025" s="1189"/>
      <c r="P1025" s="643"/>
      <c r="AT1025" s="172"/>
      <c r="AU1025" s="172"/>
      <c r="AV1025" s="172"/>
      <c r="AW1025" s="172"/>
      <c r="AX1025" s="172"/>
      <c r="AY1025" s="172"/>
      <c r="AZ1025" s="172"/>
      <c r="BA1025" s="172"/>
      <c r="BB1025" s="172"/>
      <c r="BC1025" s="172"/>
      <c r="BD1025" s="172"/>
      <c r="BE1025" s="172"/>
      <c r="BF1025" s="172"/>
      <c r="BG1025" s="172"/>
      <c r="BH1025" s="172"/>
      <c r="BI1025" s="172"/>
      <c r="BJ1025" s="172"/>
      <c r="BK1025" s="172"/>
      <c r="BL1025" s="172"/>
      <c r="BM1025" s="172"/>
      <c r="BN1025" s="172"/>
      <c r="BO1025" s="172"/>
      <c r="BP1025" s="172"/>
    </row>
    <row r="1026" spans="1:68" s="555" customFormat="1" ht="409.6">
      <c r="A1026" s="172"/>
      <c r="E1026" s="556"/>
      <c r="F1026" s="1334"/>
      <c r="I1026" s="382"/>
      <c r="J1026" s="172"/>
      <c r="K1026" s="1189"/>
      <c r="P1026" s="643"/>
      <c r="AT1026" s="172"/>
      <c r="AU1026" s="172"/>
      <c r="AV1026" s="172"/>
      <c r="AW1026" s="172"/>
      <c r="AX1026" s="172"/>
      <c r="AY1026" s="172"/>
      <c r="AZ1026" s="172"/>
      <c r="BA1026" s="172"/>
      <c r="BB1026" s="172"/>
      <c r="BC1026" s="172"/>
      <c r="BD1026" s="172"/>
      <c r="BE1026" s="172"/>
      <c r="BF1026" s="172"/>
      <c r="BG1026" s="172"/>
      <c r="BH1026" s="172"/>
      <c r="BI1026" s="172"/>
      <c r="BJ1026" s="172"/>
      <c r="BK1026" s="172"/>
      <c r="BL1026" s="172"/>
      <c r="BM1026" s="172"/>
      <c r="BN1026" s="172"/>
      <c r="BO1026" s="172"/>
      <c r="BP1026" s="172"/>
    </row>
    <row r="1027" spans="1:68" s="555" customFormat="1" ht="409.6">
      <c r="A1027" s="172"/>
      <c r="E1027" s="556"/>
      <c r="F1027" s="1334"/>
      <c r="I1027" s="382"/>
      <c r="J1027" s="172"/>
      <c r="K1027" s="1189"/>
      <c r="P1027" s="643"/>
      <c r="AT1027" s="172"/>
      <c r="AU1027" s="172"/>
      <c r="AV1027" s="172"/>
      <c r="AW1027" s="172"/>
      <c r="AX1027" s="172"/>
      <c r="AY1027" s="172"/>
      <c r="AZ1027" s="172"/>
      <c r="BA1027" s="172"/>
      <c r="BB1027" s="172"/>
      <c r="BC1027" s="172"/>
      <c r="BD1027" s="172"/>
      <c r="BE1027" s="172"/>
      <c r="BF1027" s="172"/>
      <c r="BG1027" s="172"/>
      <c r="BH1027" s="172"/>
      <c r="BI1027" s="172"/>
      <c r="BJ1027" s="172"/>
      <c r="BK1027" s="172"/>
      <c r="BL1027" s="172"/>
      <c r="BM1027" s="172"/>
      <c r="BN1027" s="172"/>
      <c r="BO1027" s="172"/>
      <c r="BP1027" s="172"/>
    </row>
    <row r="1028" spans="1:68" s="555" customFormat="1" ht="409.6">
      <c r="A1028" s="172"/>
      <c r="E1028" s="556"/>
      <c r="F1028" s="1334"/>
      <c r="I1028" s="382"/>
      <c r="J1028" s="172"/>
      <c r="K1028" s="1189"/>
      <c r="P1028" s="643"/>
      <c r="AT1028" s="172"/>
      <c r="AU1028" s="172"/>
      <c r="AV1028" s="172"/>
      <c r="AW1028" s="172"/>
      <c r="AX1028" s="172"/>
      <c r="AY1028" s="172"/>
      <c r="AZ1028" s="172"/>
      <c r="BA1028" s="172"/>
      <c r="BB1028" s="172"/>
      <c r="BC1028" s="172"/>
      <c r="BD1028" s="172"/>
      <c r="BE1028" s="172"/>
      <c r="BF1028" s="172"/>
      <c r="BG1028" s="172"/>
      <c r="BH1028" s="172"/>
      <c r="BI1028" s="172"/>
      <c r="BJ1028" s="172"/>
      <c r="BK1028" s="172"/>
      <c r="BL1028" s="172"/>
      <c r="BM1028" s="172"/>
      <c r="BN1028" s="172"/>
      <c r="BO1028" s="172"/>
      <c r="BP1028" s="172"/>
    </row>
    <row r="1029" spans="1:68" s="555" customFormat="1" ht="409.6">
      <c r="A1029" s="172"/>
      <c r="E1029" s="556"/>
      <c r="F1029" s="1334"/>
      <c r="I1029" s="382"/>
      <c r="J1029" s="172"/>
      <c r="K1029" s="1189"/>
      <c r="P1029" s="643"/>
      <c r="AT1029" s="172"/>
      <c r="AU1029" s="172"/>
      <c r="AV1029" s="172"/>
      <c r="AW1029" s="172"/>
      <c r="AX1029" s="172"/>
      <c r="AY1029" s="172"/>
      <c r="AZ1029" s="172"/>
      <c r="BA1029" s="172"/>
      <c r="BB1029" s="172"/>
      <c r="BC1029" s="172"/>
      <c r="BD1029" s="172"/>
      <c r="BE1029" s="172"/>
      <c r="BF1029" s="172"/>
      <c r="BG1029" s="172"/>
      <c r="BH1029" s="172"/>
      <c r="BI1029" s="172"/>
      <c r="BJ1029" s="172"/>
      <c r="BK1029" s="172"/>
      <c r="BL1029" s="172"/>
      <c r="BM1029" s="172"/>
      <c r="BN1029" s="172"/>
      <c r="BO1029" s="172"/>
      <c r="BP1029" s="172"/>
    </row>
    <row r="1030" spans="1:68" s="555" customFormat="1" ht="409.6">
      <c r="A1030" s="172"/>
      <c r="E1030" s="556"/>
      <c r="F1030" s="1334"/>
      <c r="I1030" s="382"/>
      <c r="J1030" s="172"/>
      <c r="K1030" s="1189"/>
      <c r="P1030" s="643"/>
      <c r="AT1030" s="172"/>
      <c r="AU1030" s="172"/>
      <c r="AV1030" s="172"/>
      <c r="AW1030" s="172"/>
      <c r="AX1030" s="172"/>
      <c r="AY1030" s="172"/>
      <c r="AZ1030" s="172"/>
      <c r="BA1030" s="172"/>
      <c r="BB1030" s="172"/>
      <c r="BC1030" s="172"/>
      <c r="BD1030" s="172"/>
      <c r="BE1030" s="172"/>
      <c r="BF1030" s="172"/>
      <c r="BG1030" s="172"/>
      <c r="BH1030" s="172"/>
      <c r="BI1030" s="172"/>
      <c r="BJ1030" s="172"/>
      <c r="BK1030" s="172"/>
      <c r="BL1030" s="172"/>
      <c r="BM1030" s="172"/>
      <c r="BN1030" s="172"/>
      <c r="BO1030" s="172"/>
      <c r="BP1030" s="172"/>
    </row>
    <row r="1031" spans="1:68" s="555" customFormat="1" ht="409.6">
      <c r="A1031" s="172"/>
      <c r="E1031" s="556"/>
      <c r="F1031" s="1334"/>
      <c r="I1031" s="382"/>
      <c r="J1031" s="172"/>
      <c r="K1031" s="1189"/>
      <c r="P1031" s="643"/>
      <c r="AT1031" s="172"/>
      <c r="AU1031" s="172"/>
      <c r="AV1031" s="172"/>
      <c r="AW1031" s="172"/>
      <c r="AX1031" s="172"/>
      <c r="AY1031" s="172"/>
      <c r="AZ1031" s="172"/>
      <c r="BA1031" s="172"/>
      <c r="BB1031" s="172"/>
      <c r="BC1031" s="172"/>
      <c r="BD1031" s="172"/>
      <c r="BE1031" s="172"/>
      <c r="BF1031" s="172"/>
      <c r="BG1031" s="172"/>
      <c r="BH1031" s="172"/>
      <c r="BI1031" s="172"/>
      <c r="BJ1031" s="172"/>
      <c r="BK1031" s="172"/>
      <c r="BL1031" s="172"/>
      <c r="BM1031" s="172"/>
      <c r="BN1031" s="172"/>
      <c r="BO1031" s="172"/>
      <c r="BP1031" s="172"/>
    </row>
    <row r="1032" spans="1:68" s="555" customFormat="1" ht="409.6">
      <c r="A1032" s="172"/>
      <c r="E1032" s="556"/>
      <c r="F1032" s="1334"/>
      <c r="I1032" s="382"/>
      <c r="J1032" s="172"/>
      <c r="K1032" s="1189"/>
      <c r="P1032" s="643"/>
      <c r="AT1032" s="172"/>
      <c r="AU1032" s="172"/>
      <c r="AV1032" s="172"/>
      <c r="AW1032" s="172"/>
      <c r="AX1032" s="172"/>
      <c r="AY1032" s="172"/>
      <c r="AZ1032" s="172"/>
      <c r="BA1032" s="172"/>
      <c r="BB1032" s="172"/>
      <c r="BC1032" s="172"/>
      <c r="BD1032" s="172"/>
      <c r="BE1032" s="172"/>
      <c r="BF1032" s="172"/>
      <c r="BG1032" s="172"/>
      <c r="BH1032" s="172"/>
      <c r="BI1032" s="172"/>
      <c r="BJ1032" s="172"/>
      <c r="BK1032" s="172"/>
      <c r="BL1032" s="172"/>
      <c r="BM1032" s="172"/>
      <c r="BN1032" s="172"/>
      <c r="BO1032" s="172"/>
      <c r="BP1032" s="172"/>
    </row>
    <row r="1033" spans="1:68" s="555" customFormat="1" ht="409.6">
      <c r="A1033" s="172"/>
      <c r="E1033" s="556"/>
      <c r="F1033" s="1334"/>
      <c r="I1033" s="382"/>
      <c r="J1033" s="172"/>
      <c r="K1033" s="1189"/>
      <c r="P1033" s="643"/>
      <c r="AT1033" s="172"/>
      <c r="AU1033" s="172"/>
      <c r="AV1033" s="172"/>
      <c r="AW1033" s="172"/>
      <c r="AX1033" s="172"/>
      <c r="AY1033" s="172"/>
      <c r="AZ1033" s="172"/>
      <c r="BA1033" s="172"/>
      <c r="BB1033" s="172"/>
      <c r="BC1033" s="172"/>
      <c r="BD1033" s="172"/>
      <c r="BE1033" s="172"/>
      <c r="BF1033" s="172"/>
      <c r="BG1033" s="172"/>
      <c r="BH1033" s="172"/>
      <c r="BI1033" s="172"/>
      <c r="BJ1033" s="172"/>
      <c r="BK1033" s="172"/>
      <c r="BL1033" s="172"/>
      <c r="BM1033" s="172"/>
      <c r="BN1033" s="172"/>
      <c r="BO1033" s="172"/>
      <c r="BP1033" s="172"/>
    </row>
    <row r="1034" spans="1:68" s="555" customFormat="1" ht="409.6">
      <c r="A1034" s="172"/>
      <c r="E1034" s="556"/>
      <c r="F1034" s="1334"/>
      <c r="I1034" s="382"/>
      <c r="J1034" s="172"/>
      <c r="K1034" s="1189"/>
      <c r="P1034" s="643"/>
      <c r="AT1034" s="172"/>
      <c r="AU1034" s="172"/>
      <c r="AV1034" s="172"/>
      <c r="AW1034" s="172"/>
      <c r="AX1034" s="172"/>
      <c r="AY1034" s="172"/>
      <c r="AZ1034" s="172"/>
      <c r="BA1034" s="172"/>
      <c r="BB1034" s="172"/>
      <c r="BC1034" s="172"/>
      <c r="BD1034" s="172"/>
      <c r="BE1034" s="172"/>
      <c r="BF1034" s="172"/>
      <c r="BG1034" s="172"/>
      <c r="BH1034" s="172"/>
      <c r="BI1034" s="172"/>
      <c r="BJ1034" s="172"/>
      <c r="BK1034" s="172"/>
      <c r="BL1034" s="172"/>
      <c r="BM1034" s="172"/>
      <c r="BN1034" s="172"/>
      <c r="BO1034" s="172"/>
      <c r="BP1034" s="172"/>
    </row>
    <row r="1035" spans="1:68" s="555" customFormat="1" ht="409.6">
      <c r="A1035" s="172"/>
      <c r="E1035" s="556"/>
      <c r="F1035" s="1334"/>
      <c r="I1035" s="382"/>
      <c r="J1035" s="172"/>
      <c r="K1035" s="1189"/>
      <c r="P1035" s="643"/>
      <c r="AT1035" s="172"/>
      <c r="AU1035" s="172"/>
      <c r="AV1035" s="172"/>
      <c r="AW1035" s="172"/>
      <c r="AX1035" s="172"/>
      <c r="AY1035" s="172"/>
      <c r="AZ1035" s="172"/>
      <c r="BA1035" s="172"/>
      <c r="BB1035" s="172"/>
      <c r="BC1035" s="172"/>
      <c r="BD1035" s="172"/>
      <c r="BE1035" s="172"/>
      <c r="BF1035" s="172"/>
      <c r="BG1035" s="172"/>
      <c r="BH1035" s="172"/>
      <c r="BI1035" s="172"/>
      <c r="BJ1035" s="172"/>
      <c r="BK1035" s="172"/>
      <c r="BL1035" s="172"/>
      <c r="BM1035" s="172"/>
      <c r="BN1035" s="172"/>
      <c r="BO1035" s="172"/>
      <c r="BP1035" s="172"/>
    </row>
    <row r="1036" spans="1:68" s="555" customFormat="1" ht="409.6">
      <c r="A1036" s="172"/>
      <c r="E1036" s="556"/>
      <c r="F1036" s="1334"/>
      <c r="I1036" s="382"/>
      <c r="J1036" s="172"/>
      <c r="K1036" s="1189"/>
      <c r="P1036" s="643"/>
      <c r="AT1036" s="172"/>
      <c r="AU1036" s="172"/>
      <c r="AV1036" s="172"/>
      <c r="AW1036" s="172"/>
      <c r="AX1036" s="172"/>
      <c r="AY1036" s="172"/>
      <c r="AZ1036" s="172"/>
      <c r="BA1036" s="172"/>
      <c r="BB1036" s="172"/>
      <c r="BC1036" s="172"/>
      <c r="BD1036" s="172"/>
      <c r="BE1036" s="172"/>
      <c r="BF1036" s="172"/>
      <c r="BG1036" s="172"/>
      <c r="BH1036" s="172"/>
      <c r="BI1036" s="172"/>
      <c r="BJ1036" s="172"/>
      <c r="BK1036" s="172"/>
      <c r="BL1036" s="172"/>
      <c r="BM1036" s="172"/>
      <c r="BN1036" s="172"/>
      <c r="BO1036" s="172"/>
      <c r="BP1036" s="172"/>
    </row>
    <row r="1037" spans="1:68" s="555" customFormat="1" ht="409.6">
      <c r="A1037" s="172"/>
      <c r="E1037" s="556"/>
      <c r="F1037" s="1334"/>
      <c r="I1037" s="382"/>
      <c r="J1037" s="172"/>
      <c r="K1037" s="1189"/>
      <c r="P1037" s="643"/>
      <c r="AT1037" s="172"/>
      <c r="AU1037" s="172"/>
      <c r="AV1037" s="172"/>
      <c r="AW1037" s="172"/>
      <c r="AX1037" s="172"/>
      <c r="AY1037" s="172"/>
      <c r="AZ1037" s="172"/>
      <c r="BA1037" s="172"/>
      <c r="BB1037" s="172"/>
      <c r="BC1037" s="172"/>
      <c r="BD1037" s="172"/>
      <c r="BE1037" s="172"/>
      <c r="BF1037" s="172"/>
      <c r="BG1037" s="172"/>
      <c r="BH1037" s="172"/>
      <c r="BI1037" s="172"/>
      <c r="BJ1037" s="172"/>
      <c r="BK1037" s="172"/>
      <c r="BL1037" s="172"/>
      <c r="BM1037" s="172"/>
      <c r="BN1037" s="172"/>
      <c r="BO1037" s="172"/>
      <c r="BP1037" s="172"/>
    </row>
    <row r="1038" spans="1:68" s="555" customFormat="1" ht="409.6">
      <c r="A1038" s="172"/>
      <c r="E1038" s="556"/>
      <c r="F1038" s="1334"/>
      <c r="I1038" s="382"/>
      <c r="J1038" s="172"/>
      <c r="K1038" s="1189"/>
      <c r="P1038" s="643"/>
      <c r="AT1038" s="172"/>
      <c r="AU1038" s="172"/>
      <c r="AV1038" s="172"/>
      <c r="AW1038" s="172"/>
      <c r="AX1038" s="172"/>
      <c r="AY1038" s="172"/>
      <c r="AZ1038" s="172"/>
      <c r="BA1038" s="172"/>
      <c r="BB1038" s="172"/>
      <c r="BC1038" s="172"/>
      <c r="BD1038" s="172"/>
      <c r="BE1038" s="172"/>
      <c r="BF1038" s="172"/>
      <c r="BG1038" s="172"/>
      <c r="BH1038" s="172"/>
      <c r="BI1038" s="172"/>
      <c r="BJ1038" s="172"/>
      <c r="BK1038" s="172"/>
      <c r="BL1038" s="172"/>
      <c r="BM1038" s="172"/>
      <c r="BN1038" s="172"/>
      <c r="BO1038" s="172"/>
      <c r="BP1038" s="172"/>
    </row>
    <row r="1039" spans="1:68" s="555" customFormat="1" ht="409.6">
      <c r="A1039" s="172"/>
      <c r="E1039" s="556"/>
      <c r="F1039" s="1334"/>
      <c r="I1039" s="382"/>
      <c r="J1039" s="172"/>
      <c r="K1039" s="1189"/>
      <c r="P1039" s="643"/>
      <c r="AT1039" s="172"/>
      <c r="AU1039" s="172"/>
      <c r="AV1039" s="172"/>
      <c r="AW1039" s="172"/>
      <c r="AX1039" s="172"/>
      <c r="AY1039" s="172"/>
      <c r="AZ1039" s="172"/>
      <c r="BA1039" s="172"/>
      <c r="BB1039" s="172"/>
      <c r="BC1039" s="172"/>
      <c r="BD1039" s="172"/>
      <c r="BE1039" s="172"/>
      <c r="BF1039" s="172"/>
      <c r="BG1039" s="172"/>
      <c r="BH1039" s="172"/>
      <c r="BI1039" s="172"/>
      <c r="BJ1039" s="172"/>
      <c r="BK1039" s="172"/>
      <c r="BL1039" s="172"/>
      <c r="BM1039" s="172"/>
      <c r="BN1039" s="172"/>
      <c r="BO1039" s="172"/>
      <c r="BP1039" s="172"/>
    </row>
    <row r="1040" spans="1:68" s="555" customFormat="1" ht="409.6">
      <c r="A1040" s="172"/>
      <c r="E1040" s="556"/>
      <c r="F1040" s="1334"/>
      <c r="I1040" s="382"/>
      <c r="J1040" s="172"/>
      <c r="K1040" s="1189"/>
      <c r="P1040" s="643"/>
      <c r="AT1040" s="172"/>
      <c r="AU1040" s="172"/>
      <c r="AV1040" s="172"/>
      <c r="AW1040" s="172"/>
      <c r="AX1040" s="172"/>
      <c r="AY1040" s="172"/>
      <c r="AZ1040" s="172"/>
      <c r="BA1040" s="172"/>
      <c r="BB1040" s="172"/>
      <c r="BC1040" s="172"/>
      <c r="BD1040" s="172"/>
      <c r="BE1040" s="172"/>
      <c r="BF1040" s="172"/>
      <c r="BG1040" s="172"/>
      <c r="BH1040" s="172"/>
      <c r="BI1040" s="172"/>
      <c r="BJ1040" s="172"/>
      <c r="BK1040" s="172"/>
      <c r="BL1040" s="172"/>
      <c r="BM1040" s="172"/>
      <c r="BN1040" s="172"/>
      <c r="BO1040" s="172"/>
      <c r="BP1040" s="172"/>
    </row>
    <row r="1041" spans="1:68" s="555" customFormat="1" ht="409.6">
      <c r="A1041" s="172"/>
      <c r="E1041" s="556"/>
      <c r="F1041" s="1334"/>
      <c r="I1041" s="382"/>
      <c r="J1041" s="172"/>
      <c r="K1041" s="1189"/>
      <c r="P1041" s="643"/>
      <c r="AT1041" s="172"/>
      <c r="AU1041" s="172"/>
      <c r="AV1041" s="172"/>
      <c r="AW1041" s="172"/>
      <c r="AX1041" s="172"/>
      <c r="AY1041" s="172"/>
      <c r="AZ1041" s="172"/>
      <c r="BA1041" s="172"/>
      <c r="BB1041" s="172"/>
      <c r="BC1041" s="172"/>
      <c r="BD1041" s="172"/>
      <c r="BE1041" s="172"/>
      <c r="BF1041" s="172"/>
      <c r="BG1041" s="172"/>
      <c r="BH1041" s="172"/>
      <c r="BI1041" s="172"/>
      <c r="BJ1041" s="172"/>
      <c r="BK1041" s="172"/>
      <c r="BL1041" s="172"/>
      <c r="BM1041" s="172"/>
      <c r="BN1041" s="172"/>
      <c r="BO1041" s="172"/>
      <c r="BP1041" s="172"/>
    </row>
    <row r="1042" spans="1:68" s="555" customFormat="1" ht="409.6">
      <c r="A1042" s="172"/>
      <c r="E1042" s="556"/>
      <c r="F1042" s="1334"/>
      <c r="I1042" s="382"/>
      <c r="J1042" s="172"/>
      <c r="K1042" s="1189"/>
      <c r="P1042" s="643"/>
      <c r="AT1042" s="172"/>
      <c r="AU1042" s="172"/>
      <c r="AV1042" s="172"/>
      <c r="AW1042" s="172"/>
      <c r="AX1042" s="172"/>
      <c r="AY1042" s="172"/>
      <c r="AZ1042" s="172"/>
      <c r="BA1042" s="172"/>
      <c r="BB1042" s="172"/>
      <c r="BC1042" s="172"/>
      <c r="BD1042" s="172"/>
      <c r="BE1042" s="172"/>
      <c r="BF1042" s="172"/>
      <c r="BG1042" s="172"/>
      <c r="BH1042" s="172"/>
      <c r="BI1042" s="172"/>
      <c r="BJ1042" s="172"/>
      <c r="BK1042" s="172"/>
      <c r="BL1042" s="172"/>
      <c r="BM1042" s="172"/>
      <c r="BN1042" s="172"/>
      <c r="BO1042" s="172"/>
      <c r="BP1042" s="172"/>
    </row>
    <row r="1043" spans="1:68" s="555" customFormat="1" ht="409.6">
      <c r="A1043" s="172"/>
      <c r="E1043" s="556"/>
      <c r="F1043" s="1334"/>
      <c r="I1043" s="382"/>
      <c r="J1043" s="172"/>
      <c r="K1043" s="1189"/>
      <c r="P1043" s="643"/>
      <c r="AT1043" s="172"/>
      <c r="AU1043" s="172"/>
      <c r="AV1043" s="172"/>
      <c r="AW1043" s="172"/>
      <c r="AX1043" s="172"/>
      <c r="AY1043" s="172"/>
      <c r="AZ1043" s="172"/>
      <c r="BA1043" s="172"/>
      <c r="BB1043" s="172"/>
      <c r="BC1043" s="172"/>
      <c r="BD1043" s="172"/>
      <c r="BE1043" s="172"/>
      <c r="BF1043" s="172"/>
      <c r="BG1043" s="172"/>
      <c r="BH1043" s="172"/>
      <c r="BI1043" s="172"/>
      <c r="BJ1043" s="172"/>
      <c r="BK1043" s="172"/>
      <c r="BL1043" s="172"/>
      <c r="BM1043" s="172"/>
      <c r="BN1043" s="172"/>
      <c r="BO1043" s="172"/>
      <c r="BP1043" s="172"/>
    </row>
    <row r="1044" spans="1:68" s="555" customFormat="1" ht="409.6">
      <c r="A1044" s="172"/>
      <c r="E1044" s="556"/>
      <c r="F1044" s="1334"/>
      <c r="I1044" s="382"/>
      <c r="J1044" s="172"/>
      <c r="K1044" s="1189"/>
      <c r="P1044" s="643"/>
      <c r="AT1044" s="172"/>
      <c r="AU1044" s="172"/>
      <c r="AV1044" s="172"/>
      <c r="AW1044" s="172"/>
      <c r="AX1044" s="172"/>
      <c r="AY1044" s="172"/>
      <c r="AZ1044" s="172"/>
      <c r="BA1044" s="172"/>
      <c r="BB1044" s="172"/>
      <c r="BC1044" s="172"/>
      <c r="BD1044" s="172"/>
      <c r="BE1044" s="172"/>
      <c r="BF1044" s="172"/>
      <c r="BG1044" s="172"/>
      <c r="BH1044" s="172"/>
      <c r="BI1044" s="172"/>
      <c r="BJ1044" s="172"/>
      <c r="BK1044" s="172"/>
      <c r="BL1044" s="172"/>
      <c r="BM1044" s="172"/>
      <c r="BN1044" s="172"/>
      <c r="BO1044" s="172"/>
      <c r="BP1044" s="172"/>
    </row>
    <row r="1045" spans="1:68" s="555" customFormat="1" ht="409.6">
      <c r="A1045" s="172"/>
      <c r="E1045" s="556"/>
      <c r="F1045" s="1334"/>
      <c r="I1045" s="382"/>
      <c r="J1045" s="172"/>
      <c r="K1045" s="1189"/>
      <c r="P1045" s="643"/>
      <c r="AT1045" s="172"/>
      <c r="AU1045" s="172"/>
      <c r="AV1045" s="172"/>
      <c r="AW1045" s="172"/>
      <c r="AX1045" s="172"/>
      <c r="AY1045" s="172"/>
      <c r="AZ1045" s="172"/>
      <c r="BA1045" s="172"/>
      <c r="BB1045" s="172"/>
      <c r="BC1045" s="172"/>
      <c r="BD1045" s="172"/>
      <c r="BE1045" s="172"/>
      <c r="BF1045" s="172"/>
      <c r="BG1045" s="172"/>
      <c r="BH1045" s="172"/>
      <c r="BI1045" s="172"/>
      <c r="BJ1045" s="172"/>
      <c r="BK1045" s="172"/>
      <c r="BL1045" s="172"/>
      <c r="BM1045" s="172"/>
      <c r="BN1045" s="172"/>
      <c r="BO1045" s="172"/>
      <c r="BP1045" s="172"/>
    </row>
    <row r="1046" spans="1:68" s="555" customFormat="1" ht="409.6">
      <c r="A1046" s="172"/>
      <c r="E1046" s="556"/>
      <c r="F1046" s="1334"/>
      <c r="I1046" s="382"/>
      <c r="J1046" s="172"/>
      <c r="K1046" s="1189"/>
      <c r="P1046" s="643"/>
      <c r="AT1046" s="172"/>
      <c r="AU1046" s="172"/>
      <c r="AV1046" s="172"/>
      <c r="AW1046" s="172"/>
      <c r="AX1046" s="172"/>
      <c r="AY1046" s="172"/>
      <c r="AZ1046" s="172"/>
      <c r="BA1046" s="172"/>
      <c r="BB1046" s="172"/>
      <c r="BC1046" s="172"/>
      <c r="BD1046" s="172"/>
      <c r="BE1046" s="172"/>
      <c r="BF1046" s="172"/>
      <c r="BG1046" s="172"/>
      <c r="BH1046" s="172"/>
      <c r="BI1046" s="172"/>
      <c r="BJ1046" s="172"/>
      <c r="BK1046" s="172"/>
      <c r="BL1046" s="172"/>
      <c r="BM1046" s="172"/>
      <c r="BN1046" s="172"/>
      <c r="BO1046" s="172"/>
      <c r="BP1046" s="172"/>
    </row>
    <row r="1047" spans="1:68" s="555" customFormat="1" ht="409.6">
      <c r="A1047" s="172"/>
      <c r="E1047" s="556"/>
      <c r="F1047" s="1334"/>
      <c r="I1047" s="382"/>
      <c r="J1047" s="172"/>
      <c r="K1047" s="1189"/>
      <c r="P1047" s="643"/>
      <c r="AT1047" s="172"/>
      <c r="AU1047" s="172"/>
      <c r="AV1047" s="172"/>
      <c r="AW1047" s="172"/>
      <c r="AX1047" s="172"/>
      <c r="AY1047" s="172"/>
      <c r="AZ1047" s="172"/>
      <c r="BA1047" s="172"/>
      <c r="BB1047" s="172"/>
      <c r="BC1047" s="172"/>
      <c r="BD1047" s="172"/>
      <c r="BE1047" s="172"/>
      <c r="BF1047" s="172"/>
      <c r="BG1047" s="172"/>
      <c r="BH1047" s="172"/>
      <c r="BI1047" s="172"/>
      <c r="BJ1047" s="172"/>
      <c r="BK1047" s="172"/>
      <c r="BL1047" s="172"/>
      <c r="BM1047" s="172"/>
      <c r="BN1047" s="172"/>
      <c r="BO1047" s="172"/>
      <c r="BP1047" s="172"/>
    </row>
    <row r="1048" spans="1:68" s="555" customFormat="1" ht="409.6">
      <c r="A1048" s="172"/>
      <c r="E1048" s="556"/>
      <c r="F1048" s="1334"/>
      <c r="I1048" s="382"/>
      <c r="J1048" s="172"/>
      <c r="K1048" s="1189"/>
      <c r="P1048" s="643"/>
      <c r="AT1048" s="172"/>
      <c r="AU1048" s="172"/>
      <c r="AV1048" s="172"/>
      <c r="AW1048" s="172"/>
      <c r="AX1048" s="172"/>
      <c r="AY1048" s="172"/>
      <c r="AZ1048" s="172"/>
      <c r="BA1048" s="172"/>
      <c r="BB1048" s="172"/>
      <c r="BC1048" s="172"/>
      <c r="BD1048" s="172"/>
      <c r="BE1048" s="172"/>
      <c r="BF1048" s="172"/>
      <c r="BG1048" s="172"/>
      <c r="BH1048" s="172"/>
      <c r="BI1048" s="172"/>
      <c r="BJ1048" s="172"/>
      <c r="BK1048" s="172"/>
      <c r="BL1048" s="172"/>
      <c r="BM1048" s="172"/>
      <c r="BN1048" s="172"/>
      <c r="BO1048" s="172"/>
      <c r="BP1048" s="172"/>
    </row>
    <row r="1049" spans="1:68" s="555" customFormat="1" ht="409.6">
      <c r="A1049" s="172"/>
      <c r="E1049" s="556"/>
      <c r="F1049" s="1334"/>
      <c r="I1049" s="382"/>
      <c r="J1049" s="172"/>
      <c r="K1049" s="1189"/>
      <c r="P1049" s="643"/>
      <c r="AT1049" s="172"/>
      <c r="AU1049" s="172"/>
      <c r="AV1049" s="172"/>
      <c r="AW1049" s="172"/>
      <c r="AX1049" s="172"/>
      <c r="AY1049" s="172"/>
      <c r="AZ1049" s="172"/>
      <c r="BA1049" s="172"/>
      <c r="BB1049" s="172"/>
      <c r="BC1049" s="172"/>
      <c r="BD1049" s="172"/>
      <c r="BE1049" s="172"/>
      <c r="BF1049" s="172"/>
      <c r="BG1049" s="172"/>
      <c r="BH1049" s="172"/>
      <c r="BI1049" s="172"/>
      <c r="BJ1049" s="172"/>
      <c r="BK1049" s="172"/>
      <c r="BL1049" s="172"/>
      <c r="BM1049" s="172"/>
      <c r="BN1049" s="172"/>
      <c r="BO1049" s="172"/>
      <c r="BP1049" s="172"/>
    </row>
    <row r="1050" spans="1:68" s="555" customFormat="1" ht="409.6">
      <c r="A1050" s="172"/>
      <c r="E1050" s="556"/>
      <c r="F1050" s="1334"/>
      <c r="I1050" s="382"/>
      <c r="J1050" s="172"/>
      <c r="K1050" s="1189"/>
      <c r="P1050" s="643"/>
      <c r="AT1050" s="172"/>
      <c r="AU1050" s="172"/>
      <c r="AV1050" s="172"/>
      <c r="AW1050" s="172"/>
      <c r="AX1050" s="172"/>
      <c r="AY1050" s="172"/>
      <c r="AZ1050" s="172"/>
      <c r="BA1050" s="172"/>
      <c r="BB1050" s="172"/>
      <c r="BC1050" s="172"/>
      <c r="BD1050" s="172"/>
      <c r="BE1050" s="172"/>
      <c r="BF1050" s="172"/>
      <c r="BG1050" s="172"/>
      <c r="BH1050" s="172"/>
      <c r="BI1050" s="172"/>
      <c r="BJ1050" s="172"/>
      <c r="BK1050" s="172"/>
      <c r="BL1050" s="172"/>
      <c r="BM1050" s="172"/>
      <c r="BN1050" s="172"/>
      <c r="BO1050" s="172"/>
      <c r="BP1050" s="172"/>
    </row>
    <row r="1051" spans="1:68" s="555" customFormat="1" ht="409.6">
      <c r="A1051" s="172"/>
      <c r="E1051" s="556"/>
      <c r="F1051" s="1334"/>
      <c r="I1051" s="382"/>
      <c r="J1051" s="172"/>
      <c r="K1051" s="1189"/>
      <c r="P1051" s="643"/>
      <c r="AT1051" s="172"/>
      <c r="AU1051" s="172"/>
      <c r="AV1051" s="172"/>
      <c r="AW1051" s="172"/>
      <c r="AX1051" s="172"/>
      <c r="AY1051" s="172"/>
      <c r="AZ1051" s="172"/>
      <c r="BA1051" s="172"/>
      <c r="BB1051" s="172"/>
      <c r="BC1051" s="172"/>
      <c r="BD1051" s="172"/>
      <c r="BE1051" s="172"/>
      <c r="BF1051" s="172"/>
      <c r="BG1051" s="172"/>
      <c r="BH1051" s="172"/>
      <c r="BI1051" s="172"/>
      <c r="BJ1051" s="172"/>
      <c r="BK1051" s="172"/>
      <c r="BL1051" s="172"/>
      <c r="BM1051" s="172"/>
      <c r="BN1051" s="172"/>
      <c r="BO1051" s="172"/>
      <c r="BP1051" s="172"/>
    </row>
    <row r="1052" spans="1:68" s="555" customFormat="1" ht="409.6">
      <c r="A1052" s="172"/>
      <c r="E1052" s="556"/>
      <c r="F1052" s="1334"/>
      <c r="I1052" s="382"/>
      <c r="J1052" s="172"/>
      <c r="K1052" s="1189"/>
      <c r="P1052" s="643"/>
      <c r="AT1052" s="172"/>
      <c r="AU1052" s="172"/>
      <c r="AV1052" s="172"/>
      <c r="AW1052" s="172"/>
      <c r="AX1052" s="172"/>
      <c r="AY1052" s="172"/>
      <c r="AZ1052" s="172"/>
      <c r="BA1052" s="172"/>
      <c r="BB1052" s="172"/>
      <c r="BC1052" s="172"/>
      <c r="BD1052" s="172"/>
      <c r="BE1052" s="172"/>
      <c r="BF1052" s="172"/>
      <c r="BG1052" s="172"/>
      <c r="BH1052" s="172"/>
      <c r="BI1052" s="172"/>
      <c r="BJ1052" s="172"/>
      <c r="BK1052" s="172"/>
      <c r="BL1052" s="172"/>
      <c r="BM1052" s="172"/>
      <c r="BN1052" s="172"/>
      <c r="BO1052" s="172"/>
      <c r="BP1052" s="172"/>
    </row>
    <row r="1053" spans="1:68" s="555" customFormat="1" ht="409.6">
      <c r="A1053" s="172"/>
      <c r="E1053" s="556"/>
      <c r="F1053" s="1334"/>
      <c r="I1053" s="382"/>
      <c r="J1053" s="172"/>
      <c r="K1053" s="1189"/>
      <c r="P1053" s="643"/>
      <c r="AT1053" s="172"/>
      <c r="AU1053" s="172"/>
      <c r="AV1053" s="172"/>
      <c r="AW1053" s="172"/>
      <c r="AX1053" s="172"/>
      <c r="AY1053" s="172"/>
      <c r="AZ1053" s="172"/>
      <c r="BA1053" s="172"/>
      <c r="BB1053" s="172"/>
      <c r="BC1053" s="172"/>
      <c r="BD1053" s="172"/>
      <c r="BE1053" s="172"/>
      <c r="BF1053" s="172"/>
      <c r="BG1053" s="172"/>
      <c r="BH1053" s="172"/>
      <c r="BI1053" s="172"/>
      <c r="BJ1053" s="172"/>
      <c r="BK1053" s="172"/>
      <c r="BL1053" s="172"/>
      <c r="BM1053" s="172"/>
      <c r="BN1053" s="172"/>
      <c r="BO1053" s="172"/>
      <c r="BP1053" s="172"/>
    </row>
    <row r="1054" spans="1:68" s="555" customFormat="1" ht="409.6">
      <c r="A1054" s="172"/>
      <c r="E1054" s="556"/>
      <c r="F1054" s="1334"/>
      <c r="I1054" s="382"/>
      <c r="J1054" s="172"/>
      <c r="K1054" s="1189"/>
      <c r="P1054" s="643"/>
      <c r="AT1054" s="172"/>
      <c r="AU1054" s="172"/>
      <c r="AV1054" s="172"/>
      <c r="AW1054" s="172"/>
      <c r="AX1054" s="172"/>
      <c r="AY1054" s="172"/>
      <c r="AZ1054" s="172"/>
      <c r="BA1054" s="172"/>
      <c r="BB1054" s="172"/>
      <c r="BC1054" s="172"/>
      <c r="BD1054" s="172"/>
      <c r="BE1054" s="172"/>
      <c r="BF1054" s="172"/>
      <c r="BG1054" s="172"/>
      <c r="BH1054" s="172"/>
      <c r="BI1054" s="172"/>
      <c r="BJ1054" s="172"/>
      <c r="BK1054" s="172"/>
      <c r="BL1054" s="172"/>
      <c r="BM1054" s="172"/>
      <c r="BN1054" s="172"/>
      <c r="BO1054" s="172"/>
      <c r="BP1054" s="172"/>
    </row>
    <row r="1055" spans="1:68" s="555" customFormat="1" ht="409.6">
      <c r="A1055" s="172"/>
      <c r="E1055" s="556"/>
      <c r="F1055" s="1334"/>
      <c r="I1055" s="382"/>
      <c r="J1055" s="172"/>
      <c r="K1055" s="1189"/>
      <c r="P1055" s="643"/>
      <c r="AT1055" s="172"/>
      <c r="AU1055" s="172"/>
      <c r="AV1055" s="172"/>
      <c r="AW1055" s="172"/>
      <c r="AX1055" s="172"/>
      <c r="AY1055" s="172"/>
      <c r="AZ1055" s="172"/>
      <c r="BA1055" s="172"/>
      <c r="BB1055" s="172"/>
      <c r="BC1055" s="172"/>
      <c r="BD1055" s="172"/>
      <c r="BE1055" s="172"/>
      <c r="BF1055" s="172"/>
      <c r="BG1055" s="172"/>
      <c r="BH1055" s="172"/>
      <c r="BI1055" s="172"/>
      <c r="BJ1055" s="172"/>
      <c r="BK1055" s="172"/>
      <c r="BL1055" s="172"/>
      <c r="BM1055" s="172"/>
      <c r="BN1055" s="172"/>
      <c r="BO1055" s="172"/>
      <c r="BP1055" s="172"/>
    </row>
    <row r="1056" spans="1:68" s="555" customFormat="1" ht="409.6">
      <c r="A1056" s="172"/>
      <c r="E1056" s="556"/>
      <c r="F1056" s="1334"/>
      <c r="I1056" s="382"/>
      <c r="J1056" s="172"/>
      <c r="K1056" s="1189"/>
      <c r="P1056" s="643"/>
      <c r="AT1056" s="172"/>
      <c r="AU1056" s="172"/>
      <c r="AV1056" s="172"/>
      <c r="AW1056" s="172"/>
      <c r="AX1056" s="172"/>
      <c r="AY1056" s="172"/>
      <c r="AZ1056" s="172"/>
      <c r="BA1056" s="172"/>
      <c r="BB1056" s="172"/>
      <c r="BC1056" s="172"/>
      <c r="BD1056" s="172"/>
      <c r="BE1056" s="172"/>
      <c r="BF1056" s="172"/>
      <c r="BG1056" s="172"/>
      <c r="BH1056" s="172"/>
      <c r="BI1056" s="172"/>
      <c r="BJ1056" s="172"/>
      <c r="BK1056" s="172"/>
      <c r="BL1056" s="172"/>
      <c r="BM1056" s="172"/>
      <c r="BN1056" s="172"/>
      <c r="BO1056" s="172"/>
      <c r="BP1056" s="172"/>
    </row>
    <row r="1057" spans="1:68" s="555" customFormat="1" ht="409.6">
      <c r="A1057" s="172"/>
      <c r="E1057" s="556"/>
      <c r="F1057" s="1334"/>
      <c r="I1057" s="382"/>
      <c r="J1057" s="172"/>
      <c r="K1057" s="1189"/>
      <c r="P1057" s="643"/>
      <c r="AT1057" s="172"/>
      <c r="AU1057" s="172"/>
      <c r="AV1057" s="172"/>
      <c r="AW1057" s="172"/>
      <c r="AX1057" s="172"/>
      <c r="AY1057" s="172"/>
      <c r="AZ1057" s="172"/>
      <c r="BA1057" s="172"/>
      <c r="BB1057" s="172"/>
      <c r="BC1057" s="172"/>
      <c r="BD1057" s="172"/>
      <c r="BE1057" s="172"/>
      <c r="BF1057" s="172"/>
      <c r="BG1057" s="172"/>
      <c r="BH1057" s="172"/>
      <c r="BI1057" s="172"/>
      <c r="BJ1057" s="172"/>
      <c r="BK1057" s="172"/>
      <c r="BL1057" s="172"/>
      <c r="BM1057" s="172"/>
      <c r="BN1057" s="172"/>
      <c r="BO1057" s="172"/>
      <c r="BP1057" s="172"/>
    </row>
    <row r="1058" spans="1:68" s="555" customFormat="1" ht="409.6">
      <c r="A1058" s="172"/>
      <c r="E1058" s="556"/>
      <c r="F1058" s="1334"/>
      <c r="I1058" s="382"/>
      <c r="J1058" s="172"/>
      <c r="K1058" s="1189"/>
      <c r="P1058" s="643"/>
      <c r="AT1058" s="172"/>
      <c r="AU1058" s="172"/>
      <c r="AV1058" s="172"/>
      <c r="AW1058" s="172"/>
      <c r="AX1058" s="172"/>
      <c r="AY1058" s="172"/>
      <c r="AZ1058" s="172"/>
      <c r="BA1058" s="172"/>
      <c r="BB1058" s="172"/>
      <c r="BC1058" s="172"/>
      <c r="BD1058" s="172"/>
      <c r="BE1058" s="172"/>
      <c r="BF1058" s="172"/>
      <c r="BG1058" s="172"/>
      <c r="BH1058" s="172"/>
      <c r="BI1058" s="172"/>
      <c r="BJ1058" s="172"/>
      <c r="BK1058" s="172"/>
      <c r="BL1058" s="172"/>
      <c r="BM1058" s="172"/>
      <c r="BN1058" s="172"/>
      <c r="BO1058" s="172"/>
      <c r="BP1058" s="172"/>
    </row>
    <row r="1059" spans="1:68" s="555" customFormat="1" ht="409.6">
      <c r="A1059" s="172"/>
      <c r="E1059" s="556"/>
      <c r="F1059" s="1334"/>
      <c r="I1059" s="382"/>
      <c r="J1059" s="172"/>
      <c r="K1059" s="1189"/>
      <c r="P1059" s="643"/>
      <c r="AT1059" s="172"/>
      <c r="AU1059" s="172"/>
      <c r="AV1059" s="172"/>
      <c r="AW1059" s="172"/>
      <c r="AX1059" s="172"/>
      <c r="AY1059" s="172"/>
      <c r="AZ1059" s="172"/>
      <c r="BA1059" s="172"/>
      <c r="BB1059" s="172"/>
      <c r="BC1059" s="172"/>
      <c r="BD1059" s="172"/>
      <c r="BE1059" s="172"/>
      <c r="BF1059" s="172"/>
      <c r="BG1059" s="172"/>
      <c r="BH1059" s="172"/>
      <c r="BI1059" s="172"/>
      <c r="BJ1059" s="172"/>
      <c r="BK1059" s="172"/>
      <c r="BL1059" s="172"/>
      <c r="BM1059" s="172"/>
      <c r="BN1059" s="172"/>
      <c r="BO1059" s="172"/>
      <c r="BP1059" s="172"/>
    </row>
    <row r="1060" spans="1:68" s="555" customFormat="1" ht="409.6">
      <c r="A1060" s="172"/>
      <c r="E1060" s="556"/>
      <c r="F1060" s="1334"/>
      <c r="I1060" s="382"/>
      <c r="J1060" s="172"/>
      <c r="K1060" s="1189"/>
      <c r="P1060" s="643"/>
      <c r="AT1060" s="172"/>
      <c r="AU1060" s="172"/>
      <c r="AV1060" s="172"/>
      <c r="AW1060" s="172"/>
      <c r="AX1060" s="172"/>
      <c r="AY1060" s="172"/>
      <c r="AZ1060" s="172"/>
      <c r="BA1060" s="172"/>
      <c r="BB1060" s="172"/>
      <c r="BC1060" s="172"/>
      <c r="BD1060" s="172"/>
      <c r="BE1060" s="172"/>
      <c r="BF1060" s="172"/>
      <c r="BG1060" s="172"/>
      <c r="BH1060" s="172"/>
      <c r="BI1060" s="172"/>
      <c r="BJ1060" s="172"/>
      <c r="BK1060" s="172"/>
      <c r="BL1060" s="172"/>
      <c r="BM1060" s="172"/>
      <c r="BN1060" s="172"/>
      <c r="BO1060" s="172"/>
      <c r="BP1060" s="172"/>
    </row>
    <row r="1061" spans="1:68" s="555" customFormat="1" ht="409.6">
      <c r="A1061" s="172"/>
      <c r="E1061" s="556"/>
      <c r="F1061" s="1334"/>
      <c r="I1061" s="382"/>
      <c r="J1061" s="172"/>
      <c r="K1061" s="1189"/>
      <c r="P1061" s="643"/>
      <c r="AT1061" s="172"/>
      <c r="AU1061" s="172"/>
      <c r="AV1061" s="172"/>
      <c r="AW1061" s="172"/>
      <c r="AX1061" s="172"/>
      <c r="AY1061" s="172"/>
      <c r="AZ1061" s="172"/>
      <c r="BA1061" s="172"/>
      <c r="BB1061" s="172"/>
      <c r="BC1061" s="172"/>
      <c r="BD1061" s="172"/>
      <c r="BE1061" s="172"/>
      <c r="BF1061" s="172"/>
      <c r="BG1061" s="172"/>
      <c r="BH1061" s="172"/>
      <c r="BI1061" s="172"/>
      <c r="BJ1061" s="172"/>
      <c r="BK1061" s="172"/>
      <c r="BL1061" s="172"/>
      <c r="BM1061" s="172"/>
      <c r="BN1061" s="172"/>
      <c r="BO1061" s="172"/>
      <c r="BP1061" s="172"/>
    </row>
    <row r="1062" spans="1:68" s="555" customFormat="1" ht="409.6">
      <c r="A1062" s="172"/>
      <c r="E1062" s="556"/>
      <c r="F1062" s="1334"/>
      <c r="I1062" s="382"/>
      <c r="J1062" s="172"/>
      <c r="K1062" s="1189"/>
      <c r="P1062" s="643"/>
      <c r="AT1062" s="172"/>
      <c r="AU1062" s="172"/>
      <c r="AV1062" s="172"/>
      <c r="AW1062" s="172"/>
      <c r="AX1062" s="172"/>
      <c r="AY1062" s="172"/>
      <c r="AZ1062" s="172"/>
      <c r="BA1062" s="172"/>
      <c r="BB1062" s="172"/>
      <c r="BC1062" s="172"/>
      <c r="BD1062" s="172"/>
      <c r="BE1062" s="172"/>
      <c r="BF1062" s="172"/>
      <c r="BG1062" s="172"/>
      <c r="BH1062" s="172"/>
      <c r="BI1062" s="172"/>
      <c r="BJ1062" s="172"/>
      <c r="BK1062" s="172"/>
      <c r="BL1062" s="172"/>
      <c r="BM1062" s="172"/>
      <c r="BN1062" s="172"/>
      <c r="BO1062" s="172"/>
      <c r="BP1062" s="172"/>
    </row>
    <row r="1063" spans="1:68" s="555" customFormat="1" ht="409.6">
      <c r="A1063" s="172"/>
      <c r="E1063" s="556"/>
      <c r="F1063" s="1334"/>
      <c r="I1063" s="382"/>
      <c r="J1063" s="172"/>
      <c r="K1063" s="1189"/>
      <c r="P1063" s="643"/>
      <c r="AT1063" s="172"/>
      <c r="AU1063" s="172"/>
      <c r="AV1063" s="172"/>
      <c r="AW1063" s="172"/>
      <c r="AX1063" s="172"/>
      <c r="AY1063" s="172"/>
      <c r="AZ1063" s="172"/>
      <c r="BA1063" s="172"/>
      <c r="BB1063" s="172"/>
      <c r="BC1063" s="172"/>
      <c r="BD1063" s="172"/>
      <c r="BE1063" s="172"/>
      <c r="BF1063" s="172"/>
      <c r="BG1063" s="172"/>
      <c r="BH1063" s="172"/>
      <c r="BI1063" s="172"/>
      <c r="BJ1063" s="172"/>
      <c r="BK1063" s="172"/>
      <c r="BL1063" s="172"/>
      <c r="BM1063" s="172"/>
      <c r="BN1063" s="172"/>
      <c r="BO1063" s="172"/>
      <c r="BP1063" s="172"/>
    </row>
    <row r="1064" spans="1:68" s="555" customFormat="1" ht="409.6">
      <c r="A1064" s="172"/>
      <c r="E1064" s="556"/>
      <c r="F1064" s="1334"/>
      <c r="I1064" s="382"/>
      <c r="J1064" s="172"/>
      <c r="K1064" s="1189"/>
      <c r="P1064" s="643"/>
      <c r="AT1064" s="172"/>
      <c r="AU1064" s="172"/>
      <c r="AV1064" s="172"/>
      <c r="AW1064" s="172"/>
      <c r="AX1064" s="172"/>
      <c r="AY1064" s="172"/>
      <c r="AZ1064" s="172"/>
      <c r="BA1064" s="172"/>
      <c r="BB1064" s="172"/>
      <c r="BC1064" s="172"/>
      <c r="BD1064" s="172"/>
      <c r="BE1064" s="172"/>
      <c r="BF1064" s="172"/>
      <c r="BG1064" s="172"/>
      <c r="BH1064" s="172"/>
      <c r="BI1064" s="172"/>
      <c r="BJ1064" s="172"/>
      <c r="BK1064" s="172"/>
      <c r="BL1064" s="172"/>
      <c r="BM1064" s="172"/>
      <c r="BN1064" s="172"/>
      <c r="BO1064" s="172"/>
      <c r="BP1064" s="172"/>
    </row>
    <row r="1065" spans="1:68" s="555" customFormat="1" ht="409.6">
      <c r="A1065" s="172"/>
      <c r="E1065" s="556"/>
      <c r="F1065" s="1334"/>
      <c r="I1065" s="382"/>
      <c r="J1065" s="172"/>
      <c r="K1065" s="1189"/>
      <c r="P1065" s="643"/>
      <c r="AT1065" s="172"/>
      <c r="AU1065" s="172"/>
      <c r="AV1065" s="172"/>
      <c r="AW1065" s="172"/>
      <c r="AX1065" s="172"/>
      <c r="AY1065" s="172"/>
      <c r="AZ1065" s="172"/>
      <c r="BA1065" s="172"/>
      <c r="BB1065" s="172"/>
      <c r="BC1065" s="172"/>
      <c r="BD1065" s="172"/>
      <c r="BE1065" s="172"/>
      <c r="BF1065" s="172"/>
      <c r="BG1065" s="172"/>
      <c r="BH1065" s="172"/>
      <c r="BI1065" s="172"/>
      <c r="BJ1065" s="172"/>
      <c r="BK1065" s="172"/>
      <c r="BL1065" s="172"/>
      <c r="BM1065" s="172"/>
      <c r="BN1065" s="172"/>
      <c r="BO1065" s="172"/>
      <c r="BP1065" s="172"/>
    </row>
    <row r="1066" spans="1:68" s="555" customFormat="1" ht="409.6">
      <c r="A1066" s="172"/>
      <c r="E1066" s="556"/>
      <c r="F1066" s="1334"/>
      <c r="I1066" s="382"/>
      <c r="J1066" s="172"/>
      <c r="K1066" s="1189"/>
      <c r="P1066" s="643"/>
      <c r="AT1066" s="172"/>
      <c r="AU1066" s="172"/>
      <c r="AV1066" s="172"/>
      <c r="AW1066" s="172"/>
      <c r="AX1066" s="172"/>
      <c r="AY1066" s="172"/>
      <c r="AZ1066" s="172"/>
      <c r="BA1066" s="172"/>
      <c r="BB1066" s="172"/>
      <c r="BC1066" s="172"/>
      <c r="BD1066" s="172"/>
      <c r="BE1066" s="172"/>
      <c r="BF1066" s="172"/>
      <c r="BG1066" s="172"/>
      <c r="BH1066" s="172"/>
      <c r="BI1066" s="172"/>
      <c r="BJ1066" s="172"/>
      <c r="BK1066" s="172"/>
      <c r="BL1066" s="172"/>
      <c r="BM1066" s="172"/>
      <c r="BN1066" s="172"/>
      <c r="BO1066" s="172"/>
      <c r="BP1066" s="172"/>
    </row>
    <row r="1067" spans="1:68" s="555" customFormat="1" ht="409.6">
      <c r="A1067" s="172"/>
      <c r="E1067" s="556"/>
      <c r="F1067" s="1334"/>
      <c r="I1067" s="382"/>
      <c r="J1067" s="172"/>
      <c r="K1067" s="1189"/>
      <c r="P1067" s="643"/>
      <c r="AT1067" s="172"/>
      <c r="AU1067" s="172"/>
      <c r="AV1067" s="172"/>
      <c r="AW1067" s="172"/>
      <c r="AX1067" s="172"/>
      <c r="AY1067" s="172"/>
      <c r="AZ1067" s="172"/>
      <c r="BA1067" s="172"/>
      <c r="BB1067" s="172"/>
      <c r="BC1067" s="172"/>
      <c r="BD1067" s="172"/>
      <c r="BE1067" s="172"/>
      <c r="BF1067" s="172"/>
      <c r="BG1067" s="172"/>
      <c r="BH1067" s="172"/>
      <c r="BI1067" s="172"/>
      <c r="BJ1067" s="172"/>
      <c r="BK1067" s="172"/>
      <c r="BL1067" s="172"/>
      <c r="BM1067" s="172"/>
      <c r="BN1067" s="172"/>
      <c r="BO1067" s="172"/>
      <c r="BP1067" s="172"/>
    </row>
    <row r="1068" spans="1:68" s="555" customFormat="1" ht="409.6">
      <c r="A1068" s="172"/>
      <c r="E1068" s="556"/>
      <c r="F1068" s="1334"/>
      <c r="I1068" s="382"/>
      <c r="J1068" s="172"/>
      <c r="K1068" s="1189"/>
      <c r="P1068" s="643"/>
      <c r="AT1068" s="172"/>
      <c r="AU1068" s="172"/>
      <c r="AV1068" s="172"/>
      <c r="AW1068" s="172"/>
      <c r="AX1068" s="172"/>
      <c r="AY1068" s="172"/>
      <c r="AZ1068" s="172"/>
      <c r="BA1068" s="172"/>
      <c r="BB1068" s="172"/>
      <c r="BC1068" s="172"/>
      <c r="BD1068" s="172"/>
      <c r="BE1068" s="172"/>
      <c r="BF1068" s="172"/>
      <c r="BG1068" s="172"/>
      <c r="BH1068" s="172"/>
      <c r="BI1068" s="172"/>
      <c r="BJ1068" s="172"/>
      <c r="BK1068" s="172"/>
      <c r="BL1068" s="172"/>
      <c r="BM1068" s="172"/>
      <c r="BN1068" s="172"/>
      <c r="BO1068" s="172"/>
      <c r="BP1068" s="172"/>
    </row>
    <row r="1069" spans="1:68" s="555" customFormat="1" ht="409.6">
      <c r="A1069" s="172"/>
      <c r="E1069" s="556"/>
      <c r="F1069" s="1334"/>
      <c r="I1069" s="382"/>
      <c r="J1069" s="172"/>
      <c r="K1069" s="1189"/>
      <c r="P1069" s="643"/>
      <c r="AT1069" s="172"/>
      <c r="AU1069" s="172"/>
      <c r="AV1069" s="172"/>
      <c r="AW1069" s="172"/>
      <c r="AX1069" s="172"/>
      <c r="AY1069" s="172"/>
      <c r="AZ1069" s="172"/>
      <c r="BA1069" s="172"/>
      <c r="BB1069" s="172"/>
      <c r="BC1069" s="172"/>
      <c r="BD1069" s="172"/>
      <c r="BE1069" s="172"/>
      <c r="BF1069" s="172"/>
      <c r="BG1069" s="172"/>
      <c r="BH1069" s="172"/>
      <c r="BI1069" s="172"/>
      <c r="BJ1069" s="172"/>
      <c r="BK1069" s="172"/>
      <c r="BL1069" s="172"/>
      <c r="BM1069" s="172"/>
      <c r="BN1069" s="172"/>
      <c r="BO1069" s="172"/>
      <c r="BP1069" s="172"/>
    </row>
    <row r="1070" spans="1:68" s="555" customFormat="1" ht="409.6">
      <c r="A1070" s="172"/>
      <c r="E1070" s="556"/>
      <c r="F1070" s="1334"/>
      <c r="I1070" s="382"/>
      <c r="J1070" s="172"/>
      <c r="K1070" s="1189"/>
      <c r="P1070" s="643"/>
      <c r="AT1070" s="172"/>
      <c r="AU1070" s="172"/>
      <c r="AV1070" s="172"/>
      <c r="AW1070" s="172"/>
      <c r="AX1070" s="172"/>
      <c r="AY1070" s="172"/>
      <c r="AZ1070" s="172"/>
      <c r="BA1070" s="172"/>
      <c r="BB1070" s="172"/>
      <c r="BC1070" s="172"/>
      <c r="BD1070" s="172"/>
      <c r="BE1070" s="172"/>
      <c r="BF1070" s="172"/>
      <c r="BG1070" s="172"/>
      <c r="BH1070" s="172"/>
      <c r="BI1070" s="172"/>
      <c r="BJ1070" s="172"/>
      <c r="BK1070" s="172"/>
      <c r="BL1070" s="172"/>
      <c r="BM1070" s="172"/>
      <c r="BN1070" s="172"/>
      <c r="BO1070" s="172"/>
      <c r="BP1070" s="172"/>
    </row>
    <row r="1071" spans="1:68" s="555" customFormat="1" ht="409.6">
      <c r="A1071" s="172"/>
      <c r="E1071" s="556"/>
      <c r="F1071" s="1334"/>
      <c r="I1071" s="382"/>
      <c r="J1071" s="172"/>
      <c r="K1071" s="1189"/>
      <c r="P1071" s="643"/>
      <c r="AT1071" s="172"/>
      <c r="AU1071" s="172"/>
      <c r="AV1071" s="172"/>
      <c r="AW1071" s="172"/>
      <c r="AX1071" s="172"/>
      <c r="AY1071" s="172"/>
      <c r="AZ1071" s="172"/>
      <c r="BA1071" s="172"/>
      <c r="BB1071" s="172"/>
      <c r="BC1071" s="172"/>
      <c r="BD1071" s="172"/>
      <c r="BE1071" s="172"/>
      <c r="BF1071" s="172"/>
      <c r="BG1071" s="172"/>
      <c r="BH1071" s="172"/>
      <c r="BI1071" s="172"/>
      <c r="BJ1071" s="172"/>
      <c r="BK1071" s="172"/>
      <c r="BL1071" s="172"/>
      <c r="BM1071" s="172"/>
      <c r="BN1071" s="172"/>
      <c r="BO1071" s="172"/>
      <c r="BP1071" s="172"/>
    </row>
    <row r="1072" spans="1:68" s="555" customFormat="1" ht="409.6">
      <c r="A1072" s="172"/>
      <c r="E1072" s="556"/>
      <c r="F1072" s="1334"/>
      <c r="I1072" s="382"/>
      <c r="J1072" s="172"/>
      <c r="K1072" s="1189"/>
      <c r="P1072" s="643"/>
      <c r="AT1072" s="172"/>
      <c r="AU1072" s="172"/>
      <c r="AV1072" s="172"/>
      <c r="AW1072" s="172"/>
      <c r="AX1072" s="172"/>
      <c r="AY1072" s="172"/>
      <c r="AZ1072" s="172"/>
      <c r="BA1072" s="172"/>
      <c r="BB1072" s="172"/>
      <c r="BC1072" s="172"/>
      <c r="BD1072" s="172"/>
      <c r="BE1072" s="172"/>
      <c r="BF1072" s="172"/>
      <c r="BG1072" s="172"/>
      <c r="BH1072" s="172"/>
      <c r="BI1072" s="172"/>
      <c r="BJ1072" s="172"/>
      <c r="BK1072" s="172"/>
      <c r="BL1072" s="172"/>
      <c r="BM1072" s="172"/>
      <c r="BN1072" s="172"/>
      <c r="BO1072" s="172"/>
      <c r="BP1072" s="172"/>
    </row>
    <row r="1073" spans="1:68" s="555" customFormat="1" ht="409.6">
      <c r="A1073" s="172"/>
      <c r="E1073" s="556"/>
      <c r="F1073" s="1334"/>
      <c r="I1073" s="382"/>
      <c r="J1073" s="172"/>
      <c r="K1073" s="1189"/>
      <c r="P1073" s="643"/>
      <c r="AT1073" s="172"/>
      <c r="AU1073" s="172"/>
      <c r="AV1073" s="172"/>
      <c r="AW1073" s="172"/>
      <c r="AX1073" s="172"/>
      <c r="AY1073" s="172"/>
      <c r="AZ1073" s="172"/>
      <c r="BA1073" s="172"/>
      <c r="BB1073" s="172"/>
      <c r="BC1073" s="172"/>
      <c r="BD1073" s="172"/>
      <c r="BE1073" s="172"/>
      <c r="BF1073" s="172"/>
      <c r="BG1073" s="172"/>
      <c r="BH1073" s="172"/>
      <c r="BI1073" s="172"/>
      <c r="BJ1073" s="172"/>
      <c r="BK1073" s="172"/>
      <c r="BL1073" s="172"/>
      <c r="BM1073" s="172"/>
      <c r="BN1073" s="172"/>
      <c r="BO1073" s="172"/>
      <c r="BP1073" s="172"/>
    </row>
    <row r="1074" spans="1:68" s="555" customFormat="1" ht="409.6">
      <c r="A1074" s="172"/>
      <c r="E1074" s="556"/>
      <c r="F1074" s="1334"/>
      <c r="I1074" s="382"/>
      <c r="J1074" s="172"/>
      <c r="K1074" s="1189"/>
      <c r="P1074" s="643"/>
      <c r="AT1074" s="172"/>
      <c r="AU1074" s="172"/>
      <c r="AV1074" s="172"/>
      <c r="AW1074" s="172"/>
      <c r="AX1074" s="172"/>
      <c r="AY1074" s="172"/>
      <c r="AZ1074" s="172"/>
      <c r="BA1074" s="172"/>
      <c r="BB1074" s="172"/>
      <c r="BC1074" s="172"/>
      <c r="BD1074" s="172"/>
      <c r="BE1074" s="172"/>
      <c r="BF1074" s="172"/>
      <c r="BG1074" s="172"/>
      <c r="BH1074" s="172"/>
      <c r="BI1074" s="172"/>
      <c r="BJ1074" s="172"/>
      <c r="BK1074" s="172"/>
      <c r="BL1074" s="172"/>
      <c r="BM1074" s="172"/>
      <c r="BN1074" s="172"/>
      <c r="BO1074" s="172"/>
      <c r="BP1074" s="172"/>
    </row>
    <row r="1075" spans="1:68" s="555" customFormat="1" ht="409.6">
      <c r="A1075" s="172"/>
      <c r="E1075" s="556"/>
      <c r="F1075" s="1334"/>
      <c r="I1075" s="382"/>
      <c r="J1075" s="172"/>
      <c r="K1075" s="1189"/>
      <c r="P1075" s="643"/>
      <c r="AT1075" s="172"/>
      <c r="AU1075" s="172"/>
      <c r="AV1075" s="172"/>
      <c r="AW1075" s="172"/>
      <c r="AX1075" s="172"/>
      <c r="AY1075" s="172"/>
      <c r="AZ1075" s="172"/>
      <c r="BA1075" s="172"/>
      <c r="BB1075" s="172"/>
      <c r="BC1075" s="172"/>
      <c r="BD1075" s="172"/>
      <c r="BE1075" s="172"/>
      <c r="BF1075" s="172"/>
      <c r="BG1075" s="172"/>
      <c r="BH1075" s="172"/>
      <c r="BI1075" s="172"/>
      <c r="BJ1075" s="172"/>
      <c r="BK1075" s="172"/>
      <c r="BL1075" s="172"/>
      <c r="BM1075" s="172"/>
      <c r="BN1075" s="172"/>
      <c r="BO1075" s="172"/>
      <c r="BP1075" s="172"/>
    </row>
    <row r="1076" spans="1:68" s="555" customFormat="1" ht="409.6">
      <c r="A1076" s="172"/>
      <c r="E1076" s="556"/>
      <c r="F1076" s="1334"/>
      <c r="I1076" s="382"/>
      <c r="J1076" s="172"/>
      <c r="K1076" s="1189"/>
      <c r="P1076" s="643"/>
      <c r="AT1076" s="172"/>
      <c r="AU1076" s="172"/>
      <c r="AV1076" s="172"/>
      <c r="AW1076" s="172"/>
      <c r="AX1076" s="172"/>
      <c r="AY1076" s="172"/>
      <c r="AZ1076" s="172"/>
      <c r="BA1076" s="172"/>
      <c r="BB1076" s="172"/>
      <c r="BC1076" s="172"/>
      <c r="BD1076" s="172"/>
      <c r="BE1076" s="172"/>
      <c r="BF1076" s="172"/>
      <c r="BG1076" s="172"/>
      <c r="BH1076" s="172"/>
      <c r="BI1076" s="172"/>
      <c r="BJ1076" s="172"/>
      <c r="BK1076" s="172"/>
      <c r="BL1076" s="172"/>
      <c r="BM1076" s="172"/>
      <c r="BN1076" s="172"/>
      <c r="BO1076" s="172"/>
      <c r="BP1076" s="172"/>
    </row>
    <row r="1077" spans="1:68" s="555" customFormat="1" ht="409.6">
      <c r="A1077" s="172"/>
      <c r="E1077" s="556"/>
      <c r="F1077" s="1334"/>
      <c r="I1077" s="382"/>
      <c r="J1077" s="172"/>
      <c r="K1077" s="1189"/>
      <c r="P1077" s="643"/>
      <c r="AT1077" s="172"/>
      <c r="AU1077" s="172"/>
      <c r="AV1077" s="172"/>
      <c r="AW1077" s="172"/>
      <c r="AX1077" s="172"/>
      <c r="AY1077" s="172"/>
      <c r="AZ1077" s="172"/>
      <c r="BA1077" s="172"/>
      <c r="BB1077" s="172"/>
      <c r="BC1077" s="172"/>
      <c r="BD1077" s="172"/>
      <c r="BE1077" s="172"/>
      <c r="BF1077" s="172"/>
      <c r="BG1077" s="172"/>
      <c r="BH1077" s="172"/>
      <c r="BI1077" s="172"/>
      <c r="BJ1077" s="172"/>
      <c r="BK1077" s="172"/>
      <c r="BL1077" s="172"/>
      <c r="BM1077" s="172"/>
      <c r="BN1077" s="172"/>
      <c r="BO1077" s="172"/>
      <c r="BP1077" s="172"/>
    </row>
    <row r="1078" spans="1:68" s="555" customFormat="1" ht="409.6">
      <c r="A1078" s="172"/>
      <c r="E1078" s="556"/>
      <c r="F1078" s="1334"/>
      <c r="I1078" s="382"/>
      <c r="J1078" s="172"/>
      <c r="K1078" s="1189"/>
      <c r="P1078" s="643"/>
      <c r="AT1078" s="172"/>
      <c r="AU1078" s="172"/>
      <c r="AV1078" s="172"/>
      <c r="AW1078" s="172"/>
      <c r="AX1078" s="172"/>
      <c r="AY1078" s="172"/>
      <c r="AZ1078" s="172"/>
      <c r="BA1078" s="172"/>
      <c r="BB1078" s="172"/>
      <c r="BC1078" s="172"/>
      <c r="BD1078" s="172"/>
      <c r="BE1078" s="172"/>
      <c r="BF1078" s="172"/>
      <c r="BG1078" s="172"/>
      <c r="BH1078" s="172"/>
      <c r="BI1078" s="172"/>
      <c r="BJ1078" s="172"/>
      <c r="BK1078" s="172"/>
      <c r="BL1078" s="172"/>
      <c r="BM1078" s="172"/>
      <c r="BN1078" s="172"/>
      <c r="BO1078" s="172"/>
      <c r="BP1078" s="172"/>
    </row>
    <row r="1079" spans="1:68" s="555" customFormat="1" ht="409.6">
      <c r="A1079" s="172"/>
      <c r="E1079" s="556"/>
      <c r="F1079" s="1334"/>
      <c r="I1079" s="382"/>
      <c r="J1079" s="172"/>
      <c r="K1079" s="1189"/>
      <c r="P1079" s="643"/>
      <c r="AT1079" s="172"/>
      <c r="AU1079" s="172"/>
      <c r="AV1079" s="172"/>
      <c r="AW1079" s="172"/>
      <c r="AX1079" s="172"/>
      <c r="AY1079" s="172"/>
      <c r="AZ1079" s="172"/>
      <c r="BA1079" s="172"/>
      <c r="BB1079" s="172"/>
      <c r="BC1079" s="172"/>
      <c r="BD1079" s="172"/>
      <c r="BE1079" s="172"/>
      <c r="BF1079" s="172"/>
      <c r="BG1079" s="172"/>
      <c r="BH1079" s="172"/>
      <c r="BI1079" s="172"/>
      <c r="BJ1079" s="172"/>
      <c r="BK1079" s="172"/>
      <c r="BL1079" s="172"/>
      <c r="BM1079" s="172"/>
      <c r="BN1079" s="172"/>
      <c r="BO1079" s="172"/>
      <c r="BP1079" s="172"/>
    </row>
    <row r="1080" spans="1:68" s="555" customFormat="1" ht="409.6">
      <c r="A1080" s="172"/>
      <c r="E1080" s="556"/>
      <c r="F1080" s="1334"/>
      <c r="I1080" s="382"/>
      <c r="J1080" s="172"/>
      <c r="K1080" s="1189"/>
      <c r="P1080" s="643"/>
      <c r="AT1080" s="172"/>
      <c r="AU1080" s="172"/>
      <c r="AV1080" s="172"/>
      <c r="AW1080" s="172"/>
      <c r="AX1080" s="172"/>
      <c r="AY1080" s="172"/>
      <c r="AZ1080" s="172"/>
      <c r="BA1080" s="172"/>
      <c r="BB1080" s="172"/>
      <c r="BC1080" s="172"/>
      <c r="BD1080" s="172"/>
      <c r="BE1080" s="172"/>
      <c r="BF1080" s="172"/>
      <c r="BG1080" s="172"/>
      <c r="BH1080" s="172"/>
      <c r="BI1080" s="172"/>
      <c r="BJ1080" s="172"/>
      <c r="BK1080" s="172"/>
      <c r="BL1080" s="172"/>
      <c r="BM1080" s="172"/>
      <c r="BN1080" s="172"/>
      <c r="BO1080" s="172"/>
      <c r="BP1080" s="172"/>
    </row>
    <row r="1081" spans="1:68" s="555" customFormat="1" ht="409.6">
      <c r="A1081" s="172"/>
      <c r="E1081" s="556"/>
      <c r="F1081" s="1334"/>
      <c r="I1081" s="382"/>
      <c r="J1081" s="172"/>
      <c r="K1081" s="1189"/>
      <c r="P1081" s="643"/>
      <c r="AT1081" s="172"/>
      <c r="AU1081" s="172"/>
      <c r="AV1081" s="172"/>
      <c r="AW1081" s="172"/>
      <c r="AX1081" s="172"/>
      <c r="AY1081" s="172"/>
      <c r="AZ1081" s="172"/>
      <c r="BA1081" s="172"/>
      <c r="BB1081" s="172"/>
      <c r="BC1081" s="172"/>
      <c r="BD1081" s="172"/>
      <c r="BE1081" s="172"/>
      <c r="BF1081" s="172"/>
      <c r="BG1081" s="172"/>
      <c r="BH1081" s="172"/>
      <c r="BI1081" s="172"/>
      <c r="BJ1081" s="172"/>
      <c r="BK1081" s="172"/>
      <c r="BL1081" s="172"/>
      <c r="BM1081" s="172"/>
      <c r="BN1081" s="172"/>
      <c r="BO1081" s="172"/>
      <c r="BP1081" s="172"/>
    </row>
    <row r="1082" spans="1:68" s="555" customFormat="1" ht="409.6">
      <c r="A1082" s="172"/>
      <c r="E1082" s="556"/>
      <c r="F1082" s="1334"/>
      <c r="I1082" s="382"/>
      <c r="J1082" s="172"/>
      <c r="K1082" s="1189"/>
      <c r="P1082" s="643"/>
      <c r="AT1082" s="172"/>
      <c r="AU1082" s="172"/>
      <c r="AV1082" s="172"/>
      <c r="AW1082" s="172"/>
      <c r="AX1082" s="172"/>
      <c r="AY1082" s="172"/>
      <c r="AZ1082" s="172"/>
      <c r="BA1082" s="172"/>
      <c r="BB1082" s="172"/>
      <c r="BC1082" s="172"/>
      <c r="BD1082" s="172"/>
      <c r="BE1082" s="172"/>
      <c r="BF1082" s="172"/>
      <c r="BG1082" s="172"/>
      <c r="BH1082" s="172"/>
      <c r="BI1082" s="172"/>
      <c r="BJ1082" s="172"/>
      <c r="BK1082" s="172"/>
      <c r="BL1082" s="172"/>
      <c r="BM1082" s="172"/>
      <c r="BN1082" s="172"/>
      <c r="BO1082" s="172"/>
      <c r="BP1082" s="172"/>
    </row>
    <row r="1083" spans="1:68" s="555" customFormat="1" ht="409.6">
      <c r="A1083" s="172"/>
      <c r="E1083" s="556"/>
      <c r="F1083" s="1334"/>
      <c r="I1083" s="382"/>
      <c r="J1083" s="172"/>
      <c r="K1083" s="1189"/>
      <c r="P1083" s="643"/>
      <c r="AT1083" s="172"/>
      <c r="AU1083" s="172"/>
      <c r="AV1083" s="172"/>
      <c r="AW1083" s="172"/>
      <c r="AX1083" s="172"/>
      <c r="AY1083" s="172"/>
      <c r="AZ1083" s="172"/>
      <c r="BA1083" s="172"/>
      <c r="BB1083" s="172"/>
      <c r="BC1083" s="172"/>
      <c r="BD1083" s="172"/>
      <c r="BE1083" s="172"/>
      <c r="BF1083" s="172"/>
      <c r="BG1083" s="172"/>
      <c r="BH1083" s="172"/>
      <c r="BI1083" s="172"/>
      <c r="BJ1083" s="172"/>
      <c r="BK1083" s="172"/>
      <c r="BL1083" s="172"/>
      <c r="BM1083" s="172"/>
      <c r="BN1083" s="172"/>
      <c r="BO1083" s="172"/>
      <c r="BP1083" s="172"/>
    </row>
    <row r="1084" spans="1:68" s="555" customFormat="1" ht="409.6">
      <c r="A1084" s="172"/>
      <c r="E1084" s="556"/>
      <c r="F1084" s="1334"/>
      <c r="I1084" s="382"/>
      <c r="J1084" s="172"/>
      <c r="K1084" s="1189"/>
      <c r="P1084" s="643"/>
      <c r="AT1084" s="172"/>
      <c r="AU1084" s="172"/>
      <c r="AV1084" s="172"/>
      <c r="AW1084" s="172"/>
      <c r="AX1084" s="172"/>
      <c r="AY1084" s="172"/>
      <c r="AZ1084" s="172"/>
      <c r="BA1084" s="172"/>
      <c r="BB1084" s="172"/>
      <c r="BC1084" s="172"/>
      <c r="BD1084" s="172"/>
      <c r="BE1084" s="172"/>
      <c r="BF1084" s="172"/>
      <c r="BG1084" s="172"/>
      <c r="BH1084" s="172"/>
      <c r="BI1084" s="172"/>
      <c r="BJ1084" s="172"/>
      <c r="BK1084" s="172"/>
      <c r="BL1084" s="172"/>
      <c r="BM1084" s="172"/>
      <c r="BN1084" s="172"/>
      <c r="BO1084" s="172"/>
      <c r="BP1084" s="172"/>
    </row>
    <row r="1085" spans="1:68" s="555" customFormat="1" ht="409.6">
      <c r="A1085" s="172"/>
      <c r="E1085" s="556"/>
      <c r="F1085" s="1334"/>
      <c r="I1085" s="382"/>
      <c r="J1085" s="172"/>
      <c r="K1085" s="1189"/>
      <c r="P1085" s="643"/>
      <c r="AT1085" s="172"/>
      <c r="AU1085" s="172"/>
      <c r="AV1085" s="172"/>
      <c r="AW1085" s="172"/>
      <c r="AX1085" s="172"/>
      <c r="AY1085" s="172"/>
      <c r="AZ1085" s="172"/>
      <c r="BA1085" s="172"/>
      <c r="BB1085" s="172"/>
      <c r="BC1085" s="172"/>
      <c r="BD1085" s="172"/>
      <c r="BE1085" s="172"/>
      <c r="BF1085" s="172"/>
      <c r="BG1085" s="172"/>
      <c r="BH1085" s="172"/>
      <c r="BI1085" s="172"/>
      <c r="BJ1085" s="172"/>
      <c r="BK1085" s="172"/>
      <c r="BL1085" s="172"/>
      <c r="BM1085" s="172"/>
      <c r="BN1085" s="172"/>
      <c r="BO1085" s="172"/>
      <c r="BP1085" s="172"/>
    </row>
    <row r="1086" spans="1:68" s="555" customFormat="1" ht="409.6">
      <c r="A1086" s="172"/>
      <c r="E1086" s="556"/>
      <c r="F1086" s="1334"/>
      <c r="I1086" s="382"/>
      <c r="J1086" s="172"/>
      <c r="K1086" s="1189"/>
      <c r="P1086" s="643"/>
      <c r="AT1086" s="172"/>
      <c r="AU1086" s="172"/>
      <c r="AV1086" s="172"/>
      <c r="AW1086" s="172"/>
      <c r="AX1086" s="172"/>
      <c r="AY1086" s="172"/>
      <c r="AZ1086" s="172"/>
      <c r="BA1086" s="172"/>
      <c r="BB1086" s="172"/>
      <c r="BC1086" s="172"/>
      <c r="BD1086" s="172"/>
      <c r="BE1086" s="172"/>
      <c r="BF1086" s="172"/>
      <c r="BG1086" s="172"/>
      <c r="BH1086" s="172"/>
      <c r="BI1086" s="172"/>
      <c r="BJ1086" s="172"/>
      <c r="BK1086" s="172"/>
      <c r="BL1086" s="172"/>
      <c r="BM1086" s="172"/>
      <c r="BN1086" s="172"/>
      <c r="BO1086" s="172"/>
      <c r="BP1086" s="172"/>
    </row>
    <row r="1087" spans="1:68" s="555" customFormat="1" ht="409.6">
      <c r="A1087" s="172"/>
      <c r="E1087" s="556"/>
      <c r="F1087" s="1334"/>
      <c r="I1087" s="382"/>
      <c r="J1087" s="172"/>
      <c r="K1087" s="1189"/>
      <c r="P1087" s="643"/>
      <c r="AT1087" s="172"/>
      <c r="AU1087" s="172"/>
      <c r="AV1087" s="172"/>
      <c r="AW1087" s="172"/>
      <c r="AX1087" s="172"/>
      <c r="AY1087" s="172"/>
      <c r="AZ1087" s="172"/>
      <c r="BA1087" s="172"/>
      <c r="BB1087" s="172"/>
      <c r="BC1087" s="172"/>
      <c r="BD1087" s="172"/>
      <c r="BE1087" s="172"/>
      <c r="BF1087" s="172"/>
      <c r="BG1087" s="172"/>
      <c r="BH1087" s="172"/>
      <c r="BI1087" s="172"/>
      <c r="BJ1087" s="172"/>
      <c r="BK1087" s="172"/>
      <c r="BL1087" s="172"/>
      <c r="BM1087" s="172"/>
      <c r="BN1087" s="172"/>
      <c r="BO1087" s="172"/>
      <c r="BP1087" s="172"/>
    </row>
    <row r="1088" spans="1:68" s="555" customFormat="1" ht="409.6">
      <c r="A1088" s="172"/>
      <c r="E1088" s="556"/>
      <c r="F1088" s="1334"/>
      <c r="I1088" s="382"/>
      <c r="J1088" s="172"/>
      <c r="K1088" s="1189"/>
      <c r="P1088" s="643"/>
      <c r="AT1088" s="172"/>
      <c r="AU1088" s="172"/>
      <c r="AV1088" s="172"/>
      <c r="AW1088" s="172"/>
      <c r="AX1088" s="172"/>
      <c r="AY1088" s="172"/>
      <c r="AZ1088" s="172"/>
      <c r="BA1088" s="172"/>
      <c r="BB1088" s="172"/>
      <c r="BC1088" s="172"/>
      <c r="BD1088" s="172"/>
      <c r="BE1088" s="172"/>
      <c r="BF1088" s="172"/>
      <c r="BG1088" s="172"/>
      <c r="BH1088" s="172"/>
      <c r="BI1088" s="172"/>
      <c r="BJ1088" s="172"/>
      <c r="BK1088" s="172"/>
      <c r="BL1088" s="172"/>
      <c r="BM1088" s="172"/>
      <c r="BN1088" s="172"/>
      <c r="BO1088" s="172"/>
      <c r="BP1088" s="172"/>
    </row>
    <row r="1089" spans="1:68" s="555" customFormat="1" ht="409.6">
      <c r="A1089" s="172"/>
      <c r="E1089" s="556"/>
      <c r="F1089" s="1334"/>
      <c r="I1089" s="382"/>
      <c r="J1089" s="172"/>
      <c r="K1089" s="1189"/>
      <c r="P1089" s="643"/>
      <c r="AT1089" s="172"/>
      <c r="AU1089" s="172"/>
      <c r="AV1089" s="172"/>
      <c r="AW1089" s="172"/>
      <c r="AX1089" s="172"/>
      <c r="AY1089" s="172"/>
      <c r="AZ1089" s="172"/>
      <c r="BA1089" s="172"/>
      <c r="BB1089" s="172"/>
      <c r="BC1089" s="172"/>
      <c r="BD1089" s="172"/>
      <c r="BE1089" s="172"/>
      <c r="BF1089" s="172"/>
      <c r="BG1089" s="172"/>
      <c r="BH1089" s="172"/>
      <c r="BI1089" s="172"/>
      <c r="BJ1089" s="172"/>
      <c r="BK1089" s="172"/>
      <c r="BL1089" s="172"/>
      <c r="BM1089" s="172"/>
      <c r="BN1089" s="172"/>
      <c r="BO1089" s="172"/>
      <c r="BP1089" s="172"/>
    </row>
    <row r="1090" spans="1:68" s="555" customFormat="1" ht="409.6">
      <c r="A1090" s="172"/>
      <c r="E1090" s="556"/>
      <c r="F1090" s="1334"/>
      <c r="I1090" s="382"/>
      <c r="J1090" s="172"/>
      <c r="K1090" s="1189"/>
      <c r="P1090" s="643"/>
      <c r="AT1090" s="172"/>
      <c r="AU1090" s="172"/>
      <c r="AV1090" s="172"/>
      <c r="AW1090" s="172"/>
      <c r="AX1090" s="172"/>
      <c r="AY1090" s="172"/>
      <c r="AZ1090" s="172"/>
      <c r="BA1090" s="172"/>
      <c r="BB1090" s="172"/>
      <c r="BC1090" s="172"/>
      <c r="BD1090" s="172"/>
      <c r="BE1090" s="172"/>
      <c r="BF1090" s="172"/>
      <c r="BG1090" s="172"/>
      <c r="BH1090" s="172"/>
      <c r="BI1090" s="172"/>
      <c r="BJ1090" s="172"/>
      <c r="BK1090" s="172"/>
      <c r="BL1090" s="172"/>
      <c r="BM1090" s="172"/>
      <c r="BN1090" s="172"/>
      <c r="BO1090" s="172"/>
      <c r="BP1090" s="172"/>
    </row>
    <row r="1091" spans="1:68" s="555" customFormat="1" ht="409.6">
      <c r="A1091" s="172"/>
      <c r="E1091" s="556"/>
      <c r="F1091" s="1334"/>
      <c r="I1091" s="382"/>
      <c r="J1091" s="172"/>
      <c r="K1091" s="1189"/>
      <c r="P1091" s="643"/>
      <c r="AT1091" s="172"/>
      <c r="AU1091" s="172"/>
      <c r="AV1091" s="172"/>
      <c r="AW1091" s="172"/>
      <c r="AX1091" s="172"/>
      <c r="AY1091" s="172"/>
      <c r="AZ1091" s="172"/>
      <c r="BA1091" s="172"/>
      <c r="BB1091" s="172"/>
      <c r="BC1091" s="172"/>
      <c r="BD1091" s="172"/>
      <c r="BE1091" s="172"/>
      <c r="BF1091" s="172"/>
      <c r="BG1091" s="172"/>
      <c r="BH1091" s="172"/>
      <c r="BI1091" s="172"/>
      <c r="BJ1091" s="172"/>
      <c r="BK1091" s="172"/>
      <c r="BL1091" s="172"/>
      <c r="BM1091" s="172"/>
      <c r="BN1091" s="172"/>
      <c r="BO1091" s="172"/>
      <c r="BP1091" s="172"/>
    </row>
    <row r="1092" spans="1:68" s="555" customFormat="1" ht="409.6">
      <c r="A1092" s="172"/>
      <c r="E1092" s="556"/>
      <c r="F1092" s="1334"/>
      <c r="I1092" s="382"/>
      <c r="J1092" s="172"/>
      <c r="K1092" s="1189"/>
      <c r="P1092" s="643"/>
      <c r="AT1092" s="172"/>
      <c r="AU1092" s="172"/>
      <c r="AV1092" s="172"/>
      <c r="AW1092" s="172"/>
      <c r="AX1092" s="172"/>
      <c r="AY1092" s="172"/>
      <c r="AZ1092" s="172"/>
      <c r="BA1092" s="172"/>
      <c r="BB1092" s="172"/>
      <c r="BC1092" s="172"/>
      <c r="BD1092" s="172"/>
      <c r="BE1092" s="172"/>
      <c r="BF1092" s="172"/>
      <c r="BG1092" s="172"/>
      <c r="BH1092" s="172"/>
      <c r="BI1092" s="172"/>
      <c r="BJ1092" s="172"/>
      <c r="BK1092" s="172"/>
      <c r="BL1092" s="172"/>
      <c r="BM1092" s="172"/>
      <c r="BN1092" s="172"/>
      <c r="BO1092" s="172"/>
      <c r="BP1092" s="172"/>
    </row>
    <row r="1093" spans="1:68" s="555" customFormat="1" ht="409.6">
      <c r="A1093" s="172"/>
      <c r="E1093" s="556"/>
      <c r="F1093" s="1334"/>
      <c r="I1093" s="382"/>
      <c r="J1093" s="172"/>
      <c r="K1093" s="1189"/>
      <c r="P1093" s="643"/>
      <c r="AT1093" s="172"/>
      <c r="AU1093" s="172"/>
      <c r="AV1093" s="172"/>
      <c r="AW1093" s="172"/>
      <c r="AX1093" s="172"/>
      <c r="AY1093" s="172"/>
      <c r="AZ1093" s="172"/>
      <c r="BA1093" s="172"/>
      <c r="BB1093" s="172"/>
      <c r="BC1093" s="172"/>
      <c r="BD1093" s="172"/>
      <c r="BE1093" s="172"/>
      <c r="BF1093" s="172"/>
      <c r="BG1093" s="172"/>
      <c r="BH1093" s="172"/>
      <c r="BI1093" s="172"/>
      <c r="BJ1093" s="172"/>
      <c r="BK1093" s="172"/>
      <c r="BL1093" s="172"/>
      <c r="BM1093" s="172"/>
      <c r="BN1093" s="172"/>
      <c r="BO1093" s="172"/>
      <c r="BP1093" s="172"/>
    </row>
    <row r="1094" spans="1:68" s="555" customFormat="1" ht="409.6">
      <c r="A1094" s="172"/>
      <c r="E1094" s="556"/>
      <c r="F1094" s="1334"/>
      <c r="I1094" s="382"/>
      <c r="J1094" s="172"/>
      <c r="K1094" s="1189"/>
      <c r="P1094" s="643"/>
      <c r="AT1094" s="172"/>
      <c r="AU1094" s="172"/>
      <c r="AV1094" s="172"/>
      <c r="AW1094" s="172"/>
      <c r="AX1094" s="172"/>
      <c r="AY1094" s="172"/>
      <c r="AZ1094" s="172"/>
      <c r="BA1094" s="172"/>
      <c r="BB1094" s="172"/>
      <c r="BC1094" s="172"/>
      <c r="BD1094" s="172"/>
      <c r="BE1094" s="172"/>
      <c r="BF1094" s="172"/>
      <c r="BG1094" s="172"/>
      <c r="BH1094" s="172"/>
      <c r="BI1094" s="172"/>
      <c r="BJ1094" s="172"/>
      <c r="BK1094" s="172"/>
      <c r="BL1094" s="172"/>
      <c r="BM1094" s="172"/>
      <c r="BN1094" s="172"/>
      <c r="BO1094" s="172"/>
      <c r="BP1094" s="172"/>
    </row>
    <row r="1095" spans="1:68" s="555" customFormat="1" ht="409.6">
      <c r="A1095" s="172"/>
      <c r="E1095" s="556"/>
      <c r="F1095" s="1334"/>
      <c r="I1095" s="382"/>
      <c r="J1095" s="172"/>
      <c r="K1095" s="1189"/>
      <c r="P1095" s="643"/>
      <c r="AT1095" s="172"/>
      <c r="AU1095" s="172"/>
      <c r="AV1095" s="172"/>
      <c r="AW1095" s="172"/>
      <c r="AX1095" s="172"/>
      <c r="AY1095" s="172"/>
      <c r="AZ1095" s="172"/>
      <c r="BA1095" s="172"/>
      <c r="BB1095" s="172"/>
      <c r="BC1095" s="172"/>
      <c r="BD1095" s="172"/>
      <c r="BE1095" s="172"/>
      <c r="BF1095" s="172"/>
      <c r="BG1095" s="172"/>
      <c r="BH1095" s="172"/>
      <c r="BI1095" s="172"/>
      <c r="BJ1095" s="172"/>
      <c r="BK1095" s="172"/>
      <c r="BL1095" s="172"/>
      <c r="BM1095" s="172"/>
      <c r="BN1095" s="172"/>
      <c r="BO1095" s="172"/>
      <c r="BP1095" s="172"/>
    </row>
    <row r="1096" spans="1:68" s="555" customFormat="1" ht="409.6">
      <c r="A1096" s="172"/>
      <c r="E1096" s="556"/>
      <c r="F1096" s="1334"/>
      <c r="I1096" s="382"/>
      <c r="J1096" s="172"/>
      <c r="K1096" s="1189"/>
      <c r="P1096" s="643"/>
      <c r="AT1096" s="172"/>
      <c r="AU1096" s="172"/>
      <c r="AV1096" s="172"/>
      <c r="AW1096" s="172"/>
      <c r="AX1096" s="172"/>
      <c r="AY1096" s="172"/>
      <c r="AZ1096" s="172"/>
      <c r="BA1096" s="172"/>
      <c r="BB1096" s="172"/>
      <c r="BC1096" s="172"/>
      <c r="BD1096" s="172"/>
      <c r="BE1096" s="172"/>
      <c r="BF1096" s="172"/>
      <c r="BG1096" s="172"/>
      <c r="BH1096" s="172"/>
      <c r="BI1096" s="172"/>
      <c r="BJ1096" s="172"/>
      <c r="BK1096" s="172"/>
      <c r="BL1096" s="172"/>
      <c r="BM1096" s="172"/>
      <c r="BN1096" s="172"/>
      <c r="BO1096" s="172"/>
      <c r="BP1096" s="172"/>
    </row>
    <row r="1097" spans="1:68" s="555" customFormat="1" ht="409.6">
      <c r="A1097" s="172"/>
      <c r="E1097" s="556"/>
      <c r="F1097" s="1334"/>
      <c r="I1097" s="382"/>
      <c r="J1097" s="172"/>
      <c r="K1097" s="1189"/>
      <c r="P1097" s="643"/>
      <c r="AT1097" s="172"/>
      <c r="AU1097" s="172"/>
      <c r="AV1097" s="172"/>
      <c r="AW1097" s="172"/>
      <c r="AX1097" s="172"/>
      <c r="AY1097" s="172"/>
      <c r="AZ1097" s="172"/>
      <c r="BA1097" s="172"/>
      <c r="BB1097" s="172"/>
      <c r="BC1097" s="172"/>
      <c r="BD1097" s="172"/>
      <c r="BE1097" s="172"/>
      <c r="BF1097" s="172"/>
      <c r="BG1097" s="172"/>
      <c r="BH1097" s="172"/>
      <c r="BI1097" s="172"/>
      <c r="BJ1097" s="172"/>
      <c r="BK1097" s="172"/>
      <c r="BL1097" s="172"/>
      <c r="BM1097" s="172"/>
      <c r="BN1097" s="172"/>
      <c r="BO1097" s="172"/>
      <c r="BP1097" s="172"/>
    </row>
    <row r="1098" spans="1:68" s="555" customFormat="1" ht="409.6">
      <c r="A1098" s="172"/>
      <c r="E1098" s="556"/>
      <c r="F1098" s="1334"/>
      <c r="I1098" s="382"/>
      <c r="J1098" s="172"/>
      <c r="K1098" s="1189"/>
      <c r="P1098" s="643"/>
      <c r="AT1098" s="172"/>
      <c r="AU1098" s="172"/>
      <c r="AV1098" s="172"/>
      <c r="AW1098" s="172"/>
      <c r="AX1098" s="172"/>
      <c r="AY1098" s="172"/>
      <c r="AZ1098" s="172"/>
      <c r="BA1098" s="172"/>
      <c r="BB1098" s="172"/>
      <c r="BC1098" s="172"/>
      <c r="BD1098" s="172"/>
      <c r="BE1098" s="172"/>
      <c r="BF1098" s="172"/>
      <c r="BG1098" s="172"/>
      <c r="BH1098" s="172"/>
      <c r="BI1098" s="172"/>
      <c r="BJ1098" s="172"/>
      <c r="BK1098" s="172"/>
      <c r="BL1098" s="172"/>
      <c r="BM1098" s="172"/>
      <c r="BN1098" s="172"/>
      <c r="BO1098" s="172"/>
      <c r="BP1098" s="172"/>
    </row>
    <row r="1099" spans="1:68" s="555" customFormat="1" ht="409.6">
      <c r="A1099" s="172"/>
      <c r="E1099" s="556"/>
      <c r="F1099" s="1334"/>
      <c r="I1099" s="382"/>
      <c r="J1099" s="172"/>
      <c r="K1099" s="1189"/>
      <c r="P1099" s="643"/>
      <c r="AT1099" s="172"/>
      <c r="AU1099" s="172"/>
      <c r="AV1099" s="172"/>
      <c r="AW1099" s="172"/>
      <c r="AX1099" s="172"/>
      <c r="AY1099" s="172"/>
      <c r="AZ1099" s="172"/>
      <c r="BA1099" s="172"/>
      <c r="BB1099" s="172"/>
      <c r="BC1099" s="172"/>
      <c r="BD1099" s="172"/>
      <c r="BE1099" s="172"/>
      <c r="BF1099" s="172"/>
      <c r="BG1099" s="172"/>
      <c r="BH1099" s="172"/>
      <c r="BI1099" s="172"/>
      <c r="BJ1099" s="172"/>
      <c r="BK1099" s="172"/>
      <c r="BL1099" s="172"/>
      <c r="BM1099" s="172"/>
      <c r="BN1099" s="172"/>
      <c r="BO1099" s="172"/>
      <c r="BP1099" s="172"/>
    </row>
    <row r="1100" spans="1:68" s="555" customFormat="1" ht="409.6">
      <c r="A1100" s="172"/>
      <c r="E1100" s="556"/>
      <c r="F1100" s="1334"/>
      <c r="I1100" s="382"/>
      <c r="J1100" s="172"/>
      <c r="K1100" s="1189"/>
      <c r="P1100" s="643"/>
      <c r="AT1100" s="172"/>
      <c r="AU1100" s="172"/>
      <c r="AV1100" s="172"/>
      <c r="AW1100" s="172"/>
      <c r="AX1100" s="172"/>
      <c r="AY1100" s="172"/>
      <c r="AZ1100" s="172"/>
      <c r="BA1100" s="172"/>
      <c r="BB1100" s="172"/>
      <c r="BC1100" s="172"/>
      <c r="BD1100" s="172"/>
      <c r="BE1100" s="172"/>
      <c r="BF1100" s="172"/>
      <c r="BG1100" s="172"/>
      <c r="BH1100" s="172"/>
      <c r="BI1100" s="172"/>
      <c r="BJ1100" s="172"/>
      <c r="BK1100" s="172"/>
      <c r="BL1100" s="172"/>
      <c r="BM1100" s="172"/>
      <c r="BN1100" s="172"/>
      <c r="BO1100" s="172"/>
      <c r="BP1100" s="172"/>
    </row>
    <row r="1101" spans="1:68" s="555" customFormat="1" ht="409.6">
      <c r="A1101" s="172"/>
      <c r="E1101" s="556"/>
      <c r="F1101" s="1334"/>
      <c r="I1101" s="382"/>
      <c r="J1101" s="172"/>
      <c r="K1101" s="1189"/>
      <c r="P1101" s="643"/>
      <c r="AT1101" s="172"/>
      <c r="AU1101" s="172"/>
      <c r="AV1101" s="172"/>
      <c r="AW1101" s="172"/>
      <c r="AX1101" s="172"/>
      <c r="AY1101" s="172"/>
      <c r="AZ1101" s="172"/>
      <c r="BA1101" s="172"/>
      <c r="BB1101" s="172"/>
      <c r="BC1101" s="172"/>
      <c r="BD1101" s="172"/>
      <c r="BE1101" s="172"/>
      <c r="BF1101" s="172"/>
      <c r="BG1101" s="172"/>
      <c r="BH1101" s="172"/>
      <c r="BI1101" s="172"/>
      <c r="BJ1101" s="172"/>
      <c r="BK1101" s="172"/>
      <c r="BL1101" s="172"/>
      <c r="BM1101" s="172"/>
      <c r="BN1101" s="172"/>
      <c r="BO1101" s="172"/>
      <c r="BP1101" s="172"/>
    </row>
    <row r="1102" spans="1:68" s="555" customFormat="1" ht="409.6">
      <c r="A1102" s="172"/>
      <c r="E1102" s="556"/>
      <c r="F1102" s="1334"/>
      <c r="I1102" s="382"/>
      <c r="J1102" s="172"/>
      <c r="K1102" s="1189"/>
      <c r="P1102" s="643"/>
      <c r="AT1102" s="172"/>
      <c r="AU1102" s="172"/>
      <c r="AV1102" s="172"/>
      <c r="AW1102" s="172"/>
      <c r="AX1102" s="172"/>
      <c r="AY1102" s="172"/>
      <c r="AZ1102" s="172"/>
      <c r="BA1102" s="172"/>
      <c r="BB1102" s="172"/>
      <c r="BC1102" s="172"/>
      <c r="BD1102" s="172"/>
      <c r="BE1102" s="172"/>
      <c r="BF1102" s="172"/>
      <c r="BG1102" s="172"/>
      <c r="BH1102" s="172"/>
      <c r="BI1102" s="172"/>
      <c r="BJ1102" s="172"/>
      <c r="BK1102" s="172"/>
      <c r="BL1102" s="172"/>
      <c r="BM1102" s="172"/>
      <c r="BN1102" s="172"/>
      <c r="BO1102" s="172"/>
      <c r="BP1102" s="172"/>
    </row>
    <row r="1103" spans="1:68" s="555" customFormat="1" ht="409.6">
      <c r="A1103" s="172"/>
      <c r="E1103" s="556"/>
      <c r="F1103" s="1334"/>
      <c r="I1103" s="382"/>
      <c r="J1103" s="172"/>
      <c r="K1103" s="1189"/>
      <c r="P1103" s="643"/>
      <c r="AT1103" s="172"/>
      <c r="AU1103" s="172"/>
      <c r="AV1103" s="172"/>
      <c r="AW1103" s="172"/>
      <c r="AX1103" s="172"/>
      <c r="AY1103" s="172"/>
      <c r="AZ1103" s="172"/>
      <c r="BA1103" s="172"/>
      <c r="BB1103" s="172"/>
      <c r="BC1103" s="172"/>
      <c r="BD1103" s="172"/>
      <c r="BE1103" s="172"/>
      <c r="BF1103" s="172"/>
      <c r="BG1103" s="172"/>
      <c r="BH1103" s="172"/>
      <c r="BI1103" s="172"/>
      <c r="BJ1103" s="172"/>
      <c r="BK1103" s="172"/>
      <c r="BL1103" s="172"/>
      <c r="BM1103" s="172"/>
      <c r="BN1103" s="172"/>
      <c r="BO1103" s="172"/>
      <c r="BP1103" s="172"/>
    </row>
    <row r="1104" spans="1:68" s="555" customFormat="1" ht="409.6">
      <c r="A1104" s="172"/>
      <c r="E1104" s="556"/>
      <c r="F1104" s="1334"/>
      <c r="I1104" s="382"/>
      <c r="J1104" s="172"/>
      <c r="K1104" s="1189"/>
      <c r="P1104" s="643"/>
      <c r="AT1104" s="172"/>
      <c r="AU1104" s="172"/>
      <c r="AV1104" s="172"/>
      <c r="AW1104" s="172"/>
      <c r="AX1104" s="172"/>
      <c r="AY1104" s="172"/>
      <c r="AZ1104" s="172"/>
      <c r="BA1104" s="172"/>
      <c r="BB1104" s="172"/>
      <c r="BC1104" s="172"/>
      <c r="BD1104" s="172"/>
      <c r="BE1104" s="172"/>
      <c r="BF1104" s="172"/>
      <c r="BG1104" s="172"/>
      <c r="BH1104" s="172"/>
      <c r="BI1104" s="172"/>
      <c r="BJ1104" s="172"/>
      <c r="BK1104" s="172"/>
      <c r="BL1104" s="172"/>
      <c r="BM1104" s="172"/>
      <c r="BN1104" s="172"/>
      <c r="BO1104" s="172"/>
      <c r="BP1104" s="172"/>
    </row>
    <row r="1105" spans="1:68" s="555" customFormat="1" ht="409.6">
      <c r="A1105" s="172"/>
      <c r="E1105" s="556"/>
      <c r="F1105" s="1334"/>
      <c r="I1105" s="382"/>
      <c r="J1105" s="172"/>
      <c r="K1105" s="1189"/>
      <c r="P1105" s="643"/>
      <c r="AT1105" s="172"/>
      <c r="AU1105" s="172"/>
      <c r="AV1105" s="172"/>
      <c r="AW1105" s="172"/>
      <c r="AX1105" s="172"/>
      <c r="AY1105" s="172"/>
      <c r="AZ1105" s="172"/>
      <c r="BA1105" s="172"/>
      <c r="BB1105" s="172"/>
      <c r="BC1105" s="172"/>
      <c r="BD1105" s="172"/>
      <c r="BE1105" s="172"/>
      <c r="BF1105" s="172"/>
      <c r="BG1105" s="172"/>
      <c r="BH1105" s="172"/>
      <c r="BI1105" s="172"/>
      <c r="BJ1105" s="172"/>
      <c r="BK1105" s="172"/>
      <c r="BL1105" s="172"/>
      <c r="BM1105" s="172"/>
      <c r="BN1105" s="172"/>
      <c r="BO1105" s="172"/>
      <c r="BP1105" s="172"/>
    </row>
    <row r="1106" spans="1:68" s="555" customFormat="1" ht="409.6">
      <c r="A1106" s="172"/>
      <c r="E1106" s="556"/>
      <c r="F1106" s="1334"/>
      <c r="I1106" s="382"/>
      <c r="J1106" s="172"/>
      <c r="K1106" s="1189"/>
      <c r="P1106" s="643"/>
      <c r="AT1106" s="172"/>
      <c r="AU1106" s="172"/>
      <c r="AV1106" s="172"/>
      <c r="AW1106" s="172"/>
      <c r="AX1106" s="172"/>
      <c r="AY1106" s="172"/>
      <c r="AZ1106" s="172"/>
      <c r="BA1106" s="172"/>
      <c r="BB1106" s="172"/>
      <c r="BC1106" s="172"/>
      <c r="BD1106" s="172"/>
      <c r="BE1106" s="172"/>
      <c r="BF1106" s="172"/>
      <c r="BG1106" s="172"/>
      <c r="BH1106" s="172"/>
      <c r="BI1106" s="172"/>
      <c r="BJ1106" s="172"/>
      <c r="BK1106" s="172"/>
      <c r="BL1106" s="172"/>
      <c r="BM1106" s="172"/>
      <c r="BN1106" s="172"/>
      <c r="BO1106" s="172"/>
      <c r="BP1106" s="172"/>
    </row>
    <row r="1107" spans="1:68" s="555" customFormat="1" ht="409.6">
      <c r="A1107" s="172"/>
      <c r="E1107" s="556"/>
      <c r="F1107" s="1334"/>
      <c r="I1107" s="382"/>
      <c r="J1107" s="172"/>
      <c r="K1107" s="1189"/>
      <c r="P1107" s="643"/>
      <c r="AT1107" s="172"/>
      <c r="AU1107" s="172"/>
      <c r="AV1107" s="172"/>
      <c r="AW1107" s="172"/>
      <c r="AX1107" s="172"/>
      <c r="AY1107" s="172"/>
      <c r="AZ1107" s="172"/>
      <c r="BA1107" s="172"/>
      <c r="BB1107" s="172"/>
      <c r="BC1107" s="172"/>
      <c r="BD1107" s="172"/>
      <c r="BE1107" s="172"/>
      <c r="BF1107" s="172"/>
      <c r="BG1107" s="172"/>
      <c r="BH1107" s="172"/>
      <c r="BI1107" s="172"/>
      <c r="BJ1107" s="172"/>
      <c r="BK1107" s="172"/>
      <c r="BL1107" s="172"/>
      <c r="BM1107" s="172"/>
      <c r="BN1107" s="172"/>
      <c r="BO1107" s="172"/>
      <c r="BP1107" s="172"/>
    </row>
    <row r="1108" spans="1:68" s="555" customFormat="1" ht="409.6">
      <c r="A1108" s="172"/>
      <c r="E1108" s="556"/>
      <c r="F1108" s="1334"/>
      <c r="I1108" s="382"/>
      <c r="J1108" s="172"/>
      <c r="K1108" s="1189"/>
      <c r="P1108" s="643"/>
      <c r="AT1108" s="172"/>
      <c r="AU1108" s="172"/>
      <c r="AV1108" s="172"/>
      <c r="AW1108" s="172"/>
      <c r="AX1108" s="172"/>
      <c r="AY1108" s="172"/>
      <c r="AZ1108" s="172"/>
      <c r="BA1108" s="172"/>
      <c r="BB1108" s="172"/>
      <c r="BC1108" s="172"/>
      <c r="BD1108" s="172"/>
      <c r="BE1108" s="172"/>
      <c r="BF1108" s="172"/>
      <c r="BG1108" s="172"/>
      <c r="BH1108" s="172"/>
      <c r="BI1108" s="172"/>
      <c r="BJ1108" s="172"/>
      <c r="BK1108" s="172"/>
      <c r="BL1108" s="172"/>
      <c r="BM1108" s="172"/>
      <c r="BN1108" s="172"/>
      <c r="BO1108" s="172"/>
      <c r="BP1108" s="172"/>
    </row>
    <row r="1109" spans="1:68" s="555" customFormat="1" ht="409.6">
      <c r="A1109" s="172"/>
      <c r="E1109" s="556"/>
      <c r="F1109" s="1334"/>
      <c r="I1109" s="382"/>
      <c r="J1109" s="172"/>
      <c r="K1109" s="1189"/>
      <c r="P1109" s="643"/>
      <c r="AT1109" s="172"/>
      <c r="AU1109" s="172"/>
      <c r="AV1109" s="172"/>
      <c r="AW1109" s="172"/>
      <c r="AX1109" s="172"/>
      <c r="AY1109" s="172"/>
      <c r="AZ1109" s="172"/>
      <c r="BA1109" s="172"/>
      <c r="BB1109" s="172"/>
      <c r="BC1109" s="172"/>
      <c r="BD1109" s="172"/>
      <c r="BE1109" s="172"/>
      <c r="BF1109" s="172"/>
      <c r="BG1109" s="172"/>
      <c r="BH1109" s="172"/>
      <c r="BI1109" s="172"/>
      <c r="BJ1109" s="172"/>
      <c r="BK1109" s="172"/>
      <c r="BL1109" s="172"/>
      <c r="BM1109" s="172"/>
      <c r="BN1109" s="172"/>
      <c r="BO1109" s="172"/>
      <c r="BP1109" s="172"/>
    </row>
    <row r="1110" spans="1:68" s="555" customFormat="1" ht="409.6">
      <c r="A1110" s="172"/>
      <c r="E1110" s="556"/>
      <c r="F1110" s="1334"/>
      <c r="I1110" s="382"/>
      <c r="J1110" s="172"/>
      <c r="K1110" s="1189"/>
      <c r="P1110" s="643"/>
      <c r="AT1110" s="172"/>
      <c r="AU1110" s="172"/>
      <c r="AV1110" s="172"/>
      <c r="AW1110" s="172"/>
      <c r="AX1110" s="172"/>
      <c r="AY1110" s="172"/>
      <c r="AZ1110" s="172"/>
      <c r="BA1110" s="172"/>
      <c r="BB1110" s="172"/>
      <c r="BC1110" s="172"/>
      <c r="BD1110" s="172"/>
      <c r="BE1110" s="172"/>
      <c r="BF1110" s="172"/>
      <c r="BG1110" s="172"/>
      <c r="BH1110" s="172"/>
      <c r="BI1110" s="172"/>
      <c r="BJ1110" s="172"/>
      <c r="BK1110" s="172"/>
      <c r="BL1110" s="172"/>
      <c r="BM1110" s="172"/>
      <c r="BN1110" s="172"/>
      <c r="BO1110" s="172"/>
      <c r="BP1110" s="172"/>
    </row>
    <row r="1111" spans="1:68" s="555" customFormat="1" ht="409.6">
      <c r="A1111" s="172"/>
      <c r="E1111" s="556"/>
      <c r="F1111" s="1334"/>
      <c r="I1111" s="382"/>
      <c r="J1111" s="172"/>
      <c r="K1111" s="1189"/>
      <c r="P1111" s="643"/>
      <c r="AT1111" s="172"/>
      <c r="AU1111" s="172"/>
      <c r="AV1111" s="172"/>
      <c r="AW1111" s="172"/>
      <c r="AX1111" s="172"/>
      <c r="AY1111" s="172"/>
      <c r="AZ1111" s="172"/>
      <c r="BA1111" s="172"/>
      <c r="BB1111" s="172"/>
      <c r="BC1111" s="172"/>
      <c r="BD1111" s="172"/>
      <c r="BE1111" s="172"/>
      <c r="BF1111" s="172"/>
      <c r="BG1111" s="172"/>
      <c r="BH1111" s="172"/>
      <c r="BI1111" s="172"/>
      <c r="BJ1111" s="172"/>
      <c r="BK1111" s="172"/>
      <c r="BL1111" s="172"/>
      <c r="BM1111" s="172"/>
      <c r="BN1111" s="172"/>
      <c r="BO1111" s="172"/>
      <c r="BP1111" s="172"/>
    </row>
    <row r="1112" spans="1:68" s="555" customFormat="1" ht="409.6">
      <c r="A1112" s="172"/>
      <c r="E1112" s="556"/>
      <c r="F1112" s="1334"/>
      <c r="I1112" s="382"/>
      <c r="J1112" s="172"/>
      <c r="K1112" s="1189"/>
      <c r="P1112" s="643"/>
      <c r="AT1112" s="172"/>
      <c r="AU1112" s="172"/>
      <c r="AV1112" s="172"/>
      <c r="AW1112" s="172"/>
      <c r="AX1112" s="172"/>
      <c r="AY1112" s="172"/>
      <c r="AZ1112" s="172"/>
      <c r="BA1112" s="172"/>
      <c r="BB1112" s="172"/>
      <c r="BC1112" s="172"/>
      <c r="BD1112" s="172"/>
      <c r="BE1112" s="172"/>
      <c r="BF1112" s="172"/>
      <c r="BG1112" s="172"/>
      <c r="BH1112" s="172"/>
      <c r="BI1112" s="172"/>
      <c r="BJ1112" s="172"/>
      <c r="BK1112" s="172"/>
      <c r="BL1112" s="172"/>
      <c r="BM1112" s="172"/>
      <c r="BN1112" s="172"/>
      <c r="BO1112" s="172"/>
      <c r="BP1112" s="172"/>
    </row>
    <row r="1113" spans="1:68" s="555" customFormat="1" ht="409.6">
      <c r="A1113" s="172"/>
      <c r="E1113" s="556"/>
      <c r="F1113" s="1334"/>
      <c r="I1113" s="382"/>
      <c r="J1113" s="172"/>
      <c r="K1113" s="1189"/>
      <c r="P1113" s="643"/>
      <c r="AT1113" s="172"/>
      <c r="AU1113" s="172"/>
      <c r="AV1113" s="172"/>
      <c r="AW1113" s="172"/>
      <c r="AX1113" s="172"/>
      <c r="AY1113" s="172"/>
      <c r="AZ1113" s="172"/>
      <c r="BA1113" s="172"/>
      <c r="BB1113" s="172"/>
      <c r="BC1113" s="172"/>
      <c r="BD1113" s="172"/>
      <c r="BE1113" s="172"/>
      <c r="BF1113" s="172"/>
      <c r="BG1113" s="172"/>
      <c r="BH1113" s="172"/>
      <c r="BI1113" s="172"/>
      <c r="BJ1113" s="172"/>
      <c r="BK1113" s="172"/>
      <c r="BL1113" s="172"/>
      <c r="BM1113" s="172"/>
      <c r="BN1113" s="172"/>
      <c r="BO1113" s="172"/>
      <c r="BP1113" s="172"/>
    </row>
    <row r="1114" spans="1:68" s="555" customFormat="1" ht="409.6">
      <c r="A1114" s="172"/>
      <c r="E1114" s="556"/>
      <c r="F1114" s="1334"/>
      <c r="I1114" s="382"/>
      <c r="J1114" s="172"/>
      <c r="K1114" s="1189"/>
      <c r="P1114" s="643"/>
      <c r="AT1114" s="172"/>
      <c r="AU1114" s="172"/>
      <c r="AV1114" s="172"/>
      <c r="AW1114" s="172"/>
      <c r="AX1114" s="172"/>
      <c r="AY1114" s="172"/>
      <c r="AZ1114" s="172"/>
      <c r="BA1114" s="172"/>
      <c r="BB1114" s="172"/>
      <c r="BC1114" s="172"/>
      <c r="BD1114" s="172"/>
      <c r="BE1114" s="172"/>
      <c r="BF1114" s="172"/>
      <c r="BG1114" s="172"/>
      <c r="BH1114" s="172"/>
      <c r="BI1114" s="172"/>
      <c r="BJ1114" s="172"/>
      <c r="BK1114" s="172"/>
      <c r="BL1114" s="172"/>
      <c r="BM1114" s="172"/>
      <c r="BN1114" s="172"/>
      <c r="BO1114" s="172"/>
      <c r="BP1114" s="172"/>
    </row>
    <row r="1115" spans="1:68" s="555" customFormat="1" ht="409.6">
      <c r="A1115" s="172"/>
      <c r="E1115" s="556"/>
      <c r="F1115" s="1334"/>
      <c r="I1115" s="382"/>
      <c r="J1115" s="172"/>
      <c r="K1115" s="1189"/>
      <c r="P1115" s="643"/>
      <c r="AT1115" s="172"/>
      <c r="AU1115" s="172"/>
      <c r="AV1115" s="172"/>
      <c r="AW1115" s="172"/>
      <c r="AX1115" s="172"/>
      <c r="AY1115" s="172"/>
      <c r="AZ1115" s="172"/>
      <c r="BA1115" s="172"/>
      <c r="BB1115" s="172"/>
      <c r="BC1115" s="172"/>
      <c r="BD1115" s="172"/>
      <c r="BE1115" s="172"/>
      <c r="BF1115" s="172"/>
      <c r="BG1115" s="172"/>
      <c r="BH1115" s="172"/>
      <c r="BI1115" s="172"/>
      <c r="BJ1115" s="172"/>
      <c r="BK1115" s="172"/>
      <c r="BL1115" s="172"/>
      <c r="BM1115" s="172"/>
      <c r="BN1115" s="172"/>
      <c r="BO1115" s="172"/>
      <c r="BP1115" s="172"/>
    </row>
    <row r="1116" spans="1:68" s="555" customFormat="1" ht="409.6">
      <c r="A1116" s="172"/>
      <c r="E1116" s="556"/>
      <c r="F1116" s="1334"/>
      <c r="I1116" s="382"/>
      <c r="J1116" s="172"/>
      <c r="K1116" s="1189"/>
      <c r="P1116" s="643"/>
      <c r="AT1116" s="172"/>
      <c r="AU1116" s="172"/>
      <c r="AV1116" s="172"/>
      <c r="AW1116" s="172"/>
      <c r="AX1116" s="172"/>
      <c r="AY1116" s="172"/>
      <c r="AZ1116" s="172"/>
      <c r="BA1116" s="172"/>
      <c r="BB1116" s="172"/>
      <c r="BC1116" s="172"/>
      <c r="BD1116" s="172"/>
      <c r="BE1116" s="172"/>
      <c r="BF1116" s="172"/>
      <c r="BG1116" s="172"/>
      <c r="BH1116" s="172"/>
      <c r="BI1116" s="172"/>
      <c r="BJ1116" s="172"/>
      <c r="BK1116" s="172"/>
      <c r="BL1116" s="172"/>
      <c r="BM1116" s="172"/>
      <c r="BN1116" s="172"/>
      <c r="BO1116" s="172"/>
      <c r="BP1116" s="172"/>
    </row>
    <row r="1117" spans="1:68" s="555" customFormat="1" ht="409.6">
      <c r="A1117" s="172"/>
      <c r="E1117" s="556"/>
      <c r="F1117" s="1334"/>
      <c r="I1117" s="382"/>
      <c r="J1117" s="172"/>
      <c r="K1117" s="1189"/>
      <c r="P1117" s="643"/>
      <c r="AT1117" s="172"/>
      <c r="AU1117" s="172"/>
      <c r="AV1117" s="172"/>
      <c r="AW1117" s="172"/>
      <c r="AX1117" s="172"/>
      <c r="AY1117" s="172"/>
      <c r="AZ1117" s="172"/>
      <c r="BA1117" s="172"/>
      <c r="BB1117" s="172"/>
      <c r="BC1117" s="172"/>
      <c r="BD1117" s="172"/>
      <c r="BE1117" s="172"/>
      <c r="BF1117" s="172"/>
      <c r="BG1117" s="172"/>
      <c r="BH1117" s="172"/>
      <c r="BI1117" s="172"/>
      <c r="BJ1117" s="172"/>
      <c r="BK1117" s="172"/>
      <c r="BL1117" s="172"/>
      <c r="BM1117" s="172"/>
      <c r="BN1117" s="172"/>
      <c r="BO1117" s="172"/>
      <c r="BP1117" s="172"/>
    </row>
    <row r="1118" spans="1:68" s="555" customFormat="1" ht="409.6">
      <c r="A1118" s="172"/>
      <c r="E1118" s="556"/>
      <c r="F1118" s="1334"/>
      <c r="I1118" s="382"/>
      <c r="J1118" s="172"/>
      <c r="K1118" s="1189"/>
      <c r="P1118" s="643"/>
      <c r="AT1118" s="172"/>
      <c r="AU1118" s="172"/>
      <c r="AV1118" s="172"/>
      <c r="AW1118" s="172"/>
      <c r="AX1118" s="172"/>
      <c r="AY1118" s="172"/>
      <c r="AZ1118" s="172"/>
      <c r="BA1118" s="172"/>
      <c r="BB1118" s="172"/>
      <c r="BC1118" s="172"/>
      <c r="BD1118" s="172"/>
      <c r="BE1118" s="172"/>
      <c r="BF1118" s="172"/>
      <c r="BG1118" s="172"/>
      <c r="BH1118" s="172"/>
      <c r="BI1118" s="172"/>
      <c r="BJ1118" s="172"/>
      <c r="BK1118" s="172"/>
      <c r="BL1118" s="172"/>
      <c r="BM1118" s="172"/>
      <c r="BN1118" s="172"/>
      <c r="BO1118" s="172"/>
      <c r="BP1118" s="172"/>
    </row>
    <row r="1119" spans="1:68" s="555" customFormat="1" ht="409.6">
      <c r="A1119" s="172"/>
      <c r="E1119" s="556"/>
      <c r="F1119" s="1334"/>
      <c r="I1119" s="382"/>
      <c r="J1119" s="172"/>
      <c r="K1119" s="1189"/>
      <c r="P1119" s="643"/>
      <c r="AT1119" s="172"/>
      <c r="AU1119" s="172"/>
      <c r="AV1119" s="172"/>
      <c r="AW1119" s="172"/>
      <c r="AX1119" s="172"/>
      <c r="AY1119" s="172"/>
      <c r="AZ1119" s="172"/>
      <c r="BA1119" s="172"/>
      <c r="BB1119" s="172"/>
      <c r="BC1119" s="172"/>
      <c r="BD1119" s="172"/>
      <c r="BE1119" s="172"/>
      <c r="BF1119" s="172"/>
      <c r="BG1119" s="172"/>
      <c r="BH1119" s="172"/>
      <c r="BI1119" s="172"/>
      <c r="BJ1119" s="172"/>
      <c r="BK1119" s="172"/>
      <c r="BL1119" s="172"/>
      <c r="BM1119" s="172"/>
      <c r="BN1119" s="172"/>
      <c r="BO1119" s="172"/>
      <c r="BP1119" s="172"/>
    </row>
    <row r="1120" spans="1:68" s="555" customFormat="1" ht="409.6">
      <c r="A1120" s="172"/>
      <c r="E1120" s="556"/>
      <c r="F1120" s="1334"/>
      <c r="I1120" s="382"/>
      <c r="J1120" s="172"/>
      <c r="K1120" s="1189"/>
      <c r="P1120" s="643"/>
      <c r="AT1120" s="172"/>
      <c r="AU1120" s="172"/>
      <c r="AV1120" s="172"/>
      <c r="AW1120" s="172"/>
      <c r="AX1120" s="172"/>
      <c r="AY1120" s="172"/>
      <c r="AZ1120" s="172"/>
      <c r="BA1120" s="172"/>
      <c r="BB1120" s="172"/>
      <c r="BC1120" s="172"/>
      <c r="BD1120" s="172"/>
      <c r="BE1120" s="172"/>
      <c r="BF1120" s="172"/>
      <c r="BG1120" s="172"/>
      <c r="BH1120" s="172"/>
      <c r="BI1120" s="172"/>
      <c r="BJ1120" s="172"/>
      <c r="BK1120" s="172"/>
      <c r="BL1120" s="172"/>
      <c r="BM1120" s="172"/>
      <c r="BN1120" s="172"/>
      <c r="BO1120" s="172"/>
      <c r="BP1120" s="172"/>
    </row>
    <row r="1121" spans="1:68" s="555" customFormat="1" ht="409.6">
      <c r="A1121" s="172"/>
      <c r="E1121" s="556"/>
      <c r="F1121" s="1334"/>
      <c r="I1121" s="382"/>
      <c r="J1121" s="172"/>
      <c r="K1121" s="1189"/>
      <c r="P1121" s="643"/>
      <c r="AT1121" s="172"/>
      <c r="AU1121" s="172"/>
      <c r="AV1121" s="172"/>
      <c r="AW1121" s="172"/>
      <c r="AX1121" s="172"/>
      <c r="AY1121" s="172"/>
      <c r="AZ1121" s="172"/>
      <c r="BA1121" s="172"/>
      <c r="BB1121" s="172"/>
      <c r="BC1121" s="172"/>
      <c r="BD1121" s="172"/>
      <c r="BE1121" s="172"/>
      <c r="BF1121" s="172"/>
      <c r="BG1121" s="172"/>
      <c r="BH1121" s="172"/>
      <c r="BI1121" s="172"/>
      <c r="BJ1121" s="172"/>
      <c r="BK1121" s="172"/>
      <c r="BL1121" s="172"/>
      <c r="BM1121" s="172"/>
      <c r="BN1121" s="172"/>
      <c r="BO1121" s="172"/>
      <c r="BP1121" s="172"/>
    </row>
    <row r="1122" spans="1:68" s="555" customFormat="1" ht="409.6">
      <c r="A1122" s="172"/>
      <c r="E1122" s="556"/>
      <c r="F1122" s="1334"/>
      <c r="I1122" s="382"/>
      <c r="J1122" s="172"/>
      <c r="K1122" s="1189"/>
      <c r="P1122" s="643"/>
      <c r="AT1122" s="172"/>
      <c r="AU1122" s="172"/>
      <c r="AV1122" s="172"/>
      <c r="AW1122" s="172"/>
      <c r="AX1122" s="172"/>
      <c r="AY1122" s="172"/>
      <c r="AZ1122" s="172"/>
      <c r="BA1122" s="172"/>
      <c r="BB1122" s="172"/>
      <c r="BC1122" s="172"/>
      <c r="BD1122" s="172"/>
      <c r="BE1122" s="172"/>
      <c r="BF1122" s="172"/>
      <c r="BG1122" s="172"/>
      <c r="BH1122" s="172"/>
      <c r="BI1122" s="172"/>
      <c r="BJ1122" s="172"/>
      <c r="BK1122" s="172"/>
      <c r="BL1122" s="172"/>
      <c r="BM1122" s="172"/>
      <c r="BN1122" s="172"/>
      <c r="BO1122" s="172"/>
      <c r="BP1122" s="172"/>
    </row>
    <row r="1123" spans="1:68" s="555" customFormat="1" ht="409.6">
      <c r="A1123" s="172"/>
      <c r="E1123" s="556"/>
      <c r="F1123" s="1334"/>
      <c r="I1123" s="382"/>
      <c r="J1123" s="172"/>
      <c r="K1123" s="1189"/>
      <c r="P1123" s="643"/>
      <c r="AT1123" s="172"/>
      <c r="AU1123" s="172"/>
      <c r="AV1123" s="172"/>
      <c r="AW1123" s="172"/>
      <c r="AX1123" s="172"/>
      <c r="AY1123" s="172"/>
      <c r="AZ1123" s="172"/>
      <c r="BA1123" s="172"/>
      <c r="BB1123" s="172"/>
      <c r="BC1123" s="172"/>
      <c r="BD1123" s="172"/>
      <c r="BE1123" s="172"/>
      <c r="BF1123" s="172"/>
      <c r="BG1123" s="172"/>
      <c r="BH1123" s="172"/>
      <c r="BI1123" s="172"/>
      <c r="BJ1123" s="172"/>
      <c r="BK1123" s="172"/>
      <c r="BL1123" s="172"/>
      <c r="BM1123" s="172"/>
      <c r="BN1123" s="172"/>
      <c r="BO1123" s="172"/>
      <c r="BP1123" s="172"/>
    </row>
    <row r="1124" spans="1:68" s="555" customFormat="1" ht="409.6">
      <c r="A1124" s="172"/>
      <c r="E1124" s="556"/>
      <c r="F1124" s="1334"/>
      <c r="I1124" s="382"/>
      <c r="J1124" s="172"/>
      <c r="K1124" s="1189"/>
      <c r="P1124" s="643"/>
      <c r="AT1124" s="172"/>
      <c r="AU1124" s="172"/>
      <c r="AV1124" s="172"/>
      <c r="AW1124" s="172"/>
      <c r="AX1124" s="172"/>
      <c r="AY1124" s="172"/>
      <c r="AZ1124" s="172"/>
      <c r="BA1124" s="172"/>
      <c r="BB1124" s="172"/>
      <c r="BC1124" s="172"/>
      <c r="BD1124" s="172"/>
      <c r="BE1124" s="172"/>
      <c r="BF1124" s="172"/>
      <c r="BG1124" s="172"/>
      <c r="BH1124" s="172"/>
      <c r="BI1124" s="172"/>
      <c r="BJ1124" s="172"/>
      <c r="BK1124" s="172"/>
      <c r="BL1124" s="172"/>
      <c r="BM1124" s="172"/>
      <c r="BN1124" s="172"/>
      <c r="BO1124" s="172"/>
      <c r="BP1124" s="172"/>
    </row>
    <row r="1125" spans="1:68" s="555" customFormat="1" ht="409.6">
      <c r="A1125" s="172"/>
      <c r="E1125" s="556"/>
      <c r="F1125" s="1334"/>
      <c r="I1125" s="382"/>
      <c r="J1125" s="172"/>
      <c r="K1125" s="1189"/>
      <c r="P1125" s="643"/>
      <c r="AT1125" s="172"/>
      <c r="AU1125" s="172"/>
      <c r="AV1125" s="172"/>
      <c r="AW1125" s="172"/>
      <c r="AX1125" s="172"/>
      <c r="AY1125" s="172"/>
      <c r="AZ1125" s="172"/>
      <c r="BA1125" s="172"/>
      <c r="BB1125" s="172"/>
      <c r="BC1125" s="172"/>
      <c r="BD1125" s="172"/>
      <c r="BE1125" s="172"/>
      <c r="BF1125" s="172"/>
      <c r="BG1125" s="172"/>
      <c r="BH1125" s="172"/>
      <c r="BI1125" s="172"/>
      <c r="BJ1125" s="172"/>
      <c r="BK1125" s="172"/>
      <c r="BL1125" s="172"/>
      <c r="BM1125" s="172"/>
      <c r="BN1125" s="172"/>
      <c r="BO1125" s="172"/>
      <c r="BP1125" s="172"/>
    </row>
    <row r="1126" spans="1:68" s="555" customFormat="1" ht="409.6">
      <c r="A1126" s="172"/>
      <c r="E1126" s="556"/>
      <c r="F1126" s="1334"/>
      <c r="I1126" s="382"/>
      <c r="J1126" s="172"/>
      <c r="K1126" s="1189"/>
      <c r="P1126" s="643"/>
      <c r="AT1126" s="172"/>
      <c r="AU1126" s="172"/>
      <c r="AV1126" s="172"/>
      <c r="AW1126" s="172"/>
      <c r="AX1126" s="172"/>
      <c r="AY1126" s="172"/>
      <c r="AZ1126" s="172"/>
      <c r="BA1126" s="172"/>
      <c r="BB1126" s="172"/>
      <c r="BC1126" s="172"/>
      <c r="BD1126" s="172"/>
      <c r="BE1126" s="172"/>
      <c r="BF1126" s="172"/>
      <c r="BG1126" s="172"/>
      <c r="BH1126" s="172"/>
      <c r="BI1126" s="172"/>
      <c r="BJ1126" s="172"/>
      <c r="BK1126" s="172"/>
      <c r="BL1126" s="172"/>
      <c r="BM1126" s="172"/>
      <c r="BN1126" s="172"/>
      <c r="BO1126" s="172"/>
      <c r="BP1126" s="172"/>
    </row>
    <row r="1127" spans="1:68" s="555" customFormat="1" ht="409.6">
      <c r="A1127" s="172"/>
      <c r="E1127" s="556"/>
      <c r="F1127" s="1334"/>
      <c r="I1127" s="382"/>
      <c r="J1127" s="172"/>
      <c r="K1127" s="1189"/>
      <c r="P1127" s="643"/>
      <c r="AT1127" s="172"/>
      <c r="AU1127" s="172"/>
      <c r="AV1127" s="172"/>
      <c r="AW1127" s="172"/>
      <c r="AX1127" s="172"/>
      <c r="AY1127" s="172"/>
      <c r="AZ1127" s="172"/>
      <c r="BA1127" s="172"/>
      <c r="BB1127" s="172"/>
      <c r="BC1127" s="172"/>
      <c r="BD1127" s="172"/>
      <c r="BE1127" s="172"/>
      <c r="BF1127" s="172"/>
      <c r="BG1127" s="172"/>
      <c r="BH1127" s="172"/>
      <c r="BI1127" s="172"/>
      <c r="BJ1127" s="172"/>
      <c r="BK1127" s="172"/>
      <c r="BL1127" s="172"/>
      <c r="BM1127" s="172"/>
      <c r="BN1127" s="172"/>
      <c r="BO1127" s="172"/>
      <c r="BP1127" s="172"/>
    </row>
    <row r="1128" spans="1:68" s="555" customFormat="1" ht="409.6">
      <c r="A1128" s="172"/>
      <c r="E1128" s="556"/>
      <c r="F1128" s="1334"/>
      <c r="I1128" s="382"/>
      <c r="J1128" s="172"/>
      <c r="K1128" s="1189"/>
      <c r="P1128" s="643"/>
      <c r="AT1128" s="172"/>
      <c r="AU1128" s="172"/>
      <c r="AV1128" s="172"/>
      <c r="AW1128" s="172"/>
      <c r="AX1128" s="172"/>
      <c r="AY1128" s="172"/>
      <c r="AZ1128" s="172"/>
      <c r="BA1128" s="172"/>
      <c r="BB1128" s="172"/>
      <c r="BC1128" s="172"/>
      <c r="BD1128" s="172"/>
      <c r="BE1128" s="172"/>
      <c r="BF1128" s="172"/>
      <c r="BG1128" s="172"/>
      <c r="BH1128" s="172"/>
      <c r="BI1128" s="172"/>
      <c r="BJ1128" s="172"/>
      <c r="BK1128" s="172"/>
      <c r="BL1128" s="172"/>
      <c r="BM1128" s="172"/>
      <c r="BN1128" s="172"/>
      <c r="BO1128" s="172"/>
      <c r="BP1128" s="172"/>
    </row>
    <row r="1129" spans="1:68" s="555" customFormat="1" ht="409.6">
      <c r="A1129" s="172"/>
      <c r="E1129" s="556"/>
      <c r="F1129" s="1334"/>
      <c r="I1129" s="382"/>
      <c r="J1129" s="172"/>
      <c r="K1129" s="1189"/>
      <c r="P1129" s="643"/>
      <c r="AT1129" s="172"/>
      <c r="AU1129" s="172"/>
      <c r="AV1129" s="172"/>
      <c r="AW1129" s="172"/>
      <c r="AX1129" s="172"/>
      <c r="AY1129" s="172"/>
      <c r="AZ1129" s="172"/>
      <c r="BA1129" s="172"/>
      <c r="BB1129" s="172"/>
      <c r="BC1129" s="172"/>
      <c r="BD1129" s="172"/>
      <c r="BE1129" s="172"/>
      <c r="BF1129" s="172"/>
      <c r="BG1129" s="172"/>
      <c r="BH1129" s="172"/>
      <c r="BI1129" s="172"/>
      <c r="BJ1129" s="172"/>
      <c r="BK1129" s="172"/>
      <c r="BL1129" s="172"/>
      <c r="BM1129" s="172"/>
      <c r="BN1129" s="172"/>
      <c r="BO1129" s="172"/>
      <c r="BP1129" s="172"/>
    </row>
    <row r="1130" spans="1:68" s="555" customFormat="1" ht="409.6">
      <c r="A1130" s="172"/>
      <c r="E1130" s="556"/>
      <c r="F1130" s="1334"/>
      <c r="I1130" s="382"/>
      <c r="J1130" s="172"/>
      <c r="K1130" s="1189"/>
      <c r="P1130" s="643"/>
      <c r="AT1130" s="172"/>
      <c r="AU1130" s="172"/>
      <c r="AV1130" s="172"/>
      <c r="AW1130" s="172"/>
      <c r="AX1130" s="172"/>
      <c r="AY1130" s="172"/>
      <c r="AZ1130" s="172"/>
      <c r="BA1130" s="172"/>
      <c r="BB1130" s="172"/>
      <c r="BC1130" s="172"/>
      <c r="BD1130" s="172"/>
      <c r="BE1130" s="172"/>
      <c r="BF1130" s="172"/>
      <c r="BG1130" s="172"/>
      <c r="BH1130" s="172"/>
      <c r="BI1130" s="172"/>
      <c r="BJ1130" s="172"/>
      <c r="BK1130" s="172"/>
      <c r="BL1130" s="172"/>
      <c r="BM1130" s="172"/>
      <c r="BN1130" s="172"/>
      <c r="BO1130" s="172"/>
      <c r="BP1130" s="172"/>
    </row>
    <row r="1131" spans="1:68" s="555" customFormat="1" ht="409.6">
      <c r="A1131" s="172"/>
      <c r="E1131" s="556"/>
      <c r="F1131" s="1334"/>
      <c r="I1131" s="382"/>
      <c r="J1131" s="172"/>
      <c r="K1131" s="1189"/>
      <c r="P1131" s="643"/>
      <c r="AT1131" s="172"/>
      <c r="AU1131" s="172"/>
      <c r="AV1131" s="172"/>
      <c r="AW1131" s="172"/>
      <c r="AX1131" s="172"/>
      <c r="AY1131" s="172"/>
      <c r="AZ1131" s="172"/>
      <c r="BA1131" s="172"/>
      <c r="BB1131" s="172"/>
      <c r="BC1131" s="172"/>
      <c r="BD1131" s="172"/>
      <c r="BE1131" s="172"/>
      <c r="BF1131" s="172"/>
      <c r="BG1131" s="172"/>
      <c r="BH1131" s="172"/>
      <c r="BI1131" s="172"/>
      <c r="BJ1131" s="172"/>
      <c r="BK1131" s="172"/>
      <c r="BL1131" s="172"/>
      <c r="BM1131" s="172"/>
      <c r="BN1131" s="172"/>
      <c r="BO1131" s="172"/>
      <c r="BP1131" s="172"/>
    </row>
    <row r="1132" spans="1:68" s="555" customFormat="1" ht="409.6">
      <c r="A1132" s="172"/>
      <c r="E1132" s="556"/>
      <c r="F1132" s="1334"/>
      <c r="I1132" s="382"/>
      <c r="J1132" s="172"/>
      <c r="K1132" s="1189"/>
      <c r="P1132" s="643"/>
      <c r="AT1132" s="172"/>
      <c r="AU1132" s="172"/>
      <c r="AV1132" s="172"/>
      <c r="AW1132" s="172"/>
      <c r="AX1132" s="172"/>
      <c r="AY1132" s="172"/>
      <c r="AZ1132" s="172"/>
      <c r="BA1132" s="172"/>
      <c r="BB1132" s="172"/>
      <c r="BC1132" s="172"/>
      <c r="BD1132" s="172"/>
      <c r="BE1132" s="172"/>
      <c r="BF1132" s="172"/>
      <c r="BG1132" s="172"/>
      <c r="BH1132" s="172"/>
      <c r="BI1132" s="172"/>
      <c r="BJ1132" s="172"/>
      <c r="BK1132" s="172"/>
      <c r="BL1132" s="172"/>
      <c r="BM1132" s="172"/>
      <c r="BN1132" s="172"/>
      <c r="BO1132" s="172"/>
      <c r="BP1132" s="172"/>
    </row>
    <row r="1133" spans="1:68" s="555" customFormat="1" ht="409.6">
      <c r="A1133" s="172"/>
      <c r="E1133" s="556"/>
      <c r="F1133" s="1334"/>
      <c r="I1133" s="382"/>
      <c r="J1133" s="172"/>
      <c r="K1133" s="1189"/>
      <c r="P1133" s="643"/>
      <c r="AT1133" s="172"/>
      <c r="AU1133" s="172"/>
      <c r="AV1133" s="172"/>
      <c r="AW1133" s="172"/>
      <c r="AX1133" s="172"/>
      <c r="AY1133" s="172"/>
      <c r="AZ1133" s="172"/>
      <c r="BA1133" s="172"/>
      <c r="BB1133" s="172"/>
      <c r="BC1133" s="172"/>
      <c r="BD1133" s="172"/>
      <c r="BE1133" s="172"/>
      <c r="BF1133" s="172"/>
      <c r="BG1133" s="172"/>
      <c r="BH1133" s="172"/>
      <c r="BI1133" s="172"/>
      <c r="BJ1133" s="172"/>
      <c r="BK1133" s="172"/>
      <c r="BL1133" s="172"/>
      <c r="BM1133" s="172"/>
      <c r="BN1133" s="172"/>
      <c r="BO1133" s="172"/>
      <c r="BP1133" s="172"/>
    </row>
    <row r="1134" spans="1:68" s="555" customFormat="1" ht="409.6">
      <c r="A1134" s="172"/>
      <c r="E1134" s="556"/>
      <c r="F1134" s="1334"/>
      <c r="I1134" s="382"/>
      <c r="J1134" s="172"/>
      <c r="K1134" s="1189"/>
      <c r="P1134" s="643"/>
      <c r="AT1134" s="172"/>
      <c r="AU1134" s="172"/>
      <c r="AV1134" s="172"/>
      <c r="AW1134" s="172"/>
      <c r="AX1134" s="172"/>
      <c r="AY1134" s="172"/>
      <c r="AZ1134" s="172"/>
      <c r="BA1134" s="172"/>
      <c r="BB1134" s="172"/>
      <c r="BC1134" s="172"/>
      <c r="BD1134" s="172"/>
      <c r="BE1134" s="172"/>
      <c r="BF1134" s="172"/>
      <c r="BG1134" s="172"/>
      <c r="BH1134" s="172"/>
      <c r="BI1134" s="172"/>
      <c r="BJ1134" s="172"/>
      <c r="BK1134" s="172"/>
      <c r="BL1134" s="172"/>
      <c r="BM1134" s="172"/>
      <c r="BN1134" s="172"/>
      <c r="BO1134" s="172"/>
      <c r="BP1134" s="172"/>
    </row>
    <row r="1135" spans="1:68" s="555" customFormat="1" ht="409.6">
      <c r="A1135" s="172"/>
      <c r="E1135" s="556"/>
      <c r="F1135" s="1334"/>
      <c r="I1135" s="382"/>
      <c r="J1135" s="172"/>
      <c r="K1135" s="1189"/>
      <c r="P1135" s="643"/>
      <c r="AT1135" s="172"/>
      <c r="AU1135" s="172"/>
      <c r="AV1135" s="172"/>
      <c r="AW1135" s="172"/>
      <c r="AX1135" s="172"/>
      <c r="AY1135" s="172"/>
      <c r="AZ1135" s="172"/>
      <c r="BA1135" s="172"/>
      <c r="BB1135" s="172"/>
      <c r="BC1135" s="172"/>
      <c r="BD1135" s="172"/>
      <c r="BE1135" s="172"/>
      <c r="BF1135" s="172"/>
      <c r="BG1135" s="172"/>
      <c r="BH1135" s="172"/>
      <c r="BI1135" s="172"/>
      <c r="BJ1135" s="172"/>
      <c r="BK1135" s="172"/>
      <c r="BL1135" s="172"/>
      <c r="BM1135" s="172"/>
      <c r="BN1135" s="172"/>
      <c r="BO1135" s="172"/>
      <c r="BP1135" s="172"/>
    </row>
    <row r="1136" spans="1:68" s="555" customFormat="1" ht="409.6">
      <c r="A1136" s="172"/>
      <c r="E1136" s="556"/>
      <c r="F1136" s="1334"/>
      <c r="I1136" s="382"/>
      <c r="J1136" s="172"/>
      <c r="K1136" s="1189"/>
      <c r="P1136" s="643"/>
      <c r="AT1136" s="172"/>
      <c r="AU1136" s="172"/>
      <c r="AV1136" s="172"/>
      <c r="AW1136" s="172"/>
      <c r="AX1136" s="172"/>
      <c r="AY1136" s="172"/>
      <c r="AZ1136" s="172"/>
      <c r="BA1136" s="172"/>
      <c r="BB1136" s="172"/>
      <c r="BC1136" s="172"/>
      <c r="BD1136" s="172"/>
      <c r="BE1136" s="172"/>
      <c r="BF1136" s="172"/>
      <c r="BG1136" s="172"/>
      <c r="BH1136" s="172"/>
      <c r="BI1136" s="172"/>
      <c r="BJ1136" s="172"/>
      <c r="BK1136" s="172"/>
      <c r="BL1136" s="172"/>
      <c r="BM1136" s="172"/>
      <c r="BN1136" s="172"/>
      <c r="BO1136" s="172"/>
      <c r="BP1136" s="172"/>
    </row>
    <row r="1137" spans="1:68" s="555" customFormat="1" ht="409.6">
      <c r="A1137" s="172"/>
      <c r="E1137" s="556"/>
      <c r="F1137" s="1334"/>
      <c r="I1137" s="382"/>
      <c r="J1137" s="172"/>
      <c r="K1137" s="1189"/>
      <c r="P1137" s="643"/>
      <c r="AT1137" s="172"/>
      <c r="AU1137" s="172"/>
      <c r="AV1137" s="172"/>
      <c r="AW1137" s="172"/>
      <c r="AX1137" s="172"/>
      <c r="AY1137" s="172"/>
      <c r="AZ1137" s="172"/>
      <c r="BA1137" s="172"/>
      <c r="BB1137" s="172"/>
      <c r="BC1137" s="172"/>
      <c r="BD1137" s="172"/>
      <c r="BE1137" s="172"/>
      <c r="BF1137" s="172"/>
      <c r="BG1137" s="172"/>
      <c r="BH1137" s="172"/>
      <c r="BI1137" s="172"/>
      <c r="BJ1137" s="172"/>
      <c r="BK1137" s="172"/>
      <c r="BL1137" s="172"/>
      <c r="BM1137" s="172"/>
      <c r="BN1137" s="172"/>
      <c r="BO1137" s="172"/>
      <c r="BP1137" s="172"/>
    </row>
    <row r="1138" spans="1:68" s="555" customFormat="1" ht="409.6">
      <c r="A1138" s="172"/>
      <c r="E1138" s="556"/>
      <c r="F1138" s="1334"/>
      <c r="I1138" s="382"/>
      <c r="J1138" s="172"/>
      <c r="K1138" s="1189"/>
      <c r="P1138" s="643"/>
      <c r="AT1138" s="172"/>
      <c r="AU1138" s="172"/>
      <c r="AV1138" s="172"/>
      <c r="AW1138" s="172"/>
      <c r="AX1138" s="172"/>
      <c r="AY1138" s="172"/>
      <c r="AZ1138" s="172"/>
      <c r="BA1138" s="172"/>
      <c r="BB1138" s="172"/>
      <c r="BC1138" s="172"/>
      <c r="BD1138" s="172"/>
      <c r="BE1138" s="172"/>
      <c r="BF1138" s="172"/>
      <c r="BG1138" s="172"/>
      <c r="BH1138" s="172"/>
      <c r="BI1138" s="172"/>
      <c r="BJ1138" s="172"/>
      <c r="BK1138" s="172"/>
      <c r="BL1138" s="172"/>
      <c r="BM1138" s="172"/>
      <c r="BN1138" s="172"/>
      <c r="BO1138" s="172"/>
      <c r="BP1138" s="172"/>
    </row>
    <row r="1139" spans="1:68" s="555" customFormat="1" ht="409.6">
      <c r="A1139" s="172"/>
      <c r="E1139" s="556"/>
      <c r="F1139" s="1334"/>
      <c r="I1139" s="382"/>
      <c r="J1139" s="172"/>
      <c r="K1139" s="1189"/>
      <c r="P1139" s="643"/>
      <c r="AT1139" s="172"/>
      <c r="AU1139" s="172"/>
      <c r="AV1139" s="172"/>
      <c r="AW1139" s="172"/>
      <c r="AX1139" s="172"/>
      <c r="AY1139" s="172"/>
      <c r="AZ1139" s="172"/>
      <c r="BA1139" s="172"/>
      <c r="BB1139" s="172"/>
      <c r="BC1139" s="172"/>
      <c r="BD1139" s="172"/>
      <c r="BE1139" s="172"/>
      <c r="BF1139" s="172"/>
      <c r="BG1139" s="172"/>
      <c r="BH1139" s="172"/>
      <c r="BI1139" s="172"/>
      <c r="BJ1139" s="172"/>
      <c r="BK1139" s="172"/>
      <c r="BL1139" s="172"/>
      <c r="BM1139" s="172"/>
      <c r="BN1139" s="172"/>
      <c r="BO1139" s="172"/>
      <c r="BP1139" s="172"/>
    </row>
    <row r="1140" spans="1:68" s="555" customFormat="1" ht="409.6">
      <c r="A1140" s="172"/>
      <c r="E1140" s="556"/>
      <c r="F1140" s="1334"/>
      <c r="I1140" s="382"/>
      <c r="J1140" s="172"/>
      <c r="K1140" s="1189"/>
      <c r="P1140" s="643"/>
      <c r="AT1140" s="172"/>
      <c r="AU1140" s="172"/>
      <c r="AV1140" s="172"/>
      <c r="AW1140" s="172"/>
      <c r="AX1140" s="172"/>
      <c r="AY1140" s="172"/>
      <c r="AZ1140" s="172"/>
      <c r="BA1140" s="172"/>
      <c r="BB1140" s="172"/>
      <c r="BC1140" s="172"/>
      <c r="BD1140" s="172"/>
      <c r="BE1140" s="172"/>
      <c r="BF1140" s="172"/>
      <c r="BG1140" s="172"/>
      <c r="BH1140" s="172"/>
      <c r="BI1140" s="172"/>
      <c r="BJ1140" s="172"/>
      <c r="BK1140" s="172"/>
      <c r="BL1140" s="172"/>
      <c r="BM1140" s="172"/>
      <c r="BN1140" s="172"/>
      <c r="BO1140" s="172"/>
      <c r="BP1140" s="172"/>
    </row>
    <row r="1141" spans="1:68" s="555" customFormat="1" ht="409.6">
      <c r="A1141" s="172"/>
      <c r="E1141" s="556"/>
      <c r="F1141" s="1334"/>
      <c r="I1141" s="382"/>
      <c r="J1141" s="172"/>
      <c r="K1141" s="1189"/>
      <c r="P1141" s="643"/>
      <c r="AT1141" s="172"/>
      <c r="AU1141" s="172"/>
      <c r="AV1141" s="172"/>
      <c r="AW1141" s="172"/>
      <c r="AX1141" s="172"/>
      <c r="AY1141" s="172"/>
      <c r="AZ1141" s="172"/>
      <c r="BA1141" s="172"/>
      <c r="BB1141" s="172"/>
      <c r="BC1141" s="172"/>
      <c r="BD1141" s="172"/>
      <c r="BE1141" s="172"/>
      <c r="BF1141" s="172"/>
      <c r="BG1141" s="172"/>
      <c r="BH1141" s="172"/>
      <c r="BI1141" s="172"/>
      <c r="BJ1141" s="172"/>
      <c r="BK1141" s="172"/>
      <c r="BL1141" s="172"/>
      <c r="BM1141" s="172"/>
      <c r="BN1141" s="172"/>
      <c r="BO1141" s="172"/>
      <c r="BP1141" s="172"/>
    </row>
    <row r="1142" spans="1:68" s="555" customFormat="1" ht="409.6">
      <c r="A1142" s="172"/>
      <c r="E1142" s="556"/>
      <c r="F1142" s="1334"/>
      <c r="I1142" s="382"/>
      <c r="J1142" s="172"/>
      <c r="K1142" s="1189"/>
      <c r="P1142" s="643"/>
      <c r="AT1142" s="172"/>
      <c r="AU1142" s="172"/>
      <c r="AV1142" s="172"/>
      <c r="AW1142" s="172"/>
      <c r="AX1142" s="172"/>
      <c r="AY1142" s="172"/>
      <c r="AZ1142" s="172"/>
      <c r="BA1142" s="172"/>
      <c r="BB1142" s="172"/>
      <c r="BC1142" s="172"/>
      <c r="BD1142" s="172"/>
      <c r="BE1142" s="172"/>
      <c r="BF1142" s="172"/>
      <c r="BG1142" s="172"/>
      <c r="BH1142" s="172"/>
      <c r="BI1142" s="172"/>
      <c r="BJ1142" s="172"/>
      <c r="BK1142" s="172"/>
      <c r="BL1142" s="172"/>
      <c r="BM1142" s="172"/>
      <c r="BN1142" s="172"/>
      <c r="BO1142" s="172"/>
      <c r="BP1142" s="172"/>
    </row>
    <row r="1143" spans="1:68" s="555" customFormat="1" ht="409.6">
      <c r="A1143" s="172"/>
      <c r="E1143" s="556"/>
      <c r="F1143" s="1334"/>
      <c r="I1143" s="382"/>
      <c r="J1143" s="172"/>
      <c r="K1143" s="1189"/>
      <c r="P1143" s="643"/>
      <c r="AT1143" s="172"/>
      <c r="AU1143" s="172"/>
      <c r="AV1143" s="172"/>
      <c r="AW1143" s="172"/>
      <c r="AX1143" s="172"/>
      <c r="AY1143" s="172"/>
      <c r="AZ1143" s="172"/>
      <c r="BA1143" s="172"/>
      <c r="BB1143" s="172"/>
      <c r="BC1143" s="172"/>
      <c r="BD1143" s="172"/>
      <c r="BE1143" s="172"/>
      <c r="BF1143" s="172"/>
      <c r="BG1143" s="172"/>
      <c r="BH1143" s="172"/>
      <c r="BI1143" s="172"/>
      <c r="BJ1143" s="172"/>
      <c r="BK1143" s="172"/>
      <c r="BL1143" s="172"/>
      <c r="BM1143" s="172"/>
      <c r="BN1143" s="172"/>
      <c r="BO1143" s="172"/>
      <c r="BP1143" s="172"/>
    </row>
    <row r="1144" spans="1:68" s="555" customFormat="1" ht="409.6">
      <c r="A1144" s="172"/>
      <c r="E1144" s="556"/>
      <c r="F1144" s="1334"/>
      <c r="I1144" s="382"/>
      <c r="J1144" s="172"/>
      <c r="K1144" s="1189"/>
      <c r="P1144" s="643"/>
      <c r="AT1144" s="172"/>
      <c r="AU1144" s="172"/>
      <c r="AV1144" s="172"/>
      <c r="AW1144" s="172"/>
      <c r="AX1144" s="172"/>
      <c r="AY1144" s="172"/>
      <c r="AZ1144" s="172"/>
      <c r="BA1144" s="172"/>
      <c r="BB1144" s="172"/>
      <c r="BC1144" s="172"/>
      <c r="BD1144" s="172"/>
      <c r="BE1144" s="172"/>
      <c r="BF1144" s="172"/>
      <c r="BG1144" s="172"/>
      <c r="BH1144" s="172"/>
      <c r="BI1144" s="172"/>
      <c r="BJ1144" s="172"/>
      <c r="BK1144" s="172"/>
      <c r="BL1144" s="172"/>
      <c r="BM1144" s="172"/>
      <c r="BN1144" s="172"/>
      <c r="BO1144" s="172"/>
      <c r="BP1144" s="172"/>
    </row>
    <row r="1145" spans="1:68" s="555" customFormat="1" ht="409.6">
      <c r="A1145" s="172"/>
      <c r="E1145" s="556"/>
      <c r="F1145" s="1334"/>
      <c r="I1145" s="382"/>
      <c r="J1145" s="172"/>
      <c r="K1145" s="1189"/>
      <c r="P1145" s="643"/>
      <c r="AT1145" s="172"/>
      <c r="AU1145" s="172"/>
      <c r="AV1145" s="172"/>
      <c r="AW1145" s="172"/>
      <c r="AX1145" s="172"/>
      <c r="AY1145" s="172"/>
      <c r="AZ1145" s="172"/>
      <c r="BA1145" s="172"/>
      <c r="BB1145" s="172"/>
      <c r="BC1145" s="172"/>
      <c r="BD1145" s="172"/>
      <c r="BE1145" s="172"/>
      <c r="BF1145" s="172"/>
      <c r="BG1145" s="172"/>
      <c r="BH1145" s="172"/>
      <c r="BI1145" s="172"/>
      <c r="BJ1145" s="172"/>
      <c r="BK1145" s="172"/>
      <c r="BL1145" s="172"/>
      <c r="BM1145" s="172"/>
      <c r="BN1145" s="172"/>
      <c r="BO1145" s="172"/>
      <c r="BP1145" s="172"/>
    </row>
    <row r="1146" spans="1:68" s="555" customFormat="1" ht="409.6">
      <c r="A1146" s="172"/>
      <c r="E1146" s="556"/>
      <c r="F1146" s="1334"/>
      <c r="I1146" s="382"/>
      <c r="J1146" s="172"/>
      <c r="K1146" s="1189"/>
      <c r="P1146" s="643"/>
      <c r="AT1146" s="172"/>
      <c r="AU1146" s="172"/>
      <c r="AV1146" s="172"/>
      <c r="AW1146" s="172"/>
      <c r="AX1146" s="172"/>
      <c r="AY1146" s="172"/>
      <c r="AZ1146" s="172"/>
      <c r="BA1146" s="172"/>
      <c r="BB1146" s="172"/>
      <c r="BC1146" s="172"/>
      <c r="BD1146" s="172"/>
      <c r="BE1146" s="172"/>
      <c r="BF1146" s="172"/>
      <c r="BG1146" s="172"/>
      <c r="BH1146" s="172"/>
      <c r="BI1146" s="172"/>
      <c r="BJ1146" s="172"/>
      <c r="BK1146" s="172"/>
      <c r="BL1146" s="172"/>
      <c r="BM1146" s="172"/>
      <c r="BN1146" s="172"/>
      <c r="BO1146" s="172"/>
      <c r="BP1146" s="172"/>
    </row>
    <row r="1147" spans="1:68" s="555" customFormat="1" ht="409.6">
      <c r="A1147" s="172"/>
      <c r="E1147" s="556"/>
      <c r="F1147" s="1334"/>
      <c r="I1147" s="382"/>
      <c r="J1147" s="172"/>
      <c r="K1147" s="1189"/>
      <c r="P1147" s="643"/>
      <c r="AT1147" s="172"/>
      <c r="AU1147" s="172"/>
      <c r="AV1147" s="172"/>
      <c r="AW1147" s="172"/>
      <c r="AX1147" s="172"/>
      <c r="AY1147" s="172"/>
      <c r="AZ1147" s="172"/>
      <c r="BA1147" s="172"/>
      <c r="BB1147" s="172"/>
      <c r="BC1147" s="172"/>
      <c r="BD1147" s="172"/>
      <c r="BE1147" s="172"/>
      <c r="BF1147" s="172"/>
      <c r="BG1147" s="172"/>
      <c r="BH1147" s="172"/>
      <c r="BI1147" s="172"/>
      <c r="BJ1147" s="172"/>
      <c r="BK1147" s="172"/>
      <c r="BL1147" s="172"/>
      <c r="BM1147" s="172"/>
      <c r="BN1147" s="172"/>
      <c r="BO1147" s="172"/>
      <c r="BP1147" s="172"/>
    </row>
    <row r="1148" spans="1:68" s="555" customFormat="1" ht="409.6">
      <c r="A1148" s="172"/>
      <c r="E1148" s="556"/>
      <c r="F1148" s="1334"/>
      <c r="I1148" s="382"/>
      <c r="J1148" s="172"/>
      <c r="K1148" s="1189"/>
      <c r="P1148" s="643"/>
      <c r="AT1148" s="172"/>
      <c r="AU1148" s="172"/>
      <c r="AV1148" s="172"/>
      <c r="AW1148" s="172"/>
      <c r="AX1148" s="172"/>
      <c r="AY1148" s="172"/>
      <c r="AZ1148" s="172"/>
      <c r="BA1148" s="172"/>
      <c r="BB1148" s="172"/>
      <c r="BC1148" s="172"/>
      <c r="BD1148" s="172"/>
      <c r="BE1148" s="172"/>
      <c r="BF1148" s="172"/>
      <c r="BG1148" s="172"/>
      <c r="BH1148" s="172"/>
      <c r="BI1148" s="172"/>
      <c r="BJ1148" s="172"/>
      <c r="BK1148" s="172"/>
      <c r="BL1148" s="172"/>
      <c r="BM1148" s="172"/>
      <c r="BN1148" s="172"/>
      <c r="BO1148" s="172"/>
      <c r="BP1148" s="172"/>
    </row>
    <row r="1149" spans="1:68" s="555" customFormat="1" ht="409.6">
      <c r="A1149" s="172"/>
      <c r="E1149" s="556"/>
      <c r="F1149" s="1334"/>
      <c r="I1149" s="382"/>
      <c r="J1149" s="172"/>
      <c r="K1149" s="1189"/>
      <c r="P1149" s="643"/>
      <c r="AT1149" s="172"/>
      <c r="AU1149" s="172"/>
      <c r="AV1149" s="172"/>
      <c r="AW1149" s="172"/>
      <c r="AX1149" s="172"/>
      <c r="AY1149" s="172"/>
      <c r="AZ1149" s="172"/>
      <c r="BA1149" s="172"/>
      <c r="BB1149" s="172"/>
      <c r="BC1149" s="172"/>
      <c r="BD1149" s="172"/>
      <c r="BE1149" s="172"/>
      <c r="BF1149" s="172"/>
      <c r="BG1149" s="172"/>
      <c r="BH1149" s="172"/>
      <c r="BI1149" s="172"/>
      <c r="BJ1149" s="172"/>
      <c r="BK1149" s="172"/>
      <c r="BL1149" s="172"/>
      <c r="BM1149" s="172"/>
      <c r="BN1149" s="172"/>
      <c r="BO1149" s="172"/>
      <c r="BP1149" s="172"/>
    </row>
    <row r="1150" spans="1:68" s="555" customFormat="1" ht="409.6">
      <c r="A1150" s="172"/>
      <c r="E1150" s="556"/>
      <c r="F1150" s="1334"/>
      <c r="I1150" s="382"/>
      <c r="J1150" s="172"/>
      <c r="K1150" s="1189"/>
      <c r="P1150" s="643"/>
      <c r="AT1150" s="172"/>
      <c r="AU1150" s="172"/>
      <c r="AV1150" s="172"/>
      <c r="AW1150" s="172"/>
      <c r="AX1150" s="172"/>
      <c r="AY1150" s="172"/>
      <c r="AZ1150" s="172"/>
      <c r="BA1150" s="172"/>
      <c r="BB1150" s="172"/>
      <c r="BC1150" s="172"/>
      <c r="BD1150" s="172"/>
      <c r="BE1150" s="172"/>
      <c r="BF1150" s="172"/>
      <c r="BG1150" s="172"/>
      <c r="BH1150" s="172"/>
      <c r="BI1150" s="172"/>
      <c r="BJ1150" s="172"/>
      <c r="BK1150" s="172"/>
      <c r="BL1150" s="172"/>
      <c r="BM1150" s="172"/>
      <c r="BN1150" s="172"/>
      <c r="BO1150" s="172"/>
      <c r="BP1150" s="172"/>
    </row>
    <row r="1151" spans="1:68" s="555" customFormat="1" ht="409.6">
      <c r="A1151" s="172"/>
      <c r="E1151" s="556"/>
      <c r="F1151" s="1334"/>
      <c r="I1151" s="382"/>
      <c r="J1151" s="172"/>
      <c r="K1151" s="1189"/>
      <c r="P1151" s="643"/>
      <c r="AT1151" s="172"/>
      <c r="AU1151" s="172"/>
      <c r="AV1151" s="172"/>
      <c r="AW1151" s="172"/>
      <c r="AX1151" s="172"/>
      <c r="AY1151" s="172"/>
      <c r="AZ1151" s="172"/>
      <c r="BA1151" s="172"/>
      <c r="BB1151" s="172"/>
      <c r="BC1151" s="172"/>
      <c r="BD1151" s="172"/>
      <c r="BE1151" s="172"/>
      <c r="BF1151" s="172"/>
      <c r="BG1151" s="172"/>
      <c r="BH1151" s="172"/>
      <c r="BI1151" s="172"/>
      <c r="BJ1151" s="172"/>
      <c r="BK1151" s="172"/>
      <c r="BL1151" s="172"/>
      <c r="BM1151" s="172"/>
      <c r="BN1151" s="172"/>
      <c r="BO1151" s="172"/>
      <c r="BP1151" s="172"/>
    </row>
    <row r="1152" spans="1:68" s="555" customFormat="1" ht="409.6">
      <c r="A1152" s="172"/>
      <c r="E1152" s="556"/>
      <c r="F1152" s="1334"/>
      <c r="I1152" s="382"/>
      <c r="J1152" s="172"/>
      <c r="K1152" s="1189"/>
      <c r="P1152" s="643"/>
      <c r="AT1152" s="172"/>
      <c r="AU1152" s="172"/>
      <c r="AV1152" s="172"/>
      <c r="AW1152" s="172"/>
      <c r="AX1152" s="172"/>
      <c r="AY1152" s="172"/>
      <c r="AZ1152" s="172"/>
      <c r="BA1152" s="172"/>
      <c r="BB1152" s="172"/>
      <c r="BC1152" s="172"/>
      <c r="BD1152" s="172"/>
      <c r="BE1152" s="172"/>
      <c r="BF1152" s="172"/>
      <c r="BG1152" s="172"/>
      <c r="BH1152" s="172"/>
      <c r="BI1152" s="172"/>
      <c r="BJ1152" s="172"/>
      <c r="BK1152" s="172"/>
      <c r="BL1152" s="172"/>
      <c r="BM1152" s="172"/>
      <c r="BN1152" s="172"/>
      <c r="BO1152" s="172"/>
      <c r="BP1152" s="172"/>
    </row>
    <row r="1153" spans="1:68" s="555" customFormat="1" ht="409.6">
      <c r="A1153" s="172"/>
      <c r="E1153" s="556"/>
      <c r="F1153" s="1334"/>
      <c r="I1153" s="382"/>
      <c r="J1153" s="172"/>
      <c r="K1153" s="1189"/>
      <c r="P1153" s="643"/>
      <c r="AT1153" s="172"/>
      <c r="AU1153" s="172"/>
      <c r="AV1153" s="172"/>
      <c r="AW1153" s="172"/>
      <c r="AX1153" s="172"/>
      <c r="AY1153" s="172"/>
      <c r="AZ1153" s="172"/>
      <c r="BA1153" s="172"/>
      <c r="BB1153" s="172"/>
      <c r="BC1153" s="172"/>
      <c r="BD1153" s="172"/>
      <c r="BE1153" s="172"/>
      <c r="BF1153" s="172"/>
      <c r="BG1153" s="172"/>
      <c r="BH1153" s="172"/>
      <c r="BI1153" s="172"/>
      <c r="BJ1153" s="172"/>
      <c r="BK1153" s="172"/>
      <c r="BL1153" s="172"/>
      <c r="BM1153" s="172"/>
      <c r="BN1153" s="172"/>
      <c r="BO1153" s="172"/>
      <c r="BP1153" s="172"/>
    </row>
    <row r="1154" spans="1:68" s="555" customFormat="1" ht="409.6">
      <c r="A1154" s="172"/>
      <c r="E1154" s="556"/>
      <c r="F1154" s="1334"/>
      <c r="I1154" s="382"/>
      <c r="J1154" s="172"/>
      <c r="K1154" s="1189"/>
      <c r="P1154" s="643"/>
      <c r="AT1154" s="172"/>
      <c r="AU1154" s="172"/>
      <c r="AV1154" s="172"/>
      <c r="AW1154" s="172"/>
      <c r="AX1154" s="172"/>
      <c r="AY1154" s="172"/>
      <c r="AZ1154" s="172"/>
      <c r="BA1154" s="172"/>
      <c r="BB1154" s="172"/>
      <c r="BC1154" s="172"/>
      <c r="BD1154" s="172"/>
      <c r="BE1154" s="172"/>
      <c r="BF1154" s="172"/>
      <c r="BG1154" s="172"/>
      <c r="BH1154" s="172"/>
      <c r="BI1154" s="172"/>
      <c r="BJ1154" s="172"/>
      <c r="BK1154" s="172"/>
      <c r="BL1154" s="172"/>
      <c r="BM1154" s="172"/>
      <c r="BN1154" s="172"/>
      <c r="BO1154" s="172"/>
      <c r="BP1154" s="172"/>
    </row>
    <row r="1155" spans="1:68" s="555" customFormat="1" ht="409.6">
      <c r="A1155" s="172"/>
      <c r="E1155" s="556"/>
      <c r="F1155" s="1334"/>
      <c r="I1155" s="382"/>
      <c r="J1155" s="172"/>
      <c r="K1155" s="1189"/>
      <c r="P1155" s="643"/>
      <c r="AT1155" s="172"/>
      <c r="AU1155" s="172"/>
      <c r="AV1155" s="172"/>
      <c r="AW1155" s="172"/>
      <c r="AX1155" s="172"/>
      <c r="AY1155" s="172"/>
      <c r="AZ1155" s="172"/>
      <c r="BA1155" s="172"/>
      <c r="BB1155" s="172"/>
      <c r="BC1155" s="172"/>
      <c r="BD1155" s="172"/>
      <c r="BE1155" s="172"/>
      <c r="BF1155" s="172"/>
      <c r="BG1155" s="172"/>
      <c r="BH1155" s="172"/>
      <c r="BI1155" s="172"/>
      <c r="BJ1155" s="172"/>
      <c r="BK1155" s="172"/>
      <c r="BL1155" s="172"/>
      <c r="BM1155" s="172"/>
      <c r="BN1155" s="172"/>
      <c r="BO1155" s="172"/>
      <c r="BP1155" s="172"/>
    </row>
    <row r="1156" spans="1:68" s="555" customFormat="1" ht="409.6">
      <c r="A1156" s="172"/>
      <c r="E1156" s="556"/>
      <c r="F1156" s="1334"/>
      <c r="I1156" s="382"/>
      <c r="J1156" s="172"/>
      <c r="K1156" s="1189"/>
      <c r="P1156" s="643"/>
      <c r="AT1156" s="172"/>
      <c r="AU1156" s="172"/>
      <c r="AV1156" s="172"/>
      <c r="AW1156" s="172"/>
      <c r="AX1156" s="172"/>
      <c r="AY1156" s="172"/>
      <c r="AZ1156" s="172"/>
      <c r="BA1156" s="172"/>
      <c r="BB1156" s="172"/>
      <c r="BC1156" s="172"/>
      <c r="BD1156" s="172"/>
      <c r="BE1156" s="172"/>
      <c r="BF1156" s="172"/>
      <c r="BG1156" s="172"/>
      <c r="BH1156" s="172"/>
      <c r="BI1156" s="172"/>
      <c r="BJ1156" s="172"/>
      <c r="BK1156" s="172"/>
      <c r="BL1156" s="172"/>
      <c r="BM1156" s="172"/>
      <c r="BN1156" s="172"/>
      <c r="BO1156" s="172"/>
      <c r="BP1156" s="172"/>
    </row>
    <row r="1157" spans="1:68" s="555" customFormat="1" ht="409.6">
      <c r="A1157" s="172"/>
      <c r="E1157" s="556"/>
      <c r="F1157" s="1334"/>
      <c r="I1157" s="382"/>
      <c r="J1157" s="172"/>
      <c r="K1157" s="1189"/>
      <c r="P1157" s="643"/>
      <c r="AT1157" s="172"/>
      <c r="AU1157" s="172"/>
      <c r="AV1157" s="172"/>
      <c r="AW1157" s="172"/>
      <c r="AX1157" s="172"/>
      <c r="AY1157" s="172"/>
      <c r="AZ1157" s="172"/>
      <c r="BA1157" s="172"/>
      <c r="BB1157" s="172"/>
      <c r="BC1157" s="172"/>
      <c r="BD1157" s="172"/>
      <c r="BE1157" s="172"/>
      <c r="BF1157" s="172"/>
      <c r="BG1157" s="172"/>
      <c r="BH1157" s="172"/>
      <c r="BI1157" s="172"/>
      <c r="BJ1157" s="172"/>
      <c r="BK1157" s="172"/>
      <c r="BL1157" s="172"/>
      <c r="BM1157" s="172"/>
      <c r="BN1157" s="172"/>
      <c r="BO1157" s="172"/>
      <c r="BP1157" s="172"/>
    </row>
    <row r="1158" spans="1:68" s="555" customFormat="1" ht="409.6">
      <c r="A1158" s="172"/>
      <c r="E1158" s="556"/>
      <c r="F1158" s="1334"/>
      <c r="I1158" s="382"/>
      <c r="J1158" s="172"/>
      <c r="K1158" s="1189"/>
      <c r="P1158" s="643"/>
      <c r="AT1158" s="172"/>
      <c r="AU1158" s="172"/>
      <c r="AV1158" s="172"/>
      <c r="AW1158" s="172"/>
      <c r="AX1158" s="172"/>
      <c r="AY1158" s="172"/>
      <c r="AZ1158" s="172"/>
      <c r="BA1158" s="172"/>
      <c r="BB1158" s="172"/>
      <c r="BC1158" s="172"/>
      <c r="BD1158" s="172"/>
      <c r="BE1158" s="172"/>
      <c r="BF1158" s="172"/>
      <c r="BG1158" s="172"/>
      <c r="BH1158" s="172"/>
      <c r="BI1158" s="172"/>
      <c r="BJ1158" s="172"/>
      <c r="BK1158" s="172"/>
      <c r="BL1158" s="172"/>
      <c r="BM1158" s="172"/>
      <c r="BN1158" s="172"/>
      <c r="BO1158" s="172"/>
      <c r="BP1158" s="172"/>
    </row>
    <row r="1159" spans="1:68" s="555" customFormat="1" ht="409.6">
      <c r="A1159" s="172"/>
      <c r="E1159" s="556"/>
      <c r="F1159" s="1334"/>
      <c r="I1159" s="382"/>
      <c r="J1159" s="172"/>
      <c r="K1159" s="1189"/>
      <c r="P1159" s="643"/>
      <c r="AT1159" s="172"/>
      <c r="AU1159" s="172"/>
      <c r="AV1159" s="172"/>
      <c r="AW1159" s="172"/>
      <c r="AX1159" s="172"/>
      <c r="AY1159" s="172"/>
      <c r="AZ1159" s="172"/>
      <c r="BA1159" s="172"/>
      <c r="BB1159" s="172"/>
      <c r="BC1159" s="172"/>
      <c r="BD1159" s="172"/>
      <c r="BE1159" s="172"/>
      <c r="BF1159" s="172"/>
      <c r="BG1159" s="172"/>
      <c r="BH1159" s="172"/>
      <c r="BI1159" s="172"/>
      <c r="BJ1159" s="172"/>
      <c r="BK1159" s="172"/>
      <c r="BL1159" s="172"/>
      <c r="BM1159" s="172"/>
      <c r="BN1159" s="172"/>
      <c r="BO1159" s="172"/>
      <c r="BP1159" s="172"/>
    </row>
    <row r="1160" spans="1:68" s="555" customFormat="1" ht="409.6">
      <c r="A1160" s="172"/>
      <c r="E1160" s="556"/>
      <c r="F1160" s="1334"/>
      <c r="I1160" s="382"/>
      <c r="J1160" s="172"/>
      <c r="K1160" s="1189"/>
      <c r="P1160" s="643"/>
      <c r="AT1160" s="172"/>
      <c r="AU1160" s="172"/>
      <c r="AV1160" s="172"/>
      <c r="AW1160" s="172"/>
      <c r="AX1160" s="172"/>
      <c r="AY1160" s="172"/>
      <c r="AZ1160" s="172"/>
      <c r="BA1160" s="172"/>
      <c r="BB1160" s="172"/>
      <c r="BC1160" s="172"/>
      <c r="BD1160" s="172"/>
      <c r="BE1160" s="172"/>
      <c r="BF1160" s="172"/>
      <c r="BG1160" s="172"/>
      <c r="BH1160" s="172"/>
      <c r="BI1160" s="172"/>
      <c r="BJ1160" s="172"/>
      <c r="BK1160" s="172"/>
      <c r="BL1160" s="172"/>
      <c r="BM1160" s="172"/>
      <c r="BN1160" s="172"/>
      <c r="BO1160" s="172"/>
      <c r="BP1160" s="172"/>
    </row>
    <row r="1161" spans="1:68" s="555" customFormat="1" ht="409.6">
      <c r="A1161" s="172"/>
      <c r="E1161" s="556"/>
      <c r="F1161" s="1334"/>
      <c r="I1161" s="382"/>
      <c r="J1161" s="172"/>
      <c r="K1161" s="1189"/>
      <c r="P1161" s="643"/>
      <c r="AT1161" s="172"/>
      <c r="AU1161" s="172"/>
      <c r="AV1161" s="172"/>
      <c r="AW1161" s="172"/>
      <c r="AX1161" s="172"/>
      <c r="AY1161" s="172"/>
      <c r="AZ1161" s="172"/>
      <c r="BA1161" s="172"/>
      <c r="BB1161" s="172"/>
      <c r="BC1161" s="172"/>
      <c r="BD1161" s="172"/>
      <c r="BE1161" s="172"/>
      <c r="BF1161" s="172"/>
      <c r="BG1161" s="172"/>
      <c r="BH1161" s="172"/>
      <c r="BI1161" s="172"/>
      <c r="BJ1161" s="172"/>
      <c r="BK1161" s="172"/>
      <c r="BL1161" s="172"/>
      <c r="BM1161" s="172"/>
      <c r="BN1161" s="172"/>
      <c r="BO1161" s="172"/>
      <c r="BP1161" s="172"/>
    </row>
    <row r="1162" spans="1:68" s="555" customFormat="1" ht="409.6">
      <c r="A1162" s="172"/>
      <c r="E1162" s="556"/>
      <c r="F1162" s="1334"/>
      <c r="I1162" s="382"/>
      <c r="J1162" s="172"/>
      <c r="K1162" s="1189"/>
      <c r="P1162" s="643"/>
      <c r="AT1162" s="172"/>
      <c r="AU1162" s="172"/>
      <c r="AV1162" s="172"/>
      <c r="AW1162" s="172"/>
      <c r="AX1162" s="172"/>
      <c r="AY1162" s="172"/>
      <c r="AZ1162" s="172"/>
      <c r="BA1162" s="172"/>
      <c r="BB1162" s="172"/>
      <c r="BC1162" s="172"/>
      <c r="BD1162" s="172"/>
      <c r="BE1162" s="172"/>
      <c r="BF1162" s="172"/>
      <c r="BG1162" s="172"/>
      <c r="BH1162" s="172"/>
      <c r="BI1162" s="172"/>
      <c r="BJ1162" s="172"/>
      <c r="BK1162" s="172"/>
      <c r="BL1162" s="172"/>
      <c r="BM1162" s="172"/>
      <c r="BN1162" s="172"/>
      <c r="BO1162" s="172"/>
      <c r="BP1162" s="172"/>
    </row>
    <row r="1163" spans="1:68" s="555" customFormat="1" ht="409.6">
      <c r="A1163" s="172"/>
      <c r="E1163" s="556"/>
      <c r="F1163" s="1334"/>
      <c r="I1163" s="382"/>
      <c r="J1163" s="172"/>
      <c r="K1163" s="1189"/>
      <c r="P1163" s="643"/>
      <c r="AT1163" s="172"/>
      <c r="AU1163" s="172"/>
      <c r="AV1163" s="172"/>
      <c r="AW1163" s="172"/>
      <c r="AX1163" s="172"/>
      <c r="AY1163" s="172"/>
      <c r="AZ1163" s="172"/>
      <c r="BA1163" s="172"/>
      <c r="BB1163" s="172"/>
      <c r="BC1163" s="172"/>
      <c r="BD1163" s="172"/>
      <c r="BE1163" s="172"/>
      <c r="BF1163" s="172"/>
      <c r="BG1163" s="172"/>
      <c r="BH1163" s="172"/>
      <c r="BI1163" s="172"/>
      <c r="BJ1163" s="172"/>
      <c r="BK1163" s="172"/>
      <c r="BL1163" s="172"/>
      <c r="BM1163" s="172"/>
      <c r="BN1163" s="172"/>
      <c r="BO1163" s="172"/>
      <c r="BP1163" s="172"/>
    </row>
    <row r="1164" spans="1:68" s="555" customFormat="1" ht="409.6">
      <c r="A1164" s="172"/>
      <c r="E1164" s="556"/>
      <c r="F1164" s="1334"/>
      <c r="I1164" s="382"/>
      <c r="J1164" s="172"/>
      <c r="K1164" s="1189"/>
      <c r="P1164" s="643"/>
      <c r="AT1164" s="172"/>
      <c r="AU1164" s="172"/>
      <c r="AV1164" s="172"/>
      <c r="AW1164" s="172"/>
      <c r="AX1164" s="172"/>
      <c r="AY1164" s="172"/>
      <c r="AZ1164" s="172"/>
      <c r="BA1164" s="172"/>
      <c r="BB1164" s="172"/>
      <c r="BC1164" s="172"/>
      <c r="BD1164" s="172"/>
      <c r="BE1164" s="172"/>
      <c r="BF1164" s="172"/>
      <c r="BG1164" s="172"/>
      <c r="BH1164" s="172"/>
      <c r="BI1164" s="172"/>
      <c r="BJ1164" s="172"/>
      <c r="BK1164" s="172"/>
      <c r="BL1164" s="172"/>
      <c r="BM1164" s="172"/>
      <c r="BN1164" s="172"/>
      <c r="BO1164" s="172"/>
      <c r="BP1164" s="172"/>
    </row>
    <row r="1165" spans="1:68" s="555" customFormat="1" ht="409.6">
      <c r="A1165" s="172"/>
      <c r="E1165" s="556"/>
      <c r="F1165" s="1334"/>
      <c r="I1165" s="382"/>
      <c r="J1165" s="172"/>
      <c r="K1165" s="1189"/>
      <c r="P1165" s="643"/>
      <c r="AT1165" s="172"/>
      <c r="AU1165" s="172"/>
      <c r="AV1165" s="172"/>
      <c r="AW1165" s="172"/>
      <c r="AX1165" s="172"/>
      <c r="AY1165" s="172"/>
      <c r="AZ1165" s="172"/>
      <c r="BA1165" s="172"/>
      <c r="BB1165" s="172"/>
      <c r="BC1165" s="172"/>
      <c r="BD1165" s="172"/>
      <c r="BE1165" s="172"/>
      <c r="BF1165" s="172"/>
      <c r="BG1165" s="172"/>
      <c r="BH1165" s="172"/>
      <c r="BI1165" s="172"/>
      <c r="BJ1165" s="172"/>
      <c r="BK1165" s="172"/>
      <c r="BL1165" s="172"/>
      <c r="BM1165" s="172"/>
      <c r="BN1165" s="172"/>
      <c r="BO1165" s="172"/>
      <c r="BP1165" s="172"/>
    </row>
    <row r="1166" spans="1:68" s="555" customFormat="1" ht="409.6">
      <c r="A1166" s="172"/>
      <c r="E1166" s="556"/>
      <c r="F1166" s="1334"/>
      <c r="I1166" s="382"/>
      <c r="J1166" s="172"/>
      <c r="K1166" s="1189"/>
      <c r="P1166" s="643"/>
      <c r="AT1166" s="172"/>
      <c r="AU1166" s="172"/>
      <c r="AV1166" s="172"/>
      <c r="AW1166" s="172"/>
      <c r="AX1166" s="172"/>
      <c r="AY1166" s="172"/>
      <c r="AZ1166" s="172"/>
      <c r="BA1166" s="172"/>
      <c r="BB1166" s="172"/>
      <c r="BC1166" s="172"/>
      <c r="BD1166" s="172"/>
      <c r="BE1166" s="172"/>
      <c r="BF1166" s="172"/>
      <c r="BG1166" s="172"/>
      <c r="BH1166" s="172"/>
      <c r="BI1166" s="172"/>
      <c r="BJ1166" s="172"/>
      <c r="BK1166" s="172"/>
      <c r="BL1166" s="172"/>
      <c r="BM1166" s="172"/>
      <c r="BN1166" s="172"/>
      <c r="BO1166" s="172"/>
      <c r="BP1166" s="172"/>
    </row>
    <row r="1167" spans="1:68" s="555" customFormat="1" ht="409.6">
      <c r="A1167" s="172"/>
      <c r="E1167" s="556"/>
      <c r="F1167" s="1334"/>
      <c r="I1167" s="382"/>
      <c r="J1167" s="172"/>
      <c r="K1167" s="1189"/>
      <c r="P1167" s="643"/>
      <c r="AT1167" s="172"/>
      <c r="AU1167" s="172"/>
      <c r="AV1167" s="172"/>
      <c r="AW1167" s="172"/>
      <c r="AX1167" s="172"/>
      <c r="AY1167" s="172"/>
      <c r="AZ1167" s="172"/>
      <c r="BA1167" s="172"/>
      <c r="BB1167" s="172"/>
      <c r="BC1167" s="172"/>
      <c r="BD1167" s="172"/>
      <c r="BE1167" s="172"/>
      <c r="BF1167" s="172"/>
      <c r="BG1167" s="172"/>
      <c r="BH1167" s="172"/>
      <c r="BI1167" s="172"/>
      <c r="BJ1167" s="172"/>
      <c r="BK1167" s="172"/>
      <c r="BL1167" s="172"/>
      <c r="BM1167" s="172"/>
      <c r="BN1167" s="172"/>
      <c r="BO1167" s="172"/>
      <c r="BP1167" s="172"/>
    </row>
    <row r="1168" spans="1:68" s="555" customFormat="1" ht="409.6">
      <c r="A1168" s="172"/>
      <c r="E1168" s="556"/>
      <c r="F1168" s="1334"/>
      <c r="I1168" s="382"/>
      <c r="J1168" s="172"/>
      <c r="K1168" s="1189"/>
      <c r="P1168" s="643"/>
      <c r="AT1168" s="172"/>
      <c r="AU1168" s="172"/>
      <c r="AV1168" s="172"/>
      <c r="AW1168" s="172"/>
      <c r="AX1168" s="172"/>
      <c r="AY1168" s="172"/>
      <c r="AZ1168" s="172"/>
      <c r="BA1168" s="172"/>
      <c r="BB1168" s="172"/>
      <c r="BC1168" s="172"/>
      <c r="BD1168" s="172"/>
      <c r="BE1168" s="172"/>
      <c r="BF1168" s="172"/>
      <c r="BG1168" s="172"/>
      <c r="BH1168" s="172"/>
      <c r="BI1168" s="172"/>
      <c r="BJ1168" s="172"/>
      <c r="BK1168" s="172"/>
      <c r="BL1168" s="172"/>
      <c r="BM1168" s="172"/>
      <c r="BN1168" s="172"/>
      <c r="BO1168" s="172"/>
      <c r="BP1168" s="172"/>
    </row>
    <row r="1169" spans="1:68" s="555" customFormat="1" ht="409.6">
      <c r="A1169" s="172"/>
      <c r="E1169" s="556"/>
      <c r="F1169" s="1334"/>
      <c r="I1169" s="382"/>
      <c r="J1169" s="172"/>
      <c r="K1169" s="1189"/>
      <c r="P1169" s="643"/>
      <c r="AT1169" s="172"/>
      <c r="AU1169" s="172"/>
      <c r="AV1169" s="172"/>
      <c r="AW1169" s="172"/>
      <c r="AX1169" s="172"/>
      <c r="AY1169" s="172"/>
      <c r="AZ1169" s="172"/>
      <c r="BA1169" s="172"/>
      <c r="BB1169" s="172"/>
      <c r="BC1169" s="172"/>
      <c r="BD1169" s="172"/>
      <c r="BE1169" s="172"/>
      <c r="BF1169" s="172"/>
      <c r="BG1169" s="172"/>
      <c r="BH1169" s="172"/>
      <c r="BI1169" s="172"/>
      <c r="BJ1169" s="172"/>
      <c r="BK1169" s="172"/>
      <c r="BL1169" s="172"/>
      <c r="BM1169" s="172"/>
      <c r="BN1169" s="172"/>
      <c r="BO1169" s="172"/>
      <c r="BP1169" s="172"/>
    </row>
    <row r="1170" spans="1:68" s="555" customFormat="1" ht="409.6">
      <c r="A1170" s="172"/>
      <c r="E1170" s="556"/>
      <c r="F1170" s="1334"/>
      <c r="I1170" s="382"/>
      <c r="J1170" s="172"/>
      <c r="K1170" s="1189"/>
      <c r="P1170" s="643"/>
      <c r="AT1170" s="172"/>
      <c r="AU1170" s="172"/>
      <c r="AV1170" s="172"/>
      <c r="AW1170" s="172"/>
      <c r="AX1170" s="172"/>
      <c r="AY1170" s="172"/>
      <c r="AZ1170" s="172"/>
      <c r="BA1170" s="172"/>
      <c r="BB1170" s="172"/>
      <c r="BC1170" s="172"/>
      <c r="BD1170" s="172"/>
      <c r="BE1170" s="172"/>
      <c r="BF1170" s="172"/>
      <c r="BG1170" s="172"/>
      <c r="BH1170" s="172"/>
      <c r="BI1170" s="172"/>
      <c r="BJ1170" s="172"/>
      <c r="BK1170" s="172"/>
      <c r="BL1170" s="172"/>
      <c r="BM1170" s="172"/>
      <c r="BN1170" s="172"/>
      <c r="BO1170" s="172"/>
      <c r="BP1170" s="172"/>
    </row>
    <row r="1171" spans="1:68" s="555" customFormat="1" ht="409.6">
      <c r="A1171" s="172"/>
      <c r="E1171" s="556"/>
      <c r="F1171" s="1334"/>
      <c r="I1171" s="382"/>
      <c r="J1171" s="172"/>
      <c r="K1171" s="1189"/>
      <c r="P1171" s="643"/>
      <c r="AT1171" s="172"/>
      <c r="AU1171" s="172"/>
      <c r="AV1171" s="172"/>
      <c r="AW1171" s="172"/>
      <c r="AX1171" s="172"/>
      <c r="AY1171" s="172"/>
      <c r="AZ1171" s="172"/>
      <c r="BA1171" s="172"/>
      <c r="BB1171" s="172"/>
      <c r="BC1171" s="172"/>
      <c r="BD1171" s="172"/>
      <c r="BE1171" s="172"/>
      <c r="BF1171" s="172"/>
      <c r="BG1171" s="172"/>
      <c r="BH1171" s="172"/>
      <c r="BI1171" s="172"/>
      <c r="BJ1171" s="172"/>
      <c r="BK1171" s="172"/>
      <c r="BL1171" s="172"/>
      <c r="BM1171" s="172"/>
      <c r="BN1171" s="172"/>
      <c r="BO1171" s="172"/>
      <c r="BP1171" s="172"/>
    </row>
    <row r="1172" spans="1:68" s="555" customFormat="1" ht="409.6">
      <c r="A1172" s="172"/>
      <c r="E1172" s="556"/>
      <c r="F1172" s="1334"/>
      <c r="I1172" s="382"/>
      <c r="J1172" s="172"/>
      <c r="K1172" s="1189"/>
      <c r="P1172" s="643"/>
      <c r="AT1172" s="172"/>
      <c r="AU1172" s="172"/>
      <c r="AV1172" s="172"/>
      <c r="AW1172" s="172"/>
      <c r="AX1172" s="172"/>
      <c r="AY1172" s="172"/>
      <c r="AZ1172" s="172"/>
      <c r="BA1172" s="172"/>
      <c r="BB1172" s="172"/>
      <c r="BC1172" s="172"/>
      <c r="BD1172" s="172"/>
      <c r="BE1172" s="172"/>
      <c r="BF1172" s="172"/>
      <c r="BG1172" s="172"/>
      <c r="BH1172" s="172"/>
      <c r="BI1172" s="172"/>
      <c r="BJ1172" s="172"/>
      <c r="BK1172" s="172"/>
      <c r="BL1172" s="172"/>
      <c r="BM1172" s="172"/>
      <c r="BN1172" s="172"/>
      <c r="BO1172" s="172"/>
      <c r="BP1172" s="172"/>
    </row>
    <row r="1173" spans="1:68" s="555" customFormat="1" ht="409.6">
      <c r="A1173" s="172"/>
      <c r="E1173" s="556"/>
      <c r="F1173" s="1334"/>
      <c r="I1173" s="382"/>
      <c r="J1173" s="172"/>
      <c r="K1173" s="1189"/>
      <c r="P1173" s="643"/>
      <c r="AT1173" s="172"/>
      <c r="AU1173" s="172"/>
      <c r="AV1173" s="172"/>
      <c r="AW1173" s="172"/>
      <c r="AX1173" s="172"/>
      <c r="AY1173" s="172"/>
      <c r="AZ1173" s="172"/>
      <c r="BA1173" s="172"/>
      <c r="BB1173" s="172"/>
      <c r="BC1173" s="172"/>
      <c r="BD1173" s="172"/>
      <c r="BE1173" s="172"/>
      <c r="BF1173" s="172"/>
      <c r="BG1173" s="172"/>
      <c r="BH1173" s="172"/>
      <c r="BI1173" s="172"/>
      <c r="BJ1173" s="172"/>
      <c r="BK1173" s="172"/>
      <c r="BL1173" s="172"/>
      <c r="BM1173" s="172"/>
      <c r="BN1173" s="172"/>
      <c r="BO1173" s="172"/>
      <c r="BP1173" s="172"/>
    </row>
    <row r="1174" spans="1:68" s="555" customFormat="1" ht="409.6">
      <c r="A1174" s="172"/>
      <c r="E1174" s="556"/>
      <c r="F1174" s="1334"/>
      <c r="I1174" s="382"/>
      <c r="J1174" s="172"/>
      <c r="K1174" s="1189"/>
      <c r="P1174" s="643"/>
      <c r="AT1174" s="172"/>
      <c r="AU1174" s="172"/>
      <c r="AV1174" s="172"/>
      <c r="AW1174" s="172"/>
      <c r="AX1174" s="172"/>
      <c r="AY1174" s="172"/>
      <c r="AZ1174" s="172"/>
      <c r="BA1174" s="172"/>
      <c r="BB1174" s="172"/>
      <c r="BC1174" s="172"/>
      <c r="BD1174" s="172"/>
      <c r="BE1174" s="172"/>
      <c r="BF1174" s="172"/>
      <c r="BG1174" s="172"/>
      <c r="BH1174" s="172"/>
      <c r="BI1174" s="172"/>
      <c r="BJ1174" s="172"/>
      <c r="BK1174" s="172"/>
      <c r="BL1174" s="172"/>
      <c r="BM1174" s="172"/>
      <c r="BN1174" s="172"/>
      <c r="BO1174" s="172"/>
      <c r="BP1174" s="172"/>
    </row>
    <row r="1175" spans="1:68" s="555" customFormat="1" ht="409.6">
      <c r="A1175" s="172"/>
      <c r="E1175" s="556"/>
      <c r="F1175" s="1334"/>
      <c r="I1175" s="382"/>
      <c r="J1175" s="172"/>
      <c r="K1175" s="1189"/>
      <c r="P1175" s="643"/>
      <c r="AT1175" s="172"/>
      <c r="AU1175" s="172"/>
      <c r="AV1175" s="172"/>
      <c r="AW1175" s="172"/>
      <c r="AX1175" s="172"/>
      <c r="AY1175" s="172"/>
      <c r="AZ1175" s="172"/>
      <c r="BA1175" s="172"/>
      <c r="BB1175" s="172"/>
      <c r="BC1175" s="172"/>
      <c r="BD1175" s="172"/>
      <c r="BE1175" s="172"/>
      <c r="BF1175" s="172"/>
      <c r="BG1175" s="172"/>
      <c r="BH1175" s="172"/>
      <c r="BI1175" s="172"/>
      <c r="BJ1175" s="172"/>
      <c r="BK1175" s="172"/>
      <c r="BL1175" s="172"/>
      <c r="BM1175" s="172"/>
      <c r="BN1175" s="172"/>
      <c r="BO1175" s="172"/>
      <c r="BP1175" s="172"/>
    </row>
    <row r="1176" spans="1:68" s="555" customFormat="1" ht="409.6">
      <c r="A1176" s="172"/>
      <c r="E1176" s="556"/>
      <c r="F1176" s="1334"/>
      <c r="I1176" s="382"/>
      <c r="J1176" s="172"/>
      <c r="K1176" s="1189"/>
      <c r="P1176" s="643"/>
      <c r="AT1176" s="172"/>
      <c r="AU1176" s="172"/>
      <c r="AV1176" s="172"/>
      <c r="AW1176" s="172"/>
      <c r="AX1176" s="172"/>
      <c r="AY1176" s="172"/>
      <c r="AZ1176" s="172"/>
      <c r="BA1176" s="172"/>
      <c r="BB1176" s="172"/>
      <c r="BC1176" s="172"/>
      <c r="BD1176" s="172"/>
      <c r="BE1176" s="172"/>
      <c r="BF1176" s="172"/>
      <c r="BG1176" s="172"/>
      <c r="BH1176" s="172"/>
      <c r="BI1176" s="172"/>
      <c r="BJ1176" s="172"/>
      <c r="BK1176" s="172"/>
      <c r="BL1176" s="172"/>
      <c r="BM1176" s="172"/>
      <c r="BN1176" s="172"/>
      <c r="BO1176" s="172"/>
      <c r="BP1176" s="172"/>
    </row>
    <row r="1177" spans="1:68" s="555" customFormat="1" ht="409.6">
      <c r="A1177" s="172"/>
      <c r="E1177" s="556"/>
      <c r="F1177" s="1334"/>
      <c r="I1177" s="382"/>
      <c r="J1177" s="172"/>
      <c r="K1177" s="1189"/>
      <c r="P1177" s="643"/>
      <c r="AT1177" s="172"/>
      <c r="AU1177" s="172"/>
      <c r="AV1177" s="172"/>
      <c r="AW1177" s="172"/>
      <c r="AX1177" s="172"/>
      <c r="AY1177" s="172"/>
      <c r="AZ1177" s="172"/>
      <c r="BA1177" s="172"/>
      <c r="BB1177" s="172"/>
      <c r="BC1177" s="172"/>
      <c r="BD1177" s="172"/>
      <c r="BE1177" s="172"/>
      <c r="BF1177" s="172"/>
      <c r="BG1177" s="172"/>
      <c r="BH1177" s="172"/>
      <c r="BI1177" s="172"/>
      <c r="BJ1177" s="172"/>
      <c r="BK1177" s="172"/>
      <c r="BL1177" s="172"/>
      <c r="BM1177" s="172"/>
      <c r="BN1177" s="172"/>
      <c r="BO1177" s="172"/>
      <c r="BP1177" s="172"/>
    </row>
    <row r="1178" spans="1:68" s="555" customFormat="1" ht="409.6">
      <c r="A1178" s="172"/>
      <c r="E1178" s="556"/>
      <c r="F1178" s="1334"/>
      <c r="I1178" s="382"/>
      <c r="J1178" s="172"/>
      <c r="K1178" s="1189"/>
      <c r="P1178" s="643"/>
      <c r="AT1178" s="172"/>
      <c r="AU1178" s="172"/>
      <c r="AV1178" s="172"/>
      <c r="AW1178" s="172"/>
      <c r="AX1178" s="172"/>
      <c r="AY1178" s="172"/>
      <c r="AZ1178" s="172"/>
      <c r="BA1178" s="172"/>
      <c r="BB1178" s="172"/>
      <c r="BC1178" s="172"/>
      <c r="BD1178" s="172"/>
      <c r="BE1178" s="172"/>
      <c r="BF1178" s="172"/>
      <c r="BG1178" s="172"/>
      <c r="BH1178" s="172"/>
      <c r="BI1178" s="172"/>
      <c r="BJ1178" s="172"/>
      <c r="BK1178" s="172"/>
      <c r="BL1178" s="172"/>
      <c r="BM1178" s="172"/>
      <c r="BN1178" s="172"/>
      <c r="BO1178" s="172"/>
      <c r="BP1178" s="172"/>
    </row>
    <row r="1179" spans="1:68" s="555" customFormat="1" ht="409.6">
      <c r="A1179" s="172"/>
      <c r="E1179" s="556"/>
      <c r="F1179" s="1334"/>
      <c r="I1179" s="382"/>
      <c r="J1179" s="172"/>
      <c r="K1179" s="1189"/>
      <c r="P1179" s="643"/>
      <c r="AT1179" s="172"/>
      <c r="AU1179" s="172"/>
      <c r="AV1179" s="172"/>
      <c r="AW1179" s="172"/>
      <c r="AX1179" s="172"/>
      <c r="AY1179" s="172"/>
      <c r="AZ1179" s="172"/>
      <c r="BA1179" s="172"/>
      <c r="BB1179" s="172"/>
      <c r="BC1179" s="172"/>
      <c r="BD1179" s="172"/>
      <c r="BE1179" s="172"/>
      <c r="BF1179" s="172"/>
      <c r="BG1179" s="172"/>
      <c r="BH1179" s="172"/>
      <c r="BI1179" s="172"/>
      <c r="BJ1179" s="172"/>
      <c r="BK1179" s="172"/>
      <c r="BL1179" s="172"/>
      <c r="BM1179" s="172"/>
      <c r="BN1179" s="172"/>
      <c r="BO1179" s="172"/>
      <c r="BP1179" s="172"/>
    </row>
    <row r="1180" spans="1:68" s="555" customFormat="1" ht="409.6">
      <c r="A1180" s="172"/>
      <c r="E1180" s="556"/>
      <c r="F1180" s="1334"/>
      <c r="I1180" s="382"/>
      <c r="J1180" s="172"/>
      <c r="K1180" s="1189"/>
      <c r="P1180" s="643"/>
      <c r="AT1180" s="172"/>
      <c r="AU1180" s="172"/>
      <c r="AV1180" s="172"/>
      <c r="AW1180" s="172"/>
      <c r="AX1180" s="172"/>
      <c r="AY1180" s="172"/>
      <c r="AZ1180" s="172"/>
      <c r="BA1180" s="172"/>
      <c r="BB1180" s="172"/>
      <c r="BC1180" s="172"/>
      <c r="BD1180" s="172"/>
      <c r="BE1180" s="172"/>
      <c r="BF1180" s="172"/>
      <c r="BG1180" s="172"/>
      <c r="BH1180" s="172"/>
      <c r="BI1180" s="172"/>
      <c r="BJ1180" s="172"/>
      <c r="BK1180" s="172"/>
      <c r="BL1180" s="172"/>
      <c r="BM1180" s="172"/>
      <c r="BN1180" s="172"/>
      <c r="BO1180" s="172"/>
      <c r="BP1180" s="172"/>
    </row>
    <row r="1181" spans="1:68" s="555" customFormat="1" ht="409.6">
      <c r="A1181" s="172"/>
      <c r="E1181" s="556"/>
      <c r="F1181" s="1334"/>
      <c r="I1181" s="382"/>
      <c r="J1181" s="172"/>
      <c r="K1181" s="1189"/>
      <c r="P1181" s="643"/>
      <c r="AT1181" s="172"/>
      <c r="AU1181" s="172"/>
      <c r="AV1181" s="172"/>
      <c r="AW1181" s="172"/>
      <c r="AX1181" s="172"/>
      <c r="AY1181" s="172"/>
      <c r="AZ1181" s="172"/>
      <c r="BA1181" s="172"/>
      <c r="BB1181" s="172"/>
      <c r="BC1181" s="172"/>
      <c r="BD1181" s="172"/>
      <c r="BE1181" s="172"/>
      <c r="BF1181" s="172"/>
      <c r="BG1181" s="172"/>
      <c r="BH1181" s="172"/>
      <c r="BI1181" s="172"/>
      <c r="BJ1181" s="172"/>
      <c r="BK1181" s="172"/>
      <c r="BL1181" s="172"/>
      <c r="BM1181" s="172"/>
      <c r="BN1181" s="172"/>
      <c r="BO1181" s="172"/>
      <c r="BP1181" s="172"/>
    </row>
    <row r="1182" spans="1:68" s="555" customFormat="1" ht="409.6">
      <c r="A1182" s="172"/>
      <c r="E1182" s="556"/>
      <c r="F1182" s="1334"/>
      <c r="I1182" s="382"/>
      <c r="J1182" s="172"/>
      <c r="K1182" s="1189"/>
      <c r="P1182" s="643"/>
      <c r="AT1182" s="172"/>
      <c r="AU1182" s="172"/>
      <c r="AV1182" s="172"/>
      <c r="AW1182" s="172"/>
      <c r="AX1182" s="172"/>
      <c r="AY1182" s="172"/>
      <c r="AZ1182" s="172"/>
      <c r="BA1182" s="172"/>
      <c r="BB1182" s="172"/>
      <c r="BC1182" s="172"/>
      <c r="BD1182" s="172"/>
      <c r="BE1182" s="172"/>
      <c r="BF1182" s="172"/>
      <c r="BG1182" s="172"/>
      <c r="BH1182" s="172"/>
      <c r="BI1182" s="172"/>
      <c r="BJ1182" s="172"/>
      <c r="BK1182" s="172"/>
      <c r="BL1182" s="172"/>
      <c r="BM1182" s="172"/>
      <c r="BN1182" s="172"/>
      <c r="BO1182" s="172"/>
      <c r="BP1182" s="172"/>
    </row>
    <row r="1183" spans="1:68" s="555" customFormat="1" ht="409.6">
      <c r="A1183" s="172"/>
      <c r="E1183" s="556"/>
      <c r="F1183" s="1334"/>
      <c r="I1183" s="382"/>
      <c r="J1183" s="172"/>
      <c r="K1183" s="1189"/>
      <c r="P1183" s="643"/>
      <c r="AT1183" s="172"/>
      <c r="AU1183" s="172"/>
      <c r="AV1183" s="172"/>
      <c r="AW1183" s="172"/>
      <c r="AX1183" s="172"/>
      <c r="AY1183" s="172"/>
      <c r="AZ1183" s="172"/>
      <c r="BA1183" s="172"/>
      <c r="BB1183" s="172"/>
      <c r="BC1183" s="172"/>
      <c r="BD1183" s="172"/>
      <c r="BE1183" s="172"/>
      <c r="BF1183" s="172"/>
      <c r="BG1183" s="172"/>
      <c r="BH1183" s="172"/>
      <c r="BI1183" s="172"/>
      <c r="BJ1183" s="172"/>
      <c r="BK1183" s="172"/>
      <c r="BL1183" s="172"/>
      <c r="BM1183" s="172"/>
      <c r="BN1183" s="172"/>
      <c r="BO1183" s="172"/>
      <c r="BP1183" s="172"/>
    </row>
    <row r="1184" spans="1:68" s="555" customFormat="1" ht="409.6">
      <c r="A1184" s="172"/>
      <c r="E1184" s="556"/>
      <c r="F1184" s="1334"/>
      <c r="I1184" s="382"/>
      <c r="J1184" s="172"/>
      <c r="K1184" s="1189"/>
      <c r="P1184" s="643"/>
      <c r="AT1184" s="172"/>
      <c r="AU1184" s="172"/>
      <c r="AV1184" s="172"/>
      <c r="AW1184" s="172"/>
      <c r="AX1184" s="172"/>
      <c r="AY1184" s="172"/>
      <c r="AZ1184" s="172"/>
      <c r="BA1184" s="172"/>
      <c r="BB1184" s="172"/>
      <c r="BC1184" s="172"/>
      <c r="BD1184" s="172"/>
      <c r="BE1184" s="172"/>
      <c r="BF1184" s="172"/>
      <c r="BG1184" s="172"/>
      <c r="BH1184" s="172"/>
      <c r="BI1184" s="172"/>
      <c r="BJ1184" s="172"/>
      <c r="BK1184" s="172"/>
      <c r="BL1184" s="172"/>
      <c r="BM1184" s="172"/>
      <c r="BN1184" s="172"/>
      <c r="BO1184" s="172"/>
      <c r="BP1184" s="172"/>
    </row>
    <row r="1185" spans="1:68" s="555" customFormat="1" ht="409.6">
      <c r="A1185" s="172"/>
      <c r="E1185" s="556"/>
      <c r="F1185" s="1334"/>
      <c r="I1185" s="382"/>
      <c r="J1185" s="172"/>
      <c r="K1185" s="1189"/>
      <c r="P1185" s="643"/>
      <c r="AT1185" s="172"/>
      <c r="AU1185" s="172"/>
      <c r="AV1185" s="172"/>
      <c r="AW1185" s="172"/>
      <c r="AX1185" s="172"/>
      <c r="AY1185" s="172"/>
      <c r="AZ1185" s="172"/>
      <c r="BA1185" s="172"/>
      <c r="BB1185" s="172"/>
      <c r="BC1185" s="172"/>
      <c r="BD1185" s="172"/>
      <c r="BE1185" s="172"/>
      <c r="BF1185" s="172"/>
      <c r="BG1185" s="172"/>
      <c r="BH1185" s="172"/>
      <c r="BI1185" s="172"/>
      <c r="BJ1185" s="172"/>
      <c r="BK1185" s="172"/>
      <c r="BL1185" s="172"/>
      <c r="BM1185" s="172"/>
      <c r="BN1185" s="172"/>
      <c r="BO1185" s="172"/>
      <c r="BP1185" s="172"/>
    </row>
    <row r="1186" spans="1:68" s="555" customFormat="1" ht="409.6">
      <c r="A1186" s="172"/>
      <c r="E1186" s="556"/>
      <c r="F1186" s="1334"/>
      <c r="I1186" s="382"/>
      <c r="J1186" s="172"/>
      <c r="K1186" s="1189"/>
      <c r="P1186" s="643"/>
      <c r="AT1186" s="172"/>
      <c r="AU1186" s="172"/>
      <c r="AV1186" s="172"/>
      <c r="AW1186" s="172"/>
      <c r="AX1186" s="172"/>
      <c r="AY1186" s="172"/>
      <c r="AZ1186" s="172"/>
      <c r="BA1186" s="172"/>
      <c r="BB1186" s="172"/>
      <c r="BC1186" s="172"/>
      <c r="BD1186" s="172"/>
      <c r="BE1186" s="172"/>
      <c r="BF1186" s="172"/>
      <c r="BG1186" s="172"/>
      <c r="BH1186" s="172"/>
      <c r="BI1186" s="172"/>
      <c r="BJ1186" s="172"/>
      <c r="BK1186" s="172"/>
      <c r="BL1186" s="172"/>
      <c r="BM1186" s="172"/>
      <c r="BN1186" s="172"/>
      <c r="BO1186" s="172"/>
      <c r="BP1186" s="172"/>
    </row>
    <row r="1187" spans="1:68" s="555" customFormat="1" ht="409.6">
      <c r="A1187" s="172"/>
      <c r="E1187" s="556"/>
      <c r="F1187" s="1334"/>
      <c r="I1187" s="382"/>
      <c r="J1187" s="172"/>
      <c r="K1187" s="1189"/>
      <c r="P1187" s="643"/>
      <c r="AT1187" s="172"/>
      <c r="AU1187" s="172"/>
      <c r="AV1187" s="172"/>
      <c r="AW1187" s="172"/>
      <c r="AX1187" s="172"/>
      <c r="AY1187" s="172"/>
      <c r="AZ1187" s="172"/>
      <c r="BA1187" s="172"/>
      <c r="BB1187" s="172"/>
      <c r="BC1187" s="172"/>
      <c r="BD1187" s="172"/>
      <c r="BE1187" s="172"/>
      <c r="BF1187" s="172"/>
      <c r="BG1187" s="172"/>
      <c r="BH1187" s="172"/>
      <c r="BI1187" s="172"/>
      <c r="BJ1187" s="172"/>
      <c r="BK1187" s="172"/>
      <c r="BL1187" s="172"/>
      <c r="BM1187" s="172"/>
      <c r="BN1187" s="172"/>
      <c r="BO1187" s="172"/>
      <c r="BP1187" s="172"/>
    </row>
    <row r="1188" spans="1:68" s="555" customFormat="1" ht="409.6">
      <c r="A1188" s="172"/>
      <c r="E1188" s="556"/>
      <c r="F1188" s="1334"/>
      <c r="I1188" s="382"/>
      <c r="J1188" s="172"/>
      <c r="K1188" s="1189"/>
      <c r="P1188" s="643"/>
      <c r="AT1188" s="172"/>
      <c r="AU1188" s="172"/>
      <c r="AV1188" s="172"/>
      <c r="AW1188" s="172"/>
      <c r="AX1188" s="172"/>
      <c r="AY1188" s="172"/>
      <c r="AZ1188" s="172"/>
      <c r="BA1188" s="172"/>
      <c r="BB1188" s="172"/>
      <c r="BC1188" s="172"/>
      <c r="BD1188" s="172"/>
      <c r="BE1188" s="172"/>
      <c r="BF1188" s="172"/>
      <c r="BG1188" s="172"/>
      <c r="BH1188" s="172"/>
      <c r="BI1188" s="172"/>
      <c r="BJ1188" s="172"/>
      <c r="BK1188" s="172"/>
      <c r="BL1188" s="172"/>
      <c r="BM1188" s="172"/>
      <c r="BN1188" s="172"/>
      <c r="BO1188" s="172"/>
      <c r="BP1188" s="172"/>
    </row>
    <row r="1189" spans="1:68" s="555" customFormat="1" ht="409.6">
      <c r="A1189" s="172"/>
      <c r="E1189" s="556"/>
      <c r="F1189" s="1334"/>
      <c r="I1189" s="382"/>
      <c r="J1189" s="172"/>
      <c r="K1189" s="1189"/>
      <c r="P1189" s="643"/>
      <c r="AT1189" s="172"/>
      <c r="AU1189" s="172"/>
      <c r="AV1189" s="172"/>
      <c r="AW1189" s="172"/>
      <c r="AX1189" s="172"/>
      <c r="AY1189" s="172"/>
      <c r="AZ1189" s="172"/>
      <c r="BA1189" s="172"/>
      <c r="BB1189" s="172"/>
      <c r="BC1189" s="172"/>
      <c r="BD1189" s="172"/>
      <c r="BE1189" s="172"/>
      <c r="BF1189" s="172"/>
      <c r="BG1189" s="172"/>
      <c r="BH1189" s="172"/>
      <c r="BI1189" s="172"/>
      <c r="BJ1189" s="172"/>
      <c r="BK1189" s="172"/>
      <c r="BL1189" s="172"/>
      <c r="BM1189" s="172"/>
      <c r="BN1189" s="172"/>
      <c r="BO1189" s="172"/>
      <c r="BP1189" s="172"/>
    </row>
    <row r="1190" spans="1:68" s="555" customFormat="1" ht="409.6">
      <c r="A1190" s="172"/>
      <c r="E1190" s="556"/>
      <c r="F1190" s="1334"/>
      <c r="I1190" s="382"/>
      <c r="J1190" s="172"/>
      <c r="K1190" s="1189"/>
      <c r="P1190" s="643"/>
      <c r="AT1190" s="172"/>
      <c r="AU1190" s="172"/>
      <c r="AV1190" s="172"/>
      <c r="AW1190" s="172"/>
      <c r="AX1190" s="172"/>
      <c r="AY1190" s="172"/>
      <c r="AZ1190" s="172"/>
      <c r="BA1190" s="172"/>
      <c r="BB1190" s="172"/>
      <c r="BC1190" s="172"/>
      <c r="BD1190" s="172"/>
      <c r="BE1190" s="172"/>
      <c r="BF1190" s="172"/>
      <c r="BG1190" s="172"/>
      <c r="BH1190" s="172"/>
      <c r="BI1190" s="172"/>
      <c r="BJ1190" s="172"/>
      <c r="BK1190" s="172"/>
      <c r="BL1190" s="172"/>
      <c r="BM1190" s="172"/>
      <c r="BN1190" s="172"/>
      <c r="BO1190" s="172"/>
      <c r="BP1190" s="172"/>
    </row>
    <row r="1191" spans="1:68" s="555" customFormat="1" ht="409.6">
      <c r="A1191" s="172"/>
      <c r="E1191" s="556"/>
      <c r="F1191" s="1334"/>
      <c r="I1191" s="382"/>
      <c r="J1191" s="172"/>
      <c r="K1191" s="1189"/>
      <c r="P1191" s="643"/>
      <c r="AT1191" s="172"/>
      <c r="AU1191" s="172"/>
      <c r="AV1191" s="172"/>
      <c r="AW1191" s="172"/>
      <c r="AX1191" s="172"/>
      <c r="AY1191" s="172"/>
      <c r="AZ1191" s="172"/>
      <c r="BA1191" s="172"/>
      <c r="BB1191" s="172"/>
      <c r="BC1191" s="172"/>
      <c r="BD1191" s="172"/>
      <c r="BE1191" s="172"/>
      <c r="BF1191" s="172"/>
      <c r="BG1191" s="172"/>
      <c r="BH1191" s="172"/>
      <c r="BI1191" s="172"/>
      <c r="BJ1191" s="172"/>
      <c r="BK1191" s="172"/>
      <c r="BL1191" s="172"/>
      <c r="BM1191" s="172"/>
      <c r="BN1191" s="172"/>
      <c r="BO1191" s="172"/>
      <c r="BP1191" s="172"/>
    </row>
    <row r="1192" spans="1:68" s="555" customFormat="1" ht="409.6">
      <c r="A1192" s="172"/>
      <c r="E1192" s="556"/>
      <c r="F1192" s="1334"/>
      <c r="I1192" s="382"/>
      <c r="J1192" s="172"/>
      <c r="K1192" s="1189"/>
      <c r="P1192" s="643"/>
      <c r="AT1192" s="172"/>
      <c r="AU1192" s="172"/>
      <c r="AV1192" s="172"/>
      <c r="AW1192" s="172"/>
      <c r="AX1192" s="172"/>
      <c r="AY1192" s="172"/>
      <c r="AZ1192" s="172"/>
      <c r="BA1192" s="172"/>
      <c r="BB1192" s="172"/>
      <c r="BC1192" s="172"/>
      <c r="BD1192" s="172"/>
      <c r="BE1192" s="172"/>
      <c r="BF1192" s="172"/>
      <c r="BG1192" s="172"/>
      <c r="BH1192" s="172"/>
      <c r="BI1192" s="172"/>
      <c r="BJ1192" s="172"/>
      <c r="BK1192" s="172"/>
      <c r="BL1192" s="172"/>
      <c r="BM1192" s="172"/>
      <c r="BN1192" s="172"/>
      <c r="BO1192" s="172"/>
      <c r="BP1192" s="172"/>
    </row>
    <row r="1193" spans="1:68" s="555" customFormat="1" ht="409.6">
      <c r="A1193" s="172"/>
      <c r="E1193" s="556"/>
      <c r="F1193" s="1334"/>
      <c r="I1193" s="382"/>
      <c r="J1193" s="172"/>
      <c r="K1193" s="1189"/>
      <c r="P1193" s="643"/>
      <c r="AT1193" s="172"/>
      <c r="AU1193" s="172"/>
      <c r="AV1193" s="172"/>
      <c r="AW1193" s="172"/>
      <c r="AX1193" s="172"/>
      <c r="AY1193" s="172"/>
      <c r="AZ1193" s="172"/>
      <c r="BA1193" s="172"/>
      <c r="BB1193" s="172"/>
      <c r="BC1193" s="172"/>
      <c r="BD1193" s="172"/>
      <c r="BE1193" s="172"/>
      <c r="BF1193" s="172"/>
      <c r="BG1193" s="172"/>
      <c r="BH1193" s="172"/>
      <c r="BI1193" s="172"/>
      <c r="BJ1193" s="172"/>
      <c r="BK1193" s="172"/>
      <c r="BL1193" s="172"/>
      <c r="BM1193" s="172"/>
      <c r="BN1193" s="172"/>
      <c r="BO1193" s="172"/>
      <c r="BP1193" s="172"/>
    </row>
    <row r="1194" spans="1:68" s="555" customFormat="1" ht="409.6">
      <c r="A1194" s="172"/>
      <c r="E1194" s="556"/>
      <c r="F1194" s="1334"/>
      <c r="I1194" s="382"/>
      <c r="J1194" s="172"/>
      <c r="K1194" s="1189"/>
      <c r="P1194" s="643"/>
      <c r="AT1194" s="172"/>
      <c r="AU1194" s="172"/>
      <c r="AV1194" s="172"/>
      <c r="AW1194" s="172"/>
      <c r="AX1194" s="172"/>
      <c r="AY1194" s="172"/>
      <c r="AZ1194" s="172"/>
      <c r="BA1194" s="172"/>
      <c r="BB1194" s="172"/>
      <c r="BC1194" s="172"/>
      <c r="BD1194" s="172"/>
      <c r="BE1194" s="172"/>
      <c r="BF1194" s="172"/>
      <c r="BG1194" s="172"/>
      <c r="BH1194" s="172"/>
      <c r="BI1194" s="172"/>
      <c r="BJ1194" s="172"/>
      <c r="BK1194" s="172"/>
      <c r="BL1194" s="172"/>
      <c r="BM1194" s="172"/>
      <c r="BN1194" s="172"/>
      <c r="BO1194" s="172"/>
      <c r="BP1194" s="172"/>
    </row>
    <row r="1195" spans="1:68" s="555" customFormat="1" ht="409.6">
      <c r="A1195" s="172"/>
      <c r="E1195" s="556"/>
      <c r="F1195" s="1334"/>
      <c r="I1195" s="382"/>
      <c r="J1195" s="172"/>
      <c r="K1195" s="1189"/>
      <c r="P1195" s="643"/>
      <c r="AT1195" s="172"/>
      <c r="AU1195" s="172"/>
      <c r="AV1195" s="172"/>
      <c r="AW1195" s="172"/>
      <c r="AX1195" s="172"/>
      <c r="AY1195" s="172"/>
      <c r="AZ1195" s="172"/>
      <c r="BA1195" s="172"/>
      <c r="BB1195" s="172"/>
      <c r="BC1195" s="172"/>
      <c r="BD1195" s="172"/>
      <c r="BE1195" s="172"/>
      <c r="BF1195" s="172"/>
      <c r="BG1195" s="172"/>
      <c r="BH1195" s="172"/>
      <c r="BI1195" s="172"/>
      <c r="BJ1195" s="172"/>
      <c r="BK1195" s="172"/>
      <c r="BL1195" s="172"/>
      <c r="BM1195" s="172"/>
      <c r="BN1195" s="172"/>
      <c r="BO1195" s="172"/>
      <c r="BP1195" s="172"/>
    </row>
    <row r="1196" spans="1:68" s="555" customFormat="1" ht="409.6">
      <c r="A1196" s="172"/>
      <c r="E1196" s="556"/>
      <c r="F1196" s="1334"/>
      <c r="I1196" s="382"/>
      <c r="J1196" s="172"/>
      <c r="K1196" s="1189"/>
      <c r="P1196" s="643"/>
      <c r="AT1196" s="172"/>
      <c r="AU1196" s="172"/>
      <c r="AV1196" s="172"/>
      <c r="AW1196" s="172"/>
      <c r="AX1196" s="172"/>
      <c r="AY1196" s="172"/>
      <c r="AZ1196" s="172"/>
      <c r="BA1196" s="172"/>
      <c r="BB1196" s="172"/>
      <c r="BC1196" s="172"/>
      <c r="BD1196" s="172"/>
      <c r="BE1196" s="172"/>
      <c r="BF1196" s="172"/>
      <c r="BG1196" s="172"/>
      <c r="BH1196" s="172"/>
      <c r="BI1196" s="172"/>
      <c r="BJ1196" s="172"/>
      <c r="BK1196" s="172"/>
      <c r="BL1196" s="172"/>
      <c r="BM1196" s="172"/>
      <c r="BN1196" s="172"/>
      <c r="BO1196" s="172"/>
      <c r="BP1196" s="172"/>
    </row>
    <row r="1197" spans="1:68" s="555" customFormat="1" ht="409.6">
      <c r="A1197" s="172"/>
      <c r="E1197" s="556"/>
      <c r="F1197" s="1334"/>
      <c r="I1197" s="382"/>
      <c r="J1197" s="172"/>
      <c r="K1197" s="1189"/>
      <c r="P1197" s="643"/>
      <c r="AT1197" s="172"/>
      <c r="AU1197" s="172"/>
      <c r="AV1197" s="172"/>
      <c r="AW1197" s="172"/>
      <c r="AX1197" s="172"/>
      <c r="AY1197" s="172"/>
      <c r="AZ1197" s="172"/>
      <c r="BA1197" s="172"/>
      <c r="BB1197" s="172"/>
      <c r="BC1197" s="172"/>
      <c r="BD1197" s="172"/>
      <c r="BE1197" s="172"/>
      <c r="BF1197" s="172"/>
      <c r="BG1197" s="172"/>
      <c r="BH1197" s="172"/>
      <c r="BI1197" s="172"/>
      <c r="BJ1197" s="172"/>
      <c r="BK1197" s="172"/>
      <c r="BL1197" s="172"/>
      <c r="BM1197" s="172"/>
      <c r="BN1197" s="172"/>
      <c r="BO1197" s="172"/>
      <c r="BP1197" s="172"/>
    </row>
    <row r="1198" spans="1:68" s="555" customFormat="1" ht="409.6">
      <c r="A1198" s="172"/>
      <c r="E1198" s="556"/>
      <c r="F1198" s="1334"/>
      <c r="I1198" s="382"/>
      <c r="J1198" s="172"/>
      <c r="K1198" s="1189"/>
      <c r="P1198" s="643"/>
      <c r="AT1198" s="172"/>
      <c r="AU1198" s="172"/>
      <c r="AV1198" s="172"/>
      <c r="AW1198" s="172"/>
      <c r="AX1198" s="172"/>
      <c r="AY1198" s="172"/>
      <c r="AZ1198" s="172"/>
      <c r="BA1198" s="172"/>
      <c r="BB1198" s="172"/>
      <c r="BC1198" s="172"/>
      <c r="BD1198" s="172"/>
      <c r="BE1198" s="172"/>
      <c r="BF1198" s="172"/>
      <c r="BG1198" s="172"/>
      <c r="BH1198" s="172"/>
      <c r="BI1198" s="172"/>
      <c r="BJ1198" s="172"/>
      <c r="BK1198" s="172"/>
      <c r="BL1198" s="172"/>
      <c r="BM1198" s="172"/>
      <c r="BN1198" s="172"/>
      <c r="BO1198" s="172"/>
      <c r="BP1198" s="172"/>
    </row>
    <row r="1199" spans="1:68" s="555" customFormat="1" ht="409.6">
      <c r="A1199" s="172"/>
      <c r="E1199" s="556"/>
      <c r="F1199" s="1334"/>
      <c r="I1199" s="382"/>
      <c r="J1199" s="172"/>
      <c r="K1199" s="1189"/>
      <c r="P1199" s="643"/>
      <c r="AT1199" s="172"/>
      <c r="AU1199" s="172"/>
      <c r="AV1199" s="172"/>
      <c r="AW1199" s="172"/>
      <c r="AX1199" s="172"/>
      <c r="AY1199" s="172"/>
      <c r="AZ1199" s="172"/>
      <c r="BA1199" s="172"/>
      <c r="BB1199" s="172"/>
      <c r="BC1199" s="172"/>
      <c r="BD1199" s="172"/>
      <c r="BE1199" s="172"/>
      <c r="BF1199" s="172"/>
      <c r="BG1199" s="172"/>
      <c r="BH1199" s="172"/>
      <c r="BI1199" s="172"/>
      <c r="BJ1199" s="172"/>
      <c r="BK1199" s="172"/>
      <c r="BL1199" s="172"/>
      <c r="BM1199" s="172"/>
      <c r="BN1199" s="172"/>
      <c r="BO1199" s="172"/>
      <c r="BP1199" s="172"/>
    </row>
    <row r="1200" spans="1:68" s="555" customFormat="1" ht="409.6">
      <c r="A1200" s="172"/>
      <c r="E1200" s="556"/>
      <c r="F1200" s="1334"/>
      <c r="I1200" s="382"/>
      <c r="J1200" s="172"/>
      <c r="K1200" s="1189"/>
      <c r="P1200" s="643"/>
      <c r="AT1200" s="172"/>
      <c r="AU1200" s="172"/>
      <c r="AV1200" s="172"/>
      <c r="AW1200" s="172"/>
      <c r="AX1200" s="172"/>
      <c r="AY1200" s="172"/>
      <c r="AZ1200" s="172"/>
      <c r="BA1200" s="172"/>
      <c r="BB1200" s="172"/>
      <c r="BC1200" s="172"/>
      <c r="BD1200" s="172"/>
      <c r="BE1200" s="172"/>
      <c r="BF1200" s="172"/>
      <c r="BG1200" s="172"/>
      <c r="BH1200" s="172"/>
      <c r="BI1200" s="172"/>
      <c r="BJ1200" s="172"/>
      <c r="BK1200" s="172"/>
      <c r="BL1200" s="172"/>
      <c r="BM1200" s="172"/>
      <c r="BN1200" s="172"/>
      <c r="BO1200" s="172"/>
      <c r="BP1200" s="172"/>
    </row>
    <row r="1201" spans="1:68" s="555" customFormat="1" ht="409.6">
      <c r="A1201" s="172"/>
      <c r="E1201" s="556"/>
      <c r="F1201" s="1334"/>
      <c r="I1201" s="382"/>
      <c r="J1201" s="172"/>
      <c r="K1201" s="1189"/>
      <c r="P1201" s="643"/>
      <c r="AT1201" s="172"/>
      <c r="AU1201" s="172"/>
      <c r="AV1201" s="172"/>
      <c r="AW1201" s="172"/>
      <c r="AX1201" s="172"/>
      <c r="AY1201" s="172"/>
      <c r="AZ1201" s="172"/>
      <c r="BA1201" s="172"/>
      <c r="BB1201" s="172"/>
      <c r="BC1201" s="172"/>
      <c r="BD1201" s="172"/>
      <c r="BE1201" s="172"/>
      <c r="BF1201" s="172"/>
      <c r="BG1201" s="172"/>
      <c r="BH1201" s="172"/>
      <c r="BI1201" s="172"/>
      <c r="BJ1201" s="172"/>
      <c r="BK1201" s="172"/>
      <c r="BL1201" s="172"/>
      <c r="BM1201" s="172"/>
      <c r="BN1201" s="172"/>
      <c r="BO1201" s="172"/>
      <c r="BP1201" s="172"/>
    </row>
    <row r="1202" spans="1:68" s="555" customFormat="1" ht="409.6">
      <c r="A1202" s="172"/>
      <c r="E1202" s="954"/>
      <c r="F1202" s="1334"/>
      <c r="I1202" s="382"/>
      <c r="J1202" s="172"/>
      <c r="K1202" s="1189"/>
      <c r="P1202" s="643"/>
      <c r="AT1202" s="172"/>
      <c r="AU1202" s="172"/>
      <c r="AV1202" s="172"/>
      <c r="AW1202" s="172"/>
      <c r="AX1202" s="172"/>
      <c r="AY1202" s="172"/>
      <c r="AZ1202" s="172"/>
      <c r="BA1202" s="172"/>
      <c r="BB1202" s="172"/>
      <c r="BC1202" s="172"/>
      <c r="BD1202" s="172"/>
      <c r="BE1202" s="172"/>
      <c r="BF1202" s="172"/>
      <c r="BG1202" s="172"/>
      <c r="BH1202" s="172"/>
      <c r="BI1202" s="172"/>
      <c r="BJ1202" s="172"/>
      <c r="BK1202" s="172"/>
      <c r="BL1202" s="172"/>
      <c r="BM1202" s="172"/>
      <c r="BN1202" s="172"/>
      <c r="BO1202" s="172"/>
      <c r="BP1202" s="172"/>
    </row>
    <row r="1203" spans="1:68" s="555" customFormat="1" ht="409.6">
      <c r="A1203" s="172"/>
      <c r="E1203" s="954"/>
      <c r="F1203" s="1334"/>
      <c r="I1203" s="382"/>
      <c r="J1203" s="172"/>
      <c r="K1203" s="1189"/>
      <c r="P1203" s="643"/>
      <c r="AT1203" s="172"/>
      <c r="AU1203" s="172"/>
      <c r="AV1203" s="172"/>
      <c r="AW1203" s="172"/>
      <c r="AX1203" s="172"/>
      <c r="AY1203" s="172"/>
      <c r="AZ1203" s="172"/>
      <c r="BA1203" s="172"/>
      <c r="BB1203" s="172"/>
      <c r="BC1203" s="172"/>
      <c r="BD1203" s="172"/>
      <c r="BE1203" s="172"/>
      <c r="BF1203" s="172"/>
      <c r="BG1203" s="172"/>
      <c r="BH1203" s="172"/>
      <c r="BI1203" s="172"/>
      <c r="BJ1203" s="172"/>
      <c r="BK1203" s="172"/>
      <c r="BL1203" s="172"/>
      <c r="BM1203" s="172"/>
      <c r="BN1203" s="172"/>
      <c r="BO1203" s="172"/>
      <c r="BP1203" s="172"/>
    </row>
    <row r="1204" spans="1:68" s="555" customFormat="1" ht="409.6">
      <c r="A1204" s="172"/>
      <c r="E1204" s="954"/>
      <c r="F1204" s="1334"/>
      <c r="I1204" s="382"/>
      <c r="J1204" s="172"/>
      <c r="K1204" s="1189"/>
      <c r="P1204" s="643"/>
      <c r="AT1204" s="172"/>
      <c r="AU1204" s="172"/>
      <c r="AV1204" s="172"/>
      <c r="AW1204" s="172"/>
      <c r="AX1204" s="172"/>
      <c r="AY1204" s="172"/>
      <c r="AZ1204" s="172"/>
      <c r="BA1204" s="172"/>
      <c r="BB1204" s="172"/>
      <c r="BC1204" s="172"/>
      <c r="BD1204" s="172"/>
      <c r="BE1204" s="172"/>
      <c r="BF1204" s="172"/>
      <c r="BG1204" s="172"/>
      <c r="BH1204" s="172"/>
      <c r="BI1204" s="172"/>
      <c r="BJ1204" s="172"/>
      <c r="BK1204" s="172"/>
      <c r="BL1204" s="172"/>
      <c r="BM1204" s="172"/>
      <c r="BN1204" s="172"/>
      <c r="BO1204" s="172"/>
      <c r="BP1204" s="172"/>
    </row>
    <row r="1205" spans="1:68" s="555" customFormat="1" ht="409.6">
      <c r="A1205" s="172"/>
      <c r="E1205" s="954"/>
      <c r="F1205" s="1334"/>
      <c r="I1205" s="382"/>
      <c r="J1205" s="172"/>
      <c r="K1205" s="1189"/>
      <c r="P1205" s="643"/>
      <c r="AT1205" s="172"/>
      <c r="AU1205" s="172"/>
      <c r="AV1205" s="172"/>
      <c r="AW1205" s="172"/>
      <c r="AX1205" s="172"/>
      <c r="AY1205" s="172"/>
      <c r="AZ1205" s="172"/>
      <c r="BA1205" s="172"/>
      <c r="BB1205" s="172"/>
      <c r="BC1205" s="172"/>
      <c r="BD1205" s="172"/>
      <c r="BE1205" s="172"/>
      <c r="BF1205" s="172"/>
      <c r="BG1205" s="172"/>
      <c r="BH1205" s="172"/>
      <c r="BI1205" s="172"/>
      <c r="BJ1205" s="172"/>
      <c r="BK1205" s="172"/>
      <c r="BL1205" s="172"/>
      <c r="BM1205" s="172"/>
      <c r="BN1205" s="172"/>
      <c r="BO1205" s="172"/>
      <c r="BP1205" s="172"/>
    </row>
    <row r="1206" spans="1:68" s="555" customFormat="1" ht="409.6">
      <c r="A1206" s="172"/>
      <c r="E1206" s="954"/>
      <c r="F1206" s="1334"/>
      <c r="I1206" s="382"/>
      <c r="J1206" s="172"/>
      <c r="K1206" s="1189"/>
      <c r="P1206" s="643"/>
      <c r="AT1206" s="172"/>
      <c r="AU1206" s="172"/>
      <c r="AV1206" s="172"/>
      <c r="AW1206" s="172"/>
      <c r="AX1206" s="172"/>
      <c r="AY1206" s="172"/>
      <c r="AZ1206" s="172"/>
      <c r="BA1206" s="172"/>
      <c r="BB1206" s="172"/>
      <c r="BC1206" s="172"/>
      <c r="BD1206" s="172"/>
      <c r="BE1206" s="172"/>
      <c r="BF1206" s="172"/>
      <c r="BG1206" s="172"/>
      <c r="BH1206" s="172"/>
      <c r="BI1206" s="172"/>
      <c r="BJ1206" s="172"/>
      <c r="BK1206" s="172"/>
      <c r="BL1206" s="172"/>
      <c r="BM1206" s="172"/>
      <c r="BN1206" s="172"/>
      <c r="BO1206" s="172"/>
      <c r="BP1206" s="172"/>
    </row>
    <row r="1207" spans="1:68" s="555" customFormat="1" ht="409.6">
      <c r="A1207" s="172"/>
      <c r="E1207" s="954"/>
      <c r="F1207" s="1334"/>
      <c r="I1207" s="382"/>
      <c r="J1207" s="172"/>
      <c r="K1207" s="1189"/>
      <c r="P1207" s="643"/>
      <c r="AT1207" s="172"/>
      <c r="AU1207" s="172"/>
      <c r="AV1207" s="172"/>
      <c r="AW1207" s="172"/>
      <c r="AX1207" s="172"/>
      <c r="AY1207" s="172"/>
      <c r="AZ1207" s="172"/>
      <c r="BA1207" s="172"/>
      <c r="BB1207" s="172"/>
      <c r="BC1207" s="172"/>
      <c r="BD1207" s="172"/>
      <c r="BE1207" s="172"/>
      <c r="BF1207" s="172"/>
      <c r="BG1207" s="172"/>
      <c r="BH1207" s="172"/>
      <c r="BI1207" s="172"/>
      <c r="BJ1207" s="172"/>
      <c r="BK1207" s="172"/>
      <c r="BL1207" s="172"/>
      <c r="BM1207" s="172"/>
      <c r="BN1207" s="172"/>
      <c r="BO1207" s="172"/>
      <c r="BP1207" s="172"/>
    </row>
    <row r="1208" spans="1:68" s="555" customFormat="1" ht="409.6">
      <c r="A1208" s="172"/>
      <c r="E1208" s="954"/>
      <c r="F1208" s="1334"/>
      <c r="I1208" s="382"/>
      <c r="J1208" s="172"/>
      <c r="K1208" s="1189"/>
      <c r="P1208" s="643"/>
      <c r="AT1208" s="172"/>
      <c r="AU1208" s="172"/>
      <c r="AV1208" s="172"/>
      <c r="AW1208" s="172"/>
      <c r="AX1208" s="172"/>
      <c r="AY1208" s="172"/>
      <c r="AZ1208" s="172"/>
      <c r="BA1208" s="172"/>
      <c r="BB1208" s="172"/>
      <c r="BC1208" s="172"/>
      <c r="BD1208" s="172"/>
      <c r="BE1208" s="172"/>
      <c r="BF1208" s="172"/>
      <c r="BG1208" s="172"/>
      <c r="BH1208" s="172"/>
      <c r="BI1208" s="172"/>
      <c r="BJ1208" s="172"/>
      <c r="BK1208" s="172"/>
      <c r="BL1208" s="172"/>
      <c r="BM1208" s="172"/>
      <c r="BN1208" s="172"/>
      <c r="BO1208" s="172"/>
      <c r="BP1208" s="172"/>
    </row>
    <row r="1209" spans="1:68" s="555" customFormat="1" ht="409.6">
      <c r="A1209" s="172"/>
      <c r="E1209" s="954"/>
      <c r="F1209" s="1334"/>
      <c r="I1209" s="382"/>
      <c r="J1209" s="172"/>
      <c r="K1209" s="1189"/>
      <c r="P1209" s="643"/>
      <c r="AT1209" s="172"/>
      <c r="AU1209" s="172"/>
      <c r="AV1209" s="172"/>
      <c r="AW1209" s="172"/>
      <c r="AX1209" s="172"/>
      <c r="AY1209" s="172"/>
      <c r="AZ1209" s="172"/>
      <c r="BA1209" s="172"/>
      <c r="BB1209" s="172"/>
      <c r="BC1209" s="172"/>
      <c r="BD1209" s="172"/>
      <c r="BE1209" s="172"/>
      <c r="BF1209" s="172"/>
      <c r="BG1209" s="172"/>
      <c r="BH1209" s="172"/>
      <c r="BI1209" s="172"/>
      <c r="BJ1209" s="172"/>
      <c r="BK1209" s="172"/>
      <c r="BL1209" s="172"/>
      <c r="BM1209" s="172"/>
      <c r="BN1209" s="172"/>
      <c r="BO1209" s="172"/>
      <c r="BP1209" s="172"/>
    </row>
    <row r="1210" spans="1:68" s="555" customFormat="1" ht="409.6">
      <c r="A1210" s="172"/>
      <c r="E1210" s="954"/>
      <c r="F1210" s="1334"/>
      <c r="I1210" s="382"/>
      <c r="J1210" s="172"/>
      <c r="K1210" s="1189"/>
      <c r="P1210" s="643"/>
      <c r="AT1210" s="172"/>
      <c r="AU1210" s="172"/>
      <c r="AV1210" s="172"/>
      <c r="AW1210" s="172"/>
      <c r="AX1210" s="172"/>
      <c r="AY1210" s="172"/>
      <c r="AZ1210" s="172"/>
      <c r="BA1210" s="172"/>
      <c r="BB1210" s="172"/>
      <c r="BC1210" s="172"/>
      <c r="BD1210" s="172"/>
      <c r="BE1210" s="172"/>
      <c r="BF1210" s="172"/>
      <c r="BG1210" s="172"/>
      <c r="BH1210" s="172"/>
      <c r="BI1210" s="172"/>
      <c r="BJ1210" s="172"/>
      <c r="BK1210" s="172"/>
      <c r="BL1210" s="172"/>
      <c r="BM1210" s="172"/>
      <c r="BN1210" s="172"/>
      <c r="BO1210" s="172"/>
      <c r="BP1210" s="172"/>
    </row>
    <row r="1211" spans="1:68" s="555" customFormat="1" ht="409.6">
      <c r="A1211" s="172"/>
      <c r="E1211" s="954"/>
      <c r="F1211" s="1334"/>
      <c r="I1211" s="382"/>
      <c r="J1211" s="172"/>
      <c r="K1211" s="1189"/>
      <c r="P1211" s="643"/>
      <c r="AT1211" s="172"/>
      <c r="AU1211" s="172"/>
      <c r="AV1211" s="172"/>
      <c r="AW1211" s="172"/>
      <c r="AX1211" s="172"/>
      <c r="AY1211" s="172"/>
      <c r="AZ1211" s="172"/>
      <c r="BA1211" s="172"/>
      <c r="BB1211" s="172"/>
      <c r="BC1211" s="172"/>
      <c r="BD1211" s="172"/>
      <c r="BE1211" s="172"/>
      <c r="BF1211" s="172"/>
      <c r="BG1211" s="172"/>
      <c r="BH1211" s="172"/>
      <c r="BI1211" s="172"/>
      <c r="BJ1211" s="172"/>
      <c r="BK1211" s="172"/>
      <c r="BL1211" s="172"/>
      <c r="BM1211" s="172"/>
      <c r="BN1211" s="172"/>
      <c r="BO1211" s="172"/>
      <c r="BP1211" s="172"/>
    </row>
    <row r="1212" spans="1:68" s="555" customFormat="1" ht="409.6">
      <c r="A1212" s="172"/>
      <c r="E1212" s="954"/>
      <c r="F1212" s="1334"/>
      <c r="I1212" s="382"/>
      <c r="J1212" s="172"/>
      <c r="K1212" s="1189"/>
      <c r="P1212" s="643"/>
      <c r="AT1212" s="172"/>
      <c r="AU1212" s="172"/>
      <c r="AV1212" s="172"/>
      <c r="AW1212" s="172"/>
      <c r="AX1212" s="172"/>
      <c r="AY1212" s="172"/>
      <c r="AZ1212" s="172"/>
      <c r="BA1212" s="172"/>
      <c r="BB1212" s="172"/>
      <c r="BC1212" s="172"/>
      <c r="BD1212" s="172"/>
      <c r="BE1212" s="172"/>
      <c r="BF1212" s="172"/>
      <c r="BG1212" s="172"/>
      <c r="BH1212" s="172"/>
      <c r="BI1212" s="172"/>
      <c r="BJ1212" s="172"/>
      <c r="BK1212" s="172"/>
      <c r="BL1212" s="172"/>
      <c r="BM1212" s="172"/>
      <c r="BN1212" s="172"/>
      <c r="BO1212" s="172"/>
      <c r="BP1212" s="172"/>
    </row>
    <row r="1213" spans="1:68" s="555" customFormat="1" ht="409.6">
      <c r="A1213" s="172"/>
      <c r="E1213" s="954"/>
      <c r="F1213" s="1334"/>
      <c r="I1213" s="382"/>
      <c r="J1213" s="172"/>
      <c r="K1213" s="1189"/>
      <c r="P1213" s="643"/>
      <c r="AT1213" s="172"/>
      <c r="AU1213" s="172"/>
      <c r="AV1213" s="172"/>
      <c r="AW1213" s="172"/>
      <c r="AX1213" s="172"/>
      <c r="AY1213" s="172"/>
      <c r="AZ1213" s="172"/>
      <c r="BA1213" s="172"/>
      <c r="BB1213" s="172"/>
      <c r="BC1213" s="172"/>
      <c r="BD1213" s="172"/>
      <c r="BE1213" s="172"/>
      <c r="BF1213" s="172"/>
      <c r="BG1213" s="172"/>
      <c r="BH1213" s="172"/>
      <c r="BI1213" s="172"/>
      <c r="BJ1213" s="172"/>
      <c r="BK1213" s="172"/>
      <c r="BL1213" s="172"/>
      <c r="BM1213" s="172"/>
      <c r="BN1213" s="172"/>
      <c r="BO1213" s="172"/>
      <c r="BP1213" s="172"/>
    </row>
    <row r="1214" spans="1:68" s="555" customFormat="1" ht="409.6">
      <c r="A1214" s="172"/>
      <c r="E1214" s="954"/>
      <c r="F1214" s="1334"/>
      <c r="I1214" s="382"/>
      <c r="J1214" s="172"/>
      <c r="K1214" s="1189"/>
      <c r="P1214" s="643"/>
      <c r="AT1214" s="172"/>
      <c r="AU1214" s="172"/>
      <c r="AV1214" s="172"/>
      <c r="AW1214" s="172"/>
      <c r="AX1214" s="172"/>
      <c r="AY1214" s="172"/>
      <c r="AZ1214" s="172"/>
      <c r="BA1214" s="172"/>
      <c r="BB1214" s="172"/>
      <c r="BC1214" s="172"/>
      <c r="BD1214" s="172"/>
      <c r="BE1214" s="172"/>
      <c r="BF1214" s="172"/>
      <c r="BG1214" s="172"/>
      <c r="BH1214" s="172"/>
      <c r="BI1214" s="172"/>
      <c r="BJ1214" s="172"/>
      <c r="BK1214" s="172"/>
      <c r="BL1214" s="172"/>
      <c r="BM1214" s="172"/>
      <c r="BN1214" s="172"/>
      <c r="BO1214" s="172"/>
      <c r="BP1214" s="172"/>
    </row>
    <row r="1215" spans="1:68" s="555" customFormat="1" ht="409.6">
      <c r="A1215" s="172"/>
      <c r="E1215" s="954"/>
      <c r="F1215" s="1334"/>
      <c r="I1215" s="382"/>
      <c r="J1215" s="172"/>
      <c r="K1215" s="1189"/>
      <c r="P1215" s="643"/>
      <c r="AT1215" s="172"/>
      <c r="AU1215" s="172"/>
      <c r="AV1215" s="172"/>
      <c r="AW1215" s="172"/>
      <c r="AX1215" s="172"/>
      <c r="AY1215" s="172"/>
      <c r="AZ1215" s="172"/>
      <c r="BA1215" s="172"/>
      <c r="BB1215" s="172"/>
      <c r="BC1215" s="172"/>
      <c r="BD1215" s="172"/>
      <c r="BE1215" s="172"/>
      <c r="BF1215" s="172"/>
      <c r="BG1215" s="172"/>
      <c r="BH1215" s="172"/>
      <c r="BI1215" s="172"/>
      <c r="BJ1215" s="172"/>
      <c r="BK1215" s="172"/>
      <c r="BL1215" s="172"/>
      <c r="BM1215" s="172"/>
      <c r="BN1215" s="172"/>
      <c r="BO1215" s="172"/>
      <c r="BP1215" s="172"/>
    </row>
    <row r="1216" spans="1:68" s="555" customFormat="1" ht="409.6">
      <c r="A1216" s="172"/>
      <c r="E1216" s="954"/>
      <c r="F1216" s="1334"/>
      <c r="I1216" s="382"/>
      <c r="J1216" s="172"/>
      <c r="K1216" s="1189"/>
      <c r="P1216" s="643"/>
      <c r="AT1216" s="172"/>
      <c r="AU1216" s="172"/>
      <c r="AV1216" s="172"/>
      <c r="AW1216" s="172"/>
      <c r="AX1216" s="172"/>
      <c r="AY1216" s="172"/>
      <c r="AZ1216" s="172"/>
      <c r="BA1216" s="172"/>
      <c r="BB1216" s="172"/>
      <c r="BC1216" s="172"/>
      <c r="BD1216" s="172"/>
      <c r="BE1216" s="172"/>
      <c r="BF1216" s="172"/>
      <c r="BG1216" s="172"/>
      <c r="BH1216" s="172"/>
      <c r="BI1216" s="172"/>
      <c r="BJ1216" s="172"/>
      <c r="BK1216" s="172"/>
      <c r="BL1216" s="172"/>
      <c r="BM1216" s="172"/>
      <c r="BN1216" s="172"/>
      <c r="BO1216" s="172"/>
      <c r="BP1216" s="172"/>
    </row>
    <row r="1217" spans="1:68" s="555" customFormat="1" ht="409.6">
      <c r="A1217" s="172"/>
      <c r="E1217" s="954"/>
      <c r="F1217" s="1334"/>
      <c r="I1217" s="382"/>
      <c r="J1217" s="172"/>
      <c r="K1217" s="1189"/>
      <c r="P1217" s="643"/>
      <c r="AT1217" s="172"/>
      <c r="AU1217" s="172"/>
      <c r="AV1217" s="172"/>
      <c r="AW1217" s="172"/>
      <c r="AX1217" s="172"/>
      <c r="AY1217" s="172"/>
      <c r="AZ1217" s="172"/>
      <c r="BA1217" s="172"/>
      <c r="BB1217" s="172"/>
      <c r="BC1217" s="172"/>
      <c r="BD1217" s="172"/>
      <c r="BE1217" s="172"/>
      <c r="BF1217" s="172"/>
      <c r="BG1217" s="172"/>
      <c r="BH1217" s="172"/>
      <c r="BI1217" s="172"/>
      <c r="BJ1217" s="172"/>
      <c r="BK1217" s="172"/>
      <c r="BL1217" s="172"/>
      <c r="BM1217" s="172"/>
      <c r="BN1217" s="172"/>
      <c r="BO1217" s="172"/>
      <c r="BP1217" s="172"/>
    </row>
    <row r="1218" spans="1:68" s="555" customFormat="1" ht="409.6">
      <c r="A1218" s="172"/>
      <c r="E1218" s="954"/>
      <c r="F1218" s="1334"/>
      <c r="I1218" s="382"/>
      <c r="J1218" s="172"/>
      <c r="K1218" s="1189"/>
      <c r="P1218" s="643"/>
      <c r="AT1218" s="172"/>
      <c r="AU1218" s="172"/>
      <c r="AV1218" s="172"/>
      <c r="AW1218" s="172"/>
      <c r="AX1218" s="172"/>
      <c r="AY1218" s="172"/>
      <c r="AZ1218" s="172"/>
      <c r="BA1218" s="172"/>
      <c r="BB1218" s="172"/>
      <c r="BC1218" s="172"/>
      <c r="BD1218" s="172"/>
      <c r="BE1218" s="172"/>
      <c r="BF1218" s="172"/>
      <c r="BG1218" s="172"/>
      <c r="BH1218" s="172"/>
      <c r="BI1218" s="172"/>
      <c r="BJ1218" s="172"/>
      <c r="BK1218" s="172"/>
      <c r="BL1218" s="172"/>
      <c r="BM1218" s="172"/>
      <c r="BN1218" s="172"/>
      <c r="BO1218" s="172"/>
      <c r="BP1218" s="172"/>
    </row>
    <row r="1219" spans="1:68" s="555" customFormat="1" ht="409.6">
      <c r="A1219" s="172"/>
      <c r="E1219" s="954"/>
      <c r="F1219" s="1334"/>
      <c r="I1219" s="382"/>
      <c r="J1219" s="172"/>
      <c r="K1219" s="1189"/>
      <c r="P1219" s="643"/>
      <c r="AT1219" s="172"/>
      <c r="AU1219" s="172"/>
      <c r="AV1219" s="172"/>
      <c r="AW1219" s="172"/>
      <c r="AX1219" s="172"/>
      <c r="AY1219" s="172"/>
      <c r="AZ1219" s="172"/>
      <c r="BA1219" s="172"/>
      <c r="BB1219" s="172"/>
      <c r="BC1219" s="172"/>
      <c r="BD1219" s="172"/>
      <c r="BE1219" s="172"/>
      <c r="BF1219" s="172"/>
      <c r="BG1219" s="172"/>
      <c r="BH1219" s="172"/>
      <c r="BI1219" s="172"/>
      <c r="BJ1219" s="172"/>
      <c r="BK1219" s="172"/>
      <c r="BL1219" s="172"/>
      <c r="BM1219" s="172"/>
      <c r="BN1219" s="172"/>
      <c r="BO1219" s="172"/>
      <c r="BP1219" s="172"/>
    </row>
    <row r="1220" spans="1:68" s="555" customFormat="1" ht="409.6">
      <c r="A1220" s="172"/>
      <c r="E1220" s="954"/>
      <c r="F1220" s="1334"/>
      <c r="I1220" s="382"/>
      <c r="J1220" s="172"/>
      <c r="K1220" s="1189"/>
      <c r="P1220" s="643"/>
      <c r="AT1220" s="172"/>
      <c r="AU1220" s="172"/>
      <c r="AV1220" s="172"/>
      <c r="AW1220" s="172"/>
      <c r="AX1220" s="172"/>
      <c r="AY1220" s="172"/>
      <c r="AZ1220" s="172"/>
      <c r="BA1220" s="172"/>
      <c r="BB1220" s="172"/>
      <c r="BC1220" s="172"/>
      <c r="BD1220" s="172"/>
      <c r="BE1220" s="172"/>
      <c r="BF1220" s="172"/>
      <c r="BG1220" s="172"/>
      <c r="BH1220" s="172"/>
      <c r="BI1220" s="172"/>
      <c r="BJ1220" s="172"/>
      <c r="BK1220" s="172"/>
      <c r="BL1220" s="172"/>
      <c r="BM1220" s="172"/>
      <c r="BN1220" s="172"/>
      <c r="BO1220" s="172"/>
      <c r="BP1220" s="172"/>
    </row>
    <row r="1221" spans="1:68" s="555" customFormat="1" ht="409.6">
      <c r="A1221" s="172"/>
      <c r="E1221" s="954"/>
      <c r="F1221" s="1334"/>
      <c r="I1221" s="382"/>
      <c r="J1221" s="172"/>
      <c r="K1221" s="1189"/>
      <c r="P1221" s="643"/>
      <c r="AT1221" s="172"/>
      <c r="AU1221" s="172"/>
      <c r="AV1221" s="172"/>
      <c r="AW1221" s="172"/>
      <c r="AX1221" s="172"/>
      <c r="AY1221" s="172"/>
      <c r="AZ1221" s="172"/>
      <c r="BA1221" s="172"/>
      <c r="BB1221" s="172"/>
      <c r="BC1221" s="172"/>
      <c r="BD1221" s="172"/>
      <c r="BE1221" s="172"/>
      <c r="BF1221" s="172"/>
      <c r="BG1221" s="172"/>
      <c r="BH1221" s="172"/>
      <c r="BI1221" s="172"/>
      <c r="BJ1221" s="172"/>
      <c r="BK1221" s="172"/>
      <c r="BL1221" s="172"/>
      <c r="BM1221" s="172"/>
      <c r="BN1221" s="172"/>
      <c r="BO1221" s="172"/>
      <c r="BP1221" s="172"/>
    </row>
    <row r="1222" spans="1:68" s="555" customFormat="1" ht="409.6">
      <c r="A1222" s="172"/>
      <c r="E1222" s="954"/>
      <c r="F1222" s="1334"/>
      <c r="I1222" s="382"/>
      <c r="J1222" s="172"/>
      <c r="K1222" s="1189"/>
      <c r="P1222" s="643"/>
      <c r="AT1222" s="172"/>
      <c r="AU1222" s="172"/>
      <c r="AV1222" s="172"/>
      <c r="AW1222" s="172"/>
      <c r="AX1222" s="172"/>
      <c r="AY1222" s="172"/>
      <c r="AZ1222" s="172"/>
      <c r="BA1222" s="172"/>
      <c r="BB1222" s="172"/>
      <c r="BC1222" s="172"/>
      <c r="BD1222" s="172"/>
      <c r="BE1222" s="172"/>
      <c r="BF1222" s="172"/>
      <c r="BG1222" s="172"/>
      <c r="BH1222" s="172"/>
      <c r="BI1222" s="172"/>
      <c r="BJ1222" s="172"/>
      <c r="BK1222" s="172"/>
      <c r="BL1222" s="172"/>
      <c r="BM1222" s="172"/>
      <c r="BN1222" s="172"/>
      <c r="BO1222" s="172"/>
      <c r="BP1222" s="172"/>
    </row>
    <row r="1223" spans="1:68" s="555" customFormat="1" ht="409.6">
      <c r="A1223" s="172"/>
      <c r="E1223" s="954"/>
      <c r="F1223" s="1334"/>
      <c r="I1223" s="382"/>
      <c r="J1223" s="172"/>
      <c r="K1223" s="1189"/>
      <c r="P1223" s="643"/>
      <c r="AT1223" s="172"/>
      <c r="AU1223" s="172"/>
      <c r="AV1223" s="172"/>
      <c r="AW1223" s="172"/>
      <c r="AX1223" s="172"/>
      <c r="AY1223" s="172"/>
      <c r="AZ1223" s="172"/>
      <c r="BA1223" s="172"/>
      <c r="BB1223" s="172"/>
      <c r="BC1223" s="172"/>
      <c r="BD1223" s="172"/>
      <c r="BE1223" s="172"/>
      <c r="BF1223" s="172"/>
      <c r="BG1223" s="172"/>
      <c r="BH1223" s="172"/>
      <c r="BI1223" s="172"/>
      <c r="BJ1223" s="172"/>
      <c r="BK1223" s="172"/>
      <c r="BL1223" s="172"/>
      <c r="BM1223" s="172"/>
      <c r="BN1223" s="172"/>
      <c r="BO1223" s="172"/>
      <c r="BP1223" s="172"/>
    </row>
    <row r="1224" spans="1:68" s="555" customFormat="1" ht="409.6">
      <c r="A1224" s="172"/>
      <c r="E1224" s="954"/>
      <c r="F1224" s="1334"/>
      <c r="I1224" s="382"/>
      <c r="J1224" s="172"/>
      <c r="K1224" s="1189"/>
      <c r="P1224" s="643"/>
      <c r="AT1224" s="172"/>
      <c r="AU1224" s="172"/>
      <c r="AV1224" s="172"/>
      <c r="AW1224" s="172"/>
      <c r="AX1224" s="172"/>
      <c r="AY1224" s="172"/>
      <c r="AZ1224" s="172"/>
      <c r="BA1224" s="172"/>
      <c r="BB1224" s="172"/>
      <c r="BC1224" s="172"/>
      <c r="BD1224" s="172"/>
      <c r="BE1224" s="172"/>
      <c r="BF1224" s="172"/>
      <c r="BG1224" s="172"/>
      <c r="BH1224" s="172"/>
      <c r="BI1224" s="172"/>
      <c r="BJ1224" s="172"/>
      <c r="BK1224" s="172"/>
      <c r="BL1224" s="172"/>
      <c r="BM1224" s="172"/>
      <c r="BN1224" s="172"/>
      <c r="BO1224" s="172"/>
      <c r="BP1224" s="172"/>
    </row>
    <row r="1225" spans="1:68" s="555" customFormat="1" ht="409.6">
      <c r="A1225" s="172"/>
      <c r="E1225" s="954"/>
      <c r="F1225" s="1334"/>
      <c r="I1225" s="382"/>
      <c r="J1225" s="172"/>
      <c r="K1225" s="1189"/>
      <c r="P1225" s="643"/>
      <c r="AT1225" s="172"/>
      <c r="AU1225" s="172"/>
      <c r="AV1225" s="172"/>
      <c r="AW1225" s="172"/>
      <c r="AX1225" s="172"/>
      <c r="AY1225" s="172"/>
      <c r="AZ1225" s="172"/>
      <c r="BA1225" s="172"/>
      <c r="BB1225" s="172"/>
      <c r="BC1225" s="172"/>
      <c r="BD1225" s="172"/>
      <c r="BE1225" s="172"/>
      <c r="BF1225" s="172"/>
      <c r="BG1225" s="172"/>
      <c r="BH1225" s="172"/>
      <c r="BI1225" s="172"/>
      <c r="BJ1225" s="172"/>
      <c r="BK1225" s="172"/>
      <c r="BL1225" s="172"/>
      <c r="BM1225" s="172"/>
      <c r="BN1225" s="172"/>
      <c r="BO1225" s="172"/>
      <c r="BP1225" s="172"/>
    </row>
    <row r="1226" spans="1:68" s="555" customFormat="1" ht="409.6">
      <c r="A1226" s="172"/>
      <c r="E1226" s="954"/>
      <c r="F1226" s="1334"/>
      <c r="I1226" s="382"/>
      <c r="J1226" s="172"/>
      <c r="K1226" s="1189"/>
      <c r="P1226" s="643"/>
      <c r="AT1226" s="172"/>
      <c r="AU1226" s="172"/>
      <c r="AV1226" s="172"/>
      <c r="AW1226" s="172"/>
      <c r="AX1226" s="172"/>
      <c r="AY1226" s="172"/>
      <c r="AZ1226" s="172"/>
      <c r="BA1226" s="172"/>
      <c r="BB1226" s="172"/>
      <c r="BC1226" s="172"/>
      <c r="BD1226" s="172"/>
      <c r="BE1226" s="172"/>
      <c r="BF1226" s="172"/>
      <c r="BG1226" s="172"/>
      <c r="BH1226" s="172"/>
      <c r="BI1226" s="172"/>
      <c r="BJ1226" s="172"/>
      <c r="BK1226" s="172"/>
      <c r="BL1226" s="172"/>
      <c r="BM1226" s="172"/>
      <c r="BN1226" s="172"/>
      <c r="BO1226" s="172"/>
      <c r="BP1226" s="172"/>
    </row>
    <row r="1227" spans="1:68" s="555" customFormat="1" ht="409.6">
      <c r="A1227" s="172"/>
      <c r="E1227" s="954"/>
      <c r="F1227" s="1334"/>
      <c r="I1227" s="382"/>
      <c r="J1227" s="172"/>
      <c r="K1227" s="1189"/>
      <c r="P1227" s="643"/>
      <c r="AT1227" s="172"/>
      <c r="AU1227" s="172"/>
      <c r="AV1227" s="172"/>
      <c r="AW1227" s="172"/>
      <c r="AX1227" s="172"/>
      <c r="AY1227" s="172"/>
      <c r="AZ1227" s="172"/>
      <c r="BA1227" s="172"/>
      <c r="BB1227" s="172"/>
      <c r="BC1227" s="172"/>
      <c r="BD1227" s="172"/>
      <c r="BE1227" s="172"/>
      <c r="BF1227" s="172"/>
      <c r="BG1227" s="172"/>
      <c r="BH1227" s="172"/>
      <c r="BI1227" s="172"/>
      <c r="BJ1227" s="172"/>
      <c r="BK1227" s="172"/>
      <c r="BL1227" s="172"/>
      <c r="BM1227" s="172"/>
      <c r="BN1227" s="172"/>
      <c r="BO1227" s="172"/>
      <c r="BP1227" s="172"/>
    </row>
    <row r="1228" spans="1:68" s="555" customFormat="1" ht="409.6">
      <c r="A1228" s="172"/>
      <c r="E1228" s="954"/>
      <c r="F1228" s="1334"/>
      <c r="I1228" s="382"/>
      <c r="J1228" s="172"/>
      <c r="K1228" s="1189"/>
      <c r="P1228" s="643"/>
      <c r="AT1228" s="172"/>
      <c r="AU1228" s="172"/>
      <c r="AV1228" s="172"/>
      <c r="AW1228" s="172"/>
      <c r="AX1228" s="172"/>
      <c r="AY1228" s="172"/>
      <c r="AZ1228" s="172"/>
      <c r="BA1228" s="172"/>
      <c r="BB1228" s="172"/>
      <c r="BC1228" s="172"/>
      <c r="BD1228" s="172"/>
      <c r="BE1228" s="172"/>
      <c r="BF1228" s="172"/>
      <c r="BG1228" s="172"/>
      <c r="BH1228" s="172"/>
      <c r="BI1228" s="172"/>
      <c r="BJ1228" s="172"/>
      <c r="BK1228" s="172"/>
      <c r="BL1228" s="172"/>
      <c r="BM1228" s="172"/>
      <c r="BN1228" s="172"/>
      <c r="BO1228" s="172"/>
      <c r="BP1228" s="172"/>
    </row>
    <row r="1229" spans="1:68" s="555" customFormat="1" ht="409.6">
      <c r="A1229" s="172"/>
      <c r="E1229" s="954"/>
      <c r="F1229" s="1334"/>
      <c r="I1229" s="382"/>
      <c r="J1229" s="172"/>
      <c r="K1229" s="1189"/>
      <c r="P1229" s="643"/>
      <c r="AT1229" s="172"/>
      <c r="AU1229" s="172"/>
      <c r="AV1229" s="172"/>
      <c r="AW1229" s="172"/>
      <c r="AX1229" s="172"/>
      <c r="AY1229" s="172"/>
      <c r="AZ1229" s="172"/>
      <c r="BA1229" s="172"/>
      <c r="BB1229" s="172"/>
      <c r="BC1229" s="172"/>
      <c r="BD1229" s="172"/>
      <c r="BE1229" s="172"/>
      <c r="BF1229" s="172"/>
      <c r="BG1229" s="172"/>
      <c r="BH1229" s="172"/>
      <c r="BI1229" s="172"/>
      <c r="BJ1229" s="172"/>
      <c r="BK1229" s="172"/>
      <c r="BL1229" s="172"/>
      <c r="BM1229" s="172"/>
      <c r="BN1229" s="172"/>
      <c r="BO1229" s="172"/>
      <c r="BP1229" s="172"/>
    </row>
    <row r="1230" spans="1:68" s="555" customFormat="1" ht="409.6">
      <c r="A1230" s="172"/>
      <c r="E1230" s="954"/>
      <c r="F1230" s="1334"/>
      <c r="I1230" s="382"/>
      <c r="J1230" s="172"/>
      <c r="K1230" s="1189"/>
      <c r="P1230" s="643"/>
      <c r="AT1230" s="172"/>
      <c r="AU1230" s="172"/>
      <c r="AV1230" s="172"/>
      <c r="AW1230" s="172"/>
      <c r="AX1230" s="172"/>
      <c r="AY1230" s="172"/>
      <c r="AZ1230" s="172"/>
      <c r="BA1230" s="172"/>
      <c r="BB1230" s="172"/>
      <c r="BC1230" s="172"/>
      <c r="BD1230" s="172"/>
      <c r="BE1230" s="172"/>
      <c r="BF1230" s="172"/>
      <c r="BG1230" s="172"/>
      <c r="BH1230" s="172"/>
      <c r="BI1230" s="172"/>
      <c r="BJ1230" s="172"/>
      <c r="BK1230" s="172"/>
      <c r="BL1230" s="172"/>
      <c r="BM1230" s="172"/>
      <c r="BN1230" s="172"/>
      <c r="BO1230" s="172"/>
      <c r="BP1230" s="172"/>
    </row>
    <row r="1231" spans="1:68" s="555" customFormat="1" ht="409.6">
      <c r="A1231" s="172"/>
      <c r="E1231" s="954"/>
      <c r="F1231" s="1334"/>
      <c r="I1231" s="382"/>
      <c r="J1231" s="172"/>
      <c r="K1231" s="1189"/>
      <c r="P1231" s="643"/>
      <c r="AT1231" s="172"/>
      <c r="AU1231" s="172"/>
      <c r="AV1231" s="172"/>
      <c r="AW1231" s="172"/>
      <c r="AX1231" s="172"/>
      <c r="AY1231" s="172"/>
      <c r="AZ1231" s="172"/>
      <c r="BA1231" s="172"/>
      <c r="BB1231" s="172"/>
      <c r="BC1231" s="172"/>
      <c r="BD1231" s="172"/>
      <c r="BE1231" s="172"/>
      <c r="BF1231" s="172"/>
      <c r="BG1231" s="172"/>
      <c r="BH1231" s="172"/>
      <c r="BI1231" s="172"/>
      <c r="BJ1231" s="172"/>
      <c r="BK1231" s="172"/>
      <c r="BL1231" s="172"/>
      <c r="BM1231" s="172"/>
      <c r="BN1231" s="172"/>
      <c r="BO1231" s="172"/>
      <c r="BP1231" s="172"/>
    </row>
    <row r="1232" spans="1:68" s="555" customFormat="1" ht="409.6">
      <c r="A1232" s="172"/>
      <c r="E1232" s="954"/>
      <c r="F1232" s="1334"/>
      <c r="I1232" s="382"/>
      <c r="J1232" s="172"/>
      <c r="K1232" s="1189"/>
      <c r="P1232" s="643"/>
      <c r="AT1232" s="172"/>
      <c r="AU1232" s="172"/>
      <c r="AV1232" s="172"/>
      <c r="AW1232" s="172"/>
      <c r="AX1232" s="172"/>
      <c r="AY1232" s="172"/>
      <c r="AZ1232" s="172"/>
      <c r="BA1232" s="172"/>
      <c r="BB1232" s="172"/>
      <c r="BC1232" s="172"/>
      <c r="BD1232" s="172"/>
      <c r="BE1232" s="172"/>
      <c r="BF1232" s="172"/>
      <c r="BG1232" s="172"/>
      <c r="BH1232" s="172"/>
      <c r="BI1232" s="172"/>
      <c r="BJ1232" s="172"/>
      <c r="BK1232" s="172"/>
      <c r="BL1232" s="172"/>
      <c r="BM1232" s="172"/>
      <c r="BN1232" s="172"/>
      <c r="BO1232" s="172"/>
      <c r="BP1232" s="172"/>
    </row>
    <row r="1233" spans="1:68" s="555" customFormat="1" ht="409.6">
      <c r="A1233" s="172"/>
      <c r="E1233" s="954"/>
      <c r="F1233" s="1334"/>
      <c r="I1233" s="382"/>
      <c r="J1233" s="172"/>
      <c r="K1233" s="1189"/>
      <c r="P1233" s="643"/>
      <c r="AT1233" s="172"/>
      <c r="AU1233" s="172"/>
      <c r="AV1233" s="172"/>
      <c r="AW1233" s="172"/>
      <c r="AX1233" s="172"/>
      <c r="AY1233" s="172"/>
      <c r="AZ1233" s="172"/>
      <c r="BA1233" s="172"/>
      <c r="BB1233" s="172"/>
      <c r="BC1233" s="172"/>
      <c r="BD1233" s="172"/>
      <c r="BE1233" s="172"/>
      <c r="BF1233" s="172"/>
      <c r="BG1233" s="172"/>
      <c r="BH1233" s="172"/>
      <c r="BI1233" s="172"/>
      <c r="BJ1233" s="172"/>
      <c r="BK1233" s="172"/>
      <c r="BL1233" s="172"/>
      <c r="BM1233" s="172"/>
      <c r="BN1233" s="172"/>
      <c r="BO1233" s="172"/>
      <c r="BP1233" s="172"/>
    </row>
    <row r="1234" spans="1:68" s="555" customFormat="1" ht="409.6">
      <c r="A1234" s="172"/>
      <c r="E1234" s="954"/>
      <c r="F1234" s="1334"/>
      <c r="I1234" s="382"/>
      <c r="J1234" s="172"/>
      <c r="K1234" s="1189"/>
      <c r="P1234" s="643"/>
      <c r="AT1234" s="172"/>
      <c r="AU1234" s="172"/>
      <c r="AV1234" s="172"/>
      <c r="AW1234" s="172"/>
      <c r="AX1234" s="172"/>
      <c r="AY1234" s="172"/>
      <c r="AZ1234" s="172"/>
      <c r="BA1234" s="172"/>
      <c r="BB1234" s="172"/>
      <c r="BC1234" s="172"/>
      <c r="BD1234" s="172"/>
      <c r="BE1234" s="172"/>
      <c r="BF1234" s="172"/>
      <c r="BG1234" s="172"/>
      <c r="BH1234" s="172"/>
      <c r="BI1234" s="172"/>
      <c r="BJ1234" s="172"/>
      <c r="BK1234" s="172"/>
      <c r="BL1234" s="172"/>
      <c r="BM1234" s="172"/>
      <c r="BN1234" s="172"/>
      <c r="BO1234" s="172"/>
      <c r="BP1234" s="172"/>
    </row>
    <row r="1235" spans="1:68" s="555" customFormat="1" ht="409.6">
      <c r="A1235" s="172"/>
      <c r="E1235" s="954"/>
      <c r="F1235" s="1334"/>
      <c r="I1235" s="382"/>
      <c r="J1235" s="172"/>
      <c r="K1235" s="1189"/>
      <c r="P1235" s="643"/>
      <c r="AT1235" s="172"/>
      <c r="AU1235" s="172"/>
      <c r="AV1235" s="172"/>
      <c r="AW1235" s="172"/>
      <c r="AX1235" s="172"/>
      <c r="AY1235" s="172"/>
      <c r="AZ1235" s="172"/>
      <c r="BA1235" s="172"/>
      <c r="BB1235" s="172"/>
      <c r="BC1235" s="172"/>
      <c r="BD1235" s="172"/>
      <c r="BE1235" s="172"/>
      <c r="BF1235" s="172"/>
      <c r="BG1235" s="172"/>
      <c r="BH1235" s="172"/>
      <c r="BI1235" s="172"/>
      <c r="BJ1235" s="172"/>
      <c r="BK1235" s="172"/>
      <c r="BL1235" s="172"/>
      <c r="BM1235" s="172"/>
      <c r="BN1235" s="172"/>
      <c r="BO1235" s="172"/>
      <c r="BP1235" s="172"/>
    </row>
    <row r="1236" spans="1:68" s="555" customFormat="1" ht="409.6">
      <c r="A1236" s="172"/>
      <c r="E1236" s="954"/>
      <c r="F1236" s="1334"/>
      <c r="I1236" s="382"/>
      <c r="J1236" s="172"/>
      <c r="K1236" s="1189"/>
      <c r="P1236" s="643"/>
      <c r="AT1236" s="172"/>
      <c r="AU1236" s="172"/>
      <c r="AV1236" s="172"/>
      <c r="AW1236" s="172"/>
      <c r="AX1236" s="172"/>
      <c r="AY1236" s="172"/>
      <c r="AZ1236" s="172"/>
      <c r="BA1236" s="172"/>
      <c r="BB1236" s="172"/>
      <c r="BC1236" s="172"/>
      <c r="BD1236" s="172"/>
      <c r="BE1236" s="172"/>
      <c r="BF1236" s="172"/>
      <c r="BG1236" s="172"/>
      <c r="BH1236" s="172"/>
      <c r="BI1236" s="172"/>
      <c r="BJ1236" s="172"/>
      <c r="BK1236" s="172"/>
      <c r="BL1236" s="172"/>
      <c r="BM1236" s="172"/>
      <c r="BN1236" s="172"/>
      <c r="BO1236" s="172"/>
      <c r="BP1236" s="172"/>
    </row>
    <row r="1237" spans="1:68" s="555" customFormat="1" ht="409.6">
      <c r="A1237" s="172"/>
      <c r="E1237" s="954"/>
      <c r="F1237" s="1334"/>
      <c r="I1237" s="382"/>
      <c r="J1237" s="172"/>
      <c r="K1237" s="1189"/>
      <c r="P1237" s="643"/>
      <c r="AT1237" s="172"/>
      <c r="AU1237" s="172"/>
      <c r="AV1237" s="172"/>
      <c r="AW1237" s="172"/>
      <c r="AX1237" s="172"/>
      <c r="AY1237" s="172"/>
      <c r="AZ1237" s="172"/>
      <c r="BA1237" s="172"/>
      <c r="BB1237" s="172"/>
      <c r="BC1237" s="172"/>
      <c r="BD1237" s="172"/>
      <c r="BE1237" s="172"/>
      <c r="BF1237" s="172"/>
      <c r="BG1237" s="172"/>
      <c r="BH1237" s="172"/>
      <c r="BI1237" s="172"/>
      <c r="BJ1237" s="172"/>
      <c r="BK1237" s="172"/>
      <c r="BL1237" s="172"/>
      <c r="BM1237" s="172"/>
      <c r="BN1237" s="172"/>
      <c r="BO1237" s="172"/>
      <c r="BP1237" s="172"/>
    </row>
    <row r="1238" spans="1:68" s="555" customFormat="1" ht="409.6">
      <c r="A1238" s="172"/>
      <c r="E1238" s="954"/>
      <c r="F1238" s="1334"/>
      <c r="I1238" s="382"/>
      <c r="J1238" s="172"/>
      <c r="K1238" s="1189"/>
      <c r="P1238" s="643"/>
      <c r="AT1238" s="172"/>
      <c r="AU1238" s="172"/>
      <c r="AV1238" s="172"/>
      <c r="AW1238" s="172"/>
      <c r="AX1238" s="172"/>
      <c r="AY1238" s="172"/>
      <c r="AZ1238" s="172"/>
      <c r="BA1238" s="172"/>
      <c r="BB1238" s="172"/>
      <c r="BC1238" s="172"/>
      <c r="BD1238" s="172"/>
      <c r="BE1238" s="172"/>
      <c r="BF1238" s="172"/>
      <c r="BG1238" s="172"/>
      <c r="BH1238" s="172"/>
      <c r="BI1238" s="172"/>
      <c r="BJ1238" s="172"/>
      <c r="BK1238" s="172"/>
      <c r="BL1238" s="172"/>
      <c r="BM1238" s="172"/>
      <c r="BN1238" s="172"/>
      <c r="BO1238" s="172"/>
      <c r="BP1238" s="172"/>
    </row>
    <row r="1239" spans="1:68" s="555" customFormat="1" ht="409.6">
      <c r="A1239" s="172"/>
      <c r="E1239" s="954"/>
      <c r="F1239" s="1334"/>
      <c r="I1239" s="382"/>
      <c r="J1239" s="172"/>
      <c r="K1239" s="1189"/>
      <c r="P1239" s="643"/>
      <c r="AT1239" s="172"/>
      <c r="AU1239" s="172"/>
      <c r="AV1239" s="172"/>
      <c r="AW1239" s="172"/>
      <c r="AX1239" s="172"/>
      <c r="AY1239" s="172"/>
      <c r="AZ1239" s="172"/>
      <c r="BA1239" s="172"/>
      <c r="BB1239" s="172"/>
      <c r="BC1239" s="172"/>
      <c r="BD1239" s="172"/>
      <c r="BE1239" s="172"/>
      <c r="BF1239" s="172"/>
      <c r="BG1239" s="172"/>
      <c r="BH1239" s="172"/>
      <c r="BI1239" s="172"/>
      <c r="BJ1239" s="172"/>
      <c r="BK1239" s="172"/>
      <c r="BL1239" s="172"/>
      <c r="BM1239" s="172"/>
      <c r="BN1239" s="172"/>
      <c r="BO1239" s="172"/>
      <c r="BP1239" s="172"/>
    </row>
    <row r="1240" spans="1:68" s="555" customFormat="1" ht="409.6">
      <c r="A1240" s="172"/>
      <c r="E1240" s="954"/>
      <c r="F1240" s="1334"/>
      <c r="I1240" s="382"/>
      <c r="J1240" s="172"/>
      <c r="K1240" s="1189"/>
      <c r="P1240" s="643"/>
      <c r="AT1240" s="172"/>
      <c r="AU1240" s="172"/>
      <c r="AV1240" s="172"/>
      <c r="AW1240" s="172"/>
      <c r="AX1240" s="172"/>
      <c r="AY1240" s="172"/>
      <c r="AZ1240" s="172"/>
      <c r="BA1240" s="172"/>
      <c r="BB1240" s="172"/>
      <c r="BC1240" s="172"/>
      <c r="BD1240" s="172"/>
      <c r="BE1240" s="172"/>
      <c r="BF1240" s="172"/>
      <c r="BG1240" s="172"/>
      <c r="BH1240" s="172"/>
      <c r="BI1240" s="172"/>
      <c r="BJ1240" s="172"/>
      <c r="BK1240" s="172"/>
      <c r="BL1240" s="172"/>
      <c r="BM1240" s="172"/>
      <c r="BN1240" s="172"/>
      <c r="BO1240" s="172"/>
      <c r="BP1240" s="172"/>
    </row>
    <row r="1241" spans="1:68" s="555" customFormat="1" ht="409.6">
      <c r="A1241" s="172"/>
      <c r="E1241" s="954"/>
      <c r="F1241" s="1334"/>
      <c r="I1241" s="382"/>
      <c r="J1241" s="172"/>
      <c r="K1241" s="1189"/>
      <c r="P1241" s="643"/>
      <c r="AT1241" s="172"/>
      <c r="AU1241" s="172"/>
      <c r="AV1241" s="172"/>
      <c r="AW1241" s="172"/>
      <c r="AX1241" s="172"/>
      <c r="AY1241" s="172"/>
      <c r="AZ1241" s="172"/>
      <c r="BA1241" s="172"/>
      <c r="BB1241" s="172"/>
      <c r="BC1241" s="172"/>
      <c r="BD1241" s="172"/>
      <c r="BE1241" s="172"/>
      <c r="BF1241" s="172"/>
      <c r="BG1241" s="172"/>
      <c r="BH1241" s="172"/>
      <c r="BI1241" s="172"/>
      <c r="BJ1241" s="172"/>
      <c r="BK1241" s="172"/>
      <c r="BL1241" s="172"/>
      <c r="BM1241" s="172"/>
      <c r="BN1241" s="172"/>
      <c r="BO1241" s="172"/>
      <c r="BP1241" s="172"/>
    </row>
    <row r="1242" spans="1:68" s="555" customFormat="1" ht="409.6">
      <c r="A1242" s="172"/>
      <c r="E1242" s="954"/>
      <c r="F1242" s="1334"/>
      <c r="I1242" s="382"/>
      <c r="J1242" s="172"/>
      <c r="K1242" s="1189"/>
      <c r="P1242" s="643"/>
      <c r="AT1242" s="172"/>
      <c r="AU1242" s="172"/>
      <c r="AV1242" s="172"/>
      <c r="AW1242" s="172"/>
      <c r="AX1242" s="172"/>
      <c r="AY1242" s="172"/>
      <c r="AZ1242" s="172"/>
      <c r="BA1242" s="172"/>
      <c r="BB1242" s="172"/>
      <c r="BC1242" s="172"/>
      <c r="BD1242" s="172"/>
      <c r="BE1242" s="172"/>
      <c r="BF1242" s="172"/>
      <c r="BG1242" s="172"/>
      <c r="BH1242" s="172"/>
      <c r="BI1242" s="172"/>
      <c r="BJ1242" s="172"/>
      <c r="BK1242" s="172"/>
      <c r="BL1242" s="172"/>
      <c r="BM1242" s="172"/>
      <c r="BN1242" s="172"/>
      <c r="BO1242" s="172"/>
      <c r="BP1242" s="172"/>
    </row>
    <row r="1243" spans="1:68" s="555" customFormat="1" ht="409.6">
      <c r="A1243" s="172"/>
      <c r="E1243" s="954"/>
      <c r="F1243" s="1334"/>
      <c r="I1243" s="382"/>
      <c r="J1243" s="172"/>
      <c r="K1243" s="1189"/>
      <c r="P1243" s="643"/>
      <c r="AT1243" s="172"/>
      <c r="AU1243" s="172"/>
      <c r="AV1243" s="172"/>
      <c r="AW1243" s="172"/>
      <c r="AX1243" s="172"/>
      <c r="AY1243" s="172"/>
      <c r="AZ1243" s="172"/>
      <c r="BA1243" s="172"/>
      <c r="BB1243" s="172"/>
      <c r="BC1243" s="172"/>
      <c r="BD1243" s="172"/>
      <c r="BE1243" s="172"/>
      <c r="BF1243" s="172"/>
      <c r="BG1243" s="172"/>
      <c r="BH1243" s="172"/>
      <c r="BI1243" s="172"/>
      <c r="BJ1243" s="172"/>
      <c r="BK1243" s="172"/>
      <c r="BL1243" s="172"/>
      <c r="BM1243" s="172"/>
      <c r="BN1243" s="172"/>
      <c r="BO1243" s="172"/>
      <c r="BP1243" s="172"/>
    </row>
    <row r="1244" spans="1:68" s="555" customFormat="1" ht="409.6">
      <c r="A1244" s="172"/>
      <c r="E1244" s="954"/>
      <c r="F1244" s="1334"/>
      <c r="I1244" s="382"/>
      <c r="J1244" s="172"/>
      <c r="K1244" s="1189"/>
      <c r="P1244" s="643"/>
      <c r="AT1244" s="172"/>
      <c r="AU1244" s="172"/>
      <c r="AV1244" s="172"/>
      <c r="AW1244" s="172"/>
      <c r="AX1244" s="172"/>
      <c r="AY1244" s="172"/>
      <c r="AZ1244" s="172"/>
      <c r="BA1244" s="172"/>
      <c r="BB1244" s="172"/>
      <c r="BC1244" s="172"/>
      <c r="BD1244" s="172"/>
      <c r="BE1244" s="172"/>
      <c r="BF1244" s="172"/>
      <c r="BG1244" s="172"/>
      <c r="BH1244" s="172"/>
      <c r="BI1244" s="172"/>
      <c r="BJ1244" s="172"/>
      <c r="BK1244" s="172"/>
      <c r="BL1244" s="172"/>
      <c r="BM1244" s="172"/>
      <c r="BN1244" s="172"/>
      <c r="BO1244" s="172"/>
      <c r="BP1244" s="172"/>
    </row>
    <row r="1245" spans="1:68" s="555" customFormat="1" ht="409.6">
      <c r="A1245" s="172"/>
      <c r="E1245" s="954"/>
      <c r="F1245" s="1334"/>
      <c r="I1245" s="382"/>
      <c r="J1245" s="172"/>
      <c r="K1245" s="1189"/>
      <c r="P1245" s="643"/>
      <c r="AT1245" s="172"/>
      <c r="AU1245" s="172"/>
      <c r="AV1245" s="172"/>
      <c r="AW1245" s="172"/>
      <c r="AX1245" s="172"/>
      <c r="AY1245" s="172"/>
      <c r="AZ1245" s="172"/>
      <c r="BA1245" s="172"/>
      <c r="BB1245" s="172"/>
      <c r="BC1245" s="172"/>
      <c r="BD1245" s="172"/>
      <c r="BE1245" s="172"/>
      <c r="BF1245" s="172"/>
      <c r="BG1245" s="172"/>
      <c r="BH1245" s="172"/>
      <c r="BI1245" s="172"/>
      <c r="BJ1245" s="172"/>
      <c r="BK1245" s="172"/>
      <c r="BL1245" s="172"/>
      <c r="BM1245" s="172"/>
      <c r="BN1245" s="172"/>
      <c r="BO1245" s="172"/>
      <c r="BP1245" s="172"/>
    </row>
    <row r="1246" spans="1:68" s="555" customFormat="1" ht="409.6">
      <c r="A1246" s="172"/>
      <c r="E1246" s="954"/>
      <c r="F1246" s="1334"/>
      <c r="I1246" s="382"/>
      <c r="J1246" s="172"/>
      <c r="K1246" s="1189"/>
      <c r="P1246" s="643"/>
      <c r="AT1246" s="172"/>
      <c r="AU1246" s="172"/>
      <c r="AV1246" s="172"/>
      <c r="AW1246" s="172"/>
      <c r="AX1246" s="172"/>
      <c r="AY1246" s="172"/>
      <c r="AZ1246" s="172"/>
      <c r="BA1246" s="172"/>
      <c r="BB1246" s="172"/>
      <c r="BC1246" s="172"/>
      <c r="BD1246" s="172"/>
      <c r="BE1246" s="172"/>
      <c r="BF1246" s="172"/>
      <c r="BG1246" s="172"/>
      <c r="BH1246" s="172"/>
      <c r="BI1246" s="172"/>
      <c r="BJ1246" s="172"/>
      <c r="BK1246" s="172"/>
      <c r="BL1246" s="172"/>
      <c r="BM1246" s="172"/>
      <c r="BN1246" s="172"/>
      <c r="BO1246" s="172"/>
      <c r="BP1246" s="172"/>
    </row>
    <row r="1247" spans="1:68" s="555" customFormat="1" ht="409.6">
      <c r="A1247" s="172"/>
      <c r="E1247" s="954"/>
      <c r="F1247" s="1334"/>
      <c r="I1247" s="382"/>
      <c r="J1247" s="172"/>
      <c r="K1247" s="1189"/>
      <c r="P1247" s="643"/>
      <c r="AT1247" s="172"/>
      <c r="AU1247" s="172"/>
      <c r="AV1247" s="172"/>
      <c r="AW1247" s="172"/>
      <c r="AX1247" s="172"/>
      <c r="AY1247" s="172"/>
      <c r="AZ1247" s="172"/>
      <c r="BA1247" s="172"/>
      <c r="BB1247" s="172"/>
      <c r="BC1247" s="172"/>
      <c r="BD1247" s="172"/>
      <c r="BE1247" s="172"/>
      <c r="BF1247" s="172"/>
      <c r="BG1247" s="172"/>
      <c r="BH1247" s="172"/>
      <c r="BI1247" s="172"/>
      <c r="BJ1247" s="172"/>
      <c r="BK1247" s="172"/>
      <c r="BL1247" s="172"/>
      <c r="BM1247" s="172"/>
      <c r="BN1247" s="172"/>
      <c r="BO1247" s="172"/>
      <c r="BP1247" s="172"/>
    </row>
    <row r="1248" spans="1:68" s="555" customFormat="1" ht="409.6">
      <c r="A1248" s="172"/>
      <c r="E1248" s="954"/>
      <c r="F1248" s="1334"/>
      <c r="I1248" s="382"/>
      <c r="J1248" s="172"/>
      <c r="K1248" s="1189"/>
      <c r="P1248" s="643"/>
      <c r="AT1248" s="172"/>
      <c r="AU1248" s="172"/>
      <c r="AV1248" s="172"/>
      <c r="AW1248" s="172"/>
      <c r="AX1248" s="172"/>
      <c r="AY1248" s="172"/>
      <c r="AZ1248" s="172"/>
      <c r="BA1248" s="172"/>
      <c r="BB1248" s="172"/>
      <c r="BC1248" s="172"/>
      <c r="BD1248" s="172"/>
      <c r="BE1248" s="172"/>
      <c r="BF1248" s="172"/>
      <c r="BG1248" s="172"/>
      <c r="BH1248" s="172"/>
      <c r="BI1248" s="172"/>
      <c r="BJ1248" s="172"/>
      <c r="BK1248" s="172"/>
      <c r="BL1248" s="172"/>
      <c r="BM1248" s="172"/>
      <c r="BN1248" s="172"/>
      <c r="BO1248" s="172"/>
      <c r="BP1248" s="172"/>
    </row>
    <row r="1249" spans="1:68" s="555" customFormat="1" ht="409.6">
      <c r="A1249" s="172"/>
      <c r="E1249" s="954"/>
      <c r="F1249" s="1334"/>
      <c r="I1249" s="382"/>
      <c r="J1249" s="172"/>
      <c r="K1249" s="1189"/>
      <c r="P1249" s="643"/>
      <c r="AT1249" s="172"/>
      <c r="AU1249" s="172"/>
      <c r="AV1249" s="172"/>
      <c r="AW1249" s="172"/>
      <c r="AX1249" s="172"/>
      <c r="AY1249" s="172"/>
      <c r="AZ1249" s="172"/>
      <c r="BA1249" s="172"/>
      <c r="BB1249" s="172"/>
      <c r="BC1249" s="172"/>
      <c r="BD1249" s="172"/>
      <c r="BE1249" s="172"/>
      <c r="BF1249" s="172"/>
      <c r="BG1249" s="172"/>
      <c r="BH1249" s="172"/>
      <c r="BI1249" s="172"/>
      <c r="BJ1249" s="172"/>
      <c r="BK1249" s="172"/>
      <c r="BL1249" s="172"/>
      <c r="BM1249" s="172"/>
      <c r="BN1249" s="172"/>
      <c r="BO1249" s="172"/>
      <c r="BP1249" s="172"/>
    </row>
    <row r="1250" spans="1:68" s="555" customFormat="1" ht="409.6">
      <c r="A1250" s="172"/>
      <c r="E1250" s="954"/>
      <c r="F1250" s="1334"/>
      <c r="I1250" s="382"/>
      <c r="J1250" s="172"/>
      <c r="K1250" s="1189"/>
      <c r="P1250" s="643"/>
      <c r="AT1250" s="172"/>
      <c r="AU1250" s="172"/>
      <c r="AV1250" s="172"/>
      <c r="AW1250" s="172"/>
      <c r="AX1250" s="172"/>
      <c r="AY1250" s="172"/>
      <c r="AZ1250" s="172"/>
      <c r="BA1250" s="172"/>
      <c r="BB1250" s="172"/>
      <c r="BC1250" s="172"/>
      <c r="BD1250" s="172"/>
      <c r="BE1250" s="172"/>
      <c r="BF1250" s="172"/>
      <c r="BG1250" s="172"/>
      <c r="BH1250" s="172"/>
      <c r="BI1250" s="172"/>
      <c r="BJ1250" s="172"/>
      <c r="BK1250" s="172"/>
      <c r="BL1250" s="172"/>
      <c r="BM1250" s="172"/>
      <c r="BN1250" s="172"/>
      <c r="BO1250" s="172"/>
      <c r="BP1250" s="172"/>
    </row>
    <row r="1251" spans="1:68" s="555" customFormat="1" ht="409.6">
      <c r="A1251" s="172"/>
      <c r="E1251" s="954"/>
      <c r="F1251" s="1334"/>
      <c r="I1251" s="382"/>
      <c r="J1251" s="172"/>
      <c r="K1251" s="1189"/>
      <c r="P1251" s="643"/>
      <c r="AT1251" s="172"/>
      <c r="AU1251" s="172"/>
      <c r="AV1251" s="172"/>
      <c r="AW1251" s="172"/>
      <c r="AX1251" s="172"/>
      <c r="AY1251" s="172"/>
      <c r="AZ1251" s="172"/>
      <c r="BA1251" s="172"/>
      <c r="BB1251" s="172"/>
      <c r="BC1251" s="172"/>
      <c r="BD1251" s="172"/>
      <c r="BE1251" s="172"/>
      <c r="BF1251" s="172"/>
      <c r="BG1251" s="172"/>
      <c r="BH1251" s="172"/>
      <c r="BI1251" s="172"/>
      <c r="BJ1251" s="172"/>
      <c r="BK1251" s="172"/>
      <c r="BL1251" s="172"/>
      <c r="BM1251" s="172"/>
      <c r="BN1251" s="172"/>
      <c r="BO1251" s="172"/>
      <c r="BP1251" s="172"/>
    </row>
    <row r="1252" spans="1:68" s="555" customFormat="1" ht="409.6">
      <c r="A1252" s="172"/>
      <c r="E1252" s="954"/>
      <c r="F1252" s="1334"/>
      <c r="I1252" s="382"/>
      <c r="J1252" s="172"/>
      <c r="K1252" s="1189"/>
      <c r="P1252" s="643"/>
      <c r="AT1252" s="172"/>
      <c r="AU1252" s="172"/>
      <c r="AV1252" s="172"/>
      <c r="AW1252" s="172"/>
      <c r="AX1252" s="172"/>
      <c r="AY1252" s="172"/>
      <c r="AZ1252" s="172"/>
      <c r="BA1252" s="172"/>
      <c r="BB1252" s="172"/>
      <c r="BC1252" s="172"/>
      <c r="BD1252" s="172"/>
      <c r="BE1252" s="172"/>
      <c r="BF1252" s="172"/>
      <c r="BG1252" s="172"/>
      <c r="BH1252" s="172"/>
      <c r="BI1252" s="172"/>
      <c r="BJ1252" s="172"/>
      <c r="BK1252" s="172"/>
      <c r="BL1252" s="172"/>
      <c r="BM1252" s="172"/>
      <c r="BN1252" s="172"/>
      <c r="BO1252" s="172"/>
      <c r="BP1252" s="172"/>
    </row>
    <row r="1253" spans="1:68" s="555" customFormat="1" ht="409.6">
      <c r="A1253" s="172"/>
      <c r="E1253" s="954"/>
      <c r="F1253" s="1334"/>
      <c r="I1253" s="382"/>
      <c r="J1253" s="172"/>
      <c r="K1253" s="1189"/>
      <c r="P1253" s="643"/>
      <c r="AT1253" s="172"/>
      <c r="AU1253" s="172"/>
      <c r="AV1253" s="172"/>
      <c r="AW1253" s="172"/>
      <c r="AX1253" s="172"/>
      <c r="AY1253" s="172"/>
      <c r="AZ1253" s="172"/>
      <c r="BA1253" s="172"/>
      <c r="BB1253" s="172"/>
      <c r="BC1253" s="172"/>
      <c r="BD1253" s="172"/>
      <c r="BE1253" s="172"/>
      <c r="BF1253" s="172"/>
      <c r="BG1253" s="172"/>
      <c r="BH1253" s="172"/>
      <c r="BI1253" s="172"/>
      <c r="BJ1253" s="172"/>
      <c r="BK1253" s="172"/>
      <c r="BL1253" s="172"/>
      <c r="BM1253" s="172"/>
      <c r="BN1253" s="172"/>
      <c r="BO1253" s="172"/>
      <c r="BP1253" s="172"/>
    </row>
    <row r="1254" spans="1:68" s="555" customFormat="1" ht="409.6">
      <c r="A1254" s="172"/>
      <c r="E1254" s="954"/>
      <c r="F1254" s="1334"/>
      <c r="I1254" s="382"/>
      <c r="J1254" s="172"/>
      <c r="K1254" s="1189"/>
      <c r="P1254" s="643"/>
      <c r="AT1254" s="172"/>
      <c r="AU1254" s="172"/>
      <c r="AV1254" s="172"/>
      <c r="AW1254" s="172"/>
      <c r="AX1254" s="172"/>
      <c r="AY1254" s="172"/>
      <c r="AZ1254" s="172"/>
      <c r="BA1254" s="172"/>
      <c r="BB1254" s="172"/>
      <c r="BC1254" s="172"/>
      <c r="BD1254" s="172"/>
      <c r="BE1254" s="172"/>
      <c r="BF1254" s="172"/>
      <c r="BG1254" s="172"/>
      <c r="BH1254" s="172"/>
      <c r="BI1254" s="172"/>
      <c r="BJ1254" s="172"/>
      <c r="BK1254" s="172"/>
      <c r="BL1254" s="172"/>
      <c r="BM1254" s="172"/>
      <c r="BN1254" s="172"/>
      <c r="BO1254" s="172"/>
      <c r="BP1254" s="172"/>
    </row>
    <row r="1255" spans="1:68" s="555" customFormat="1" ht="409.6">
      <c r="A1255" s="172"/>
      <c r="E1255" s="954"/>
      <c r="F1255" s="1334"/>
      <c r="I1255" s="382"/>
      <c r="J1255" s="172"/>
      <c r="K1255" s="1189"/>
      <c r="P1255" s="643"/>
      <c r="AT1255" s="172"/>
      <c r="AU1255" s="172"/>
      <c r="AV1255" s="172"/>
      <c r="AW1255" s="172"/>
      <c r="AX1255" s="172"/>
      <c r="AY1255" s="172"/>
      <c r="AZ1255" s="172"/>
      <c r="BA1255" s="172"/>
      <c r="BB1255" s="172"/>
      <c r="BC1255" s="172"/>
      <c r="BD1255" s="172"/>
      <c r="BE1255" s="172"/>
      <c r="BF1255" s="172"/>
      <c r="BG1255" s="172"/>
      <c r="BH1255" s="172"/>
      <c r="BI1255" s="172"/>
      <c r="BJ1255" s="172"/>
      <c r="BK1255" s="172"/>
      <c r="BL1255" s="172"/>
      <c r="BM1255" s="172"/>
      <c r="BN1255" s="172"/>
      <c r="BO1255" s="172"/>
      <c r="BP1255" s="172"/>
    </row>
    <row r="1256" spans="1:68" s="555" customFormat="1" ht="409.6">
      <c r="A1256" s="172"/>
      <c r="E1256" s="954"/>
      <c r="F1256" s="1334"/>
      <c r="I1256" s="382"/>
      <c r="J1256" s="172"/>
      <c r="K1256" s="1189"/>
      <c r="P1256" s="643"/>
      <c r="AT1256" s="172"/>
      <c r="AU1256" s="172"/>
      <c r="AV1256" s="172"/>
      <c r="AW1256" s="172"/>
      <c r="AX1256" s="172"/>
      <c r="AY1256" s="172"/>
      <c r="AZ1256" s="172"/>
      <c r="BA1256" s="172"/>
      <c r="BB1256" s="172"/>
      <c r="BC1256" s="172"/>
      <c r="BD1256" s="172"/>
      <c r="BE1256" s="172"/>
      <c r="BF1256" s="172"/>
      <c r="BG1256" s="172"/>
      <c r="BH1256" s="172"/>
      <c r="BI1256" s="172"/>
      <c r="BJ1256" s="172"/>
      <c r="BK1256" s="172"/>
      <c r="BL1256" s="172"/>
      <c r="BM1256" s="172"/>
      <c r="BN1256" s="172"/>
      <c r="BO1256" s="172"/>
      <c r="BP1256" s="172"/>
    </row>
    <row r="1257" spans="1:68" s="555" customFormat="1" ht="409.6">
      <c r="A1257" s="172"/>
      <c r="E1257" s="954"/>
      <c r="F1257" s="1334"/>
      <c r="I1257" s="382"/>
      <c r="J1257" s="172"/>
      <c r="K1257" s="1189"/>
      <c r="P1257" s="643"/>
      <c r="AT1257" s="172"/>
      <c r="AU1257" s="172"/>
      <c r="AV1257" s="172"/>
      <c r="AW1257" s="172"/>
      <c r="AX1257" s="172"/>
      <c r="AY1257" s="172"/>
      <c r="AZ1257" s="172"/>
      <c r="BA1257" s="172"/>
      <c r="BB1257" s="172"/>
      <c r="BC1257" s="172"/>
      <c r="BD1257" s="172"/>
      <c r="BE1257" s="172"/>
      <c r="BF1257" s="172"/>
      <c r="BG1257" s="172"/>
      <c r="BH1257" s="172"/>
      <c r="BI1257" s="172"/>
      <c r="BJ1257" s="172"/>
      <c r="BK1257" s="172"/>
      <c r="BL1257" s="172"/>
      <c r="BM1257" s="172"/>
      <c r="BN1257" s="172"/>
      <c r="BO1257" s="172"/>
      <c r="BP1257" s="172"/>
    </row>
    <row r="1258" spans="1:68" s="555" customFormat="1" ht="409.6">
      <c r="A1258" s="172"/>
      <c r="E1258" s="954"/>
      <c r="F1258" s="1334"/>
      <c r="I1258" s="382"/>
      <c r="J1258" s="172"/>
      <c r="K1258" s="1189"/>
      <c r="P1258" s="643"/>
      <c r="AT1258" s="172"/>
      <c r="AU1258" s="172"/>
      <c r="AV1258" s="172"/>
      <c r="AW1258" s="172"/>
      <c r="AX1258" s="172"/>
      <c r="AY1258" s="172"/>
      <c r="AZ1258" s="172"/>
      <c r="BA1258" s="172"/>
      <c r="BB1258" s="172"/>
      <c r="BC1258" s="172"/>
      <c r="BD1258" s="172"/>
      <c r="BE1258" s="172"/>
      <c r="BF1258" s="172"/>
      <c r="BG1258" s="172"/>
      <c r="BH1258" s="172"/>
      <c r="BI1258" s="172"/>
      <c r="BJ1258" s="172"/>
      <c r="BK1258" s="172"/>
      <c r="BL1258" s="172"/>
      <c r="BM1258" s="172"/>
      <c r="BN1258" s="172"/>
      <c r="BO1258" s="172"/>
      <c r="BP1258" s="172"/>
    </row>
    <row r="1259" spans="1:68" s="555" customFormat="1" ht="409.6">
      <c r="A1259" s="172"/>
      <c r="E1259" s="954"/>
      <c r="F1259" s="1334"/>
      <c r="I1259" s="382"/>
      <c r="J1259" s="172"/>
      <c r="K1259" s="1189"/>
      <c r="P1259" s="643"/>
      <c r="AT1259" s="172"/>
      <c r="AU1259" s="172"/>
      <c r="AV1259" s="172"/>
      <c r="AW1259" s="172"/>
      <c r="AX1259" s="172"/>
      <c r="AY1259" s="172"/>
      <c r="AZ1259" s="172"/>
      <c r="BA1259" s="172"/>
      <c r="BB1259" s="172"/>
      <c r="BC1259" s="172"/>
      <c r="BD1259" s="172"/>
      <c r="BE1259" s="172"/>
      <c r="BF1259" s="172"/>
      <c r="BG1259" s="172"/>
      <c r="BH1259" s="172"/>
      <c r="BI1259" s="172"/>
      <c r="BJ1259" s="172"/>
      <c r="BK1259" s="172"/>
      <c r="BL1259" s="172"/>
      <c r="BM1259" s="172"/>
      <c r="BN1259" s="172"/>
      <c r="BO1259" s="172"/>
      <c r="BP1259" s="172"/>
    </row>
    <row r="1260" spans="1:68" s="555" customFormat="1" ht="409.6">
      <c r="A1260" s="172"/>
      <c r="E1260" s="954"/>
      <c r="F1260" s="1334"/>
      <c r="I1260" s="382"/>
      <c r="J1260" s="172"/>
      <c r="K1260" s="1189"/>
      <c r="P1260" s="643"/>
      <c r="AT1260" s="172"/>
      <c r="AU1260" s="172"/>
      <c r="AV1260" s="172"/>
      <c r="AW1260" s="172"/>
      <c r="AX1260" s="172"/>
      <c r="AY1260" s="172"/>
      <c r="AZ1260" s="172"/>
      <c r="BA1260" s="172"/>
      <c r="BB1260" s="172"/>
      <c r="BC1260" s="172"/>
      <c r="BD1260" s="172"/>
      <c r="BE1260" s="172"/>
      <c r="BF1260" s="172"/>
      <c r="BG1260" s="172"/>
      <c r="BH1260" s="172"/>
      <c r="BI1260" s="172"/>
      <c r="BJ1260" s="172"/>
      <c r="BK1260" s="172"/>
      <c r="BL1260" s="172"/>
      <c r="BM1260" s="172"/>
      <c r="BN1260" s="172"/>
      <c r="BO1260" s="172"/>
      <c r="BP1260" s="172"/>
    </row>
    <row r="1261" spans="1:68" s="555" customFormat="1" ht="409.6">
      <c r="A1261" s="172"/>
      <c r="E1261" s="954"/>
      <c r="F1261" s="1334"/>
      <c r="I1261" s="382"/>
      <c r="J1261" s="172"/>
      <c r="K1261" s="1189"/>
      <c r="P1261" s="643"/>
      <c r="AT1261" s="172"/>
      <c r="AU1261" s="172"/>
      <c r="AV1261" s="172"/>
      <c r="AW1261" s="172"/>
      <c r="AX1261" s="172"/>
      <c r="AY1261" s="172"/>
      <c r="AZ1261" s="172"/>
      <c r="BA1261" s="172"/>
      <c r="BB1261" s="172"/>
      <c r="BC1261" s="172"/>
      <c r="BD1261" s="172"/>
      <c r="BE1261" s="172"/>
      <c r="BF1261" s="172"/>
      <c r="BG1261" s="172"/>
      <c r="BH1261" s="172"/>
      <c r="BI1261" s="172"/>
      <c r="BJ1261" s="172"/>
      <c r="BK1261" s="172"/>
      <c r="BL1261" s="172"/>
      <c r="BM1261" s="172"/>
      <c r="BN1261" s="172"/>
      <c r="BO1261" s="172"/>
      <c r="BP1261" s="172"/>
    </row>
    <row r="1262" spans="1:68" s="555" customFormat="1" ht="409.6">
      <c r="A1262" s="172"/>
      <c r="E1262" s="954"/>
      <c r="F1262" s="1334"/>
      <c r="I1262" s="382"/>
      <c r="J1262" s="172"/>
      <c r="K1262" s="1189"/>
      <c r="P1262" s="643"/>
      <c r="AT1262" s="172"/>
      <c r="AU1262" s="172"/>
      <c r="AV1262" s="172"/>
      <c r="AW1262" s="172"/>
      <c r="AX1262" s="172"/>
      <c r="AY1262" s="172"/>
      <c r="AZ1262" s="172"/>
      <c r="BA1262" s="172"/>
      <c r="BB1262" s="172"/>
      <c r="BC1262" s="172"/>
      <c r="BD1262" s="172"/>
      <c r="BE1262" s="172"/>
      <c r="BF1262" s="172"/>
      <c r="BG1262" s="172"/>
      <c r="BH1262" s="172"/>
      <c r="BI1262" s="172"/>
      <c r="BJ1262" s="172"/>
      <c r="BK1262" s="172"/>
      <c r="BL1262" s="172"/>
      <c r="BM1262" s="172"/>
      <c r="BN1262" s="172"/>
      <c r="BO1262" s="172"/>
      <c r="BP1262" s="172"/>
    </row>
    <row r="1263" spans="1:68" s="555" customFormat="1" ht="409.6">
      <c r="A1263" s="172"/>
      <c r="E1263" s="954"/>
      <c r="F1263" s="1334"/>
      <c r="I1263" s="382"/>
      <c r="J1263" s="172"/>
      <c r="K1263" s="1189"/>
      <c r="P1263" s="643"/>
      <c r="AT1263" s="172"/>
      <c r="AU1263" s="172"/>
      <c r="AV1263" s="172"/>
      <c r="AW1263" s="172"/>
      <c r="AX1263" s="172"/>
      <c r="AY1263" s="172"/>
      <c r="AZ1263" s="172"/>
      <c r="BA1263" s="172"/>
      <c r="BB1263" s="172"/>
      <c r="BC1263" s="172"/>
      <c r="BD1263" s="172"/>
      <c r="BE1263" s="172"/>
      <c r="BF1263" s="172"/>
      <c r="BG1263" s="172"/>
      <c r="BH1263" s="172"/>
      <c r="BI1263" s="172"/>
      <c r="BJ1263" s="172"/>
      <c r="BK1263" s="172"/>
      <c r="BL1263" s="172"/>
      <c r="BM1263" s="172"/>
      <c r="BN1263" s="172"/>
      <c r="BO1263" s="172"/>
      <c r="BP1263" s="172"/>
    </row>
    <row r="1264" spans="1:68" s="555" customFormat="1" ht="409.6">
      <c r="A1264" s="172"/>
      <c r="E1264" s="954"/>
      <c r="F1264" s="1334"/>
      <c r="I1264" s="382"/>
      <c r="J1264" s="172"/>
      <c r="K1264" s="1189"/>
      <c r="P1264" s="643"/>
      <c r="AT1264" s="172"/>
      <c r="AU1264" s="172"/>
      <c r="AV1264" s="172"/>
      <c r="AW1264" s="172"/>
      <c r="AX1264" s="172"/>
      <c r="AY1264" s="172"/>
      <c r="AZ1264" s="172"/>
      <c r="BA1264" s="172"/>
      <c r="BB1264" s="172"/>
      <c r="BC1264" s="172"/>
      <c r="BD1264" s="172"/>
      <c r="BE1264" s="172"/>
      <c r="BF1264" s="172"/>
      <c r="BG1264" s="172"/>
      <c r="BH1264" s="172"/>
      <c r="BI1264" s="172"/>
      <c r="BJ1264" s="172"/>
      <c r="BK1264" s="172"/>
      <c r="BL1264" s="172"/>
      <c r="BM1264" s="172"/>
      <c r="BN1264" s="172"/>
      <c r="BO1264" s="172"/>
      <c r="BP1264" s="172"/>
    </row>
    <row r="1265" spans="1:68" s="555" customFormat="1" ht="409.6">
      <c r="A1265" s="172"/>
      <c r="E1265" s="954"/>
      <c r="F1265" s="1334"/>
      <c r="I1265" s="382"/>
      <c r="J1265" s="172"/>
      <c r="K1265" s="1189"/>
      <c r="P1265" s="643"/>
      <c r="AT1265" s="172"/>
      <c r="AU1265" s="172"/>
      <c r="AV1265" s="172"/>
      <c r="AW1265" s="172"/>
      <c r="AX1265" s="172"/>
      <c r="AY1265" s="172"/>
      <c r="AZ1265" s="172"/>
      <c r="BA1265" s="172"/>
      <c r="BB1265" s="172"/>
      <c r="BC1265" s="172"/>
      <c r="BD1265" s="172"/>
      <c r="BE1265" s="172"/>
      <c r="BF1265" s="172"/>
      <c r="BG1265" s="172"/>
      <c r="BH1265" s="172"/>
      <c r="BI1265" s="172"/>
      <c r="BJ1265" s="172"/>
      <c r="BK1265" s="172"/>
      <c r="BL1265" s="172"/>
      <c r="BM1265" s="172"/>
      <c r="BN1265" s="172"/>
      <c r="BO1265" s="172"/>
      <c r="BP1265" s="172"/>
    </row>
    <row r="1266" spans="1:68" s="555" customFormat="1" ht="409.6">
      <c r="A1266" s="172"/>
      <c r="E1266" s="954"/>
      <c r="F1266" s="1334"/>
      <c r="I1266" s="382"/>
      <c r="J1266" s="172"/>
      <c r="K1266" s="1189"/>
      <c r="P1266" s="643"/>
      <c r="AT1266" s="172"/>
      <c r="AU1266" s="172"/>
      <c r="AV1266" s="172"/>
      <c r="AW1266" s="172"/>
      <c r="AX1266" s="172"/>
      <c r="AY1266" s="172"/>
      <c r="AZ1266" s="172"/>
      <c r="BA1266" s="172"/>
      <c r="BB1266" s="172"/>
      <c r="BC1266" s="172"/>
      <c r="BD1266" s="172"/>
      <c r="BE1266" s="172"/>
      <c r="BF1266" s="172"/>
      <c r="BG1266" s="172"/>
      <c r="BH1266" s="172"/>
      <c r="BI1266" s="172"/>
      <c r="BJ1266" s="172"/>
      <c r="BK1266" s="172"/>
      <c r="BL1266" s="172"/>
      <c r="BM1266" s="172"/>
      <c r="BN1266" s="172"/>
      <c r="BO1266" s="172"/>
      <c r="BP1266" s="172"/>
    </row>
    <row r="1267" spans="1:68" s="555" customFormat="1" ht="409.6">
      <c r="A1267" s="172"/>
      <c r="E1267" s="954"/>
      <c r="F1267" s="1334"/>
      <c r="I1267" s="382"/>
      <c r="J1267" s="172"/>
      <c r="K1267" s="1189"/>
      <c r="P1267" s="643"/>
      <c r="AT1267" s="172"/>
      <c r="AU1267" s="172"/>
      <c r="AV1267" s="172"/>
      <c r="AW1267" s="172"/>
      <c r="AX1267" s="172"/>
      <c r="AY1267" s="172"/>
      <c r="AZ1267" s="172"/>
      <c r="BA1267" s="172"/>
      <c r="BB1267" s="172"/>
      <c r="BC1267" s="172"/>
      <c r="BD1267" s="172"/>
      <c r="BE1267" s="172"/>
      <c r="BF1267" s="172"/>
      <c r="BG1267" s="172"/>
      <c r="BH1267" s="172"/>
      <c r="BI1267" s="172"/>
      <c r="BJ1267" s="172"/>
      <c r="BK1267" s="172"/>
      <c r="BL1267" s="172"/>
      <c r="BM1267" s="172"/>
      <c r="BN1267" s="172"/>
      <c r="BO1267" s="172"/>
      <c r="BP1267" s="172"/>
    </row>
    <row r="1268" spans="1:68" s="555" customFormat="1" ht="409.6">
      <c r="A1268" s="172"/>
      <c r="E1268" s="954"/>
      <c r="F1268" s="1334"/>
      <c r="I1268" s="382"/>
      <c r="J1268" s="172"/>
      <c r="K1268" s="1189"/>
      <c r="P1268" s="643"/>
      <c r="AT1268" s="172"/>
      <c r="AU1268" s="172"/>
      <c r="AV1268" s="172"/>
      <c r="AW1268" s="172"/>
      <c r="AX1268" s="172"/>
      <c r="AY1268" s="172"/>
      <c r="AZ1268" s="172"/>
      <c r="BA1268" s="172"/>
      <c r="BB1268" s="172"/>
      <c r="BC1268" s="172"/>
      <c r="BD1268" s="172"/>
      <c r="BE1268" s="172"/>
      <c r="BF1268" s="172"/>
      <c r="BG1268" s="172"/>
      <c r="BH1268" s="172"/>
      <c r="BI1268" s="172"/>
      <c r="BJ1268" s="172"/>
      <c r="BK1268" s="172"/>
      <c r="BL1268" s="172"/>
      <c r="BM1268" s="172"/>
      <c r="BN1268" s="172"/>
      <c r="BO1268" s="172"/>
      <c r="BP1268" s="172"/>
    </row>
    <row r="1269" spans="1:68" s="555" customFormat="1" ht="409.6">
      <c r="A1269" s="172"/>
      <c r="E1269" s="954"/>
      <c r="F1269" s="1334"/>
      <c r="I1269" s="382"/>
      <c r="J1269" s="172"/>
      <c r="K1269" s="1189"/>
      <c r="P1269" s="643"/>
      <c r="AT1269" s="172"/>
      <c r="AU1269" s="172"/>
      <c r="AV1269" s="172"/>
      <c r="AW1269" s="172"/>
      <c r="AX1269" s="172"/>
      <c r="AY1269" s="172"/>
      <c r="AZ1269" s="172"/>
      <c r="BA1269" s="172"/>
      <c r="BB1269" s="172"/>
      <c r="BC1269" s="172"/>
      <c r="BD1269" s="172"/>
      <c r="BE1269" s="172"/>
      <c r="BF1269" s="172"/>
      <c r="BG1269" s="172"/>
      <c r="BH1269" s="172"/>
      <c r="BI1269" s="172"/>
      <c r="BJ1269" s="172"/>
      <c r="BK1269" s="172"/>
      <c r="BL1269" s="172"/>
      <c r="BM1269" s="172"/>
      <c r="BN1269" s="172"/>
      <c r="BO1269" s="172"/>
      <c r="BP1269" s="172"/>
    </row>
    <row r="1270" spans="1:68" s="555" customFormat="1" ht="409.6">
      <c r="A1270" s="172"/>
      <c r="E1270" s="954"/>
      <c r="F1270" s="1334"/>
      <c r="I1270" s="382"/>
      <c r="J1270" s="172"/>
      <c r="K1270" s="1189"/>
      <c r="P1270" s="643"/>
      <c r="AT1270" s="172"/>
      <c r="AU1270" s="172"/>
      <c r="AV1270" s="172"/>
      <c r="AW1270" s="172"/>
      <c r="AX1270" s="172"/>
      <c r="AY1270" s="172"/>
      <c r="AZ1270" s="172"/>
      <c r="BA1270" s="172"/>
      <c r="BB1270" s="172"/>
      <c r="BC1270" s="172"/>
      <c r="BD1270" s="172"/>
      <c r="BE1270" s="172"/>
      <c r="BF1270" s="172"/>
      <c r="BG1270" s="172"/>
      <c r="BH1270" s="172"/>
      <c r="BI1270" s="172"/>
      <c r="BJ1270" s="172"/>
      <c r="BK1270" s="172"/>
      <c r="BL1270" s="172"/>
      <c r="BM1270" s="172"/>
      <c r="BN1270" s="172"/>
      <c r="BO1270" s="172"/>
      <c r="BP1270" s="172"/>
    </row>
    <row r="1271" spans="1:68" s="555" customFormat="1" ht="409.6">
      <c r="A1271" s="172"/>
      <c r="E1271" s="954"/>
      <c r="F1271" s="1334"/>
      <c r="I1271" s="382"/>
      <c r="J1271" s="172"/>
      <c r="K1271" s="1189"/>
      <c r="P1271" s="643"/>
      <c r="AT1271" s="172"/>
      <c r="AU1271" s="172"/>
      <c r="AV1271" s="172"/>
      <c r="AW1271" s="172"/>
      <c r="AX1271" s="172"/>
      <c r="AY1271" s="172"/>
      <c r="AZ1271" s="172"/>
      <c r="BA1271" s="172"/>
      <c r="BB1271" s="172"/>
      <c r="BC1271" s="172"/>
      <c r="BD1271" s="172"/>
      <c r="BE1271" s="172"/>
      <c r="BF1271" s="172"/>
      <c r="BG1271" s="172"/>
      <c r="BH1271" s="172"/>
      <c r="BI1271" s="172"/>
      <c r="BJ1271" s="172"/>
      <c r="BK1271" s="172"/>
      <c r="BL1271" s="172"/>
      <c r="BM1271" s="172"/>
      <c r="BN1271" s="172"/>
      <c r="BO1271" s="172"/>
      <c r="BP1271" s="172"/>
    </row>
    <row r="1272" spans="1:68" s="555" customFormat="1" ht="409.6">
      <c r="A1272" s="172"/>
      <c r="E1272" s="954"/>
      <c r="F1272" s="1334"/>
      <c r="I1272" s="382"/>
      <c r="J1272" s="172"/>
      <c r="K1272" s="1189"/>
      <c r="P1272" s="643"/>
      <c r="AT1272" s="172"/>
      <c r="AU1272" s="172"/>
      <c r="AV1272" s="172"/>
      <c r="AW1272" s="172"/>
      <c r="AX1272" s="172"/>
      <c r="AY1272" s="172"/>
      <c r="AZ1272" s="172"/>
      <c r="BA1272" s="172"/>
      <c r="BB1272" s="172"/>
      <c r="BC1272" s="172"/>
      <c r="BD1272" s="172"/>
      <c r="BE1272" s="172"/>
      <c r="BF1272" s="172"/>
      <c r="BG1272" s="172"/>
      <c r="BH1272" s="172"/>
      <c r="BI1272" s="172"/>
      <c r="BJ1272" s="172"/>
      <c r="BK1272" s="172"/>
      <c r="BL1272" s="172"/>
      <c r="BM1272" s="172"/>
      <c r="BN1272" s="172"/>
      <c r="BO1272" s="172"/>
      <c r="BP1272" s="172"/>
    </row>
    <row r="1273" spans="1:68" s="555" customFormat="1" ht="409.6">
      <c r="A1273" s="172"/>
      <c r="E1273" s="954"/>
      <c r="F1273" s="1334"/>
      <c r="I1273" s="382"/>
      <c r="J1273" s="172"/>
      <c r="K1273" s="1189"/>
      <c r="P1273" s="643"/>
      <c r="AT1273" s="172"/>
      <c r="AU1273" s="172"/>
      <c r="AV1273" s="172"/>
      <c r="AW1273" s="172"/>
      <c r="AX1273" s="172"/>
      <c r="AY1273" s="172"/>
      <c r="AZ1273" s="172"/>
      <c r="BA1273" s="172"/>
      <c r="BB1273" s="172"/>
      <c r="BC1273" s="172"/>
      <c r="BD1273" s="172"/>
      <c r="BE1273" s="172"/>
      <c r="BF1273" s="172"/>
      <c r="BG1273" s="172"/>
      <c r="BH1273" s="172"/>
      <c r="BI1273" s="172"/>
      <c r="BJ1273" s="172"/>
      <c r="BK1273" s="172"/>
      <c r="BL1273" s="172"/>
      <c r="BM1273" s="172"/>
      <c r="BN1273" s="172"/>
      <c r="BO1273" s="172"/>
      <c r="BP1273" s="172"/>
    </row>
    <row r="1274" spans="1:68" s="555" customFormat="1" ht="409.6">
      <c r="A1274" s="172"/>
      <c r="E1274" s="954"/>
      <c r="F1274" s="1334"/>
      <c r="I1274" s="382"/>
      <c r="J1274" s="172"/>
      <c r="K1274" s="1189"/>
      <c r="P1274" s="643"/>
      <c r="AT1274" s="172"/>
      <c r="AU1274" s="172"/>
      <c r="AV1274" s="172"/>
      <c r="AW1274" s="172"/>
      <c r="AX1274" s="172"/>
      <c r="AY1274" s="172"/>
      <c r="AZ1274" s="172"/>
      <c r="BA1274" s="172"/>
      <c r="BB1274" s="172"/>
      <c r="BC1274" s="172"/>
      <c r="BD1274" s="172"/>
      <c r="BE1274" s="172"/>
      <c r="BF1274" s="172"/>
      <c r="BG1274" s="172"/>
      <c r="BH1274" s="172"/>
      <c r="BI1274" s="172"/>
      <c r="BJ1274" s="172"/>
      <c r="BK1274" s="172"/>
      <c r="BL1274" s="172"/>
      <c r="BM1274" s="172"/>
      <c r="BN1274" s="172"/>
      <c r="BO1274" s="172"/>
      <c r="BP1274" s="172"/>
    </row>
    <row r="1275" spans="1:68" s="555" customFormat="1" ht="409.6">
      <c r="A1275" s="172"/>
      <c r="E1275" s="954"/>
      <c r="F1275" s="1334"/>
      <c r="I1275" s="382"/>
      <c r="J1275" s="172"/>
      <c r="K1275" s="1189"/>
      <c r="P1275" s="643"/>
      <c r="AT1275" s="172"/>
      <c r="AU1275" s="172"/>
      <c r="AV1275" s="172"/>
      <c r="AW1275" s="172"/>
      <c r="AX1275" s="172"/>
      <c r="AY1275" s="172"/>
      <c r="AZ1275" s="172"/>
      <c r="BA1275" s="172"/>
      <c r="BB1275" s="172"/>
      <c r="BC1275" s="172"/>
      <c r="BD1275" s="172"/>
      <c r="BE1275" s="172"/>
      <c r="BF1275" s="172"/>
      <c r="BG1275" s="172"/>
      <c r="BH1275" s="172"/>
      <c r="BI1275" s="172"/>
      <c r="BJ1275" s="172"/>
      <c r="BK1275" s="172"/>
      <c r="BL1275" s="172"/>
      <c r="BM1275" s="172"/>
      <c r="BN1275" s="172"/>
      <c r="BO1275" s="172"/>
      <c r="BP1275" s="172"/>
    </row>
    <row r="1276" spans="1:68" s="555" customFormat="1" ht="409.6">
      <c r="A1276" s="172"/>
      <c r="E1276" s="954"/>
      <c r="F1276" s="1334"/>
      <c r="I1276" s="382"/>
      <c r="J1276" s="172"/>
      <c r="K1276" s="1189"/>
      <c r="P1276" s="643"/>
      <c r="AT1276" s="172"/>
      <c r="AU1276" s="172"/>
      <c r="AV1276" s="172"/>
      <c r="AW1276" s="172"/>
      <c r="AX1276" s="172"/>
      <c r="AY1276" s="172"/>
      <c r="AZ1276" s="172"/>
      <c r="BA1276" s="172"/>
      <c r="BB1276" s="172"/>
      <c r="BC1276" s="172"/>
      <c r="BD1276" s="172"/>
      <c r="BE1276" s="172"/>
      <c r="BF1276" s="172"/>
      <c r="BG1276" s="172"/>
      <c r="BH1276" s="172"/>
      <c r="BI1276" s="172"/>
      <c r="BJ1276" s="172"/>
      <c r="BK1276" s="172"/>
      <c r="BL1276" s="172"/>
      <c r="BM1276" s="172"/>
      <c r="BN1276" s="172"/>
      <c r="BO1276" s="172"/>
      <c r="BP1276" s="172"/>
    </row>
    <row r="1277" spans="1:68" s="555" customFormat="1" ht="409.6">
      <c r="A1277" s="172"/>
      <c r="E1277" s="954"/>
      <c r="F1277" s="1334"/>
      <c r="I1277" s="382"/>
      <c r="J1277" s="172"/>
      <c r="K1277" s="1189"/>
      <c r="P1277" s="643"/>
      <c r="AT1277" s="172"/>
      <c r="AU1277" s="172"/>
      <c r="AV1277" s="172"/>
      <c r="AW1277" s="172"/>
      <c r="AX1277" s="172"/>
      <c r="AY1277" s="172"/>
      <c r="AZ1277" s="172"/>
      <c r="BA1277" s="172"/>
      <c r="BB1277" s="172"/>
      <c r="BC1277" s="172"/>
      <c r="BD1277" s="172"/>
      <c r="BE1277" s="172"/>
      <c r="BF1277" s="172"/>
      <c r="BG1277" s="172"/>
      <c r="BH1277" s="172"/>
      <c r="BI1277" s="172"/>
      <c r="BJ1277" s="172"/>
      <c r="BK1277" s="172"/>
      <c r="BL1277" s="172"/>
      <c r="BM1277" s="172"/>
      <c r="BN1277" s="172"/>
      <c r="BO1277" s="172"/>
      <c r="BP1277" s="172"/>
    </row>
    <row r="1278" spans="1:68" s="555" customFormat="1" ht="409.6">
      <c r="A1278" s="172"/>
      <c r="E1278" s="954"/>
      <c r="F1278" s="1334"/>
      <c r="I1278" s="382"/>
      <c r="J1278" s="172"/>
      <c r="K1278" s="1189"/>
      <c r="P1278" s="643"/>
      <c r="AT1278" s="172"/>
      <c r="AU1278" s="172"/>
      <c r="AV1278" s="172"/>
      <c r="AW1278" s="172"/>
      <c r="AX1278" s="172"/>
      <c r="AY1278" s="172"/>
      <c r="AZ1278" s="172"/>
      <c r="BA1278" s="172"/>
      <c r="BB1278" s="172"/>
      <c r="BC1278" s="172"/>
      <c r="BD1278" s="172"/>
      <c r="BE1278" s="172"/>
      <c r="BF1278" s="172"/>
      <c r="BG1278" s="172"/>
      <c r="BH1278" s="172"/>
      <c r="BI1278" s="172"/>
      <c r="BJ1278" s="172"/>
      <c r="BK1278" s="172"/>
      <c r="BL1278" s="172"/>
      <c r="BM1278" s="172"/>
      <c r="BN1278" s="172"/>
      <c r="BO1278" s="172"/>
      <c r="BP1278" s="172"/>
    </row>
    <row r="1279" spans="1:68" s="555" customFormat="1" ht="409.6">
      <c r="A1279" s="172"/>
      <c r="E1279" s="954"/>
      <c r="F1279" s="1334"/>
      <c r="I1279" s="382"/>
      <c r="J1279" s="172"/>
      <c r="K1279" s="1189"/>
      <c r="P1279" s="643"/>
      <c r="AT1279" s="172"/>
      <c r="AU1279" s="172"/>
      <c r="AV1279" s="172"/>
      <c r="AW1279" s="172"/>
      <c r="AX1279" s="172"/>
      <c r="AY1279" s="172"/>
      <c r="AZ1279" s="172"/>
      <c r="BA1279" s="172"/>
      <c r="BB1279" s="172"/>
      <c r="BC1279" s="172"/>
      <c r="BD1279" s="172"/>
      <c r="BE1279" s="172"/>
      <c r="BF1279" s="172"/>
      <c r="BG1279" s="172"/>
      <c r="BH1279" s="172"/>
      <c r="BI1279" s="172"/>
      <c r="BJ1279" s="172"/>
      <c r="BK1279" s="172"/>
      <c r="BL1279" s="172"/>
      <c r="BM1279" s="172"/>
      <c r="BN1279" s="172"/>
      <c r="BO1279" s="172"/>
      <c r="BP1279" s="172"/>
    </row>
    <row r="1280" spans="1:68" s="555" customFormat="1" ht="409.6">
      <c r="A1280" s="172"/>
      <c r="E1280" s="954"/>
      <c r="F1280" s="1334"/>
      <c r="I1280" s="382"/>
      <c r="J1280" s="172"/>
      <c r="K1280" s="1189"/>
      <c r="P1280" s="643"/>
      <c r="AT1280" s="172"/>
      <c r="AU1280" s="172"/>
      <c r="AV1280" s="172"/>
      <c r="AW1280" s="172"/>
      <c r="AX1280" s="172"/>
      <c r="AY1280" s="172"/>
      <c r="AZ1280" s="172"/>
      <c r="BA1280" s="172"/>
      <c r="BB1280" s="172"/>
      <c r="BC1280" s="172"/>
      <c r="BD1280" s="172"/>
      <c r="BE1280" s="172"/>
      <c r="BF1280" s="172"/>
      <c r="BG1280" s="172"/>
      <c r="BH1280" s="172"/>
      <c r="BI1280" s="172"/>
      <c r="BJ1280" s="172"/>
      <c r="BK1280" s="172"/>
      <c r="BL1280" s="172"/>
      <c r="BM1280" s="172"/>
      <c r="BN1280" s="172"/>
      <c r="BO1280" s="172"/>
      <c r="BP1280" s="172"/>
    </row>
    <row r="1281" spans="1:68" s="555" customFormat="1" ht="409.6">
      <c r="A1281" s="172"/>
      <c r="E1281" s="954"/>
      <c r="F1281" s="1334"/>
      <c r="I1281" s="382"/>
      <c r="J1281" s="172"/>
      <c r="K1281" s="1189"/>
      <c r="P1281" s="643"/>
      <c r="AT1281" s="172"/>
      <c r="AU1281" s="172"/>
      <c r="AV1281" s="172"/>
      <c r="AW1281" s="172"/>
      <c r="AX1281" s="172"/>
      <c r="AY1281" s="172"/>
      <c r="AZ1281" s="172"/>
      <c r="BA1281" s="172"/>
      <c r="BB1281" s="172"/>
      <c r="BC1281" s="172"/>
      <c r="BD1281" s="172"/>
      <c r="BE1281" s="172"/>
      <c r="BF1281" s="172"/>
      <c r="BG1281" s="172"/>
      <c r="BH1281" s="172"/>
      <c r="BI1281" s="172"/>
      <c r="BJ1281" s="172"/>
      <c r="BK1281" s="172"/>
      <c r="BL1281" s="172"/>
      <c r="BM1281" s="172"/>
      <c r="BN1281" s="172"/>
      <c r="BO1281" s="172"/>
      <c r="BP1281" s="172"/>
    </row>
    <row r="1282" spans="1:68" s="555" customFormat="1" ht="409.6">
      <c r="A1282" s="172"/>
      <c r="E1282" s="954"/>
      <c r="F1282" s="1334"/>
      <c r="I1282" s="382"/>
      <c r="J1282" s="172"/>
      <c r="K1282" s="1189"/>
      <c r="P1282" s="643"/>
      <c r="AT1282" s="172"/>
      <c r="AU1282" s="172"/>
      <c r="AV1282" s="172"/>
      <c r="AW1282" s="172"/>
      <c r="AX1282" s="172"/>
      <c r="AY1282" s="172"/>
      <c r="AZ1282" s="172"/>
      <c r="BA1282" s="172"/>
      <c r="BB1282" s="172"/>
      <c r="BC1282" s="172"/>
      <c r="BD1282" s="172"/>
      <c r="BE1282" s="172"/>
      <c r="BF1282" s="172"/>
      <c r="BG1282" s="172"/>
      <c r="BH1282" s="172"/>
      <c r="BI1282" s="172"/>
      <c r="BJ1282" s="172"/>
      <c r="BK1282" s="172"/>
      <c r="BL1282" s="172"/>
      <c r="BM1282" s="172"/>
      <c r="BN1282" s="172"/>
      <c r="BO1282" s="172"/>
      <c r="BP1282" s="172"/>
    </row>
    <row r="1283" spans="1:68" s="555" customFormat="1" ht="409.6">
      <c r="A1283" s="172"/>
      <c r="E1283" s="954"/>
      <c r="F1283" s="1334"/>
      <c r="I1283" s="382"/>
      <c r="J1283" s="172"/>
      <c r="K1283" s="1189"/>
      <c r="P1283" s="643"/>
      <c r="AT1283" s="172"/>
      <c r="AU1283" s="172"/>
      <c r="AV1283" s="172"/>
      <c r="AW1283" s="172"/>
      <c r="AX1283" s="172"/>
      <c r="AY1283" s="172"/>
      <c r="AZ1283" s="172"/>
      <c r="BA1283" s="172"/>
      <c r="BB1283" s="172"/>
      <c r="BC1283" s="172"/>
      <c r="BD1283" s="172"/>
      <c r="BE1283" s="172"/>
      <c r="BF1283" s="172"/>
      <c r="BG1283" s="172"/>
      <c r="BH1283" s="172"/>
      <c r="BI1283" s="172"/>
      <c r="BJ1283" s="172"/>
      <c r="BK1283" s="172"/>
      <c r="BL1283" s="172"/>
      <c r="BM1283" s="172"/>
      <c r="BN1283" s="172"/>
      <c r="BO1283" s="172"/>
      <c r="BP1283" s="172"/>
    </row>
    <row r="1284" spans="1:68" s="555" customFormat="1" ht="409.6">
      <c r="A1284" s="172"/>
      <c r="E1284" s="954"/>
      <c r="F1284" s="1334"/>
      <c r="I1284" s="382"/>
      <c r="J1284" s="172"/>
      <c r="K1284" s="1189"/>
      <c r="P1284" s="643"/>
      <c r="AT1284" s="172"/>
      <c r="AU1284" s="172"/>
      <c r="AV1284" s="172"/>
      <c r="AW1284" s="172"/>
      <c r="AX1284" s="172"/>
      <c r="AY1284" s="172"/>
      <c r="AZ1284" s="172"/>
      <c r="BA1284" s="172"/>
      <c r="BB1284" s="172"/>
      <c r="BC1284" s="172"/>
      <c r="BD1284" s="172"/>
      <c r="BE1284" s="172"/>
      <c r="BF1284" s="172"/>
      <c r="BG1284" s="172"/>
      <c r="BH1284" s="172"/>
      <c r="BI1284" s="172"/>
      <c r="BJ1284" s="172"/>
      <c r="BK1284" s="172"/>
      <c r="BL1284" s="172"/>
      <c r="BM1284" s="172"/>
      <c r="BN1284" s="172"/>
      <c r="BO1284" s="172"/>
      <c r="BP1284" s="172"/>
    </row>
    <row r="1285" spans="1:68" s="555" customFormat="1" ht="409.6">
      <c r="A1285" s="172"/>
      <c r="E1285" s="954"/>
      <c r="F1285" s="1334"/>
      <c r="I1285" s="382"/>
      <c r="J1285" s="172"/>
      <c r="K1285" s="1189"/>
      <c r="P1285" s="643"/>
      <c r="AT1285" s="172"/>
      <c r="AU1285" s="172"/>
      <c r="AV1285" s="172"/>
      <c r="AW1285" s="172"/>
      <c r="AX1285" s="172"/>
      <c r="AY1285" s="172"/>
      <c r="AZ1285" s="172"/>
      <c r="BA1285" s="172"/>
      <c r="BB1285" s="172"/>
      <c r="BC1285" s="172"/>
      <c r="BD1285" s="172"/>
      <c r="BE1285" s="172"/>
      <c r="BF1285" s="172"/>
      <c r="BG1285" s="172"/>
      <c r="BH1285" s="172"/>
      <c r="BI1285" s="172"/>
      <c r="BJ1285" s="172"/>
      <c r="BK1285" s="172"/>
      <c r="BL1285" s="172"/>
      <c r="BM1285" s="172"/>
      <c r="BN1285" s="172"/>
      <c r="BO1285" s="172"/>
      <c r="BP1285" s="172"/>
    </row>
    <row r="1286" spans="1:68" s="555" customFormat="1" ht="409.6">
      <c r="A1286" s="172"/>
      <c r="E1286" s="954"/>
      <c r="F1286" s="1334"/>
      <c r="I1286" s="382"/>
      <c r="J1286" s="172"/>
      <c r="K1286" s="1189"/>
      <c r="P1286" s="643"/>
      <c r="AT1286" s="172"/>
      <c r="AU1286" s="172"/>
      <c r="AV1286" s="172"/>
      <c r="AW1286" s="172"/>
      <c r="AX1286" s="172"/>
      <c r="AY1286" s="172"/>
      <c r="AZ1286" s="172"/>
      <c r="BA1286" s="172"/>
      <c r="BB1286" s="172"/>
      <c r="BC1286" s="172"/>
      <c r="BD1286" s="172"/>
      <c r="BE1286" s="172"/>
      <c r="BF1286" s="172"/>
      <c r="BG1286" s="172"/>
      <c r="BH1286" s="172"/>
      <c r="BI1286" s="172"/>
      <c r="BJ1286" s="172"/>
      <c r="BK1286" s="172"/>
      <c r="BL1286" s="172"/>
      <c r="BM1286" s="172"/>
      <c r="BN1286" s="172"/>
      <c r="BO1286" s="172"/>
      <c r="BP1286" s="172"/>
    </row>
    <row r="1287" spans="1:68" s="555" customFormat="1" ht="409.6">
      <c r="A1287" s="172"/>
      <c r="E1287" s="954"/>
      <c r="F1287" s="1334"/>
      <c r="I1287" s="382"/>
      <c r="J1287" s="172"/>
      <c r="K1287" s="1189"/>
      <c r="P1287" s="643"/>
      <c r="AT1287" s="172"/>
      <c r="AU1287" s="172"/>
      <c r="AV1287" s="172"/>
      <c r="AW1287" s="172"/>
      <c r="AX1287" s="172"/>
      <c r="AY1287" s="172"/>
      <c r="AZ1287" s="172"/>
      <c r="BA1287" s="172"/>
      <c r="BB1287" s="172"/>
      <c r="BC1287" s="172"/>
      <c r="BD1287" s="172"/>
      <c r="BE1287" s="172"/>
      <c r="BF1287" s="172"/>
      <c r="BG1287" s="172"/>
      <c r="BH1287" s="172"/>
      <c r="BI1287" s="172"/>
      <c r="BJ1287" s="172"/>
      <c r="BK1287" s="172"/>
      <c r="BL1287" s="172"/>
      <c r="BM1287" s="172"/>
      <c r="BN1287" s="172"/>
      <c r="BO1287" s="172"/>
      <c r="BP1287" s="172"/>
    </row>
    <row r="1288" spans="1:68" s="555" customFormat="1" ht="409.6">
      <c r="A1288" s="172"/>
      <c r="E1288" s="954"/>
      <c r="F1288" s="1334"/>
      <c r="I1288" s="382"/>
      <c r="J1288" s="172"/>
      <c r="K1288" s="1189"/>
      <c r="P1288" s="643"/>
      <c r="AT1288" s="172"/>
      <c r="AU1288" s="172"/>
      <c r="AV1288" s="172"/>
      <c r="AW1288" s="172"/>
      <c r="AX1288" s="172"/>
      <c r="AY1288" s="172"/>
      <c r="AZ1288" s="172"/>
      <c r="BA1288" s="172"/>
      <c r="BB1288" s="172"/>
      <c r="BC1288" s="172"/>
      <c r="BD1288" s="172"/>
      <c r="BE1288" s="172"/>
      <c r="BF1288" s="172"/>
      <c r="BG1288" s="172"/>
      <c r="BH1288" s="172"/>
      <c r="BI1288" s="172"/>
      <c r="BJ1288" s="172"/>
      <c r="BK1288" s="172"/>
      <c r="BL1288" s="172"/>
      <c r="BM1288" s="172"/>
      <c r="BN1288" s="172"/>
      <c r="BO1288" s="172"/>
      <c r="BP1288" s="172"/>
    </row>
    <row r="1289" spans="1:68" s="555" customFormat="1" ht="409.6">
      <c r="A1289" s="172"/>
      <c r="E1289" s="954"/>
      <c r="F1289" s="1334"/>
      <c r="I1289" s="382"/>
      <c r="J1289" s="172"/>
      <c r="K1289" s="1189"/>
      <c r="P1289" s="643"/>
      <c r="AT1289" s="172"/>
      <c r="AU1289" s="172"/>
      <c r="AV1289" s="172"/>
      <c r="AW1289" s="172"/>
      <c r="AX1289" s="172"/>
      <c r="AY1289" s="172"/>
      <c r="AZ1289" s="172"/>
      <c r="BA1289" s="172"/>
      <c r="BB1289" s="172"/>
      <c r="BC1289" s="172"/>
      <c r="BD1289" s="172"/>
      <c r="BE1289" s="172"/>
      <c r="BF1289" s="172"/>
      <c r="BG1289" s="172"/>
      <c r="BH1289" s="172"/>
      <c r="BI1289" s="172"/>
      <c r="BJ1289" s="172"/>
      <c r="BK1289" s="172"/>
      <c r="BL1289" s="172"/>
      <c r="BM1289" s="172"/>
      <c r="BN1289" s="172"/>
      <c r="BO1289" s="172"/>
      <c r="BP1289" s="172"/>
    </row>
    <row r="1290" spans="1:68" s="555" customFormat="1" ht="409.6">
      <c r="A1290" s="172"/>
      <c r="E1290" s="954"/>
      <c r="F1290" s="1334"/>
      <c r="I1290" s="382"/>
      <c r="J1290" s="172"/>
      <c r="K1290" s="1189"/>
      <c r="P1290" s="643"/>
      <c r="AT1290" s="172"/>
      <c r="AU1290" s="172"/>
      <c r="AV1290" s="172"/>
      <c r="AW1290" s="172"/>
      <c r="AX1290" s="172"/>
      <c r="AY1290" s="172"/>
      <c r="AZ1290" s="172"/>
      <c r="BA1290" s="172"/>
      <c r="BB1290" s="172"/>
      <c r="BC1290" s="172"/>
      <c r="BD1290" s="172"/>
      <c r="BE1290" s="172"/>
      <c r="BF1290" s="172"/>
      <c r="BG1290" s="172"/>
      <c r="BH1290" s="172"/>
      <c r="BI1290" s="172"/>
      <c r="BJ1290" s="172"/>
      <c r="BK1290" s="172"/>
      <c r="BL1290" s="172"/>
      <c r="BM1290" s="172"/>
      <c r="BN1290" s="172"/>
      <c r="BO1290" s="172"/>
      <c r="BP1290" s="172"/>
    </row>
    <row r="1291" spans="1:68" s="555" customFormat="1" ht="409.6">
      <c r="A1291" s="172"/>
      <c r="E1291" s="954"/>
      <c r="F1291" s="1334"/>
      <c r="I1291" s="382"/>
      <c r="J1291" s="172"/>
      <c r="K1291" s="1189"/>
      <c r="P1291" s="643"/>
      <c r="AT1291" s="172"/>
      <c r="AU1291" s="172"/>
      <c r="AV1291" s="172"/>
      <c r="AW1291" s="172"/>
      <c r="AX1291" s="172"/>
      <c r="AY1291" s="172"/>
      <c r="AZ1291" s="172"/>
      <c r="BA1291" s="172"/>
      <c r="BB1291" s="172"/>
      <c r="BC1291" s="172"/>
      <c r="BD1291" s="172"/>
      <c r="BE1291" s="172"/>
      <c r="BF1291" s="172"/>
      <c r="BG1291" s="172"/>
      <c r="BH1291" s="172"/>
      <c r="BI1291" s="172"/>
      <c r="BJ1291" s="172"/>
      <c r="BK1291" s="172"/>
      <c r="BL1291" s="172"/>
      <c r="BM1291" s="172"/>
      <c r="BN1291" s="172"/>
      <c r="BO1291" s="172"/>
      <c r="BP1291" s="172"/>
    </row>
    <row r="1292" spans="1:68" s="555" customFormat="1" ht="409.6">
      <c r="A1292" s="172"/>
      <c r="E1292" s="954"/>
      <c r="F1292" s="1334"/>
      <c r="I1292" s="382"/>
      <c r="J1292" s="172"/>
      <c r="K1292" s="1189"/>
      <c r="P1292" s="643"/>
      <c r="AT1292" s="172"/>
      <c r="AU1292" s="172"/>
      <c r="AV1292" s="172"/>
      <c r="AW1292" s="172"/>
      <c r="AX1292" s="172"/>
      <c r="AY1292" s="172"/>
      <c r="AZ1292" s="172"/>
      <c r="BA1292" s="172"/>
      <c r="BB1292" s="172"/>
      <c r="BC1292" s="172"/>
      <c r="BD1292" s="172"/>
      <c r="BE1292" s="172"/>
      <c r="BF1292" s="172"/>
      <c r="BG1292" s="172"/>
      <c r="BH1292" s="172"/>
      <c r="BI1292" s="172"/>
      <c r="BJ1292" s="172"/>
      <c r="BK1292" s="172"/>
      <c r="BL1292" s="172"/>
      <c r="BM1292" s="172"/>
      <c r="BN1292" s="172"/>
      <c r="BO1292" s="172"/>
      <c r="BP1292" s="172"/>
    </row>
    <row r="1293" spans="1:68" s="555" customFormat="1" ht="409.6">
      <c r="A1293" s="172"/>
      <c r="E1293" s="954"/>
      <c r="F1293" s="1334"/>
      <c r="I1293" s="382"/>
      <c r="J1293" s="172"/>
      <c r="K1293" s="1189"/>
      <c r="P1293" s="643"/>
      <c r="AT1293" s="172"/>
      <c r="AU1293" s="172"/>
      <c r="AV1293" s="172"/>
      <c r="AW1293" s="172"/>
      <c r="AX1293" s="172"/>
      <c r="AY1293" s="172"/>
      <c r="AZ1293" s="172"/>
      <c r="BA1293" s="172"/>
      <c r="BB1293" s="172"/>
      <c r="BC1293" s="172"/>
      <c r="BD1293" s="172"/>
      <c r="BE1293" s="172"/>
      <c r="BF1293" s="172"/>
      <c r="BG1293" s="172"/>
      <c r="BH1293" s="172"/>
      <c r="BI1293" s="172"/>
      <c r="BJ1293" s="172"/>
      <c r="BK1293" s="172"/>
      <c r="BL1293" s="172"/>
      <c r="BM1293" s="172"/>
      <c r="BN1293" s="172"/>
      <c r="BO1293" s="172"/>
      <c r="BP1293" s="172"/>
    </row>
    <row r="1294" spans="1:68" s="555" customFormat="1" ht="409.6">
      <c r="A1294" s="172"/>
      <c r="E1294" s="954"/>
      <c r="F1294" s="1334"/>
      <c r="I1294" s="382"/>
      <c r="J1294" s="172"/>
      <c r="K1294" s="1189"/>
      <c r="P1294" s="643"/>
      <c r="AT1294" s="172"/>
      <c r="AU1294" s="172"/>
      <c r="AV1294" s="172"/>
      <c r="AW1294" s="172"/>
      <c r="AX1294" s="172"/>
      <c r="AY1294" s="172"/>
      <c r="AZ1294" s="172"/>
      <c r="BA1294" s="172"/>
      <c r="BB1294" s="172"/>
      <c r="BC1294" s="172"/>
      <c r="BD1294" s="172"/>
      <c r="BE1294" s="172"/>
      <c r="BF1294" s="172"/>
      <c r="BG1294" s="172"/>
      <c r="BH1294" s="172"/>
      <c r="BI1294" s="172"/>
      <c r="BJ1294" s="172"/>
      <c r="BK1294" s="172"/>
      <c r="BL1294" s="172"/>
      <c r="BM1294" s="172"/>
      <c r="BN1294" s="172"/>
      <c r="BO1294" s="172"/>
      <c r="BP1294" s="172"/>
    </row>
    <row r="1295" spans="1:68" s="555" customFormat="1" ht="409.6">
      <c r="A1295" s="172"/>
      <c r="E1295" s="954"/>
      <c r="F1295" s="1334"/>
      <c r="I1295" s="382"/>
      <c r="J1295" s="172"/>
      <c r="K1295" s="1189"/>
      <c r="P1295" s="643"/>
      <c r="AT1295" s="172"/>
      <c r="AU1295" s="172"/>
      <c r="AV1295" s="172"/>
      <c r="AW1295" s="172"/>
      <c r="AX1295" s="172"/>
      <c r="AY1295" s="172"/>
      <c r="AZ1295" s="172"/>
      <c r="BA1295" s="172"/>
      <c r="BB1295" s="172"/>
      <c r="BC1295" s="172"/>
      <c r="BD1295" s="172"/>
      <c r="BE1295" s="172"/>
      <c r="BF1295" s="172"/>
      <c r="BG1295" s="172"/>
      <c r="BH1295" s="172"/>
      <c r="BI1295" s="172"/>
      <c r="BJ1295" s="172"/>
      <c r="BK1295" s="172"/>
      <c r="BL1295" s="172"/>
      <c r="BM1295" s="172"/>
      <c r="BN1295" s="172"/>
      <c r="BO1295" s="172"/>
      <c r="BP1295" s="172"/>
    </row>
    <row r="1296" spans="1:68" s="555" customFormat="1" ht="409.6">
      <c r="A1296" s="172"/>
      <c r="E1296" s="954"/>
      <c r="F1296" s="1334"/>
      <c r="I1296" s="382"/>
      <c r="J1296" s="172"/>
      <c r="K1296" s="1189"/>
      <c r="P1296" s="643"/>
      <c r="AT1296" s="172"/>
      <c r="AU1296" s="172"/>
      <c r="AV1296" s="172"/>
      <c r="AW1296" s="172"/>
      <c r="AX1296" s="172"/>
      <c r="AY1296" s="172"/>
      <c r="AZ1296" s="172"/>
      <c r="BA1296" s="172"/>
      <c r="BB1296" s="172"/>
      <c r="BC1296" s="172"/>
      <c r="BD1296" s="172"/>
      <c r="BE1296" s="172"/>
      <c r="BF1296" s="172"/>
      <c r="BG1296" s="172"/>
      <c r="BH1296" s="172"/>
      <c r="BI1296" s="172"/>
      <c r="BJ1296" s="172"/>
      <c r="BK1296" s="172"/>
      <c r="BL1296" s="172"/>
      <c r="BM1296" s="172"/>
      <c r="BN1296" s="172"/>
      <c r="BO1296" s="172"/>
      <c r="BP1296" s="172"/>
    </row>
    <row r="1297" spans="1:68" s="555" customFormat="1" ht="409.6">
      <c r="A1297" s="172"/>
      <c r="E1297" s="954"/>
      <c r="F1297" s="1334"/>
      <c r="I1297" s="382"/>
      <c r="J1297" s="172"/>
      <c r="K1297" s="1189"/>
      <c r="P1297" s="643"/>
      <c r="AT1297" s="172"/>
      <c r="AU1297" s="172"/>
      <c r="AV1297" s="172"/>
      <c r="AW1297" s="172"/>
      <c r="AX1297" s="172"/>
      <c r="AY1297" s="172"/>
      <c r="AZ1297" s="172"/>
      <c r="BA1297" s="172"/>
      <c r="BB1297" s="172"/>
      <c r="BC1297" s="172"/>
      <c r="BD1297" s="172"/>
      <c r="BE1297" s="172"/>
      <c r="BF1297" s="172"/>
      <c r="BG1297" s="172"/>
      <c r="BH1297" s="172"/>
      <c r="BI1297" s="172"/>
      <c r="BJ1297" s="172"/>
      <c r="BK1297" s="172"/>
      <c r="BL1297" s="172"/>
      <c r="BM1297" s="172"/>
      <c r="BN1297" s="172"/>
      <c r="BO1297" s="172"/>
      <c r="BP1297" s="172"/>
    </row>
    <row r="1298" spans="1:68" s="555" customFormat="1" ht="409.6">
      <c r="A1298" s="172"/>
      <c r="E1298" s="954"/>
      <c r="F1298" s="1334"/>
      <c r="I1298" s="382"/>
      <c r="J1298" s="172"/>
      <c r="K1298" s="1189"/>
      <c r="P1298" s="643"/>
      <c r="AT1298" s="172"/>
      <c r="AU1298" s="172"/>
      <c r="AV1298" s="172"/>
      <c r="AW1298" s="172"/>
      <c r="AX1298" s="172"/>
      <c r="AY1298" s="172"/>
      <c r="AZ1298" s="172"/>
      <c r="BA1298" s="172"/>
      <c r="BB1298" s="172"/>
      <c r="BC1298" s="172"/>
      <c r="BD1298" s="172"/>
      <c r="BE1298" s="172"/>
      <c r="BF1298" s="172"/>
      <c r="BG1298" s="172"/>
      <c r="BH1298" s="172"/>
      <c r="BI1298" s="172"/>
      <c r="BJ1298" s="172"/>
      <c r="BK1298" s="172"/>
      <c r="BL1298" s="172"/>
      <c r="BM1298" s="172"/>
      <c r="BN1298" s="172"/>
      <c r="BO1298" s="172"/>
      <c r="BP1298" s="172"/>
    </row>
    <row r="1299" spans="1:68" s="555" customFormat="1" ht="409.6">
      <c r="A1299" s="172"/>
      <c r="E1299" s="954"/>
      <c r="F1299" s="1334"/>
      <c r="I1299" s="382"/>
      <c r="J1299" s="172"/>
      <c r="K1299" s="1189"/>
      <c r="P1299" s="643"/>
      <c r="AT1299" s="172"/>
      <c r="AU1299" s="172"/>
      <c r="AV1299" s="172"/>
      <c r="AW1299" s="172"/>
      <c r="AX1299" s="172"/>
      <c r="AY1299" s="172"/>
      <c r="AZ1299" s="172"/>
      <c r="BA1299" s="172"/>
      <c r="BB1299" s="172"/>
      <c r="BC1299" s="172"/>
      <c r="BD1299" s="172"/>
      <c r="BE1299" s="172"/>
      <c r="BF1299" s="172"/>
      <c r="BG1299" s="172"/>
      <c r="BH1299" s="172"/>
      <c r="BI1299" s="172"/>
      <c r="BJ1299" s="172"/>
      <c r="BK1299" s="172"/>
      <c r="BL1299" s="172"/>
      <c r="BM1299" s="172"/>
      <c r="BN1299" s="172"/>
      <c r="BO1299" s="172"/>
      <c r="BP1299" s="172"/>
    </row>
    <row r="1300" spans="1:68" s="555" customFormat="1" ht="409.6">
      <c r="A1300" s="172"/>
      <c r="E1300" s="954"/>
      <c r="F1300" s="1334"/>
      <c r="I1300" s="382"/>
      <c r="J1300" s="172"/>
      <c r="K1300" s="1189"/>
      <c r="P1300" s="643"/>
      <c r="AT1300" s="172"/>
      <c r="AU1300" s="172"/>
      <c r="AV1300" s="172"/>
      <c r="AW1300" s="172"/>
      <c r="AX1300" s="172"/>
      <c r="AY1300" s="172"/>
      <c r="AZ1300" s="172"/>
      <c r="BA1300" s="172"/>
      <c r="BB1300" s="172"/>
      <c r="BC1300" s="172"/>
      <c r="BD1300" s="172"/>
      <c r="BE1300" s="172"/>
      <c r="BF1300" s="172"/>
      <c r="BG1300" s="172"/>
      <c r="BH1300" s="172"/>
      <c r="BI1300" s="172"/>
      <c r="BJ1300" s="172"/>
      <c r="BK1300" s="172"/>
      <c r="BL1300" s="172"/>
      <c r="BM1300" s="172"/>
      <c r="BN1300" s="172"/>
      <c r="BO1300" s="172"/>
      <c r="BP1300" s="172"/>
    </row>
    <row r="1301" spans="1:68" s="555" customFormat="1" ht="409.6">
      <c r="A1301" s="172"/>
      <c r="E1301" s="954"/>
      <c r="F1301" s="1334"/>
      <c r="I1301" s="382"/>
      <c r="J1301" s="172"/>
      <c r="K1301" s="1189"/>
      <c r="P1301" s="643"/>
      <c r="AT1301" s="172"/>
      <c r="AU1301" s="172"/>
      <c r="AV1301" s="172"/>
      <c r="AW1301" s="172"/>
      <c r="AX1301" s="172"/>
      <c r="AY1301" s="172"/>
      <c r="AZ1301" s="172"/>
      <c r="BA1301" s="172"/>
      <c r="BB1301" s="172"/>
      <c r="BC1301" s="172"/>
      <c r="BD1301" s="172"/>
      <c r="BE1301" s="172"/>
      <c r="BF1301" s="172"/>
      <c r="BG1301" s="172"/>
      <c r="BH1301" s="172"/>
      <c r="BI1301" s="172"/>
      <c r="BJ1301" s="172"/>
      <c r="BK1301" s="172"/>
      <c r="BL1301" s="172"/>
      <c r="BM1301" s="172"/>
      <c r="BN1301" s="172"/>
      <c r="BO1301" s="172"/>
      <c r="BP1301" s="172"/>
    </row>
    <row r="1302" spans="1:68" s="555" customFormat="1" ht="409.6">
      <c r="A1302" s="172"/>
      <c r="E1302" s="954"/>
      <c r="F1302" s="1334"/>
      <c r="I1302" s="382"/>
      <c r="J1302" s="172"/>
      <c r="K1302" s="1189"/>
      <c r="P1302" s="643"/>
      <c r="AT1302" s="172"/>
      <c r="AU1302" s="172"/>
      <c r="AV1302" s="172"/>
      <c r="AW1302" s="172"/>
      <c r="AX1302" s="172"/>
      <c r="AY1302" s="172"/>
      <c r="AZ1302" s="172"/>
      <c r="BA1302" s="172"/>
      <c r="BB1302" s="172"/>
      <c r="BC1302" s="172"/>
      <c r="BD1302" s="172"/>
      <c r="BE1302" s="172"/>
      <c r="BF1302" s="172"/>
      <c r="BG1302" s="172"/>
      <c r="BH1302" s="172"/>
      <c r="BI1302" s="172"/>
      <c r="BJ1302" s="172"/>
      <c r="BK1302" s="172"/>
      <c r="BL1302" s="172"/>
      <c r="BM1302" s="172"/>
      <c r="BN1302" s="172"/>
      <c r="BO1302" s="172"/>
      <c r="BP1302" s="172"/>
    </row>
    <row r="1303" spans="1:68" s="555" customFormat="1" ht="409.6">
      <c r="A1303" s="172"/>
      <c r="E1303" s="954"/>
      <c r="F1303" s="1334"/>
      <c r="I1303" s="382"/>
      <c r="J1303" s="172"/>
      <c r="K1303" s="1189"/>
      <c r="P1303" s="643"/>
      <c r="AT1303" s="172"/>
      <c r="AU1303" s="172"/>
      <c r="AV1303" s="172"/>
      <c r="AW1303" s="172"/>
      <c r="AX1303" s="172"/>
      <c r="AY1303" s="172"/>
      <c r="AZ1303" s="172"/>
      <c r="BA1303" s="172"/>
      <c r="BB1303" s="172"/>
      <c r="BC1303" s="172"/>
      <c r="BD1303" s="172"/>
      <c r="BE1303" s="172"/>
      <c r="BF1303" s="172"/>
      <c r="BG1303" s="172"/>
      <c r="BH1303" s="172"/>
      <c r="BI1303" s="172"/>
      <c r="BJ1303" s="172"/>
      <c r="BK1303" s="172"/>
      <c r="BL1303" s="172"/>
      <c r="BM1303" s="172"/>
      <c r="BN1303" s="172"/>
      <c r="BO1303" s="172"/>
      <c r="BP1303" s="172"/>
    </row>
    <row r="1304" spans="1:68" s="555" customFormat="1" ht="409.6">
      <c r="A1304" s="172"/>
      <c r="E1304" s="954"/>
      <c r="F1304" s="1334"/>
      <c r="I1304" s="382"/>
      <c r="J1304" s="172"/>
      <c r="K1304" s="1189"/>
      <c r="P1304" s="643"/>
      <c r="AT1304" s="172"/>
      <c r="AU1304" s="172"/>
      <c r="AV1304" s="172"/>
      <c r="AW1304" s="172"/>
      <c r="AX1304" s="172"/>
      <c r="AY1304" s="172"/>
      <c r="AZ1304" s="172"/>
      <c r="BA1304" s="172"/>
      <c r="BB1304" s="172"/>
      <c r="BC1304" s="172"/>
      <c r="BD1304" s="172"/>
      <c r="BE1304" s="172"/>
      <c r="BF1304" s="172"/>
      <c r="BG1304" s="172"/>
      <c r="BH1304" s="172"/>
      <c r="BI1304" s="172"/>
      <c r="BJ1304" s="172"/>
      <c r="BK1304" s="172"/>
      <c r="BL1304" s="172"/>
      <c r="BM1304" s="172"/>
      <c r="BN1304" s="172"/>
      <c r="BO1304" s="172"/>
      <c r="BP1304" s="172"/>
    </row>
    <row r="1305" spans="1:68" s="555" customFormat="1" ht="409.6">
      <c r="A1305" s="172"/>
      <c r="E1305" s="954"/>
      <c r="F1305" s="1334"/>
      <c r="I1305" s="382"/>
      <c r="J1305" s="172"/>
      <c r="K1305" s="1189"/>
      <c r="P1305" s="643"/>
      <c r="AT1305" s="172"/>
      <c r="AU1305" s="172"/>
      <c r="AV1305" s="172"/>
      <c r="AW1305" s="172"/>
      <c r="AX1305" s="172"/>
      <c r="AY1305" s="172"/>
      <c r="AZ1305" s="172"/>
      <c r="BA1305" s="172"/>
      <c r="BB1305" s="172"/>
      <c r="BC1305" s="172"/>
      <c r="BD1305" s="172"/>
      <c r="BE1305" s="172"/>
      <c r="BF1305" s="172"/>
      <c r="BG1305" s="172"/>
      <c r="BH1305" s="172"/>
      <c r="BI1305" s="172"/>
      <c r="BJ1305" s="172"/>
      <c r="BK1305" s="172"/>
      <c r="BL1305" s="172"/>
      <c r="BM1305" s="172"/>
      <c r="BN1305" s="172"/>
      <c r="BO1305" s="172"/>
      <c r="BP1305" s="172"/>
    </row>
    <row r="1306" spans="1:68" s="555" customFormat="1" ht="409.6">
      <c r="A1306" s="172"/>
      <c r="E1306" s="954"/>
      <c r="F1306" s="1334"/>
      <c r="I1306" s="382"/>
      <c r="J1306" s="172"/>
      <c r="K1306" s="1189"/>
      <c r="P1306" s="643"/>
      <c r="AT1306" s="172"/>
      <c r="AU1306" s="172"/>
      <c r="AV1306" s="172"/>
      <c r="AW1306" s="172"/>
      <c r="AX1306" s="172"/>
      <c r="AY1306" s="172"/>
      <c r="AZ1306" s="172"/>
      <c r="BA1306" s="172"/>
      <c r="BB1306" s="172"/>
      <c r="BC1306" s="172"/>
      <c r="BD1306" s="172"/>
      <c r="BE1306" s="172"/>
      <c r="BF1306" s="172"/>
      <c r="BG1306" s="172"/>
      <c r="BH1306" s="172"/>
      <c r="BI1306" s="172"/>
      <c r="BJ1306" s="172"/>
      <c r="BK1306" s="172"/>
      <c r="BL1306" s="172"/>
      <c r="BM1306" s="172"/>
      <c r="BN1306" s="172"/>
      <c r="BO1306" s="172"/>
      <c r="BP1306" s="172"/>
    </row>
    <row r="1307" spans="1:68" s="555" customFormat="1" ht="409.6">
      <c r="A1307" s="172"/>
      <c r="E1307" s="954"/>
      <c r="F1307" s="1334"/>
      <c r="I1307" s="382"/>
      <c r="J1307" s="172"/>
      <c r="K1307" s="1189"/>
      <c r="P1307" s="643"/>
      <c r="AT1307" s="172"/>
      <c r="AU1307" s="172"/>
      <c r="AV1307" s="172"/>
      <c r="AW1307" s="172"/>
      <c r="AX1307" s="172"/>
      <c r="AY1307" s="172"/>
      <c r="AZ1307" s="172"/>
      <c r="BA1307" s="172"/>
      <c r="BB1307" s="172"/>
      <c r="BC1307" s="172"/>
      <c r="BD1307" s="172"/>
      <c r="BE1307" s="172"/>
      <c r="BF1307" s="172"/>
      <c r="BG1307" s="172"/>
      <c r="BH1307" s="172"/>
      <c r="BI1307" s="172"/>
      <c r="BJ1307" s="172"/>
      <c r="BK1307" s="172"/>
      <c r="BL1307" s="172"/>
      <c r="BM1307" s="172"/>
      <c r="BN1307" s="172"/>
      <c r="BO1307" s="172"/>
      <c r="BP1307" s="172"/>
    </row>
    <row r="1308" spans="1:68" s="555" customFormat="1" ht="409.6">
      <c r="A1308" s="172"/>
      <c r="E1308" s="954"/>
      <c r="F1308" s="1334"/>
      <c r="I1308" s="382"/>
      <c r="J1308" s="172"/>
      <c r="K1308" s="1189"/>
      <c r="P1308" s="643"/>
      <c r="AT1308" s="172"/>
      <c r="AU1308" s="172"/>
      <c r="AV1308" s="172"/>
      <c r="AW1308" s="172"/>
      <c r="AX1308" s="172"/>
      <c r="AY1308" s="172"/>
      <c r="AZ1308" s="172"/>
      <c r="BA1308" s="172"/>
      <c r="BB1308" s="172"/>
      <c r="BC1308" s="172"/>
      <c r="BD1308" s="172"/>
      <c r="BE1308" s="172"/>
      <c r="BF1308" s="172"/>
      <c r="BG1308" s="172"/>
      <c r="BH1308" s="172"/>
      <c r="BI1308" s="172"/>
      <c r="BJ1308" s="172"/>
      <c r="BK1308" s="172"/>
      <c r="BL1308" s="172"/>
      <c r="BM1308" s="172"/>
      <c r="BN1308" s="172"/>
      <c r="BO1308" s="172"/>
      <c r="BP1308" s="172"/>
    </row>
    <row r="1309" spans="1:68" s="555" customFormat="1" ht="409.6">
      <c r="A1309" s="172"/>
      <c r="E1309" s="954"/>
      <c r="F1309" s="1334"/>
      <c r="I1309" s="382"/>
      <c r="J1309" s="172"/>
      <c r="K1309" s="1189"/>
      <c r="P1309" s="643"/>
      <c r="AT1309" s="172"/>
      <c r="AU1309" s="172"/>
      <c r="AV1309" s="172"/>
      <c r="AW1309" s="172"/>
      <c r="AX1309" s="172"/>
      <c r="AY1309" s="172"/>
      <c r="AZ1309" s="172"/>
      <c r="BA1309" s="172"/>
      <c r="BB1309" s="172"/>
      <c r="BC1309" s="172"/>
      <c r="BD1309" s="172"/>
      <c r="BE1309" s="172"/>
      <c r="BF1309" s="172"/>
      <c r="BG1309" s="172"/>
      <c r="BH1309" s="172"/>
      <c r="BI1309" s="172"/>
      <c r="BJ1309" s="172"/>
      <c r="BK1309" s="172"/>
      <c r="BL1309" s="172"/>
      <c r="BM1309" s="172"/>
      <c r="BN1309" s="172"/>
      <c r="BO1309" s="172"/>
      <c r="BP1309" s="172"/>
    </row>
    <row r="1310" spans="1:68" s="555" customFormat="1" ht="409.6">
      <c r="A1310" s="172"/>
      <c r="E1310" s="954"/>
      <c r="F1310" s="1334"/>
      <c r="I1310" s="382"/>
      <c r="J1310" s="172"/>
      <c r="K1310" s="1189"/>
      <c r="P1310" s="643"/>
      <c r="AT1310" s="172"/>
      <c r="AU1310" s="172"/>
      <c r="AV1310" s="172"/>
      <c r="AW1310" s="172"/>
      <c r="AX1310" s="172"/>
      <c r="AY1310" s="172"/>
      <c r="AZ1310" s="172"/>
      <c r="BA1310" s="172"/>
      <c r="BB1310" s="172"/>
      <c r="BC1310" s="172"/>
      <c r="BD1310" s="172"/>
      <c r="BE1310" s="172"/>
      <c r="BF1310" s="172"/>
      <c r="BG1310" s="172"/>
      <c r="BH1310" s="172"/>
      <c r="BI1310" s="172"/>
      <c r="BJ1310" s="172"/>
      <c r="BK1310" s="172"/>
      <c r="BL1310" s="172"/>
      <c r="BM1310" s="172"/>
      <c r="BN1310" s="172"/>
      <c r="BO1310" s="172"/>
      <c r="BP1310" s="172"/>
    </row>
    <row r="1311" spans="1:68" s="555" customFormat="1" ht="409.6">
      <c r="A1311" s="172"/>
      <c r="E1311" s="954"/>
      <c r="F1311" s="1334"/>
      <c r="I1311" s="382"/>
      <c r="J1311" s="172"/>
      <c r="K1311" s="1189"/>
      <c r="P1311" s="643"/>
      <c r="AT1311" s="172"/>
      <c r="AU1311" s="172"/>
      <c r="AV1311" s="172"/>
      <c r="AW1311" s="172"/>
      <c r="AX1311" s="172"/>
      <c r="AY1311" s="172"/>
      <c r="AZ1311" s="172"/>
      <c r="BA1311" s="172"/>
      <c r="BB1311" s="172"/>
      <c r="BC1311" s="172"/>
      <c r="BD1311" s="172"/>
      <c r="BE1311" s="172"/>
      <c r="BF1311" s="172"/>
      <c r="BG1311" s="172"/>
      <c r="BH1311" s="172"/>
      <c r="BI1311" s="172"/>
      <c r="BJ1311" s="172"/>
      <c r="BK1311" s="172"/>
      <c r="BL1311" s="172"/>
      <c r="BM1311" s="172"/>
      <c r="BN1311" s="172"/>
      <c r="BO1311" s="172"/>
      <c r="BP1311" s="172"/>
    </row>
    <row r="1312" spans="1:68" s="555" customFormat="1" ht="409.6">
      <c r="A1312" s="172"/>
      <c r="E1312" s="954"/>
      <c r="F1312" s="1334"/>
      <c r="I1312" s="382"/>
      <c r="J1312" s="172"/>
      <c r="K1312" s="1189"/>
      <c r="P1312" s="643"/>
      <c r="AT1312" s="172"/>
      <c r="AU1312" s="172"/>
      <c r="AV1312" s="172"/>
      <c r="AW1312" s="172"/>
      <c r="AX1312" s="172"/>
      <c r="AY1312" s="172"/>
      <c r="AZ1312" s="172"/>
      <c r="BA1312" s="172"/>
      <c r="BB1312" s="172"/>
      <c r="BC1312" s="172"/>
      <c r="BD1312" s="172"/>
      <c r="BE1312" s="172"/>
      <c r="BF1312" s="172"/>
      <c r="BG1312" s="172"/>
      <c r="BH1312" s="172"/>
      <c r="BI1312" s="172"/>
      <c r="BJ1312" s="172"/>
      <c r="BK1312" s="172"/>
      <c r="BL1312" s="172"/>
      <c r="BM1312" s="172"/>
      <c r="BN1312" s="172"/>
      <c r="BO1312" s="172"/>
      <c r="BP1312" s="172"/>
    </row>
    <row r="1313" spans="1:68" s="555" customFormat="1" ht="409.6">
      <c r="A1313" s="172"/>
      <c r="E1313" s="954"/>
      <c r="F1313" s="1334"/>
      <c r="I1313" s="382"/>
      <c r="J1313" s="172"/>
      <c r="K1313" s="1189"/>
      <c r="P1313" s="643"/>
      <c r="AT1313" s="172"/>
      <c r="AU1313" s="172"/>
      <c r="AV1313" s="172"/>
      <c r="AW1313" s="172"/>
      <c r="AX1313" s="172"/>
      <c r="AY1313" s="172"/>
      <c r="AZ1313" s="172"/>
      <c r="BA1313" s="172"/>
      <c r="BB1313" s="172"/>
      <c r="BC1313" s="172"/>
      <c r="BD1313" s="172"/>
      <c r="BE1313" s="172"/>
      <c r="BF1313" s="172"/>
      <c r="BG1313" s="172"/>
      <c r="BH1313" s="172"/>
      <c r="BI1313" s="172"/>
      <c r="BJ1313" s="172"/>
      <c r="BK1313" s="172"/>
      <c r="BL1313" s="172"/>
      <c r="BM1313" s="172"/>
      <c r="BN1313" s="172"/>
      <c r="BO1313" s="172"/>
      <c r="BP1313" s="172"/>
    </row>
    <row r="1314" spans="1:68" s="555" customFormat="1" ht="409.6">
      <c r="A1314" s="172"/>
      <c r="E1314" s="954"/>
      <c r="F1314" s="1334"/>
      <c r="I1314" s="382"/>
      <c r="J1314" s="172"/>
      <c r="K1314" s="1189"/>
      <c r="P1314" s="643"/>
      <c r="AT1314" s="172"/>
      <c r="AU1314" s="172"/>
      <c r="AV1314" s="172"/>
      <c r="AW1314" s="172"/>
      <c r="AX1314" s="172"/>
      <c r="AY1314" s="172"/>
      <c r="AZ1314" s="172"/>
      <c r="BA1314" s="172"/>
      <c r="BB1314" s="172"/>
      <c r="BC1314" s="172"/>
      <c r="BD1314" s="172"/>
      <c r="BE1314" s="172"/>
      <c r="BF1314" s="172"/>
      <c r="BG1314" s="172"/>
      <c r="BH1314" s="172"/>
      <c r="BI1314" s="172"/>
      <c r="BJ1314" s="172"/>
      <c r="BK1314" s="172"/>
      <c r="BL1314" s="172"/>
      <c r="BM1314" s="172"/>
      <c r="BN1314" s="172"/>
      <c r="BO1314" s="172"/>
      <c r="BP1314" s="172"/>
    </row>
    <row r="1315" spans="1:68" s="555" customFormat="1" ht="409.6">
      <c r="A1315" s="172"/>
      <c r="E1315" s="954"/>
      <c r="F1315" s="1334"/>
      <c r="I1315" s="382"/>
      <c r="J1315" s="172"/>
      <c r="K1315" s="1189"/>
      <c r="P1315" s="643"/>
      <c r="AT1315" s="172"/>
      <c r="AU1315" s="172"/>
      <c r="AV1315" s="172"/>
      <c r="AW1315" s="172"/>
      <c r="AX1315" s="172"/>
      <c r="AY1315" s="172"/>
      <c r="AZ1315" s="172"/>
      <c r="BA1315" s="172"/>
      <c r="BB1315" s="172"/>
      <c r="BC1315" s="172"/>
      <c r="BD1315" s="172"/>
      <c r="BE1315" s="172"/>
      <c r="BF1315" s="172"/>
      <c r="BG1315" s="172"/>
      <c r="BH1315" s="172"/>
      <c r="BI1315" s="172"/>
      <c r="BJ1315" s="172"/>
      <c r="BK1315" s="172"/>
      <c r="BL1315" s="172"/>
      <c r="BM1315" s="172"/>
      <c r="BN1315" s="172"/>
      <c r="BO1315" s="172"/>
      <c r="BP1315" s="172"/>
    </row>
    <row r="1316" spans="1:68" s="555" customFormat="1" ht="409.6">
      <c r="A1316" s="172"/>
      <c r="E1316" s="954"/>
      <c r="F1316" s="1334"/>
      <c r="I1316" s="382"/>
      <c r="J1316" s="172"/>
      <c r="K1316" s="1189"/>
      <c r="P1316" s="643"/>
      <c r="AT1316" s="172"/>
      <c r="AU1316" s="172"/>
      <c r="AV1316" s="172"/>
      <c r="AW1316" s="172"/>
      <c r="AX1316" s="172"/>
      <c r="AY1316" s="172"/>
      <c r="AZ1316" s="172"/>
      <c r="BA1316" s="172"/>
      <c r="BB1316" s="172"/>
      <c r="BC1316" s="172"/>
      <c r="BD1316" s="172"/>
      <c r="BE1316" s="172"/>
      <c r="BF1316" s="172"/>
      <c r="BG1316" s="172"/>
      <c r="BH1316" s="172"/>
      <c r="BI1316" s="172"/>
      <c r="BJ1316" s="172"/>
      <c r="BK1316" s="172"/>
      <c r="BL1316" s="172"/>
      <c r="BM1316" s="172"/>
      <c r="BN1316" s="172"/>
      <c r="BO1316" s="172"/>
      <c r="BP1316" s="172"/>
    </row>
    <row r="1317" spans="1:68" s="555" customFormat="1" ht="409.6">
      <c r="A1317" s="172"/>
      <c r="E1317" s="954"/>
      <c r="F1317" s="1334"/>
      <c r="I1317" s="382"/>
      <c r="J1317" s="172"/>
      <c r="K1317" s="1189"/>
      <c r="P1317" s="643"/>
      <c r="AT1317" s="172"/>
      <c r="AU1317" s="172"/>
      <c r="AV1317" s="172"/>
      <c r="AW1317" s="172"/>
      <c r="AX1317" s="172"/>
      <c r="AY1317" s="172"/>
      <c r="AZ1317" s="172"/>
      <c r="BA1317" s="172"/>
      <c r="BB1317" s="172"/>
      <c r="BC1317" s="172"/>
      <c r="BD1317" s="172"/>
      <c r="BE1317" s="172"/>
      <c r="BF1317" s="172"/>
      <c r="BG1317" s="172"/>
      <c r="BH1317" s="172"/>
      <c r="BI1317" s="172"/>
      <c r="BJ1317" s="172"/>
      <c r="BK1317" s="172"/>
      <c r="BL1317" s="172"/>
      <c r="BM1317" s="172"/>
      <c r="BN1317" s="172"/>
      <c r="BO1317" s="172"/>
      <c r="BP1317" s="172"/>
    </row>
    <row r="1318" spans="1:68" s="555" customFormat="1" ht="409.6">
      <c r="A1318" s="172"/>
      <c r="E1318" s="954"/>
      <c r="F1318" s="1334"/>
      <c r="I1318" s="382"/>
      <c r="J1318" s="172"/>
      <c r="K1318" s="1189"/>
      <c r="P1318" s="643"/>
      <c r="AT1318" s="172"/>
      <c r="AU1318" s="172"/>
      <c r="AV1318" s="172"/>
      <c r="AW1318" s="172"/>
      <c r="AX1318" s="172"/>
      <c r="AY1318" s="172"/>
      <c r="AZ1318" s="172"/>
      <c r="BA1318" s="172"/>
      <c r="BB1318" s="172"/>
      <c r="BC1318" s="172"/>
      <c r="BD1318" s="172"/>
      <c r="BE1318" s="172"/>
      <c r="BF1318" s="172"/>
      <c r="BG1318" s="172"/>
      <c r="BH1318" s="172"/>
      <c r="BI1318" s="172"/>
      <c r="BJ1318" s="172"/>
      <c r="BK1318" s="172"/>
      <c r="BL1318" s="172"/>
      <c r="BM1318" s="172"/>
      <c r="BN1318" s="172"/>
      <c r="BO1318" s="172"/>
      <c r="BP1318" s="172"/>
    </row>
    <row r="1319" spans="1:68" s="555" customFormat="1" ht="409.6">
      <c r="A1319" s="172"/>
      <c r="E1319" s="954"/>
      <c r="F1319" s="1334"/>
      <c r="I1319" s="382"/>
      <c r="J1319" s="172"/>
      <c r="K1319" s="1189"/>
      <c r="P1319" s="643"/>
      <c r="AT1319" s="172"/>
      <c r="AU1319" s="172"/>
      <c r="AV1319" s="172"/>
      <c r="AW1319" s="172"/>
      <c r="AX1319" s="172"/>
      <c r="AY1319" s="172"/>
      <c r="AZ1319" s="172"/>
      <c r="BA1319" s="172"/>
      <c r="BB1319" s="172"/>
      <c r="BC1319" s="172"/>
      <c r="BD1319" s="172"/>
      <c r="BE1319" s="172"/>
      <c r="BF1319" s="172"/>
      <c r="BG1319" s="172"/>
      <c r="BH1319" s="172"/>
      <c r="BI1319" s="172"/>
      <c r="BJ1319" s="172"/>
      <c r="BK1319" s="172"/>
      <c r="BL1319" s="172"/>
      <c r="BM1319" s="172"/>
      <c r="BN1319" s="172"/>
      <c r="BO1319" s="172"/>
      <c r="BP1319" s="172"/>
    </row>
    <row r="1320" spans="1:68" s="555" customFormat="1" ht="409.6">
      <c r="A1320" s="172"/>
      <c r="E1320" s="954"/>
      <c r="F1320" s="1334"/>
      <c r="I1320" s="382"/>
      <c r="J1320" s="172"/>
      <c r="K1320" s="1189"/>
      <c r="P1320" s="643"/>
      <c r="AT1320" s="172"/>
      <c r="AU1320" s="172"/>
      <c r="AV1320" s="172"/>
      <c r="AW1320" s="172"/>
      <c r="AX1320" s="172"/>
      <c r="AY1320" s="172"/>
      <c r="AZ1320" s="172"/>
      <c r="BA1320" s="172"/>
      <c r="BB1320" s="172"/>
      <c r="BC1320" s="172"/>
      <c r="BD1320" s="172"/>
      <c r="BE1320" s="172"/>
      <c r="BF1320" s="172"/>
      <c r="BG1320" s="172"/>
      <c r="BH1320" s="172"/>
      <c r="BI1320" s="172"/>
      <c r="BJ1320" s="172"/>
      <c r="BK1320" s="172"/>
      <c r="BL1320" s="172"/>
      <c r="BM1320" s="172"/>
      <c r="BN1320" s="172"/>
      <c r="BO1320" s="172"/>
      <c r="BP1320" s="172"/>
    </row>
    <row r="1321" spans="1:68" s="555" customFormat="1" ht="409.6">
      <c r="A1321" s="172"/>
      <c r="E1321" s="954"/>
      <c r="F1321" s="1334"/>
      <c r="I1321" s="382"/>
      <c r="J1321" s="172"/>
      <c r="K1321" s="1189"/>
      <c r="P1321" s="643"/>
      <c r="AT1321" s="172"/>
      <c r="AU1321" s="172"/>
      <c r="AV1321" s="172"/>
      <c r="AW1321" s="172"/>
      <c r="AX1321" s="172"/>
      <c r="AY1321" s="172"/>
      <c r="AZ1321" s="172"/>
      <c r="BA1321" s="172"/>
      <c r="BB1321" s="172"/>
      <c r="BC1321" s="172"/>
      <c r="BD1321" s="172"/>
      <c r="BE1321" s="172"/>
      <c r="BF1321" s="172"/>
      <c r="BG1321" s="172"/>
      <c r="BH1321" s="172"/>
      <c r="BI1321" s="172"/>
      <c r="BJ1321" s="172"/>
      <c r="BK1321" s="172"/>
      <c r="BL1321" s="172"/>
      <c r="BM1321" s="172"/>
      <c r="BN1321" s="172"/>
      <c r="BO1321" s="172"/>
      <c r="BP1321" s="172"/>
    </row>
    <row r="1322" spans="1:68" s="555" customFormat="1" ht="409.6">
      <c r="A1322" s="172"/>
      <c r="E1322" s="954"/>
      <c r="F1322" s="1334"/>
      <c r="I1322" s="382"/>
      <c r="J1322" s="172"/>
      <c r="K1322" s="1189"/>
      <c r="P1322" s="643"/>
      <c r="AT1322" s="172"/>
      <c r="AU1322" s="172"/>
      <c r="AV1322" s="172"/>
      <c r="AW1322" s="172"/>
      <c r="AX1322" s="172"/>
      <c r="AY1322" s="172"/>
      <c r="AZ1322" s="172"/>
      <c r="BA1322" s="172"/>
      <c r="BB1322" s="172"/>
      <c r="BC1322" s="172"/>
      <c r="BD1322" s="172"/>
      <c r="BE1322" s="172"/>
      <c r="BF1322" s="172"/>
      <c r="BG1322" s="172"/>
      <c r="BH1322" s="172"/>
      <c r="BI1322" s="172"/>
      <c r="BJ1322" s="172"/>
      <c r="BK1322" s="172"/>
      <c r="BL1322" s="172"/>
      <c r="BM1322" s="172"/>
      <c r="BN1322" s="172"/>
      <c r="BO1322" s="172"/>
      <c r="BP1322" s="172"/>
    </row>
    <row r="1323" spans="1:68" s="555" customFormat="1" ht="409.6">
      <c r="A1323" s="172"/>
      <c r="E1323" s="954"/>
      <c r="F1323" s="1334"/>
      <c r="I1323" s="382"/>
      <c r="J1323" s="172"/>
      <c r="K1323" s="1189"/>
      <c r="P1323" s="643"/>
      <c r="AT1323" s="172"/>
      <c r="AU1323" s="172"/>
      <c r="AV1323" s="172"/>
      <c r="AW1323" s="172"/>
      <c r="AX1323" s="172"/>
      <c r="AY1323" s="172"/>
      <c r="AZ1323" s="172"/>
      <c r="BA1323" s="172"/>
      <c r="BB1323" s="172"/>
      <c r="BC1323" s="172"/>
      <c r="BD1323" s="172"/>
      <c r="BE1323" s="172"/>
      <c r="BF1323" s="172"/>
      <c r="BG1323" s="172"/>
      <c r="BH1323" s="172"/>
      <c r="BI1323" s="172"/>
      <c r="BJ1323" s="172"/>
      <c r="BK1323" s="172"/>
      <c r="BL1323" s="172"/>
      <c r="BM1323" s="172"/>
      <c r="BN1323" s="172"/>
      <c r="BO1323" s="172"/>
      <c r="BP1323" s="172"/>
    </row>
    <row r="1324" spans="1:68" s="555" customFormat="1" ht="409.6">
      <c r="A1324" s="172"/>
      <c r="E1324" s="954"/>
      <c r="F1324" s="1334"/>
      <c r="I1324" s="382"/>
      <c r="J1324" s="172"/>
      <c r="K1324" s="1189"/>
      <c r="P1324" s="643"/>
      <c r="AT1324" s="172"/>
      <c r="AU1324" s="172"/>
      <c r="AV1324" s="172"/>
      <c r="AW1324" s="172"/>
      <c r="AX1324" s="172"/>
      <c r="AY1324" s="172"/>
      <c r="AZ1324" s="172"/>
      <c r="BA1324" s="172"/>
      <c r="BB1324" s="172"/>
      <c r="BC1324" s="172"/>
      <c r="BD1324" s="172"/>
      <c r="BE1324" s="172"/>
      <c r="BF1324" s="172"/>
      <c r="BG1324" s="172"/>
      <c r="BH1324" s="172"/>
      <c r="BI1324" s="172"/>
      <c r="BJ1324" s="172"/>
      <c r="BK1324" s="172"/>
      <c r="BL1324" s="172"/>
      <c r="BM1324" s="172"/>
      <c r="BN1324" s="172"/>
      <c r="BO1324" s="172"/>
      <c r="BP1324" s="172"/>
    </row>
    <row r="1325" spans="1:68" s="555" customFormat="1" ht="409.6">
      <c r="A1325" s="172"/>
      <c r="E1325" s="954"/>
      <c r="F1325" s="1334"/>
      <c r="I1325" s="382"/>
      <c r="J1325" s="172"/>
      <c r="K1325" s="1189"/>
      <c r="P1325" s="643"/>
      <c r="AT1325" s="172"/>
      <c r="AU1325" s="172"/>
      <c r="AV1325" s="172"/>
      <c r="AW1325" s="172"/>
      <c r="AX1325" s="172"/>
      <c r="AY1325" s="172"/>
      <c r="AZ1325" s="172"/>
      <c r="BA1325" s="172"/>
      <c r="BB1325" s="172"/>
      <c r="BC1325" s="172"/>
      <c r="BD1325" s="172"/>
      <c r="BE1325" s="172"/>
      <c r="BF1325" s="172"/>
      <c r="BG1325" s="172"/>
      <c r="BH1325" s="172"/>
      <c r="BI1325" s="172"/>
      <c r="BJ1325" s="172"/>
      <c r="BK1325" s="172"/>
      <c r="BL1325" s="172"/>
      <c r="BM1325" s="172"/>
      <c r="BN1325" s="172"/>
      <c r="BO1325" s="172"/>
      <c r="BP1325" s="172"/>
    </row>
    <row r="1326" spans="1:68" s="555" customFormat="1" ht="409.6">
      <c r="A1326" s="172"/>
      <c r="E1326" s="954"/>
      <c r="F1326" s="1334"/>
      <c r="I1326" s="382"/>
      <c r="J1326" s="172"/>
      <c r="K1326" s="1189"/>
      <c r="P1326" s="643"/>
      <c r="AT1326" s="172"/>
      <c r="AU1326" s="172"/>
      <c r="AV1326" s="172"/>
      <c r="AW1326" s="172"/>
      <c r="AX1326" s="172"/>
      <c r="AY1326" s="172"/>
      <c r="AZ1326" s="172"/>
      <c r="BA1326" s="172"/>
      <c r="BB1326" s="172"/>
      <c r="BC1326" s="172"/>
      <c r="BD1326" s="172"/>
      <c r="BE1326" s="172"/>
      <c r="BF1326" s="172"/>
      <c r="BG1326" s="172"/>
      <c r="BH1326" s="172"/>
      <c r="BI1326" s="172"/>
      <c r="BJ1326" s="172"/>
      <c r="BK1326" s="172"/>
      <c r="BL1326" s="172"/>
      <c r="BM1326" s="172"/>
      <c r="BN1326" s="172"/>
      <c r="BO1326" s="172"/>
      <c r="BP1326" s="172"/>
    </row>
    <row r="1327" spans="1:68" s="555" customFormat="1" ht="409.6">
      <c r="A1327" s="172"/>
      <c r="E1327" s="954"/>
      <c r="F1327" s="1334"/>
      <c r="I1327" s="382"/>
      <c r="J1327" s="172"/>
      <c r="K1327" s="1189"/>
      <c r="P1327" s="643"/>
      <c r="AT1327" s="172"/>
      <c r="AU1327" s="172"/>
      <c r="AV1327" s="172"/>
      <c r="AW1327" s="172"/>
      <c r="AX1327" s="172"/>
      <c r="AY1327" s="172"/>
      <c r="AZ1327" s="172"/>
      <c r="BA1327" s="172"/>
      <c r="BB1327" s="172"/>
      <c r="BC1327" s="172"/>
      <c r="BD1327" s="172"/>
      <c r="BE1327" s="172"/>
      <c r="BF1327" s="172"/>
      <c r="BG1327" s="172"/>
      <c r="BH1327" s="172"/>
      <c r="BI1327" s="172"/>
      <c r="BJ1327" s="172"/>
      <c r="BK1327" s="172"/>
      <c r="BL1327" s="172"/>
      <c r="BM1327" s="172"/>
      <c r="BN1327" s="172"/>
      <c r="BO1327" s="172"/>
      <c r="BP1327" s="172"/>
    </row>
    <row r="1328" spans="1:68" s="555" customFormat="1" ht="409.6">
      <c r="A1328" s="172"/>
      <c r="E1328" s="954"/>
      <c r="F1328" s="1334"/>
      <c r="I1328" s="382"/>
      <c r="J1328" s="172"/>
      <c r="K1328" s="1189"/>
      <c r="P1328" s="643"/>
      <c r="AT1328" s="172"/>
      <c r="AU1328" s="172"/>
      <c r="AV1328" s="172"/>
      <c r="AW1328" s="172"/>
      <c r="AX1328" s="172"/>
      <c r="AY1328" s="172"/>
      <c r="AZ1328" s="172"/>
      <c r="BA1328" s="172"/>
      <c r="BB1328" s="172"/>
      <c r="BC1328" s="172"/>
      <c r="BD1328" s="172"/>
      <c r="BE1328" s="172"/>
      <c r="BF1328" s="172"/>
      <c r="BG1328" s="172"/>
      <c r="BH1328" s="172"/>
      <c r="BI1328" s="172"/>
      <c r="BJ1328" s="172"/>
      <c r="BK1328" s="172"/>
      <c r="BL1328" s="172"/>
      <c r="BM1328" s="172"/>
      <c r="BN1328" s="172"/>
      <c r="BO1328" s="172"/>
      <c r="BP1328" s="172"/>
    </row>
    <row r="1329" spans="1:68" s="555" customFormat="1" ht="409.6">
      <c r="A1329" s="172"/>
      <c r="E1329" s="954"/>
      <c r="F1329" s="1334"/>
      <c r="I1329" s="382"/>
      <c r="J1329" s="172"/>
      <c r="K1329" s="1189"/>
      <c r="P1329" s="643"/>
      <c r="AT1329" s="172"/>
      <c r="AU1329" s="172"/>
      <c r="AV1329" s="172"/>
      <c r="AW1329" s="172"/>
      <c r="AX1329" s="172"/>
      <c r="AY1329" s="172"/>
      <c r="AZ1329" s="172"/>
      <c r="BA1329" s="172"/>
      <c r="BB1329" s="172"/>
      <c r="BC1329" s="172"/>
      <c r="BD1329" s="172"/>
      <c r="BE1329" s="172"/>
      <c r="BF1329" s="172"/>
      <c r="BG1329" s="172"/>
      <c r="BH1329" s="172"/>
      <c r="BI1329" s="172"/>
      <c r="BJ1329" s="172"/>
      <c r="BK1329" s="172"/>
      <c r="BL1329" s="172"/>
      <c r="BM1329" s="172"/>
      <c r="BN1329" s="172"/>
      <c r="BO1329" s="172"/>
      <c r="BP1329" s="172"/>
    </row>
    <row r="1330" spans="1:68" s="555" customFormat="1" ht="409.6">
      <c r="A1330" s="172"/>
      <c r="E1330" s="954"/>
      <c r="F1330" s="1334"/>
      <c r="I1330" s="382"/>
      <c r="J1330" s="172"/>
      <c r="K1330" s="1189"/>
      <c r="P1330" s="643"/>
      <c r="AT1330" s="172"/>
      <c r="AU1330" s="172"/>
      <c r="AV1330" s="172"/>
      <c r="AW1330" s="172"/>
      <c r="AX1330" s="172"/>
      <c r="AY1330" s="172"/>
      <c r="AZ1330" s="172"/>
      <c r="BA1330" s="172"/>
      <c r="BB1330" s="172"/>
      <c r="BC1330" s="172"/>
      <c r="BD1330" s="172"/>
      <c r="BE1330" s="172"/>
      <c r="BF1330" s="172"/>
      <c r="BG1330" s="172"/>
      <c r="BH1330" s="172"/>
      <c r="BI1330" s="172"/>
      <c r="BJ1330" s="172"/>
      <c r="BK1330" s="172"/>
      <c r="BL1330" s="172"/>
      <c r="BM1330" s="172"/>
      <c r="BN1330" s="172"/>
      <c r="BO1330" s="172"/>
      <c r="BP1330" s="172"/>
    </row>
    <row r="1331" spans="1:68" s="555" customFormat="1" ht="409.6">
      <c r="A1331" s="172"/>
      <c r="E1331" s="954"/>
      <c r="F1331" s="1334"/>
      <c r="I1331" s="382"/>
      <c r="J1331" s="172"/>
      <c r="K1331" s="1189"/>
      <c r="P1331" s="643"/>
      <c r="AT1331" s="172"/>
      <c r="AU1331" s="172"/>
      <c r="AV1331" s="172"/>
      <c r="AW1331" s="172"/>
      <c r="AX1331" s="172"/>
      <c r="AY1331" s="172"/>
      <c r="AZ1331" s="172"/>
      <c r="BA1331" s="172"/>
      <c r="BB1331" s="172"/>
      <c r="BC1331" s="172"/>
      <c r="BD1331" s="172"/>
      <c r="BE1331" s="172"/>
      <c r="BF1331" s="172"/>
      <c r="BG1331" s="172"/>
      <c r="BH1331" s="172"/>
      <c r="BI1331" s="172"/>
      <c r="BJ1331" s="172"/>
      <c r="BK1331" s="172"/>
      <c r="BL1331" s="172"/>
      <c r="BM1331" s="172"/>
      <c r="BN1331" s="172"/>
      <c r="BO1331" s="172"/>
      <c r="BP1331" s="172"/>
    </row>
    <row r="1332" spans="1:68" s="555" customFormat="1" ht="409.6">
      <c r="A1332" s="172"/>
      <c r="E1332" s="954"/>
      <c r="F1332" s="1334"/>
      <c r="I1332" s="382"/>
      <c r="J1332" s="172"/>
      <c r="K1332" s="1189"/>
      <c r="P1332" s="643"/>
      <c r="AT1332" s="172"/>
      <c r="AU1332" s="172"/>
      <c r="AV1332" s="172"/>
      <c r="AW1332" s="172"/>
      <c r="AX1332" s="172"/>
      <c r="AY1332" s="172"/>
      <c r="AZ1332" s="172"/>
      <c r="BA1332" s="172"/>
      <c r="BB1332" s="172"/>
      <c r="BC1332" s="172"/>
      <c r="BD1332" s="172"/>
      <c r="BE1332" s="172"/>
      <c r="BF1332" s="172"/>
      <c r="BG1332" s="172"/>
      <c r="BH1332" s="172"/>
      <c r="BI1332" s="172"/>
      <c r="BJ1332" s="172"/>
      <c r="BK1332" s="172"/>
      <c r="BL1332" s="172"/>
      <c r="BM1332" s="172"/>
      <c r="BN1332" s="172"/>
      <c r="BO1332" s="172"/>
      <c r="BP1332" s="172"/>
    </row>
    <row r="1333" spans="1:68" s="555" customFormat="1" ht="409.6">
      <c r="A1333" s="172"/>
      <c r="E1333" s="954"/>
      <c r="F1333" s="1334"/>
      <c r="I1333" s="382"/>
      <c r="J1333" s="172"/>
      <c r="K1333" s="1189"/>
      <c r="P1333" s="643"/>
      <c r="AT1333" s="172"/>
      <c r="AU1333" s="172"/>
      <c r="AV1333" s="172"/>
      <c r="AW1333" s="172"/>
      <c r="AX1333" s="172"/>
      <c r="AY1333" s="172"/>
      <c r="AZ1333" s="172"/>
      <c r="BA1333" s="172"/>
      <c r="BB1333" s="172"/>
      <c r="BC1333" s="172"/>
      <c r="BD1333" s="172"/>
      <c r="BE1333" s="172"/>
      <c r="BF1333" s="172"/>
      <c r="BG1333" s="172"/>
      <c r="BH1333" s="172"/>
      <c r="BI1333" s="172"/>
      <c r="BJ1333" s="172"/>
      <c r="BK1333" s="172"/>
      <c r="BL1333" s="172"/>
      <c r="BM1333" s="172"/>
      <c r="BN1333" s="172"/>
      <c r="BO1333" s="172"/>
      <c r="BP1333" s="172"/>
    </row>
    <row r="1334" spans="1:68" s="555" customFormat="1" ht="409.6">
      <c r="A1334" s="172"/>
      <c r="E1334" s="954"/>
      <c r="F1334" s="1334"/>
      <c r="I1334" s="382"/>
      <c r="J1334" s="172"/>
      <c r="K1334" s="1189"/>
      <c r="P1334" s="643"/>
      <c r="AT1334" s="172"/>
      <c r="AU1334" s="172"/>
      <c r="AV1334" s="172"/>
      <c r="AW1334" s="172"/>
      <c r="AX1334" s="172"/>
      <c r="AY1334" s="172"/>
      <c r="AZ1334" s="172"/>
      <c r="BA1334" s="172"/>
      <c r="BB1334" s="172"/>
      <c r="BC1334" s="172"/>
      <c r="BD1334" s="172"/>
      <c r="BE1334" s="172"/>
      <c r="BF1334" s="172"/>
      <c r="BG1334" s="172"/>
      <c r="BH1334" s="172"/>
      <c r="BI1334" s="172"/>
      <c r="BJ1334" s="172"/>
      <c r="BK1334" s="172"/>
      <c r="BL1334" s="172"/>
      <c r="BM1334" s="172"/>
      <c r="BN1334" s="172"/>
      <c r="BO1334" s="172"/>
      <c r="BP1334" s="172"/>
    </row>
    <row r="1335" spans="1:68" s="555" customFormat="1" ht="409.6">
      <c r="A1335" s="172"/>
      <c r="E1335" s="954"/>
      <c r="F1335" s="1334"/>
      <c r="I1335" s="382"/>
      <c r="J1335" s="172"/>
      <c r="K1335" s="1189"/>
      <c r="P1335" s="643"/>
      <c r="AT1335" s="172"/>
      <c r="AU1335" s="172"/>
      <c r="AV1335" s="172"/>
      <c r="AW1335" s="172"/>
      <c r="AX1335" s="172"/>
      <c r="AY1335" s="172"/>
      <c r="AZ1335" s="172"/>
      <c r="BA1335" s="172"/>
      <c r="BB1335" s="172"/>
      <c r="BC1335" s="172"/>
      <c r="BD1335" s="172"/>
      <c r="BE1335" s="172"/>
      <c r="BF1335" s="172"/>
      <c r="BG1335" s="172"/>
      <c r="BH1335" s="172"/>
      <c r="BI1335" s="172"/>
      <c r="BJ1335" s="172"/>
      <c r="BK1335" s="172"/>
      <c r="BL1335" s="172"/>
      <c r="BM1335" s="172"/>
      <c r="BN1335" s="172"/>
      <c r="BO1335" s="172"/>
      <c r="BP1335" s="172"/>
    </row>
    <row r="1336" spans="1:68" s="555" customFormat="1" ht="409.6">
      <c r="A1336" s="172"/>
      <c r="E1336" s="954"/>
      <c r="F1336" s="1334"/>
      <c r="I1336" s="382"/>
      <c r="J1336" s="172"/>
      <c r="K1336" s="1189"/>
      <c r="P1336" s="643"/>
      <c r="AT1336" s="172"/>
      <c r="AU1336" s="172"/>
      <c r="AV1336" s="172"/>
      <c r="AW1336" s="172"/>
      <c r="AX1336" s="172"/>
      <c r="AY1336" s="172"/>
      <c r="AZ1336" s="172"/>
      <c r="BA1336" s="172"/>
      <c r="BB1336" s="172"/>
      <c r="BC1336" s="172"/>
      <c r="BD1336" s="172"/>
      <c r="BE1336" s="172"/>
      <c r="BF1336" s="172"/>
      <c r="BG1336" s="172"/>
      <c r="BH1336" s="172"/>
      <c r="BI1336" s="172"/>
      <c r="BJ1336" s="172"/>
      <c r="BK1336" s="172"/>
      <c r="BL1336" s="172"/>
      <c r="BM1336" s="172"/>
      <c r="BN1336" s="172"/>
      <c r="BO1336" s="172"/>
      <c r="BP1336" s="172"/>
    </row>
    <row r="1337" spans="1:68" s="555" customFormat="1" ht="409.6">
      <c r="A1337" s="172"/>
      <c r="E1337" s="954"/>
      <c r="F1337" s="1334"/>
      <c r="I1337" s="382"/>
      <c r="J1337" s="172"/>
      <c r="K1337" s="1189"/>
      <c r="P1337" s="643"/>
      <c r="AT1337" s="172"/>
      <c r="AU1337" s="172"/>
      <c r="AV1337" s="172"/>
      <c r="AW1337" s="172"/>
      <c r="AX1337" s="172"/>
      <c r="AY1337" s="172"/>
      <c r="AZ1337" s="172"/>
      <c r="BA1337" s="172"/>
      <c r="BB1337" s="172"/>
      <c r="BC1337" s="172"/>
      <c r="BD1337" s="172"/>
      <c r="BE1337" s="172"/>
      <c r="BF1337" s="172"/>
      <c r="BG1337" s="172"/>
      <c r="BH1337" s="172"/>
      <c r="BI1337" s="172"/>
      <c r="BJ1337" s="172"/>
      <c r="BK1337" s="172"/>
      <c r="BL1337" s="172"/>
      <c r="BM1337" s="172"/>
      <c r="BN1337" s="172"/>
      <c r="BO1337" s="172"/>
      <c r="BP1337" s="172"/>
    </row>
    <row r="1338" spans="1:68" s="555" customFormat="1" ht="409.6">
      <c r="A1338" s="172"/>
      <c r="E1338" s="954"/>
      <c r="F1338" s="1334"/>
      <c r="I1338" s="382"/>
      <c r="J1338" s="172"/>
      <c r="K1338" s="1189"/>
      <c r="P1338" s="643"/>
      <c r="AT1338" s="172"/>
      <c r="AU1338" s="172"/>
      <c r="AV1338" s="172"/>
      <c r="AW1338" s="172"/>
      <c r="AX1338" s="172"/>
      <c r="AY1338" s="172"/>
      <c r="AZ1338" s="172"/>
      <c r="BA1338" s="172"/>
      <c r="BB1338" s="172"/>
      <c r="BC1338" s="172"/>
      <c r="BD1338" s="172"/>
      <c r="BE1338" s="172"/>
      <c r="BF1338" s="172"/>
      <c r="BG1338" s="172"/>
      <c r="BH1338" s="172"/>
      <c r="BI1338" s="172"/>
      <c r="BJ1338" s="172"/>
      <c r="BK1338" s="172"/>
      <c r="BL1338" s="172"/>
      <c r="BM1338" s="172"/>
      <c r="BN1338" s="172"/>
      <c r="BO1338" s="172"/>
      <c r="BP1338" s="172"/>
    </row>
    <row r="1339" spans="1:68" s="555" customFormat="1" ht="409.6">
      <c r="A1339" s="172"/>
      <c r="E1339" s="954"/>
      <c r="F1339" s="1334"/>
      <c r="I1339" s="382"/>
      <c r="J1339" s="172"/>
      <c r="K1339" s="1189"/>
      <c r="P1339" s="643"/>
      <c r="AT1339" s="172"/>
      <c r="AU1339" s="172"/>
      <c r="AV1339" s="172"/>
      <c r="AW1339" s="172"/>
      <c r="AX1339" s="172"/>
      <c r="AY1339" s="172"/>
      <c r="AZ1339" s="172"/>
      <c r="BA1339" s="172"/>
      <c r="BB1339" s="172"/>
      <c r="BC1339" s="172"/>
      <c r="BD1339" s="172"/>
      <c r="BE1339" s="172"/>
      <c r="BF1339" s="172"/>
      <c r="BG1339" s="172"/>
      <c r="BH1339" s="172"/>
      <c r="BI1339" s="172"/>
      <c r="BJ1339" s="172"/>
      <c r="BK1339" s="172"/>
      <c r="BL1339" s="172"/>
      <c r="BM1339" s="172"/>
      <c r="BN1339" s="172"/>
      <c r="BO1339" s="172"/>
      <c r="BP1339" s="172"/>
    </row>
    <row r="1340" spans="1:68" s="555" customFormat="1" ht="409.6">
      <c r="A1340" s="172"/>
      <c r="E1340" s="954"/>
      <c r="F1340" s="1334"/>
      <c r="I1340" s="382"/>
      <c r="J1340" s="172"/>
      <c r="K1340" s="1189"/>
      <c r="P1340" s="643"/>
      <c r="AT1340" s="172"/>
      <c r="AU1340" s="172"/>
      <c r="AV1340" s="172"/>
      <c r="AW1340" s="172"/>
      <c r="AX1340" s="172"/>
      <c r="AY1340" s="172"/>
      <c r="AZ1340" s="172"/>
      <c r="BA1340" s="172"/>
      <c r="BB1340" s="172"/>
      <c r="BC1340" s="172"/>
      <c r="BD1340" s="172"/>
      <c r="BE1340" s="172"/>
      <c r="BF1340" s="172"/>
      <c r="BG1340" s="172"/>
      <c r="BH1340" s="172"/>
      <c r="BI1340" s="172"/>
      <c r="BJ1340" s="172"/>
      <c r="BK1340" s="172"/>
      <c r="BL1340" s="172"/>
      <c r="BM1340" s="172"/>
      <c r="BN1340" s="172"/>
      <c r="BO1340" s="172"/>
      <c r="BP1340" s="172"/>
    </row>
    <row r="1341" spans="1:68" s="555" customFormat="1" ht="409.6">
      <c r="A1341" s="172"/>
      <c r="E1341" s="954"/>
      <c r="F1341" s="1334"/>
      <c r="I1341" s="382"/>
      <c r="J1341" s="172"/>
      <c r="K1341" s="1189"/>
      <c r="P1341" s="643"/>
      <c r="AT1341" s="172"/>
      <c r="AU1341" s="172"/>
      <c r="AV1341" s="172"/>
      <c r="AW1341" s="172"/>
      <c r="AX1341" s="172"/>
      <c r="AY1341" s="172"/>
      <c r="AZ1341" s="172"/>
      <c r="BA1341" s="172"/>
      <c r="BB1341" s="172"/>
      <c r="BC1341" s="172"/>
      <c r="BD1341" s="172"/>
      <c r="BE1341" s="172"/>
      <c r="BF1341" s="172"/>
      <c r="BG1341" s="172"/>
      <c r="BH1341" s="172"/>
      <c r="BI1341" s="172"/>
      <c r="BJ1341" s="172"/>
      <c r="BK1341" s="172"/>
      <c r="BL1341" s="172"/>
      <c r="BM1341" s="172"/>
      <c r="BN1341" s="172"/>
      <c r="BO1341" s="172"/>
      <c r="BP1341" s="172"/>
    </row>
    <row r="1342" spans="1:68" s="555" customFormat="1" ht="409.6">
      <c r="A1342" s="172"/>
      <c r="E1342" s="954"/>
      <c r="F1342" s="1334"/>
      <c r="I1342" s="382"/>
      <c r="J1342" s="172"/>
      <c r="K1342" s="1189"/>
      <c r="P1342" s="643"/>
      <c r="AT1342" s="172"/>
      <c r="AU1342" s="172"/>
      <c r="AV1342" s="172"/>
      <c r="AW1342" s="172"/>
      <c r="AX1342" s="172"/>
      <c r="AY1342" s="172"/>
      <c r="AZ1342" s="172"/>
      <c r="BA1342" s="172"/>
      <c r="BB1342" s="172"/>
      <c r="BC1342" s="172"/>
      <c r="BD1342" s="172"/>
      <c r="BE1342" s="172"/>
      <c r="BF1342" s="172"/>
      <c r="BG1342" s="172"/>
      <c r="BH1342" s="172"/>
      <c r="BI1342" s="172"/>
      <c r="BJ1342" s="172"/>
      <c r="BK1342" s="172"/>
      <c r="BL1342" s="172"/>
      <c r="BM1342" s="172"/>
      <c r="BN1342" s="172"/>
      <c r="BO1342" s="172"/>
      <c r="BP1342" s="172"/>
    </row>
    <row r="1343" spans="1:68" s="555" customFormat="1" ht="409.6">
      <c r="A1343" s="172"/>
      <c r="E1343" s="954"/>
      <c r="F1343" s="1334"/>
      <c r="I1343" s="382"/>
      <c r="J1343" s="172"/>
      <c r="K1343" s="1189"/>
      <c r="P1343" s="643"/>
      <c r="AT1343" s="172"/>
      <c r="AU1343" s="172"/>
      <c r="AV1343" s="172"/>
      <c r="AW1343" s="172"/>
      <c r="AX1343" s="172"/>
      <c r="AY1343" s="172"/>
      <c r="AZ1343" s="172"/>
      <c r="BA1343" s="172"/>
      <c r="BB1343" s="172"/>
      <c r="BC1343" s="172"/>
      <c r="BD1343" s="172"/>
      <c r="BE1343" s="172"/>
      <c r="BF1343" s="172"/>
      <c r="BG1343" s="172"/>
      <c r="BH1343" s="172"/>
      <c r="BI1343" s="172"/>
      <c r="BJ1343" s="172"/>
      <c r="BK1343" s="172"/>
      <c r="BL1343" s="172"/>
      <c r="BM1343" s="172"/>
      <c r="BN1343" s="172"/>
      <c r="BO1343" s="172"/>
      <c r="BP1343" s="172"/>
    </row>
    <row r="1344" spans="1:68" s="555" customFormat="1" ht="409.6">
      <c r="A1344" s="172"/>
      <c r="E1344" s="954"/>
      <c r="F1344" s="1334"/>
      <c r="I1344" s="382"/>
      <c r="J1344" s="172"/>
      <c r="K1344" s="1189"/>
      <c r="P1344" s="643"/>
      <c r="AT1344" s="172"/>
      <c r="AU1344" s="172"/>
      <c r="AV1344" s="172"/>
      <c r="AW1344" s="172"/>
      <c r="AX1344" s="172"/>
      <c r="AY1344" s="172"/>
      <c r="AZ1344" s="172"/>
      <c r="BA1344" s="172"/>
      <c r="BB1344" s="172"/>
      <c r="BC1344" s="172"/>
      <c r="BD1344" s="172"/>
      <c r="BE1344" s="172"/>
      <c r="BF1344" s="172"/>
      <c r="BG1344" s="172"/>
      <c r="BH1344" s="172"/>
      <c r="BI1344" s="172"/>
      <c r="BJ1344" s="172"/>
      <c r="BK1344" s="172"/>
      <c r="BL1344" s="172"/>
      <c r="BM1344" s="172"/>
      <c r="BN1344" s="172"/>
      <c r="BO1344" s="172"/>
      <c r="BP1344" s="172"/>
    </row>
    <row r="1345" spans="1:68" s="555" customFormat="1" ht="409.6">
      <c r="A1345" s="172"/>
      <c r="E1345" s="954"/>
      <c r="F1345" s="1334"/>
      <c r="I1345" s="382"/>
      <c r="J1345" s="172"/>
      <c r="K1345" s="1189"/>
      <c r="P1345" s="643"/>
      <c r="AT1345" s="172"/>
      <c r="AU1345" s="172"/>
      <c r="AV1345" s="172"/>
      <c r="AW1345" s="172"/>
      <c r="AX1345" s="172"/>
      <c r="AY1345" s="172"/>
      <c r="AZ1345" s="172"/>
      <c r="BA1345" s="172"/>
      <c r="BB1345" s="172"/>
      <c r="BC1345" s="172"/>
      <c r="BD1345" s="172"/>
      <c r="BE1345" s="172"/>
      <c r="BF1345" s="172"/>
      <c r="BG1345" s="172"/>
      <c r="BH1345" s="172"/>
      <c r="BI1345" s="172"/>
      <c r="BJ1345" s="172"/>
      <c r="BK1345" s="172"/>
      <c r="BL1345" s="172"/>
      <c r="BM1345" s="172"/>
      <c r="BN1345" s="172"/>
      <c r="BO1345" s="172"/>
      <c r="BP1345" s="172"/>
    </row>
    <row r="1346" spans="1:68" s="555" customFormat="1" ht="409.6">
      <c r="A1346" s="172"/>
      <c r="E1346" s="954"/>
      <c r="F1346" s="1334"/>
      <c r="I1346" s="382"/>
      <c r="J1346" s="172"/>
      <c r="K1346" s="1189"/>
      <c r="P1346" s="643"/>
      <c r="AT1346" s="172"/>
      <c r="AU1346" s="172"/>
      <c r="AV1346" s="172"/>
      <c r="AW1346" s="172"/>
      <c r="AX1346" s="172"/>
      <c r="AY1346" s="172"/>
      <c r="AZ1346" s="172"/>
      <c r="BA1346" s="172"/>
      <c r="BB1346" s="172"/>
      <c r="BC1346" s="172"/>
      <c r="BD1346" s="172"/>
      <c r="BE1346" s="172"/>
      <c r="BF1346" s="172"/>
      <c r="BG1346" s="172"/>
      <c r="BH1346" s="172"/>
      <c r="BI1346" s="172"/>
      <c r="BJ1346" s="172"/>
      <c r="BK1346" s="172"/>
      <c r="BL1346" s="172"/>
      <c r="BM1346" s="172"/>
      <c r="BN1346" s="172"/>
      <c r="BO1346" s="172"/>
      <c r="BP1346" s="172"/>
    </row>
    <row r="1347" spans="1:68" s="555" customFormat="1" ht="409.6">
      <c r="A1347" s="172"/>
      <c r="E1347" s="954"/>
      <c r="F1347" s="1334"/>
      <c r="I1347" s="382"/>
      <c r="J1347" s="172"/>
      <c r="K1347" s="1189"/>
      <c r="P1347" s="643"/>
      <c r="AT1347" s="172"/>
      <c r="AU1347" s="172"/>
      <c r="AV1347" s="172"/>
      <c r="AW1347" s="172"/>
      <c r="AX1347" s="172"/>
      <c r="AY1347" s="172"/>
      <c r="AZ1347" s="172"/>
      <c r="BA1347" s="172"/>
      <c r="BB1347" s="172"/>
      <c r="BC1347" s="172"/>
      <c r="BD1347" s="172"/>
      <c r="BE1347" s="172"/>
      <c r="BF1347" s="172"/>
      <c r="BG1347" s="172"/>
      <c r="BH1347" s="172"/>
      <c r="BI1347" s="172"/>
      <c r="BJ1347" s="172"/>
      <c r="BK1347" s="172"/>
      <c r="BL1347" s="172"/>
      <c r="BM1347" s="172"/>
      <c r="BN1347" s="172"/>
      <c r="BO1347" s="172"/>
      <c r="BP1347" s="172"/>
    </row>
    <row r="1348" spans="1:68" s="555" customFormat="1" ht="409.6">
      <c r="A1348" s="172"/>
      <c r="E1348" s="954"/>
      <c r="F1348" s="1334"/>
      <c r="I1348" s="382"/>
      <c r="J1348" s="172"/>
      <c r="K1348" s="1189"/>
      <c r="P1348" s="643"/>
      <c r="AT1348" s="172"/>
      <c r="AU1348" s="172"/>
      <c r="AV1348" s="172"/>
      <c r="AW1348" s="172"/>
      <c r="AX1348" s="172"/>
      <c r="AY1348" s="172"/>
      <c r="AZ1348" s="172"/>
      <c r="BA1348" s="172"/>
      <c r="BB1348" s="172"/>
      <c r="BC1348" s="172"/>
      <c r="BD1348" s="172"/>
      <c r="BE1348" s="172"/>
      <c r="BF1348" s="172"/>
      <c r="BG1348" s="172"/>
      <c r="BH1348" s="172"/>
      <c r="BI1348" s="172"/>
      <c r="BJ1348" s="172"/>
      <c r="BK1348" s="172"/>
      <c r="BL1348" s="172"/>
      <c r="BM1348" s="172"/>
      <c r="BN1348" s="172"/>
      <c r="BO1348" s="172"/>
      <c r="BP1348" s="172"/>
    </row>
    <row r="1349" spans="1:68" s="555" customFormat="1" ht="409.6">
      <c r="A1349" s="172"/>
      <c r="E1349" s="954"/>
      <c r="F1349" s="1334"/>
      <c r="I1349" s="382"/>
      <c r="J1349" s="172"/>
      <c r="K1349" s="1189"/>
      <c r="P1349" s="643"/>
      <c r="AT1349" s="172"/>
      <c r="AU1349" s="172"/>
      <c r="AV1349" s="172"/>
      <c r="AW1349" s="172"/>
      <c r="AX1349" s="172"/>
      <c r="AY1349" s="172"/>
      <c r="AZ1349" s="172"/>
      <c r="BA1349" s="172"/>
      <c r="BB1349" s="172"/>
      <c r="BC1349" s="172"/>
      <c r="BD1349" s="172"/>
      <c r="BE1349" s="172"/>
      <c r="BF1349" s="172"/>
      <c r="BG1349" s="172"/>
      <c r="BH1349" s="172"/>
      <c r="BI1349" s="172"/>
      <c r="BJ1349" s="172"/>
      <c r="BK1349" s="172"/>
      <c r="BL1349" s="172"/>
      <c r="BM1349" s="172"/>
      <c r="BN1349" s="172"/>
      <c r="BO1349" s="172"/>
      <c r="BP1349" s="172"/>
    </row>
    <row r="1350" spans="1:68" s="555" customFormat="1" ht="409.6">
      <c r="A1350" s="172"/>
      <c r="E1350" s="954"/>
      <c r="F1350" s="1334"/>
      <c r="I1350" s="382"/>
      <c r="J1350" s="172"/>
      <c r="K1350" s="1189"/>
      <c r="P1350" s="643"/>
      <c r="AT1350" s="172"/>
      <c r="AU1350" s="172"/>
      <c r="AV1350" s="172"/>
      <c r="AW1350" s="172"/>
      <c r="AX1350" s="172"/>
      <c r="AY1350" s="172"/>
      <c r="AZ1350" s="172"/>
      <c r="BA1350" s="172"/>
      <c r="BB1350" s="172"/>
      <c r="BC1350" s="172"/>
      <c r="BD1350" s="172"/>
      <c r="BE1350" s="172"/>
      <c r="BF1350" s="172"/>
      <c r="BG1350" s="172"/>
      <c r="BH1350" s="172"/>
      <c r="BI1350" s="172"/>
      <c r="BJ1350" s="172"/>
      <c r="BK1350" s="172"/>
      <c r="BL1350" s="172"/>
      <c r="BM1350" s="172"/>
      <c r="BN1350" s="172"/>
      <c r="BO1350" s="172"/>
      <c r="BP1350" s="172"/>
    </row>
    <row r="1351" spans="1:68" s="555" customFormat="1" ht="409.6">
      <c r="A1351" s="172"/>
      <c r="E1351" s="954"/>
      <c r="F1351" s="1334"/>
      <c r="I1351" s="382"/>
      <c r="J1351" s="172"/>
      <c r="K1351" s="1189"/>
      <c r="P1351" s="643"/>
      <c r="AT1351" s="172"/>
      <c r="AU1351" s="172"/>
      <c r="AV1351" s="172"/>
      <c r="AW1351" s="172"/>
      <c r="AX1351" s="172"/>
      <c r="AY1351" s="172"/>
      <c r="AZ1351" s="172"/>
      <c r="BA1351" s="172"/>
      <c r="BB1351" s="172"/>
      <c r="BC1351" s="172"/>
      <c r="BD1351" s="172"/>
      <c r="BE1351" s="172"/>
      <c r="BF1351" s="172"/>
      <c r="BG1351" s="172"/>
      <c r="BH1351" s="172"/>
      <c r="BI1351" s="172"/>
      <c r="BJ1351" s="172"/>
      <c r="BK1351" s="172"/>
      <c r="BL1351" s="172"/>
      <c r="BM1351" s="172"/>
      <c r="BN1351" s="172"/>
      <c r="BO1351" s="172"/>
      <c r="BP1351" s="172"/>
    </row>
    <row r="1352" spans="1:68" s="555" customFormat="1" ht="409.6">
      <c r="A1352" s="172"/>
      <c r="E1352" s="954"/>
      <c r="F1352" s="1334"/>
      <c r="I1352" s="382"/>
      <c r="J1352" s="172"/>
      <c r="K1352" s="1189"/>
      <c r="P1352" s="643"/>
      <c r="AT1352" s="172"/>
      <c r="AU1352" s="172"/>
      <c r="AV1352" s="172"/>
      <c r="AW1352" s="172"/>
      <c r="AX1352" s="172"/>
      <c r="AY1352" s="172"/>
      <c r="AZ1352" s="172"/>
      <c r="BA1352" s="172"/>
      <c r="BB1352" s="172"/>
      <c r="BC1352" s="172"/>
      <c r="BD1352" s="172"/>
      <c r="BE1352" s="172"/>
      <c r="BF1352" s="172"/>
      <c r="BG1352" s="172"/>
      <c r="BH1352" s="172"/>
      <c r="BI1352" s="172"/>
      <c r="BJ1352" s="172"/>
      <c r="BK1352" s="172"/>
      <c r="BL1352" s="172"/>
      <c r="BM1352" s="172"/>
      <c r="BN1352" s="172"/>
      <c r="BO1352" s="172"/>
      <c r="BP1352" s="172"/>
    </row>
    <row r="1353" spans="1:68" s="555" customFormat="1" ht="409.6">
      <c r="A1353" s="172"/>
      <c r="E1353" s="954"/>
      <c r="F1353" s="1334"/>
      <c r="I1353" s="382"/>
      <c r="J1353" s="172"/>
      <c r="K1353" s="1189"/>
      <c r="P1353" s="643"/>
      <c r="AT1353" s="172"/>
      <c r="AU1353" s="172"/>
      <c r="AV1353" s="172"/>
      <c r="AW1353" s="172"/>
      <c r="AX1353" s="172"/>
      <c r="AY1353" s="172"/>
      <c r="AZ1353" s="172"/>
      <c r="BA1353" s="172"/>
      <c r="BB1353" s="172"/>
      <c r="BC1353" s="172"/>
      <c r="BD1353" s="172"/>
      <c r="BE1353" s="172"/>
      <c r="BF1353" s="172"/>
      <c r="BG1353" s="172"/>
      <c r="BH1353" s="172"/>
      <c r="BI1353" s="172"/>
      <c r="BJ1353" s="172"/>
      <c r="BK1353" s="172"/>
      <c r="BL1353" s="172"/>
      <c r="BM1353" s="172"/>
      <c r="BN1353" s="172"/>
      <c r="BO1353" s="172"/>
      <c r="BP1353" s="172"/>
    </row>
    <row r="1354" spans="1:68" s="555" customFormat="1" ht="409.6">
      <c r="A1354" s="172"/>
      <c r="E1354" s="954"/>
      <c r="F1354" s="1334"/>
      <c r="I1354" s="382"/>
      <c r="J1354" s="172"/>
      <c r="K1354" s="1189"/>
      <c r="P1354" s="643"/>
      <c r="AT1354" s="172"/>
      <c r="AU1354" s="172"/>
      <c r="AV1354" s="172"/>
      <c r="AW1354" s="172"/>
      <c r="AX1354" s="172"/>
      <c r="AY1354" s="172"/>
      <c r="AZ1354" s="172"/>
      <c r="BA1354" s="172"/>
      <c r="BB1354" s="172"/>
      <c r="BC1354" s="172"/>
      <c r="BD1354" s="172"/>
      <c r="BE1354" s="172"/>
      <c r="BF1354" s="172"/>
      <c r="BG1354" s="172"/>
      <c r="BH1354" s="172"/>
      <c r="BI1354" s="172"/>
      <c r="BJ1354" s="172"/>
      <c r="BK1354" s="172"/>
      <c r="BL1354" s="172"/>
      <c r="BM1354" s="172"/>
      <c r="BN1354" s="172"/>
      <c r="BO1354" s="172"/>
      <c r="BP1354" s="172"/>
    </row>
    <row r="1355" spans="1:68" s="555" customFormat="1" ht="409.6">
      <c r="A1355" s="172"/>
      <c r="E1355" s="954"/>
      <c r="F1355" s="1334"/>
      <c r="I1355" s="382"/>
      <c r="J1355" s="172"/>
      <c r="K1355" s="1189"/>
      <c r="P1355" s="643"/>
      <c r="AT1355" s="172"/>
      <c r="AU1355" s="172"/>
      <c r="AV1355" s="172"/>
      <c r="AW1355" s="172"/>
      <c r="AX1355" s="172"/>
      <c r="AY1355" s="172"/>
      <c r="AZ1355" s="172"/>
      <c r="BA1355" s="172"/>
      <c r="BB1355" s="172"/>
      <c r="BC1355" s="172"/>
      <c r="BD1355" s="172"/>
      <c r="BE1355" s="172"/>
      <c r="BF1355" s="172"/>
      <c r="BG1355" s="172"/>
      <c r="BH1355" s="172"/>
      <c r="BI1355" s="172"/>
      <c r="BJ1355" s="172"/>
      <c r="BK1355" s="172"/>
      <c r="BL1355" s="172"/>
      <c r="BM1355" s="172"/>
      <c r="BN1355" s="172"/>
      <c r="BO1355" s="172"/>
      <c r="BP1355" s="172"/>
    </row>
    <row r="1356" spans="1:68" s="555" customFormat="1" ht="409.6">
      <c r="A1356" s="172"/>
      <c r="E1356" s="954"/>
      <c r="F1356" s="1334"/>
      <c r="I1356" s="382"/>
      <c r="J1356" s="172"/>
      <c r="K1356" s="1189"/>
      <c r="P1356" s="643"/>
      <c r="AT1356" s="172"/>
      <c r="AU1356" s="172"/>
      <c r="AV1356" s="172"/>
      <c r="AW1356" s="172"/>
      <c r="AX1356" s="172"/>
      <c r="AY1356" s="172"/>
      <c r="AZ1356" s="172"/>
      <c r="BA1356" s="172"/>
      <c r="BB1356" s="172"/>
      <c r="BC1356" s="172"/>
      <c r="BD1356" s="172"/>
      <c r="BE1356" s="172"/>
      <c r="BF1356" s="172"/>
      <c r="BG1356" s="172"/>
      <c r="BH1356" s="172"/>
      <c r="BI1356" s="172"/>
      <c r="BJ1356" s="172"/>
      <c r="BK1356" s="172"/>
      <c r="BL1356" s="172"/>
      <c r="BM1356" s="172"/>
      <c r="BN1356" s="172"/>
      <c r="BO1356" s="172"/>
      <c r="BP1356" s="172"/>
    </row>
    <row r="1357" spans="1:68" s="555" customFormat="1" ht="409.6">
      <c r="A1357" s="172"/>
      <c r="E1357" s="954"/>
      <c r="F1357" s="1334"/>
      <c r="I1357" s="382"/>
      <c r="J1357" s="172"/>
      <c r="K1357" s="1189"/>
      <c r="P1357" s="643"/>
      <c r="AT1357" s="172"/>
      <c r="AU1357" s="172"/>
      <c r="AV1357" s="172"/>
      <c r="AW1357" s="172"/>
      <c r="AX1357" s="172"/>
      <c r="AY1357" s="172"/>
      <c r="AZ1357" s="172"/>
      <c r="BA1357" s="172"/>
      <c r="BB1357" s="172"/>
      <c r="BC1357" s="172"/>
      <c r="BD1357" s="172"/>
      <c r="BE1357" s="172"/>
      <c r="BF1357" s="172"/>
      <c r="BG1357" s="172"/>
      <c r="BH1357" s="172"/>
      <c r="BI1357" s="172"/>
      <c r="BJ1357" s="172"/>
      <c r="BK1357" s="172"/>
      <c r="BL1357" s="172"/>
      <c r="BM1357" s="172"/>
      <c r="BN1357" s="172"/>
      <c r="BO1357" s="172"/>
      <c r="BP1357" s="172"/>
    </row>
    <row r="1358" spans="1:68" s="555" customFormat="1" ht="409.6">
      <c r="A1358" s="172"/>
      <c r="E1358" s="954"/>
      <c r="F1358" s="1334"/>
      <c r="I1358" s="382"/>
      <c r="J1358" s="172"/>
      <c r="K1358" s="1189"/>
      <c r="P1358" s="643"/>
      <c r="AT1358" s="172"/>
      <c r="AU1358" s="172"/>
      <c r="AV1358" s="172"/>
      <c r="AW1358" s="172"/>
      <c r="AX1358" s="172"/>
      <c r="AY1358" s="172"/>
      <c r="AZ1358" s="172"/>
      <c r="BA1358" s="172"/>
      <c r="BB1358" s="172"/>
      <c r="BC1358" s="172"/>
      <c r="BD1358" s="172"/>
      <c r="BE1358" s="172"/>
      <c r="BF1358" s="172"/>
      <c r="BG1358" s="172"/>
      <c r="BH1358" s="172"/>
      <c r="BI1358" s="172"/>
      <c r="BJ1358" s="172"/>
      <c r="BK1358" s="172"/>
      <c r="BL1358" s="172"/>
      <c r="BM1358" s="172"/>
      <c r="BN1358" s="172"/>
      <c r="BO1358" s="172"/>
      <c r="BP1358" s="172"/>
    </row>
    <row r="1359" spans="1:68" s="555" customFormat="1" ht="409.6">
      <c r="A1359" s="172"/>
      <c r="E1359" s="954"/>
      <c r="F1359" s="1334"/>
      <c r="I1359" s="382"/>
      <c r="J1359" s="172"/>
      <c r="K1359" s="1189"/>
      <c r="P1359" s="643"/>
      <c r="AT1359" s="172"/>
      <c r="AU1359" s="172"/>
      <c r="AV1359" s="172"/>
      <c r="AW1359" s="172"/>
      <c r="AX1359" s="172"/>
      <c r="AY1359" s="172"/>
      <c r="AZ1359" s="172"/>
      <c r="BA1359" s="172"/>
      <c r="BB1359" s="172"/>
      <c r="BC1359" s="172"/>
      <c r="BD1359" s="172"/>
      <c r="BE1359" s="172"/>
      <c r="BF1359" s="172"/>
      <c r="BG1359" s="172"/>
      <c r="BH1359" s="172"/>
      <c r="BI1359" s="172"/>
      <c r="BJ1359" s="172"/>
      <c r="BK1359" s="172"/>
      <c r="BL1359" s="172"/>
      <c r="BM1359" s="172"/>
      <c r="BN1359" s="172"/>
      <c r="BO1359" s="172"/>
      <c r="BP1359" s="172"/>
    </row>
    <row r="1360" spans="1:68" s="555" customFormat="1" ht="409.6">
      <c r="A1360" s="172"/>
      <c r="E1360" s="954"/>
      <c r="F1360" s="1334"/>
      <c r="I1360" s="382"/>
      <c r="J1360" s="172"/>
      <c r="K1360" s="1189"/>
      <c r="P1360" s="643"/>
      <c r="AT1360" s="172"/>
      <c r="AU1360" s="172"/>
      <c r="AV1360" s="172"/>
      <c r="AW1360" s="172"/>
      <c r="AX1360" s="172"/>
      <c r="AY1360" s="172"/>
      <c r="AZ1360" s="172"/>
      <c r="BA1360" s="172"/>
      <c r="BB1360" s="172"/>
      <c r="BC1360" s="172"/>
      <c r="BD1360" s="172"/>
      <c r="BE1360" s="172"/>
      <c r="BF1360" s="172"/>
      <c r="BG1360" s="172"/>
      <c r="BH1360" s="172"/>
      <c r="BI1360" s="172"/>
      <c r="BJ1360" s="172"/>
      <c r="BK1360" s="172"/>
      <c r="BL1360" s="172"/>
      <c r="BM1360" s="172"/>
      <c r="BN1360" s="172"/>
      <c r="BO1360" s="172"/>
      <c r="BP1360" s="172"/>
    </row>
    <row r="1361" spans="1:68" s="555" customFormat="1" ht="409.6">
      <c r="A1361" s="172"/>
      <c r="E1361" s="954"/>
      <c r="F1361" s="1334"/>
      <c r="I1361" s="382"/>
      <c r="J1361" s="172"/>
      <c r="K1361" s="1189"/>
      <c r="P1361" s="643"/>
      <c r="AT1361" s="172"/>
      <c r="AU1361" s="172"/>
      <c r="AV1361" s="172"/>
      <c r="AW1361" s="172"/>
      <c r="AX1361" s="172"/>
      <c r="AY1361" s="172"/>
      <c r="AZ1361" s="172"/>
      <c r="BA1361" s="172"/>
      <c r="BB1361" s="172"/>
      <c r="BC1361" s="172"/>
      <c r="BD1361" s="172"/>
      <c r="BE1361" s="172"/>
      <c r="BF1361" s="172"/>
      <c r="BG1361" s="172"/>
      <c r="BH1361" s="172"/>
      <c r="BI1361" s="172"/>
      <c r="BJ1361" s="172"/>
      <c r="BK1361" s="172"/>
      <c r="BL1361" s="172"/>
      <c r="BM1361" s="172"/>
      <c r="BN1361" s="172"/>
      <c r="BO1361" s="172"/>
      <c r="BP1361" s="172"/>
    </row>
    <row r="1362" spans="1:68" s="555" customFormat="1" ht="409.6">
      <c r="A1362" s="172"/>
      <c r="E1362" s="954"/>
      <c r="F1362" s="1334"/>
      <c r="I1362" s="382"/>
      <c r="J1362" s="172"/>
      <c r="K1362" s="1189"/>
      <c r="P1362" s="643"/>
      <c r="AT1362" s="172"/>
      <c r="AU1362" s="172"/>
      <c r="AV1362" s="172"/>
      <c r="AW1362" s="172"/>
      <c r="AX1362" s="172"/>
      <c r="AY1362" s="172"/>
      <c r="AZ1362" s="172"/>
      <c r="BA1362" s="172"/>
      <c r="BB1362" s="172"/>
      <c r="BC1362" s="172"/>
      <c r="BD1362" s="172"/>
      <c r="BE1362" s="172"/>
      <c r="BF1362" s="172"/>
      <c r="BG1362" s="172"/>
      <c r="BH1362" s="172"/>
      <c r="BI1362" s="172"/>
      <c r="BJ1362" s="172"/>
      <c r="BK1362" s="172"/>
      <c r="BL1362" s="172"/>
      <c r="BM1362" s="172"/>
      <c r="BN1362" s="172"/>
      <c r="BO1362" s="172"/>
      <c r="BP1362" s="172"/>
    </row>
    <row r="1363" spans="1:68" s="555" customFormat="1" ht="409.6">
      <c r="A1363" s="172"/>
      <c r="E1363" s="954"/>
      <c r="F1363" s="1334"/>
      <c r="I1363" s="382"/>
      <c r="J1363" s="172"/>
      <c r="K1363" s="1189"/>
      <c r="P1363" s="643"/>
      <c r="AT1363" s="172"/>
      <c r="AU1363" s="172"/>
      <c r="AV1363" s="172"/>
      <c r="AW1363" s="172"/>
      <c r="AX1363" s="172"/>
      <c r="AY1363" s="172"/>
      <c r="AZ1363" s="172"/>
      <c r="BA1363" s="172"/>
      <c r="BB1363" s="172"/>
      <c r="BC1363" s="172"/>
      <c r="BD1363" s="172"/>
      <c r="BE1363" s="172"/>
      <c r="BF1363" s="172"/>
      <c r="BG1363" s="172"/>
      <c r="BH1363" s="172"/>
      <c r="BI1363" s="172"/>
      <c r="BJ1363" s="172"/>
      <c r="BK1363" s="172"/>
      <c r="BL1363" s="172"/>
      <c r="BM1363" s="172"/>
      <c r="BN1363" s="172"/>
      <c r="BO1363" s="172"/>
      <c r="BP1363" s="172"/>
    </row>
    <row r="1364" spans="1:68" s="555" customFormat="1" ht="409.6">
      <c r="A1364" s="172"/>
      <c r="E1364" s="954"/>
      <c r="F1364" s="1334"/>
      <c r="I1364" s="382"/>
      <c r="J1364" s="172"/>
      <c r="K1364" s="1189"/>
      <c r="P1364" s="643"/>
      <c r="AT1364" s="172"/>
      <c r="AU1364" s="172"/>
      <c r="AV1364" s="172"/>
      <c r="AW1364" s="172"/>
      <c r="AX1364" s="172"/>
      <c r="AY1364" s="172"/>
      <c r="AZ1364" s="172"/>
      <c r="BA1364" s="172"/>
      <c r="BB1364" s="172"/>
      <c r="BC1364" s="172"/>
      <c r="BD1364" s="172"/>
      <c r="BE1364" s="172"/>
      <c r="BF1364" s="172"/>
      <c r="BG1364" s="172"/>
      <c r="BH1364" s="172"/>
      <c r="BI1364" s="172"/>
      <c r="BJ1364" s="172"/>
      <c r="BK1364" s="172"/>
      <c r="BL1364" s="172"/>
      <c r="BM1364" s="172"/>
      <c r="BN1364" s="172"/>
      <c r="BO1364" s="172"/>
      <c r="BP1364" s="172"/>
    </row>
    <row r="1365" spans="1:68" s="555" customFormat="1" ht="409.6">
      <c r="A1365" s="172"/>
      <c r="E1365" s="954"/>
      <c r="F1365" s="1334"/>
      <c r="I1365" s="382"/>
      <c r="J1365" s="172"/>
      <c r="K1365" s="1189"/>
      <c r="P1365" s="643"/>
      <c r="AT1365" s="172"/>
      <c r="AU1365" s="172"/>
      <c r="AV1365" s="172"/>
      <c r="AW1365" s="172"/>
      <c r="AX1365" s="172"/>
      <c r="AY1365" s="172"/>
      <c r="AZ1365" s="172"/>
      <c r="BA1365" s="172"/>
      <c r="BB1365" s="172"/>
      <c r="BC1365" s="172"/>
      <c r="BD1365" s="172"/>
      <c r="BE1365" s="172"/>
      <c r="BF1365" s="172"/>
      <c r="BG1365" s="172"/>
      <c r="BH1365" s="172"/>
      <c r="BI1365" s="172"/>
      <c r="BJ1365" s="172"/>
      <c r="BK1365" s="172"/>
      <c r="BL1365" s="172"/>
      <c r="BM1365" s="172"/>
      <c r="BN1365" s="172"/>
      <c r="BO1365" s="172"/>
      <c r="BP1365" s="172"/>
    </row>
    <row r="1366" spans="1:68" s="555" customFormat="1" ht="409.6">
      <c r="A1366" s="172"/>
      <c r="E1366" s="954"/>
      <c r="F1366" s="1334"/>
      <c r="I1366" s="382"/>
      <c r="J1366" s="172"/>
      <c r="K1366" s="1189"/>
      <c r="P1366" s="643"/>
      <c r="AT1366" s="172"/>
      <c r="AU1366" s="172"/>
      <c r="AV1366" s="172"/>
      <c r="AW1366" s="172"/>
      <c r="AX1366" s="172"/>
      <c r="AY1366" s="172"/>
      <c r="AZ1366" s="172"/>
      <c r="BA1366" s="172"/>
      <c r="BB1366" s="172"/>
      <c r="BC1366" s="172"/>
      <c r="BD1366" s="172"/>
      <c r="BE1366" s="172"/>
      <c r="BF1366" s="172"/>
      <c r="BG1366" s="172"/>
      <c r="BH1366" s="172"/>
      <c r="BI1366" s="172"/>
      <c r="BJ1366" s="172"/>
      <c r="BK1366" s="172"/>
      <c r="BL1366" s="172"/>
      <c r="BM1366" s="172"/>
      <c r="BN1366" s="172"/>
      <c r="BO1366" s="172"/>
      <c r="BP1366" s="172"/>
    </row>
    <row r="1367" spans="1:68" s="555" customFormat="1" ht="409.6">
      <c r="A1367" s="172"/>
      <c r="E1367" s="954"/>
      <c r="F1367" s="1334"/>
      <c r="I1367" s="382"/>
      <c r="J1367" s="172"/>
      <c r="K1367" s="1189"/>
      <c r="P1367" s="643"/>
      <c r="AT1367" s="172"/>
      <c r="AU1367" s="172"/>
      <c r="AV1367" s="172"/>
      <c r="AW1367" s="172"/>
      <c r="AX1367" s="172"/>
      <c r="AY1367" s="172"/>
      <c r="AZ1367" s="172"/>
      <c r="BA1367" s="172"/>
      <c r="BB1367" s="172"/>
      <c r="BC1367" s="172"/>
      <c r="BD1367" s="172"/>
      <c r="BE1367" s="172"/>
      <c r="BF1367" s="172"/>
      <c r="BG1367" s="172"/>
      <c r="BH1367" s="172"/>
      <c r="BI1367" s="172"/>
      <c r="BJ1367" s="172"/>
      <c r="BK1367" s="172"/>
      <c r="BL1367" s="172"/>
      <c r="BM1367" s="172"/>
      <c r="BN1367" s="172"/>
      <c r="BO1367" s="172"/>
      <c r="BP1367" s="172"/>
    </row>
    <row r="1368" spans="1:68" s="555" customFormat="1" ht="409.6">
      <c r="A1368" s="172"/>
      <c r="E1368" s="954"/>
      <c r="F1368" s="1334"/>
      <c r="I1368" s="382"/>
      <c r="J1368" s="172"/>
      <c r="K1368" s="1189"/>
      <c r="P1368" s="643"/>
      <c r="AT1368" s="172"/>
      <c r="AU1368" s="172"/>
      <c r="AV1368" s="172"/>
      <c r="AW1368" s="172"/>
      <c r="AX1368" s="172"/>
      <c r="AY1368" s="172"/>
      <c r="AZ1368" s="172"/>
      <c r="BA1368" s="172"/>
      <c r="BB1368" s="172"/>
      <c r="BC1368" s="172"/>
      <c r="BD1368" s="172"/>
      <c r="BE1368" s="172"/>
      <c r="BF1368" s="172"/>
      <c r="BG1368" s="172"/>
      <c r="BH1368" s="172"/>
      <c r="BI1368" s="172"/>
      <c r="BJ1368" s="172"/>
      <c r="BK1368" s="172"/>
      <c r="BL1368" s="172"/>
      <c r="BM1368" s="172"/>
      <c r="BN1368" s="172"/>
      <c r="BO1368" s="172"/>
      <c r="BP1368" s="172"/>
    </row>
    <row r="1369" spans="1:68" s="555" customFormat="1" ht="409.6">
      <c r="A1369" s="172"/>
      <c r="E1369" s="954"/>
      <c r="F1369" s="1334"/>
      <c r="I1369" s="382"/>
      <c r="J1369" s="172"/>
      <c r="K1369" s="1189"/>
      <c r="P1369" s="643"/>
      <c r="AT1369" s="172"/>
      <c r="AU1369" s="172"/>
      <c r="AV1369" s="172"/>
      <c r="AW1369" s="172"/>
      <c r="AX1369" s="172"/>
      <c r="AY1369" s="172"/>
      <c r="AZ1369" s="172"/>
      <c r="BA1369" s="172"/>
      <c r="BB1369" s="172"/>
      <c r="BC1369" s="172"/>
      <c r="BD1369" s="172"/>
      <c r="BE1369" s="172"/>
      <c r="BF1369" s="172"/>
      <c r="BG1369" s="172"/>
      <c r="BH1369" s="172"/>
      <c r="BI1369" s="172"/>
      <c r="BJ1369" s="172"/>
      <c r="BK1369" s="172"/>
      <c r="BL1369" s="172"/>
      <c r="BM1369" s="172"/>
      <c r="BN1369" s="172"/>
      <c r="BO1369" s="172"/>
      <c r="BP1369" s="172"/>
    </row>
    <row r="1370" spans="1:68" s="555" customFormat="1" ht="409.6">
      <c r="A1370" s="172"/>
      <c r="E1370" s="954"/>
      <c r="F1370" s="1334"/>
      <c r="I1370" s="382"/>
      <c r="J1370" s="172"/>
      <c r="K1370" s="1189"/>
      <c r="P1370" s="643"/>
      <c r="AT1370" s="172"/>
      <c r="AU1370" s="172"/>
      <c r="AV1370" s="172"/>
      <c r="AW1370" s="172"/>
      <c r="AX1370" s="172"/>
      <c r="AY1370" s="172"/>
      <c r="AZ1370" s="172"/>
      <c r="BA1370" s="172"/>
      <c r="BB1370" s="172"/>
      <c r="BC1370" s="172"/>
      <c r="BD1370" s="172"/>
      <c r="BE1370" s="172"/>
      <c r="BF1370" s="172"/>
      <c r="BG1370" s="172"/>
      <c r="BH1370" s="172"/>
      <c r="BI1370" s="172"/>
      <c r="BJ1370" s="172"/>
      <c r="BK1370" s="172"/>
      <c r="BL1370" s="172"/>
      <c r="BM1370" s="172"/>
      <c r="BN1370" s="172"/>
      <c r="BO1370" s="172"/>
      <c r="BP1370" s="172"/>
    </row>
    <row r="1371" spans="1:68" s="555" customFormat="1" ht="409.6">
      <c r="A1371" s="172"/>
      <c r="E1371" s="954"/>
      <c r="F1371" s="1334"/>
      <c r="I1371" s="382"/>
      <c r="J1371" s="172"/>
      <c r="K1371" s="1189"/>
      <c r="P1371" s="643"/>
      <c r="AT1371" s="172"/>
      <c r="AU1371" s="172"/>
      <c r="AV1371" s="172"/>
      <c r="AW1371" s="172"/>
      <c r="AX1371" s="172"/>
      <c r="AY1371" s="172"/>
      <c r="AZ1371" s="172"/>
      <c r="BA1371" s="172"/>
      <c r="BB1371" s="172"/>
      <c r="BC1371" s="172"/>
      <c r="BD1371" s="172"/>
      <c r="BE1371" s="172"/>
      <c r="BF1371" s="172"/>
      <c r="BG1371" s="172"/>
      <c r="BH1371" s="172"/>
      <c r="BI1371" s="172"/>
      <c r="BJ1371" s="172"/>
      <c r="BK1371" s="172"/>
      <c r="BL1371" s="172"/>
      <c r="BM1371" s="172"/>
      <c r="BN1371" s="172"/>
      <c r="BO1371" s="172"/>
      <c r="BP1371" s="172"/>
    </row>
    <row r="1372" spans="1:68" s="555" customFormat="1" ht="409.6">
      <c r="A1372" s="172"/>
      <c r="E1372" s="954"/>
      <c r="F1372" s="1334"/>
      <c r="I1372" s="382"/>
      <c r="J1372" s="172"/>
      <c r="K1372" s="1189"/>
      <c r="P1372" s="643"/>
      <c r="AT1372" s="172"/>
      <c r="AU1372" s="172"/>
      <c r="AV1372" s="172"/>
      <c r="AW1372" s="172"/>
      <c r="AX1372" s="172"/>
      <c r="AY1372" s="172"/>
      <c r="AZ1372" s="172"/>
      <c r="BA1372" s="172"/>
      <c r="BB1372" s="172"/>
      <c r="BC1372" s="172"/>
      <c r="BD1372" s="172"/>
      <c r="BE1372" s="172"/>
      <c r="BF1372" s="172"/>
      <c r="BG1372" s="172"/>
      <c r="BH1372" s="172"/>
      <c r="BI1372" s="172"/>
      <c r="BJ1372" s="172"/>
      <c r="BK1372" s="172"/>
      <c r="BL1372" s="172"/>
      <c r="BM1372" s="172"/>
      <c r="BN1372" s="172"/>
      <c r="BO1372" s="172"/>
      <c r="BP1372" s="172"/>
    </row>
    <row r="1373" spans="1:68" s="555" customFormat="1" ht="409.6">
      <c r="A1373" s="172"/>
      <c r="E1373" s="954"/>
      <c r="F1373" s="1334"/>
      <c r="I1373" s="382"/>
      <c r="J1373" s="172"/>
      <c r="K1373" s="1189"/>
      <c r="P1373" s="643"/>
      <c r="AT1373" s="172"/>
      <c r="AU1373" s="172"/>
      <c r="AV1373" s="172"/>
      <c r="AW1373" s="172"/>
      <c r="AX1373" s="172"/>
      <c r="AY1373" s="172"/>
      <c r="AZ1373" s="172"/>
      <c r="BA1373" s="172"/>
      <c r="BB1373" s="172"/>
      <c r="BC1373" s="172"/>
      <c r="BD1373" s="172"/>
      <c r="BE1373" s="172"/>
      <c r="BF1373" s="172"/>
      <c r="BG1373" s="172"/>
      <c r="BH1373" s="172"/>
      <c r="BI1373" s="172"/>
      <c r="BJ1373" s="172"/>
      <c r="BK1373" s="172"/>
      <c r="BL1373" s="172"/>
      <c r="BM1373" s="172"/>
      <c r="BN1373" s="172"/>
      <c r="BO1373" s="172"/>
      <c r="BP1373" s="172"/>
    </row>
    <row r="1374" spans="1:68" s="555" customFormat="1" ht="409.6">
      <c r="A1374" s="172"/>
      <c r="E1374" s="954"/>
      <c r="F1374" s="1334"/>
      <c r="I1374" s="382"/>
      <c r="J1374" s="172"/>
      <c r="K1374" s="1189"/>
      <c r="P1374" s="643"/>
      <c r="AT1374" s="172"/>
      <c r="AU1374" s="172"/>
      <c r="AV1374" s="172"/>
      <c r="AW1374" s="172"/>
      <c r="AX1374" s="172"/>
      <c r="AY1374" s="172"/>
      <c r="AZ1374" s="172"/>
      <c r="BA1374" s="172"/>
      <c r="BB1374" s="172"/>
      <c r="BC1374" s="172"/>
      <c r="BD1374" s="172"/>
      <c r="BE1374" s="172"/>
      <c r="BF1374" s="172"/>
      <c r="BG1374" s="172"/>
      <c r="BH1374" s="172"/>
      <c r="BI1374" s="172"/>
      <c r="BJ1374" s="172"/>
      <c r="BK1374" s="172"/>
      <c r="BL1374" s="172"/>
      <c r="BM1374" s="172"/>
      <c r="BN1374" s="172"/>
      <c r="BO1374" s="172"/>
      <c r="BP1374" s="172"/>
    </row>
    <row r="1375" spans="1:68" s="555" customFormat="1" ht="409.6">
      <c r="A1375" s="172"/>
      <c r="E1375" s="954"/>
      <c r="F1375" s="1334"/>
      <c r="I1375" s="382"/>
      <c r="J1375" s="172"/>
      <c r="K1375" s="1189"/>
      <c r="P1375" s="643"/>
      <c r="AT1375" s="172"/>
      <c r="AU1375" s="172"/>
      <c r="AV1375" s="172"/>
      <c r="AW1375" s="172"/>
      <c r="AX1375" s="172"/>
      <c r="AY1375" s="172"/>
      <c r="AZ1375" s="172"/>
      <c r="BA1375" s="172"/>
      <c r="BB1375" s="172"/>
      <c r="BC1375" s="172"/>
      <c r="BD1375" s="172"/>
      <c r="BE1375" s="172"/>
      <c r="BF1375" s="172"/>
      <c r="BG1375" s="172"/>
      <c r="BH1375" s="172"/>
      <c r="BI1375" s="172"/>
      <c r="BJ1375" s="172"/>
      <c r="BK1375" s="172"/>
      <c r="BL1375" s="172"/>
      <c r="BM1375" s="172"/>
      <c r="BN1375" s="172"/>
      <c r="BO1375" s="172"/>
      <c r="BP1375" s="172"/>
    </row>
    <row r="1376" spans="1:68" s="555" customFormat="1" ht="409.6">
      <c r="A1376" s="172"/>
      <c r="E1376" s="954"/>
      <c r="F1376" s="1334"/>
      <c r="I1376" s="382"/>
      <c r="J1376" s="172"/>
      <c r="K1376" s="1189"/>
      <c r="P1376" s="643"/>
      <c r="AT1376" s="172"/>
      <c r="AU1376" s="172"/>
      <c r="AV1376" s="172"/>
      <c r="AW1376" s="172"/>
      <c r="AX1376" s="172"/>
      <c r="AY1376" s="172"/>
      <c r="AZ1376" s="172"/>
      <c r="BA1376" s="172"/>
      <c r="BB1376" s="172"/>
      <c r="BC1376" s="172"/>
      <c r="BD1376" s="172"/>
      <c r="BE1376" s="172"/>
      <c r="BF1376" s="172"/>
      <c r="BG1376" s="172"/>
      <c r="BH1376" s="172"/>
      <c r="BI1376" s="172"/>
      <c r="BJ1376" s="172"/>
      <c r="BK1376" s="172"/>
      <c r="BL1376" s="172"/>
      <c r="BM1376" s="172"/>
      <c r="BN1376" s="172"/>
      <c r="BO1376" s="172"/>
      <c r="BP1376" s="172"/>
    </row>
    <row r="1377" spans="1:68" s="555" customFormat="1" ht="409.6">
      <c r="A1377" s="172"/>
      <c r="E1377" s="954"/>
      <c r="F1377" s="1334"/>
      <c r="I1377" s="382"/>
      <c r="J1377" s="172"/>
      <c r="K1377" s="1189"/>
      <c r="P1377" s="643"/>
      <c r="AT1377" s="172"/>
      <c r="AU1377" s="172"/>
      <c r="AV1377" s="172"/>
      <c r="AW1377" s="172"/>
      <c r="AX1377" s="172"/>
      <c r="AY1377" s="172"/>
      <c r="AZ1377" s="172"/>
      <c r="BA1377" s="172"/>
      <c r="BB1377" s="172"/>
      <c r="BC1377" s="172"/>
      <c r="BD1377" s="172"/>
      <c r="BE1377" s="172"/>
      <c r="BF1377" s="172"/>
      <c r="BG1377" s="172"/>
      <c r="BH1377" s="172"/>
      <c r="BI1377" s="172"/>
      <c r="BJ1377" s="172"/>
      <c r="BK1377" s="172"/>
      <c r="BL1377" s="172"/>
      <c r="BM1377" s="172"/>
      <c r="BN1377" s="172"/>
      <c r="BO1377" s="172"/>
      <c r="BP1377" s="172"/>
    </row>
    <row r="1378" spans="1:68" s="555" customFormat="1" ht="409.6">
      <c r="A1378" s="172"/>
      <c r="E1378" s="954"/>
      <c r="F1378" s="1334"/>
      <c r="I1378" s="382"/>
      <c r="J1378" s="172"/>
      <c r="K1378" s="1189"/>
      <c r="P1378" s="643"/>
      <c r="AT1378" s="172"/>
      <c r="AU1378" s="172"/>
      <c r="AV1378" s="172"/>
      <c r="AW1378" s="172"/>
      <c r="AX1378" s="172"/>
      <c r="AY1378" s="172"/>
      <c r="AZ1378" s="172"/>
      <c r="BA1378" s="172"/>
      <c r="BB1378" s="172"/>
      <c r="BC1378" s="172"/>
      <c r="BD1378" s="172"/>
      <c r="BE1378" s="172"/>
      <c r="BF1378" s="172"/>
      <c r="BG1378" s="172"/>
      <c r="BH1378" s="172"/>
      <c r="BI1378" s="172"/>
      <c r="BJ1378" s="172"/>
      <c r="BK1378" s="172"/>
      <c r="BL1378" s="172"/>
      <c r="BM1378" s="172"/>
      <c r="BN1378" s="172"/>
      <c r="BO1378" s="172"/>
      <c r="BP1378" s="172"/>
    </row>
    <row r="1379" spans="1:68" s="555" customFormat="1" ht="409.6">
      <c r="A1379" s="172"/>
      <c r="E1379" s="954"/>
      <c r="F1379" s="1334"/>
      <c r="I1379" s="382"/>
      <c r="J1379" s="172"/>
      <c r="K1379" s="1189"/>
      <c r="P1379" s="643"/>
      <c r="AT1379" s="172"/>
      <c r="AU1379" s="172"/>
      <c r="AV1379" s="172"/>
      <c r="AW1379" s="172"/>
      <c r="AX1379" s="172"/>
      <c r="AY1379" s="172"/>
      <c r="AZ1379" s="172"/>
      <c r="BA1379" s="172"/>
      <c r="BB1379" s="172"/>
      <c r="BC1379" s="172"/>
      <c r="BD1379" s="172"/>
      <c r="BE1379" s="172"/>
      <c r="BF1379" s="172"/>
      <c r="BG1379" s="172"/>
      <c r="BH1379" s="172"/>
      <c r="BI1379" s="172"/>
      <c r="BJ1379" s="172"/>
      <c r="BK1379" s="172"/>
      <c r="BL1379" s="172"/>
      <c r="BM1379" s="172"/>
      <c r="BN1379" s="172"/>
      <c r="BO1379" s="172"/>
      <c r="BP1379" s="172"/>
    </row>
    <row r="1380" spans="1:68" s="555" customFormat="1" ht="409.6">
      <c r="A1380" s="172"/>
      <c r="E1380" s="954"/>
      <c r="F1380" s="1334"/>
      <c r="I1380" s="382"/>
      <c r="J1380" s="172"/>
      <c r="K1380" s="1189"/>
      <c r="P1380" s="643"/>
      <c r="AT1380" s="172"/>
      <c r="AU1380" s="172"/>
      <c r="AV1380" s="172"/>
      <c r="AW1380" s="172"/>
      <c r="AX1380" s="172"/>
      <c r="AY1380" s="172"/>
      <c r="AZ1380" s="172"/>
      <c r="BA1380" s="172"/>
      <c r="BB1380" s="172"/>
      <c r="BC1380" s="172"/>
      <c r="BD1380" s="172"/>
      <c r="BE1380" s="172"/>
      <c r="BF1380" s="172"/>
      <c r="BG1380" s="172"/>
      <c r="BH1380" s="172"/>
      <c r="BI1380" s="172"/>
      <c r="BJ1380" s="172"/>
      <c r="BK1380" s="172"/>
      <c r="BL1380" s="172"/>
      <c r="BM1380" s="172"/>
      <c r="BN1380" s="172"/>
      <c r="BO1380" s="172"/>
      <c r="BP1380" s="172"/>
    </row>
    <row r="1381" spans="1:68" s="555" customFormat="1" ht="409.6">
      <c r="A1381" s="172"/>
      <c r="E1381" s="954"/>
      <c r="F1381" s="1334"/>
      <c r="I1381" s="382"/>
      <c r="J1381" s="172"/>
      <c r="K1381" s="1189"/>
      <c r="P1381" s="643"/>
      <c r="AT1381" s="172"/>
      <c r="AU1381" s="172"/>
      <c r="AV1381" s="172"/>
      <c r="AW1381" s="172"/>
      <c r="AX1381" s="172"/>
      <c r="AY1381" s="172"/>
      <c r="AZ1381" s="172"/>
      <c r="BA1381" s="172"/>
      <c r="BB1381" s="172"/>
      <c r="BC1381" s="172"/>
      <c r="BD1381" s="172"/>
      <c r="BE1381" s="172"/>
      <c r="BF1381" s="172"/>
      <c r="BG1381" s="172"/>
      <c r="BH1381" s="172"/>
      <c r="BI1381" s="172"/>
      <c r="BJ1381" s="172"/>
      <c r="BK1381" s="172"/>
      <c r="BL1381" s="172"/>
      <c r="BM1381" s="172"/>
      <c r="BN1381" s="172"/>
      <c r="BO1381" s="172"/>
      <c r="BP1381" s="172"/>
    </row>
    <row r="1382" spans="1:68" s="555" customFormat="1" ht="409.6">
      <c r="A1382" s="172"/>
      <c r="E1382" s="954"/>
      <c r="F1382" s="1334"/>
      <c r="I1382" s="382"/>
      <c r="J1382" s="172"/>
      <c r="K1382" s="1189"/>
      <c r="P1382" s="643"/>
      <c r="AT1382" s="172"/>
      <c r="AU1382" s="172"/>
      <c r="AV1382" s="172"/>
      <c r="AW1382" s="172"/>
      <c r="AX1382" s="172"/>
      <c r="AY1382" s="172"/>
      <c r="AZ1382" s="172"/>
      <c r="BA1382" s="172"/>
      <c r="BB1382" s="172"/>
      <c r="BC1382" s="172"/>
      <c r="BD1382" s="172"/>
      <c r="BE1382" s="172"/>
      <c r="BF1382" s="172"/>
      <c r="BG1382" s="172"/>
      <c r="BH1382" s="172"/>
      <c r="BI1382" s="172"/>
      <c r="BJ1382" s="172"/>
      <c r="BK1382" s="172"/>
      <c r="BL1382" s="172"/>
      <c r="BM1382" s="172"/>
      <c r="BN1382" s="172"/>
      <c r="BO1382" s="172"/>
      <c r="BP1382" s="172"/>
    </row>
    <row r="1383" spans="1:68" s="555" customFormat="1" ht="409.6">
      <c r="A1383" s="172"/>
      <c r="E1383" s="954"/>
      <c r="F1383" s="1334"/>
      <c r="I1383" s="382"/>
      <c r="J1383" s="172"/>
      <c r="K1383" s="1189"/>
      <c r="P1383" s="643"/>
      <c r="AT1383" s="172"/>
      <c r="AU1383" s="172"/>
      <c r="AV1383" s="172"/>
      <c r="AW1383" s="172"/>
      <c r="AX1383" s="172"/>
      <c r="AY1383" s="172"/>
      <c r="AZ1383" s="172"/>
      <c r="BA1383" s="172"/>
      <c r="BB1383" s="172"/>
      <c r="BC1383" s="172"/>
      <c r="BD1383" s="172"/>
      <c r="BE1383" s="172"/>
      <c r="BF1383" s="172"/>
      <c r="BG1383" s="172"/>
      <c r="BH1383" s="172"/>
      <c r="BI1383" s="172"/>
      <c r="BJ1383" s="172"/>
      <c r="BK1383" s="172"/>
      <c r="BL1383" s="172"/>
      <c r="BM1383" s="172"/>
      <c r="BN1383" s="172"/>
      <c r="BO1383" s="172"/>
      <c r="BP1383" s="172"/>
    </row>
    <row r="1384" spans="1:68" s="555" customFormat="1" ht="409.6">
      <c r="A1384" s="172"/>
      <c r="E1384" s="954"/>
      <c r="F1384" s="1334"/>
      <c r="I1384" s="382"/>
      <c r="J1384" s="172"/>
      <c r="K1384" s="1189"/>
      <c r="P1384" s="643"/>
      <c r="AT1384" s="172"/>
      <c r="AU1384" s="172"/>
      <c r="AV1384" s="172"/>
      <c r="AW1384" s="172"/>
      <c r="AX1384" s="172"/>
      <c r="AY1384" s="172"/>
      <c r="AZ1384" s="172"/>
      <c r="BA1384" s="172"/>
      <c r="BB1384" s="172"/>
      <c r="BC1384" s="172"/>
      <c r="BD1384" s="172"/>
      <c r="BE1384" s="172"/>
      <c r="BF1384" s="172"/>
      <c r="BG1384" s="172"/>
      <c r="BH1384" s="172"/>
      <c r="BI1384" s="172"/>
      <c r="BJ1384" s="172"/>
      <c r="BK1384" s="172"/>
      <c r="BL1384" s="172"/>
      <c r="BM1384" s="172"/>
      <c r="BN1384" s="172"/>
      <c r="BO1384" s="172"/>
      <c r="BP1384" s="172"/>
    </row>
    <row r="1385" spans="1:68" s="555" customFormat="1" ht="409.6">
      <c r="A1385" s="172"/>
      <c r="E1385" s="954"/>
      <c r="F1385" s="1334"/>
      <c r="I1385" s="382"/>
      <c r="J1385" s="172"/>
      <c r="K1385" s="1189"/>
      <c r="P1385" s="643"/>
      <c r="AT1385" s="172"/>
      <c r="AU1385" s="172"/>
      <c r="AV1385" s="172"/>
      <c r="AW1385" s="172"/>
      <c r="AX1385" s="172"/>
      <c r="AY1385" s="172"/>
      <c r="AZ1385" s="172"/>
      <c r="BA1385" s="172"/>
      <c r="BB1385" s="172"/>
      <c r="BC1385" s="172"/>
      <c r="BD1385" s="172"/>
      <c r="BE1385" s="172"/>
      <c r="BF1385" s="172"/>
      <c r="BG1385" s="172"/>
      <c r="BH1385" s="172"/>
      <c r="BI1385" s="172"/>
      <c r="BJ1385" s="172"/>
      <c r="BK1385" s="172"/>
      <c r="BL1385" s="172"/>
      <c r="BM1385" s="172"/>
      <c r="BN1385" s="172"/>
      <c r="BO1385" s="172"/>
      <c r="BP1385" s="172"/>
    </row>
    <row r="1386" spans="1:68" s="555" customFormat="1" ht="409.6">
      <c r="A1386" s="172"/>
      <c r="E1386" s="954"/>
      <c r="F1386" s="1334"/>
      <c r="I1386" s="382"/>
      <c r="J1386" s="172"/>
      <c r="K1386" s="1189"/>
      <c r="P1386" s="643"/>
      <c r="AT1386" s="172"/>
      <c r="AU1386" s="172"/>
      <c r="AV1386" s="172"/>
      <c r="AW1386" s="172"/>
      <c r="AX1386" s="172"/>
      <c r="AY1386" s="172"/>
      <c r="AZ1386" s="172"/>
      <c r="BA1386" s="172"/>
      <c r="BB1386" s="172"/>
      <c r="BC1386" s="172"/>
      <c r="BD1386" s="172"/>
      <c r="BE1386" s="172"/>
      <c r="BF1386" s="172"/>
      <c r="BG1386" s="172"/>
      <c r="BH1386" s="172"/>
      <c r="BI1386" s="172"/>
      <c r="BJ1386" s="172"/>
      <c r="BK1386" s="172"/>
      <c r="BL1386" s="172"/>
      <c r="BM1386" s="172"/>
      <c r="BN1386" s="172"/>
      <c r="BO1386" s="172"/>
      <c r="BP1386" s="172"/>
    </row>
    <row r="1387" spans="1:68" s="555" customFormat="1" ht="409.6">
      <c r="A1387" s="172"/>
      <c r="E1387" s="954"/>
      <c r="F1387" s="1334"/>
      <c r="I1387" s="382"/>
      <c r="J1387" s="172"/>
      <c r="K1387" s="1189"/>
      <c r="P1387" s="643"/>
      <c r="AT1387" s="172"/>
      <c r="AU1387" s="172"/>
      <c r="AV1387" s="172"/>
      <c r="AW1387" s="172"/>
      <c r="AX1387" s="172"/>
      <c r="AY1387" s="172"/>
      <c r="AZ1387" s="172"/>
      <c r="BA1387" s="172"/>
      <c r="BB1387" s="172"/>
      <c r="BC1387" s="172"/>
      <c r="BD1387" s="172"/>
      <c r="BE1387" s="172"/>
      <c r="BF1387" s="172"/>
      <c r="BG1387" s="172"/>
      <c r="BH1387" s="172"/>
      <c r="BI1387" s="172"/>
      <c r="BJ1387" s="172"/>
      <c r="BK1387" s="172"/>
      <c r="BL1387" s="172"/>
      <c r="BM1387" s="172"/>
      <c r="BN1387" s="172"/>
      <c r="BO1387" s="172"/>
      <c r="BP1387" s="172"/>
    </row>
    <row r="1388" spans="1:68" s="555" customFormat="1" ht="409.6">
      <c r="A1388" s="172"/>
      <c r="E1388" s="954"/>
      <c r="F1388" s="1334"/>
      <c r="I1388" s="382"/>
      <c r="J1388" s="172"/>
      <c r="K1388" s="1189"/>
      <c r="P1388" s="643"/>
      <c r="AT1388" s="172"/>
      <c r="AU1388" s="172"/>
      <c r="AV1388" s="172"/>
      <c r="AW1388" s="172"/>
      <c r="AX1388" s="172"/>
      <c r="AY1388" s="172"/>
      <c r="AZ1388" s="172"/>
      <c r="BA1388" s="172"/>
      <c r="BB1388" s="172"/>
      <c r="BC1388" s="172"/>
      <c r="BD1388" s="172"/>
      <c r="BE1388" s="172"/>
      <c r="BF1388" s="172"/>
      <c r="BG1388" s="172"/>
      <c r="BH1388" s="172"/>
      <c r="BI1388" s="172"/>
      <c r="BJ1388" s="172"/>
      <c r="BK1388" s="172"/>
      <c r="BL1388" s="172"/>
      <c r="BM1388" s="172"/>
      <c r="BN1388" s="172"/>
      <c r="BO1388" s="172"/>
      <c r="BP1388" s="172"/>
    </row>
    <row r="1389" spans="1:68" s="555" customFormat="1" ht="409.6">
      <c r="A1389" s="172"/>
      <c r="E1389" s="954"/>
      <c r="F1389" s="1334"/>
      <c r="I1389" s="382"/>
      <c r="J1389" s="172"/>
      <c r="K1389" s="1189"/>
      <c r="P1389" s="643"/>
      <c r="AT1389" s="172"/>
      <c r="AU1389" s="172"/>
      <c r="AV1389" s="172"/>
      <c r="AW1389" s="172"/>
      <c r="AX1389" s="172"/>
      <c r="AY1389" s="172"/>
      <c r="AZ1389" s="172"/>
      <c r="BA1389" s="172"/>
      <c r="BB1389" s="172"/>
      <c r="BC1389" s="172"/>
      <c r="BD1389" s="172"/>
      <c r="BE1389" s="172"/>
      <c r="BF1389" s="172"/>
      <c r="BG1389" s="172"/>
      <c r="BH1389" s="172"/>
      <c r="BI1389" s="172"/>
      <c r="BJ1389" s="172"/>
      <c r="BK1389" s="172"/>
      <c r="BL1389" s="172"/>
      <c r="BM1389" s="172"/>
      <c r="BN1389" s="172"/>
      <c r="BO1389" s="172"/>
      <c r="BP1389" s="172"/>
    </row>
    <row r="1390" spans="1:68" s="555" customFormat="1" ht="409.6">
      <c r="A1390" s="172"/>
      <c r="E1390" s="954"/>
      <c r="F1390" s="1334"/>
      <c r="I1390" s="382"/>
      <c r="J1390" s="172"/>
      <c r="K1390" s="1189"/>
      <c r="P1390" s="643"/>
      <c r="AT1390" s="172"/>
      <c r="AU1390" s="172"/>
      <c r="AV1390" s="172"/>
      <c r="AW1390" s="172"/>
      <c r="AX1390" s="172"/>
      <c r="AY1390" s="172"/>
      <c r="AZ1390" s="172"/>
      <c r="BA1390" s="172"/>
      <c r="BB1390" s="172"/>
      <c r="BC1390" s="172"/>
      <c r="BD1390" s="172"/>
      <c r="BE1390" s="172"/>
      <c r="BF1390" s="172"/>
      <c r="BG1390" s="172"/>
      <c r="BH1390" s="172"/>
      <c r="BI1390" s="172"/>
      <c r="BJ1390" s="172"/>
      <c r="BK1390" s="172"/>
      <c r="BL1390" s="172"/>
      <c r="BM1390" s="172"/>
      <c r="BN1390" s="172"/>
      <c r="BO1390" s="172"/>
      <c r="BP1390" s="172"/>
    </row>
    <row r="1391" spans="1:68" s="555" customFormat="1" ht="409.6">
      <c r="A1391" s="172"/>
      <c r="E1391" s="954"/>
      <c r="F1391" s="1334"/>
      <c r="I1391" s="382"/>
      <c r="J1391" s="172"/>
      <c r="K1391" s="1189"/>
      <c r="P1391" s="643"/>
      <c r="AT1391" s="172"/>
      <c r="AU1391" s="172"/>
      <c r="AV1391" s="172"/>
      <c r="AW1391" s="172"/>
      <c r="AX1391" s="172"/>
      <c r="AY1391" s="172"/>
      <c r="AZ1391" s="172"/>
      <c r="BA1391" s="172"/>
      <c r="BB1391" s="172"/>
      <c r="BC1391" s="172"/>
      <c r="BD1391" s="172"/>
      <c r="BE1391" s="172"/>
      <c r="BF1391" s="172"/>
      <c r="BG1391" s="172"/>
      <c r="BH1391" s="172"/>
      <c r="BI1391" s="172"/>
      <c r="BJ1391" s="172"/>
      <c r="BK1391" s="172"/>
      <c r="BL1391" s="172"/>
      <c r="BM1391" s="172"/>
      <c r="BN1391" s="172"/>
      <c r="BO1391" s="172"/>
      <c r="BP1391" s="172"/>
    </row>
    <row r="1392" spans="1:68" s="555" customFormat="1" ht="409.6">
      <c r="A1392" s="172"/>
      <c r="E1392" s="954"/>
      <c r="F1392" s="1334"/>
      <c r="I1392" s="382"/>
      <c r="J1392" s="172"/>
      <c r="K1392" s="1189"/>
      <c r="P1392" s="643"/>
      <c r="AT1392" s="172"/>
      <c r="AU1392" s="172"/>
      <c r="AV1392" s="172"/>
      <c r="AW1392" s="172"/>
      <c r="AX1392" s="172"/>
      <c r="AY1392" s="172"/>
      <c r="AZ1392" s="172"/>
      <c r="BA1392" s="172"/>
      <c r="BB1392" s="172"/>
      <c r="BC1392" s="172"/>
      <c r="BD1392" s="172"/>
      <c r="BE1392" s="172"/>
      <c r="BF1392" s="172"/>
      <c r="BG1392" s="172"/>
      <c r="BH1392" s="172"/>
      <c r="BI1392" s="172"/>
      <c r="BJ1392" s="172"/>
      <c r="BK1392" s="172"/>
      <c r="BL1392" s="172"/>
      <c r="BM1392" s="172"/>
      <c r="BN1392" s="172"/>
      <c r="BO1392" s="172"/>
      <c r="BP1392" s="172"/>
    </row>
    <row r="1393" spans="1:68" s="555" customFormat="1" ht="409.6">
      <c r="A1393" s="172"/>
      <c r="E1393" s="954"/>
      <c r="F1393" s="1334"/>
      <c r="I1393" s="382"/>
      <c r="J1393" s="172"/>
      <c r="K1393" s="1189"/>
      <c r="P1393" s="643"/>
      <c r="AT1393" s="172"/>
      <c r="AU1393" s="172"/>
      <c r="AV1393" s="172"/>
      <c r="AW1393" s="172"/>
      <c r="AX1393" s="172"/>
      <c r="AY1393" s="172"/>
      <c r="AZ1393" s="172"/>
      <c r="BA1393" s="172"/>
      <c r="BB1393" s="172"/>
      <c r="BC1393" s="172"/>
      <c r="BD1393" s="172"/>
      <c r="BE1393" s="172"/>
      <c r="BF1393" s="172"/>
      <c r="BG1393" s="172"/>
      <c r="BH1393" s="172"/>
      <c r="BI1393" s="172"/>
      <c r="BJ1393" s="172"/>
      <c r="BK1393" s="172"/>
      <c r="BL1393" s="172"/>
      <c r="BM1393" s="172"/>
      <c r="BN1393" s="172"/>
      <c r="BO1393" s="172"/>
      <c r="BP1393" s="172"/>
    </row>
    <row r="1394" spans="1:68" s="555" customFormat="1" ht="409.6">
      <c r="A1394" s="172"/>
      <c r="E1394" s="954"/>
      <c r="F1394" s="1334"/>
      <c r="I1394" s="382"/>
      <c r="J1394" s="172"/>
      <c r="K1394" s="1189"/>
      <c r="P1394" s="643"/>
      <c r="AT1394" s="172"/>
      <c r="AU1394" s="172"/>
      <c r="AV1394" s="172"/>
      <c r="AW1394" s="172"/>
      <c r="AX1394" s="172"/>
      <c r="AY1394" s="172"/>
      <c r="AZ1394" s="172"/>
      <c r="BA1394" s="172"/>
      <c r="BB1394" s="172"/>
      <c r="BC1394" s="172"/>
      <c r="BD1394" s="172"/>
      <c r="BE1394" s="172"/>
      <c r="BF1394" s="172"/>
      <c r="BG1394" s="172"/>
      <c r="BH1394" s="172"/>
      <c r="BI1394" s="172"/>
      <c r="BJ1394" s="172"/>
      <c r="BK1394" s="172"/>
      <c r="BL1394" s="172"/>
      <c r="BM1394" s="172"/>
      <c r="BN1394" s="172"/>
      <c r="BO1394" s="172"/>
      <c r="BP1394" s="172"/>
    </row>
    <row r="1395" spans="1:68" s="555" customFormat="1" ht="409.6">
      <c r="A1395" s="172"/>
      <c r="E1395" s="954"/>
      <c r="F1395" s="1334"/>
      <c r="I1395" s="382"/>
      <c r="J1395" s="172"/>
      <c r="K1395" s="1189"/>
      <c r="P1395" s="643"/>
      <c r="AT1395" s="172"/>
      <c r="AU1395" s="172"/>
      <c r="AV1395" s="172"/>
      <c r="AW1395" s="172"/>
      <c r="AX1395" s="172"/>
      <c r="AY1395" s="172"/>
      <c r="AZ1395" s="172"/>
      <c r="BA1395" s="172"/>
      <c r="BB1395" s="172"/>
      <c r="BC1395" s="172"/>
      <c r="BD1395" s="172"/>
      <c r="BE1395" s="172"/>
      <c r="BF1395" s="172"/>
      <c r="BG1395" s="172"/>
      <c r="BH1395" s="172"/>
      <c r="BI1395" s="172"/>
      <c r="BJ1395" s="172"/>
      <c r="BK1395" s="172"/>
      <c r="BL1395" s="172"/>
      <c r="BM1395" s="172"/>
      <c r="BN1395" s="172"/>
      <c r="BO1395" s="172"/>
      <c r="BP1395" s="172"/>
    </row>
    <row r="1396" spans="1:68" s="555" customFormat="1" ht="409.6">
      <c r="A1396" s="172"/>
      <c r="E1396" s="954"/>
      <c r="F1396" s="1334"/>
      <c r="I1396" s="382"/>
      <c r="J1396" s="172"/>
      <c r="K1396" s="1189"/>
      <c r="P1396" s="643"/>
      <c r="AT1396" s="172"/>
      <c r="AU1396" s="172"/>
      <c r="AV1396" s="172"/>
      <c r="AW1396" s="172"/>
      <c r="AX1396" s="172"/>
      <c r="AY1396" s="172"/>
      <c r="AZ1396" s="172"/>
      <c r="BA1396" s="172"/>
      <c r="BB1396" s="172"/>
      <c r="BC1396" s="172"/>
      <c r="BD1396" s="172"/>
      <c r="BE1396" s="172"/>
      <c r="BF1396" s="172"/>
      <c r="BG1396" s="172"/>
      <c r="BH1396" s="172"/>
      <c r="BI1396" s="172"/>
      <c r="BJ1396" s="172"/>
      <c r="BK1396" s="172"/>
      <c r="BL1396" s="172"/>
      <c r="BM1396" s="172"/>
      <c r="BN1396" s="172"/>
      <c r="BO1396" s="172"/>
      <c r="BP1396" s="172"/>
    </row>
    <row r="1397" spans="1:68" s="555" customFormat="1" ht="409.6">
      <c r="A1397" s="172"/>
      <c r="E1397" s="954"/>
      <c r="F1397" s="1334"/>
      <c r="I1397" s="382"/>
      <c r="J1397" s="172"/>
      <c r="K1397" s="1189"/>
      <c r="P1397" s="643"/>
      <c r="AT1397" s="172"/>
      <c r="AU1397" s="172"/>
      <c r="AV1397" s="172"/>
      <c r="AW1397" s="172"/>
      <c r="AX1397" s="172"/>
      <c r="AY1397" s="172"/>
      <c r="AZ1397" s="172"/>
      <c r="BA1397" s="172"/>
      <c r="BB1397" s="172"/>
      <c r="BC1397" s="172"/>
      <c r="BD1397" s="172"/>
      <c r="BE1397" s="172"/>
      <c r="BF1397" s="172"/>
      <c r="BG1397" s="172"/>
      <c r="BH1397" s="172"/>
      <c r="BI1397" s="172"/>
      <c r="BJ1397" s="172"/>
      <c r="BK1397" s="172"/>
      <c r="BL1397" s="172"/>
      <c r="BM1397" s="172"/>
      <c r="BN1397" s="172"/>
      <c r="BO1397" s="172"/>
      <c r="BP1397" s="172"/>
    </row>
    <row r="1398" spans="1:68" s="555" customFormat="1" ht="409.6">
      <c r="A1398" s="172"/>
      <c r="E1398" s="954"/>
      <c r="F1398" s="1334"/>
      <c r="I1398" s="382"/>
      <c r="J1398" s="172"/>
      <c r="K1398" s="1189"/>
      <c r="P1398" s="643"/>
      <c r="AT1398" s="172"/>
      <c r="AU1398" s="172"/>
      <c r="AV1398" s="172"/>
      <c r="AW1398" s="172"/>
      <c r="AX1398" s="172"/>
      <c r="AY1398" s="172"/>
      <c r="AZ1398" s="172"/>
      <c r="BA1398" s="172"/>
      <c r="BB1398" s="172"/>
      <c r="BC1398" s="172"/>
      <c r="BD1398" s="172"/>
      <c r="BE1398" s="172"/>
      <c r="BF1398" s="172"/>
      <c r="BG1398" s="172"/>
      <c r="BH1398" s="172"/>
      <c r="BI1398" s="172"/>
      <c r="BJ1398" s="172"/>
      <c r="BK1398" s="172"/>
      <c r="BL1398" s="172"/>
      <c r="BM1398" s="172"/>
      <c r="BN1398" s="172"/>
      <c r="BO1398" s="172"/>
      <c r="BP1398" s="172"/>
    </row>
    <row r="1399" spans="1:68" s="555" customFormat="1" ht="409.6">
      <c r="A1399" s="172"/>
      <c r="E1399" s="954"/>
      <c r="F1399" s="1334"/>
      <c r="I1399" s="382"/>
      <c r="J1399" s="172"/>
      <c r="K1399" s="1189"/>
      <c r="P1399" s="643"/>
      <c r="AT1399" s="172"/>
      <c r="AU1399" s="172"/>
      <c r="AV1399" s="172"/>
      <c r="AW1399" s="172"/>
      <c r="AX1399" s="172"/>
      <c r="AY1399" s="172"/>
      <c r="AZ1399" s="172"/>
      <c r="BA1399" s="172"/>
      <c r="BB1399" s="172"/>
      <c r="BC1399" s="172"/>
      <c r="BD1399" s="172"/>
      <c r="BE1399" s="172"/>
      <c r="BF1399" s="172"/>
      <c r="BG1399" s="172"/>
      <c r="BH1399" s="172"/>
      <c r="BI1399" s="172"/>
      <c r="BJ1399" s="172"/>
      <c r="BK1399" s="172"/>
      <c r="BL1399" s="172"/>
      <c r="BM1399" s="172"/>
      <c r="BN1399" s="172"/>
      <c r="BO1399" s="172"/>
      <c r="BP1399" s="172"/>
    </row>
    <row r="1400" spans="1:68" s="555" customFormat="1" ht="409.6">
      <c r="A1400" s="172"/>
      <c r="E1400" s="954"/>
      <c r="F1400" s="1334"/>
      <c r="I1400" s="382"/>
      <c r="J1400" s="172"/>
      <c r="K1400" s="1189"/>
      <c r="P1400" s="643"/>
      <c r="AT1400" s="172"/>
      <c r="AU1400" s="172"/>
      <c r="AV1400" s="172"/>
      <c r="AW1400" s="172"/>
      <c r="AX1400" s="172"/>
      <c r="AY1400" s="172"/>
      <c r="AZ1400" s="172"/>
      <c r="BA1400" s="172"/>
      <c r="BB1400" s="172"/>
      <c r="BC1400" s="172"/>
      <c r="BD1400" s="172"/>
      <c r="BE1400" s="172"/>
      <c r="BF1400" s="172"/>
      <c r="BG1400" s="172"/>
      <c r="BH1400" s="172"/>
      <c r="BI1400" s="172"/>
      <c r="BJ1400" s="172"/>
      <c r="BK1400" s="172"/>
      <c r="BL1400" s="172"/>
      <c r="BM1400" s="172"/>
      <c r="BN1400" s="172"/>
      <c r="BO1400" s="172"/>
      <c r="BP1400" s="172"/>
    </row>
    <row r="1401" spans="1:68" s="555" customFormat="1" ht="409.6">
      <c r="A1401" s="172"/>
      <c r="E1401" s="954"/>
      <c r="F1401" s="1334"/>
      <c r="I1401" s="382"/>
      <c r="J1401" s="172"/>
      <c r="K1401" s="1189"/>
      <c r="P1401" s="643"/>
      <c r="AT1401" s="172"/>
      <c r="AU1401" s="172"/>
      <c r="AV1401" s="172"/>
      <c r="AW1401" s="172"/>
      <c r="AX1401" s="172"/>
      <c r="AY1401" s="172"/>
      <c r="AZ1401" s="172"/>
      <c r="BA1401" s="172"/>
      <c r="BB1401" s="172"/>
      <c r="BC1401" s="172"/>
      <c r="BD1401" s="172"/>
      <c r="BE1401" s="172"/>
      <c r="BF1401" s="172"/>
      <c r="BG1401" s="172"/>
      <c r="BH1401" s="172"/>
      <c r="BI1401" s="172"/>
      <c r="BJ1401" s="172"/>
      <c r="BK1401" s="172"/>
      <c r="BL1401" s="172"/>
      <c r="BM1401" s="172"/>
      <c r="BN1401" s="172"/>
      <c r="BO1401" s="172"/>
      <c r="BP1401" s="172"/>
    </row>
    <row r="1402" spans="1:68" s="555" customFormat="1" ht="409.6">
      <c r="A1402" s="172"/>
      <c r="E1402" s="954"/>
      <c r="F1402" s="1334"/>
      <c r="I1402" s="382"/>
      <c r="J1402" s="172"/>
      <c r="K1402" s="1189"/>
      <c r="P1402" s="643"/>
      <c r="AT1402" s="172"/>
      <c r="AU1402" s="172"/>
      <c r="AV1402" s="172"/>
      <c r="AW1402" s="172"/>
      <c r="AX1402" s="172"/>
      <c r="AY1402" s="172"/>
      <c r="AZ1402" s="172"/>
      <c r="BA1402" s="172"/>
      <c r="BB1402" s="172"/>
      <c r="BC1402" s="172"/>
      <c r="BD1402" s="172"/>
      <c r="BE1402" s="172"/>
      <c r="BF1402" s="172"/>
      <c r="BG1402" s="172"/>
      <c r="BH1402" s="172"/>
      <c r="BI1402" s="172"/>
      <c r="BJ1402" s="172"/>
      <c r="BK1402" s="172"/>
      <c r="BL1402" s="172"/>
      <c r="BM1402" s="172"/>
      <c r="BN1402" s="172"/>
      <c r="BO1402" s="172"/>
      <c r="BP1402" s="172"/>
    </row>
    <row r="1403" spans="1:68" s="555" customFormat="1" ht="409.6">
      <c r="A1403" s="172"/>
      <c r="E1403" s="954"/>
      <c r="F1403" s="1334"/>
      <c r="I1403" s="382"/>
      <c r="J1403" s="172"/>
      <c r="K1403" s="1189"/>
      <c r="P1403" s="643"/>
      <c r="AT1403" s="172"/>
      <c r="AU1403" s="172"/>
      <c r="AV1403" s="172"/>
      <c r="AW1403" s="172"/>
      <c r="AX1403" s="172"/>
      <c r="AY1403" s="172"/>
      <c r="AZ1403" s="172"/>
      <c r="BA1403" s="172"/>
      <c r="BB1403" s="172"/>
      <c r="BC1403" s="172"/>
      <c r="BD1403" s="172"/>
      <c r="BE1403" s="172"/>
      <c r="BF1403" s="172"/>
      <c r="BG1403" s="172"/>
      <c r="BH1403" s="172"/>
      <c r="BI1403" s="172"/>
      <c r="BJ1403" s="172"/>
      <c r="BK1403" s="172"/>
      <c r="BL1403" s="172"/>
      <c r="BM1403" s="172"/>
      <c r="BN1403" s="172"/>
      <c r="BO1403" s="172"/>
      <c r="BP1403" s="172"/>
    </row>
    <row r="1404" spans="1:68" s="555" customFormat="1" ht="409.6">
      <c r="A1404" s="172"/>
      <c r="E1404" s="954"/>
      <c r="F1404" s="1334"/>
      <c r="I1404" s="382"/>
      <c r="J1404" s="172"/>
      <c r="K1404" s="1189"/>
      <c r="P1404" s="643"/>
      <c r="AT1404" s="172"/>
      <c r="AU1404" s="172"/>
      <c r="AV1404" s="172"/>
      <c r="AW1404" s="172"/>
      <c r="AX1404" s="172"/>
      <c r="AY1404" s="172"/>
      <c r="AZ1404" s="172"/>
      <c r="BA1404" s="172"/>
      <c r="BB1404" s="172"/>
      <c r="BC1404" s="172"/>
      <c r="BD1404" s="172"/>
      <c r="BE1404" s="172"/>
      <c r="BF1404" s="172"/>
      <c r="BG1404" s="172"/>
      <c r="BH1404" s="172"/>
      <c r="BI1404" s="172"/>
      <c r="BJ1404" s="172"/>
      <c r="BK1404" s="172"/>
      <c r="BL1404" s="172"/>
      <c r="BM1404" s="172"/>
      <c r="BN1404" s="172"/>
      <c r="BO1404" s="172"/>
      <c r="BP1404" s="172"/>
    </row>
    <row r="1405" spans="1:68" s="555" customFormat="1" ht="409.6">
      <c r="A1405" s="172"/>
      <c r="E1405" s="954"/>
      <c r="F1405" s="1334"/>
      <c r="I1405" s="382"/>
      <c r="J1405" s="172"/>
      <c r="K1405" s="1189"/>
      <c r="P1405" s="643"/>
      <c r="AT1405" s="172"/>
      <c r="AU1405" s="172"/>
      <c r="AV1405" s="172"/>
      <c r="AW1405" s="172"/>
      <c r="AX1405" s="172"/>
      <c r="AY1405" s="172"/>
      <c r="AZ1405" s="172"/>
      <c r="BA1405" s="172"/>
      <c r="BB1405" s="172"/>
      <c r="BC1405" s="172"/>
      <c r="BD1405" s="172"/>
      <c r="BE1405" s="172"/>
      <c r="BF1405" s="172"/>
      <c r="BG1405" s="172"/>
      <c r="BH1405" s="172"/>
      <c r="BI1405" s="172"/>
      <c r="BJ1405" s="172"/>
      <c r="BK1405" s="172"/>
      <c r="BL1405" s="172"/>
      <c r="BM1405" s="172"/>
      <c r="BN1405" s="172"/>
      <c r="BO1405" s="172"/>
      <c r="BP1405" s="172"/>
    </row>
    <row r="1406" spans="1:68" s="555" customFormat="1" ht="409.6">
      <c r="A1406" s="172"/>
      <c r="E1406" s="954"/>
      <c r="F1406" s="1334"/>
      <c r="I1406" s="382"/>
      <c r="J1406" s="172"/>
      <c r="K1406" s="1189"/>
      <c r="P1406" s="643"/>
      <c r="AT1406" s="172"/>
      <c r="AU1406" s="172"/>
      <c r="AV1406" s="172"/>
      <c r="AW1406" s="172"/>
      <c r="AX1406" s="172"/>
      <c r="AY1406" s="172"/>
      <c r="AZ1406" s="172"/>
      <c r="BA1406" s="172"/>
      <c r="BB1406" s="172"/>
      <c r="BC1406" s="172"/>
      <c r="BD1406" s="172"/>
      <c r="BE1406" s="172"/>
      <c r="BF1406" s="172"/>
      <c r="BG1406" s="172"/>
      <c r="BH1406" s="172"/>
      <c r="BI1406" s="172"/>
      <c r="BJ1406" s="172"/>
      <c r="BK1406" s="172"/>
      <c r="BL1406" s="172"/>
      <c r="BM1406" s="172"/>
      <c r="BN1406" s="172"/>
      <c r="BO1406" s="172"/>
      <c r="BP1406" s="172"/>
    </row>
    <row r="1407" spans="1:68" s="555" customFormat="1" ht="409.6">
      <c r="A1407" s="172"/>
      <c r="E1407" s="954"/>
      <c r="F1407" s="1334"/>
      <c r="I1407" s="382"/>
      <c r="J1407" s="172"/>
      <c r="K1407" s="1189"/>
      <c r="P1407" s="643"/>
      <c r="AT1407" s="172"/>
      <c r="AU1407" s="172"/>
      <c r="AV1407" s="172"/>
      <c r="AW1407" s="172"/>
      <c r="AX1407" s="172"/>
      <c r="AY1407" s="172"/>
      <c r="AZ1407" s="172"/>
      <c r="BA1407" s="172"/>
      <c r="BB1407" s="172"/>
      <c r="BC1407" s="172"/>
      <c r="BD1407" s="172"/>
      <c r="BE1407" s="172"/>
      <c r="BF1407" s="172"/>
      <c r="BG1407" s="172"/>
      <c r="BH1407" s="172"/>
      <c r="BI1407" s="172"/>
      <c r="BJ1407" s="172"/>
      <c r="BK1407" s="172"/>
      <c r="BL1407" s="172"/>
      <c r="BM1407" s="172"/>
      <c r="BN1407" s="172"/>
      <c r="BO1407" s="172"/>
      <c r="BP1407" s="172"/>
    </row>
    <row r="1408" spans="1:68" s="555" customFormat="1" ht="409.6">
      <c r="A1408" s="172"/>
      <c r="E1408" s="954"/>
      <c r="F1408" s="1334"/>
      <c r="I1408" s="382"/>
      <c r="J1408" s="172"/>
      <c r="K1408" s="1189"/>
      <c r="P1408" s="643"/>
      <c r="AT1408" s="172"/>
      <c r="AU1408" s="172"/>
      <c r="AV1408" s="172"/>
      <c r="AW1408" s="172"/>
      <c r="AX1408" s="172"/>
      <c r="AY1408" s="172"/>
      <c r="AZ1408" s="172"/>
      <c r="BA1408" s="172"/>
      <c r="BB1408" s="172"/>
      <c r="BC1408" s="172"/>
      <c r="BD1408" s="172"/>
      <c r="BE1408" s="172"/>
      <c r="BF1408" s="172"/>
      <c r="BG1408" s="172"/>
      <c r="BH1408" s="172"/>
      <c r="BI1408" s="172"/>
      <c r="BJ1408" s="172"/>
      <c r="BK1408" s="172"/>
      <c r="BL1408" s="172"/>
      <c r="BM1408" s="172"/>
      <c r="BN1408" s="172"/>
      <c r="BO1408" s="172"/>
      <c r="BP1408" s="172"/>
    </row>
    <row r="1409" spans="1:68" s="555" customFormat="1" ht="409.6">
      <c r="A1409" s="172"/>
      <c r="E1409" s="954"/>
      <c r="F1409" s="1334"/>
      <c r="I1409" s="382"/>
      <c r="J1409" s="172"/>
      <c r="K1409" s="1189"/>
      <c r="P1409" s="643"/>
      <c r="AT1409" s="172"/>
      <c r="AU1409" s="172"/>
      <c r="AV1409" s="172"/>
      <c r="AW1409" s="172"/>
      <c r="AX1409" s="172"/>
      <c r="AY1409" s="172"/>
      <c r="AZ1409" s="172"/>
      <c r="BA1409" s="172"/>
      <c r="BB1409" s="172"/>
      <c r="BC1409" s="172"/>
      <c r="BD1409" s="172"/>
      <c r="BE1409" s="172"/>
      <c r="BF1409" s="172"/>
      <c r="BG1409" s="172"/>
      <c r="BH1409" s="172"/>
      <c r="BI1409" s="172"/>
      <c r="BJ1409" s="172"/>
      <c r="BK1409" s="172"/>
      <c r="BL1409" s="172"/>
      <c r="BM1409" s="172"/>
      <c r="BN1409" s="172"/>
      <c r="BO1409" s="172"/>
      <c r="BP1409" s="172"/>
    </row>
    <row r="1410" spans="1:68" s="555" customFormat="1" ht="409.6">
      <c r="A1410" s="172"/>
      <c r="E1410" s="954"/>
      <c r="F1410" s="1334"/>
      <c r="I1410" s="382"/>
      <c r="J1410" s="172"/>
      <c r="K1410" s="1189"/>
      <c r="P1410" s="643"/>
      <c r="AT1410" s="172"/>
      <c r="AU1410" s="172"/>
      <c r="AV1410" s="172"/>
      <c r="AW1410" s="172"/>
      <c r="AX1410" s="172"/>
      <c r="AY1410" s="172"/>
      <c r="AZ1410" s="172"/>
      <c r="BA1410" s="172"/>
      <c r="BB1410" s="172"/>
      <c r="BC1410" s="172"/>
      <c r="BD1410" s="172"/>
      <c r="BE1410" s="172"/>
      <c r="BF1410" s="172"/>
      <c r="BG1410" s="172"/>
      <c r="BH1410" s="172"/>
      <c r="BI1410" s="172"/>
      <c r="BJ1410" s="172"/>
      <c r="BK1410" s="172"/>
      <c r="BL1410" s="172"/>
      <c r="BM1410" s="172"/>
      <c r="BN1410" s="172"/>
      <c r="BO1410" s="172"/>
      <c r="BP1410" s="172"/>
    </row>
    <row r="1411" spans="1:68" s="555" customFormat="1" ht="409.6">
      <c r="A1411" s="172"/>
      <c r="E1411" s="954"/>
      <c r="F1411" s="1334"/>
      <c r="I1411" s="382"/>
      <c r="J1411" s="172"/>
      <c r="K1411" s="1189"/>
      <c r="P1411" s="643"/>
      <c r="AT1411" s="172"/>
      <c r="AU1411" s="172"/>
      <c r="AV1411" s="172"/>
      <c r="AW1411" s="172"/>
      <c r="AX1411" s="172"/>
      <c r="AY1411" s="172"/>
      <c r="AZ1411" s="172"/>
      <c r="BA1411" s="172"/>
      <c r="BB1411" s="172"/>
      <c r="BC1411" s="172"/>
      <c r="BD1411" s="172"/>
      <c r="BE1411" s="172"/>
      <c r="BF1411" s="172"/>
      <c r="BG1411" s="172"/>
      <c r="BH1411" s="172"/>
      <c r="BI1411" s="172"/>
      <c r="BJ1411" s="172"/>
      <c r="BK1411" s="172"/>
      <c r="BL1411" s="172"/>
      <c r="BM1411" s="172"/>
      <c r="BN1411" s="172"/>
      <c r="BO1411" s="172"/>
      <c r="BP1411" s="172"/>
    </row>
    <row r="1412" spans="1:68" s="555" customFormat="1" ht="409.6">
      <c r="A1412" s="172"/>
      <c r="E1412" s="954"/>
      <c r="F1412" s="1334"/>
      <c r="I1412" s="382"/>
      <c r="J1412" s="172"/>
      <c r="K1412" s="1189"/>
      <c r="P1412" s="643"/>
      <c r="AT1412" s="172"/>
      <c r="AU1412" s="172"/>
      <c r="AV1412" s="172"/>
      <c r="AW1412" s="172"/>
      <c r="AX1412" s="172"/>
      <c r="AY1412" s="172"/>
      <c r="AZ1412" s="172"/>
      <c r="BA1412" s="172"/>
      <c r="BB1412" s="172"/>
      <c r="BC1412" s="172"/>
      <c r="BD1412" s="172"/>
      <c r="BE1412" s="172"/>
      <c r="BF1412" s="172"/>
      <c r="BG1412" s="172"/>
      <c r="BH1412" s="172"/>
      <c r="BI1412" s="172"/>
      <c r="BJ1412" s="172"/>
      <c r="BK1412" s="172"/>
      <c r="BL1412" s="172"/>
      <c r="BM1412" s="172"/>
      <c r="BN1412" s="172"/>
      <c r="BO1412" s="172"/>
      <c r="BP1412" s="172"/>
    </row>
    <row r="1413" spans="1:68" s="555" customFormat="1" ht="409.6">
      <c r="A1413" s="172"/>
      <c r="E1413" s="954"/>
      <c r="F1413" s="1334"/>
      <c r="I1413" s="382"/>
      <c r="J1413" s="172"/>
      <c r="K1413" s="1189"/>
      <c r="P1413" s="643"/>
      <c r="AT1413" s="172"/>
      <c r="AU1413" s="172"/>
      <c r="AV1413" s="172"/>
      <c r="AW1413" s="172"/>
      <c r="AX1413" s="172"/>
      <c r="AY1413" s="172"/>
      <c r="AZ1413" s="172"/>
      <c r="BA1413" s="172"/>
      <c r="BB1413" s="172"/>
      <c r="BC1413" s="172"/>
      <c r="BD1413" s="172"/>
      <c r="BE1413" s="172"/>
      <c r="BF1413" s="172"/>
      <c r="BG1413" s="172"/>
      <c r="BH1413" s="172"/>
      <c r="BI1413" s="172"/>
      <c r="BJ1413" s="172"/>
      <c r="BK1413" s="172"/>
      <c r="BL1413" s="172"/>
      <c r="BM1413" s="172"/>
      <c r="BN1413" s="172"/>
      <c r="BO1413" s="172"/>
      <c r="BP1413" s="172"/>
    </row>
    <row r="1414" spans="1:68" s="555" customFormat="1" ht="409.6">
      <c r="A1414" s="172"/>
      <c r="E1414" s="954"/>
      <c r="F1414" s="1334"/>
      <c r="I1414" s="382"/>
      <c r="J1414" s="172"/>
      <c r="K1414" s="1189"/>
      <c r="P1414" s="643"/>
      <c r="AT1414" s="172"/>
      <c r="AU1414" s="172"/>
      <c r="AV1414" s="172"/>
      <c r="AW1414" s="172"/>
      <c r="AX1414" s="172"/>
      <c r="AY1414" s="172"/>
      <c r="AZ1414" s="172"/>
      <c r="BA1414" s="172"/>
      <c r="BB1414" s="172"/>
      <c r="BC1414" s="172"/>
      <c r="BD1414" s="172"/>
      <c r="BE1414" s="172"/>
      <c r="BF1414" s="172"/>
      <c r="BG1414" s="172"/>
      <c r="BH1414" s="172"/>
      <c r="BI1414" s="172"/>
      <c r="BJ1414" s="172"/>
      <c r="BK1414" s="172"/>
      <c r="BL1414" s="172"/>
      <c r="BM1414" s="172"/>
      <c r="BN1414" s="172"/>
      <c r="BO1414" s="172"/>
      <c r="BP1414" s="172"/>
    </row>
    <row r="1415" spans="1:68" s="555" customFormat="1" ht="409.6">
      <c r="A1415" s="172"/>
      <c r="E1415" s="954"/>
      <c r="F1415" s="1334"/>
      <c r="I1415" s="382"/>
      <c r="J1415" s="172"/>
      <c r="K1415" s="1189"/>
      <c r="P1415" s="643"/>
      <c r="AT1415" s="172"/>
      <c r="AU1415" s="172"/>
      <c r="AV1415" s="172"/>
      <c r="AW1415" s="172"/>
      <c r="AX1415" s="172"/>
      <c r="AY1415" s="172"/>
      <c r="AZ1415" s="172"/>
      <c r="BA1415" s="172"/>
      <c r="BB1415" s="172"/>
      <c r="BC1415" s="172"/>
      <c r="BD1415" s="172"/>
      <c r="BE1415" s="172"/>
      <c r="BF1415" s="172"/>
      <c r="BG1415" s="172"/>
      <c r="BH1415" s="172"/>
      <c r="BI1415" s="172"/>
      <c r="BJ1415" s="172"/>
      <c r="BK1415" s="172"/>
      <c r="BL1415" s="172"/>
      <c r="BM1415" s="172"/>
      <c r="BN1415" s="172"/>
      <c r="BO1415" s="172"/>
      <c r="BP1415" s="172"/>
    </row>
    <row r="1416" spans="1:68" s="555" customFormat="1" ht="409.6">
      <c r="A1416" s="172"/>
      <c r="E1416" s="954"/>
      <c r="F1416" s="1334"/>
      <c r="I1416" s="382"/>
      <c r="J1416" s="172"/>
      <c r="K1416" s="1189"/>
      <c r="P1416" s="643"/>
      <c r="AT1416" s="172"/>
      <c r="AU1416" s="172"/>
      <c r="AV1416" s="172"/>
      <c r="AW1416" s="172"/>
      <c r="AX1416" s="172"/>
      <c r="AY1416" s="172"/>
      <c r="AZ1416" s="172"/>
      <c r="BA1416" s="172"/>
      <c r="BB1416" s="172"/>
      <c r="BC1416" s="172"/>
      <c r="BD1416" s="172"/>
      <c r="BE1416" s="172"/>
      <c r="BF1416" s="172"/>
      <c r="BG1416" s="172"/>
      <c r="BH1416" s="172"/>
      <c r="BI1416" s="172"/>
      <c r="BJ1416" s="172"/>
      <c r="BK1416" s="172"/>
      <c r="BL1416" s="172"/>
      <c r="BM1416" s="172"/>
      <c r="BN1416" s="172"/>
      <c r="BO1416" s="172"/>
      <c r="BP1416" s="172"/>
    </row>
    <row r="1417" spans="1:68" s="555" customFormat="1" ht="409.6">
      <c r="A1417" s="172"/>
      <c r="E1417" s="954"/>
      <c r="F1417" s="1334"/>
      <c r="I1417" s="382"/>
      <c r="J1417" s="172"/>
      <c r="K1417" s="1189"/>
      <c r="P1417" s="643"/>
      <c r="AT1417" s="172"/>
      <c r="AU1417" s="172"/>
      <c r="AV1417" s="172"/>
      <c r="AW1417" s="172"/>
      <c r="AX1417" s="172"/>
      <c r="AY1417" s="172"/>
      <c r="AZ1417" s="172"/>
      <c r="BA1417" s="172"/>
      <c r="BB1417" s="172"/>
      <c r="BC1417" s="172"/>
      <c r="BD1417" s="172"/>
      <c r="BE1417" s="172"/>
      <c r="BF1417" s="172"/>
      <c r="BG1417" s="172"/>
      <c r="BH1417" s="172"/>
      <c r="BI1417" s="172"/>
      <c r="BJ1417" s="172"/>
      <c r="BK1417" s="172"/>
      <c r="BL1417" s="172"/>
      <c r="BM1417" s="172"/>
      <c r="BN1417" s="172"/>
      <c r="BO1417" s="172"/>
      <c r="BP1417" s="172"/>
    </row>
    <row r="1418" spans="1:68" s="555" customFormat="1" ht="409.6">
      <c r="A1418" s="172"/>
      <c r="E1418" s="954"/>
      <c r="F1418" s="1334"/>
      <c r="I1418" s="382"/>
      <c r="J1418" s="172"/>
      <c r="K1418" s="1189"/>
      <c r="P1418" s="643"/>
      <c r="AT1418" s="172"/>
      <c r="AU1418" s="172"/>
      <c r="AV1418" s="172"/>
      <c r="AW1418" s="172"/>
      <c r="AX1418" s="172"/>
      <c r="AY1418" s="172"/>
      <c r="AZ1418" s="172"/>
      <c r="BA1418" s="172"/>
      <c r="BB1418" s="172"/>
      <c r="BC1418" s="172"/>
      <c r="BD1418" s="172"/>
      <c r="BE1418" s="172"/>
      <c r="BF1418" s="172"/>
      <c r="BG1418" s="172"/>
      <c r="BH1418" s="172"/>
      <c r="BI1418" s="172"/>
      <c r="BJ1418" s="172"/>
      <c r="BK1418" s="172"/>
      <c r="BL1418" s="172"/>
      <c r="BM1418" s="172"/>
      <c r="BN1418" s="172"/>
      <c r="BO1418" s="172"/>
      <c r="BP1418" s="172"/>
    </row>
    <row r="1419" spans="1:68" s="555" customFormat="1" ht="409.6">
      <c r="A1419" s="172"/>
      <c r="E1419" s="954"/>
      <c r="F1419" s="1334"/>
      <c r="I1419" s="382"/>
      <c r="J1419" s="172"/>
      <c r="K1419" s="1189"/>
      <c r="P1419" s="643"/>
      <c r="AT1419" s="172"/>
      <c r="AU1419" s="172"/>
      <c r="AV1419" s="172"/>
      <c r="AW1419" s="172"/>
      <c r="AX1419" s="172"/>
      <c r="AY1419" s="172"/>
      <c r="AZ1419" s="172"/>
      <c r="BA1419" s="172"/>
      <c r="BB1419" s="172"/>
      <c r="BC1419" s="172"/>
      <c r="BD1419" s="172"/>
      <c r="BE1419" s="172"/>
      <c r="BF1419" s="172"/>
      <c r="BG1419" s="172"/>
      <c r="BH1419" s="172"/>
      <c r="BI1419" s="172"/>
      <c r="BJ1419" s="172"/>
      <c r="BK1419" s="172"/>
      <c r="BL1419" s="172"/>
      <c r="BM1419" s="172"/>
      <c r="BN1419" s="172"/>
      <c r="BO1419" s="172"/>
      <c r="BP1419" s="172"/>
    </row>
    <row r="1420" spans="1:68" s="555" customFormat="1" ht="409.6">
      <c r="A1420" s="172"/>
      <c r="E1420" s="954"/>
      <c r="F1420" s="1334"/>
      <c r="I1420" s="382"/>
      <c r="J1420" s="172"/>
      <c r="K1420" s="1189"/>
      <c r="P1420" s="643"/>
      <c r="AT1420" s="172"/>
      <c r="AU1420" s="172"/>
      <c r="AV1420" s="172"/>
      <c r="AW1420" s="172"/>
      <c r="AX1420" s="172"/>
      <c r="AY1420" s="172"/>
      <c r="AZ1420" s="172"/>
      <c r="BA1420" s="172"/>
      <c r="BB1420" s="172"/>
      <c r="BC1420" s="172"/>
      <c r="BD1420" s="172"/>
      <c r="BE1420" s="172"/>
      <c r="BF1420" s="172"/>
      <c r="BG1420" s="172"/>
      <c r="BH1420" s="172"/>
      <c r="BI1420" s="172"/>
      <c r="BJ1420" s="172"/>
      <c r="BK1420" s="172"/>
      <c r="BL1420" s="172"/>
      <c r="BM1420" s="172"/>
      <c r="BN1420" s="172"/>
      <c r="BO1420" s="172"/>
      <c r="BP1420" s="172"/>
    </row>
    <row r="1421" spans="1:68" s="555" customFormat="1" ht="409.6">
      <c r="A1421" s="172"/>
      <c r="E1421" s="954"/>
      <c r="F1421" s="1334"/>
      <c r="I1421" s="382"/>
      <c r="J1421" s="172"/>
      <c r="K1421" s="1189"/>
      <c r="P1421" s="643"/>
      <c r="AT1421" s="172"/>
      <c r="AU1421" s="172"/>
      <c r="AV1421" s="172"/>
      <c r="AW1421" s="172"/>
      <c r="AX1421" s="172"/>
      <c r="AY1421" s="172"/>
      <c r="AZ1421" s="172"/>
      <c r="BA1421" s="172"/>
      <c r="BB1421" s="172"/>
      <c r="BC1421" s="172"/>
      <c r="BD1421" s="172"/>
      <c r="BE1421" s="172"/>
      <c r="BF1421" s="172"/>
      <c r="BG1421" s="172"/>
      <c r="BH1421" s="172"/>
      <c r="BI1421" s="172"/>
      <c r="BJ1421" s="172"/>
      <c r="BK1421" s="172"/>
      <c r="BL1421" s="172"/>
      <c r="BM1421" s="172"/>
      <c r="BN1421" s="172"/>
      <c r="BO1421" s="172"/>
      <c r="BP1421" s="172"/>
    </row>
    <row r="1422" spans="1:68" s="555" customFormat="1" ht="409.6">
      <c r="A1422" s="172"/>
      <c r="E1422" s="954"/>
      <c r="F1422" s="1334"/>
      <c r="I1422" s="382"/>
      <c r="J1422" s="172"/>
      <c r="K1422" s="1189"/>
      <c r="P1422" s="643"/>
      <c r="AT1422" s="172"/>
      <c r="AU1422" s="172"/>
      <c r="AV1422" s="172"/>
      <c r="AW1422" s="172"/>
      <c r="AX1422" s="172"/>
      <c r="AY1422" s="172"/>
      <c r="AZ1422" s="172"/>
      <c r="BA1422" s="172"/>
      <c r="BB1422" s="172"/>
      <c r="BC1422" s="172"/>
      <c r="BD1422" s="172"/>
      <c r="BE1422" s="172"/>
      <c r="BF1422" s="172"/>
      <c r="BG1422" s="172"/>
      <c r="BH1422" s="172"/>
      <c r="BI1422" s="172"/>
      <c r="BJ1422" s="172"/>
      <c r="BK1422" s="172"/>
      <c r="BL1422" s="172"/>
      <c r="BM1422" s="172"/>
      <c r="BN1422" s="172"/>
      <c r="BO1422" s="172"/>
      <c r="BP1422" s="172"/>
    </row>
    <row r="1423" spans="1:68" s="555" customFormat="1" ht="409.6">
      <c r="A1423" s="172"/>
      <c r="E1423" s="954"/>
      <c r="F1423" s="1334"/>
      <c r="I1423" s="382"/>
      <c r="J1423" s="172"/>
      <c r="K1423" s="1189"/>
      <c r="P1423" s="643"/>
      <c r="AT1423" s="172"/>
      <c r="AU1423" s="172"/>
      <c r="AV1423" s="172"/>
      <c r="AW1423" s="172"/>
      <c r="AX1423" s="172"/>
      <c r="AY1423" s="172"/>
      <c r="AZ1423" s="172"/>
      <c r="BA1423" s="172"/>
      <c r="BB1423" s="172"/>
      <c r="BC1423" s="172"/>
      <c r="BD1423" s="172"/>
      <c r="BE1423" s="172"/>
      <c r="BF1423" s="172"/>
      <c r="BG1423" s="172"/>
      <c r="BH1423" s="172"/>
      <c r="BI1423" s="172"/>
      <c r="BJ1423" s="172"/>
      <c r="BK1423" s="172"/>
      <c r="BL1423" s="172"/>
      <c r="BM1423" s="172"/>
      <c r="BN1423" s="172"/>
      <c r="BO1423" s="172"/>
      <c r="BP1423" s="172"/>
    </row>
    <row r="1424" spans="1:68" s="555" customFormat="1" ht="409.6">
      <c r="A1424" s="172"/>
      <c r="E1424" s="954"/>
      <c r="F1424" s="1334"/>
      <c r="I1424" s="382"/>
      <c r="J1424" s="172"/>
      <c r="K1424" s="1189"/>
      <c r="P1424" s="643"/>
      <c r="AT1424" s="172"/>
      <c r="AU1424" s="172"/>
      <c r="AV1424" s="172"/>
      <c r="AW1424" s="172"/>
      <c r="AX1424" s="172"/>
      <c r="AY1424" s="172"/>
      <c r="AZ1424" s="172"/>
      <c r="BA1424" s="172"/>
      <c r="BB1424" s="172"/>
      <c r="BC1424" s="172"/>
      <c r="BD1424" s="172"/>
      <c r="BE1424" s="172"/>
      <c r="BF1424" s="172"/>
      <c r="BG1424" s="172"/>
      <c r="BH1424" s="172"/>
      <c r="BI1424" s="172"/>
      <c r="BJ1424" s="172"/>
      <c r="BK1424" s="172"/>
      <c r="BL1424" s="172"/>
      <c r="BM1424" s="172"/>
      <c r="BN1424" s="172"/>
      <c r="BO1424" s="172"/>
      <c r="BP1424" s="172"/>
    </row>
    <row r="1425" spans="1:68" s="555" customFormat="1" ht="409.6">
      <c r="A1425" s="172"/>
      <c r="E1425" s="954"/>
      <c r="F1425" s="1334"/>
      <c r="I1425" s="382"/>
      <c r="J1425" s="172"/>
      <c r="K1425" s="1189"/>
      <c r="P1425" s="643"/>
      <c r="AT1425" s="172"/>
      <c r="AU1425" s="172"/>
      <c r="AV1425" s="172"/>
      <c r="AW1425" s="172"/>
      <c r="AX1425" s="172"/>
      <c r="AY1425" s="172"/>
      <c r="AZ1425" s="172"/>
      <c r="BA1425" s="172"/>
      <c r="BB1425" s="172"/>
      <c r="BC1425" s="172"/>
      <c r="BD1425" s="172"/>
      <c r="BE1425" s="172"/>
      <c r="BF1425" s="172"/>
      <c r="BG1425" s="172"/>
      <c r="BH1425" s="172"/>
      <c r="BI1425" s="172"/>
      <c r="BJ1425" s="172"/>
      <c r="BK1425" s="172"/>
      <c r="BL1425" s="172"/>
      <c r="BM1425" s="172"/>
      <c r="BN1425" s="172"/>
      <c r="BO1425" s="172"/>
      <c r="BP1425" s="172"/>
    </row>
    <row r="1426" spans="1:68" s="555" customFormat="1" ht="409.6">
      <c r="A1426" s="172"/>
      <c r="E1426" s="954"/>
      <c r="F1426" s="1334"/>
      <c r="I1426" s="382"/>
      <c r="J1426" s="172"/>
      <c r="K1426" s="1189"/>
      <c r="P1426" s="643"/>
      <c r="AT1426" s="172"/>
      <c r="AU1426" s="172"/>
      <c r="AV1426" s="172"/>
      <c r="AW1426" s="172"/>
      <c r="AX1426" s="172"/>
      <c r="AY1426" s="172"/>
      <c r="AZ1426" s="172"/>
      <c r="BA1426" s="172"/>
      <c r="BB1426" s="172"/>
      <c r="BC1426" s="172"/>
      <c r="BD1426" s="172"/>
      <c r="BE1426" s="172"/>
      <c r="BF1426" s="172"/>
      <c r="BG1426" s="172"/>
      <c r="BH1426" s="172"/>
      <c r="BI1426" s="172"/>
      <c r="BJ1426" s="172"/>
      <c r="BK1426" s="172"/>
      <c r="BL1426" s="172"/>
      <c r="BM1426" s="172"/>
      <c r="BN1426" s="172"/>
      <c r="BO1426" s="172"/>
      <c r="BP1426" s="172"/>
    </row>
    <row r="1427" spans="1:68" s="555" customFormat="1" ht="409.6">
      <c r="A1427" s="172"/>
      <c r="E1427" s="954"/>
      <c r="F1427" s="1334"/>
      <c r="I1427" s="382"/>
      <c r="J1427" s="172"/>
      <c r="K1427" s="1189"/>
      <c r="P1427" s="643"/>
      <c r="AT1427" s="172"/>
      <c r="AU1427" s="172"/>
      <c r="AV1427" s="172"/>
      <c r="AW1427" s="172"/>
      <c r="AX1427" s="172"/>
      <c r="AY1427" s="172"/>
      <c r="AZ1427" s="172"/>
      <c r="BA1427" s="172"/>
      <c r="BB1427" s="172"/>
      <c r="BC1427" s="172"/>
      <c r="BD1427" s="172"/>
      <c r="BE1427" s="172"/>
      <c r="BF1427" s="172"/>
      <c r="BG1427" s="172"/>
      <c r="BH1427" s="172"/>
      <c r="BI1427" s="172"/>
      <c r="BJ1427" s="172"/>
      <c r="BK1427" s="172"/>
      <c r="BL1427" s="172"/>
      <c r="BM1427" s="172"/>
      <c r="BN1427" s="172"/>
      <c r="BO1427" s="172"/>
      <c r="BP1427" s="172"/>
    </row>
    <row r="1428" spans="1:68" s="555" customFormat="1" ht="409.6">
      <c r="A1428" s="172"/>
      <c r="E1428" s="954"/>
      <c r="F1428" s="1334"/>
      <c r="I1428" s="382"/>
      <c r="J1428" s="172"/>
      <c r="K1428" s="1189"/>
      <c r="P1428" s="643"/>
      <c r="AT1428" s="172"/>
      <c r="AU1428" s="172"/>
      <c r="AV1428" s="172"/>
      <c r="AW1428" s="172"/>
      <c r="AX1428" s="172"/>
      <c r="AY1428" s="172"/>
      <c r="AZ1428" s="172"/>
      <c r="BA1428" s="172"/>
      <c r="BB1428" s="172"/>
      <c r="BC1428" s="172"/>
      <c r="BD1428" s="172"/>
      <c r="BE1428" s="172"/>
      <c r="BF1428" s="172"/>
      <c r="BG1428" s="172"/>
      <c r="BH1428" s="172"/>
      <c r="BI1428" s="172"/>
      <c r="BJ1428" s="172"/>
      <c r="BK1428" s="172"/>
      <c r="BL1428" s="172"/>
      <c r="BM1428" s="172"/>
      <c r="BN1428" s="172"/>
      <c r="BO1428" s="172"/>
      <c r="BP1428" s="172"/>
    </row>
    <row r="1429" spans="1:68" s="555" customFormat="1" ht="409.6">
      <c r="A1429" s="172"/>
      <c r="E1429" s="954"/>
      <c r="F1429" s="1334"/>
      <c r="I1429" s="382"/>
      <c r="J1429" s="172"/>
      <c r="K1429" s="1189"/>
      <c r="P1429" s="643"/>
      <c r="AT1429" s="172"/>
      <c r="AU1429" s="172"/>
      <c r="AV1429" s="172"/>
      <c r="AW1429" s="172"/>
      <c r="AX1429" s="172"/>
      <c r="AY1429" s="172"/>
      <c r="AZ1429" s="172"/>
      <c r="BA1429" s="172"/>
      <c r="BB1429" s="172"/>
      <c r="BC1429" s="172"/>
      <c r="BD1429" s="172"/>
      <c r="BE1429" s="172"/>
      <c r="BF1429" s="172"/>
      <c r="BG1429" s="172"/>
      <c r="BH1429" s="172"/>
      <c r="BI1429" s="172"/>
      <c r="BJ1429" s="172"/>
      <c r="BK1429" s="172"/>
      <c r="BL1429" s="172"/>
      <c r="BM1429" s="172"/>
      <c r="BN1429" s="172"/>
      <c r="BO1429" s="172"/>
      <c r="BP1429" s="172"/>
    </row>
    <row r="1430" spans="1:68" s="555" customFormat="1" ht="409.6">
      <c r="A1430" s="172"/>
      <c r="E1430" s="954"/>
      <c r="F1430" s="1334"/>
      <c r="I1430" s="382"/>
      <c r="J1430" s="172"/>
      <c r="K1430" s="1189"/>
      <c r="P1430" s="643"/>
      <c r="AT1430" s="172"/>
      <c r="AU1430" s="172"/>
      <c r="AV1430" s="172"/>
      <c r="AW1430" s="172"/>
      <c r="AX1430" s="172"/>
      <c r="AY1430" s="172"/>
      <c r="AZ1430" s="172"/>
      <c r="BA1430" s="172"/>
      <c r="BB1430" s="172"/>
      <c r="BC1430" s="172"/>
      <c r="BD1430" s="172"/>
      <c r="BE1430" s="172"/>
      <c r="BF1430" s="172"/>
      <c r="BG1430" s="172"/>
      <c r="BH1430" s="172"/>
      <c r="BI1430" s="172"/>
      <c r="BJ1430" s="172"/>
      <c r="BK1430" s="172"/>
      <c r="BL1430" s="172"/>
      <c r="BM1430" s="172"/>
      <c r="BN1430" s="172"/>
      <c r="BO1430" s="172"/>
      <c r="BP1430" s="172"/>
    </row>
    <row r="1431" spans="1:68" s="555" customFormat="1" ht="409.6">
      <c r="A1431" s="172"/>
      <c r="E1431" s="954"/>
      <c r="F1431" s="1334"/>
      <c r="I1431" s="382"/>
      <c r="J1431" s="172"/>
      <c r="K1431" s="1189"/>
      <c r="P1431" s="643"/>
      <c r="AT1431" s="172"/>
      <c r="AU1431" s="172"/>
      <c r="AV1431" s="172"/>
      <c r="AW1431" s="172"/>
      <c r="AX1431" s="172"/>
      <c r="AY1431" s="172"/>
      <c r="AZ1431" s="172"/>
      <c r="BA1431" s="172"/>
      <c r="BB1431" s="172"/>
      <c r="BC1431" s="172"/>
      <c r="BD1431" s="172"/>
      <c r="BE1431" s="172"/>
      <c r="BF1431" s="172"/>
      <c r="BG1431" s="172"/>
      <c r="BH1431" s="172"/>
      <c r="BI1431" s="172"/>
      <c r="BJ1431" s="172"/>
      <c r="BK1431" s="172"/>
      <c r="BL1431" s="172"/>
      <c r="BM1431" s="172"/>
      <c r="BN1431" s="172"/>
      <c r="BO1431" s="172"/>
      <c r="BP1431" s="172"/>
    </row>
    <row r="1432" spans="1:68" s="555" customFormat="1" ht="409.6">
      <c r="A1432" s="172"/>
      <c r="E1432" s="954"/>
      <c r="F1432" s="1334"/>
      <c r="I1432" s="382"/>
      <c r="J1432" s="172"/>
      <c r="K1432" s="1189"/>
      <c r="P1432" s="643"/>
      <c r="AT1432" s="172"/>
      <c r="AU1432" s="172"/>
      <c r="AV1432" s="172"/>
      <c r="AW1432" s="172"/>
      <c r="AX1432" s="172"/>
      <c r="AY1432" s="172"/>
      <c r="AZ1432" s="172"/>
      <c r="BA1432" s="172"/>
      <c r="BB1432" s="172"/>
      <c r="BC1432" s="172"/>
      <c r="BD1432" s="172"/>
      <c r="BE1432" s="172"/>
      <c r="BF1432" s="172"/>
      <c r="BG1432" s="172"/>
      <c r="BH1432" s="172"/>
      <c r="BI1432" s="172"/>
      <c r="BJ1432" s="172"/>
      <c r="BK1432" s="172"/>
      <c r="BL1432" s="172"/>
      <c r="BM1432" s="172"/>
      <c r="BN1432" s="172"/>
      <c r="BO1432" s="172"/>
      <c r="BP1432" s="172"/>
    </row>
    <row r="1433" spans="1:68" s="555" customFormat="1" ht="409.6">
      <c r="A1433" s="172"/>
      <c r="E1433" s="954"/>
      <c r="F1433" s="1334"/>
      <c r="I1433" s="382"/>
      <c r="J1433" s="172"/>
      <c r="K1433" s="1189"/>
      <c r="P1433" s="643"/>
      <c r="AT1433" s="172"/>
      <c r="AU1433" s="172"/>
      <c r="AV1433" s="172"/>
      <c r="AW1433" s="172"/>
      <c r="AX1433" s="172"/>
      <c r="AY1433" s="172"/>
      <c r="AZ1433" s="172"/>
      <c r="BA1433" s="172"/>
      <c r="BB1433" s="172"/>
      <c r="BC1433" s="172"/>
      <c r="BD1433" s="172"/>
      <c r="BE1433" s="172"/>
      <c r="BF1433" s="172"/>
      <c r="BG1433" s="172"/>
      <c r="BH1433" s="172"/>
      <c r="BI1433" s="172"/>
      <c r="BJ1433" s="172"/>
      <c r="BK1433" s="172"/>
      <c r="BL1433" s="172"/>
      <c r="BM1433" s="172"/>
      <c r="BN1433" s="172"/>
      <c r="BO1433" s="172"/>
      <c r="BP1433" s="172"/>
    </row>
    <row r="1434" spans="1:68" s="555" customFormat="1" ht="409.6">
      <c r="A1434" s="172"/>
      <c r="E1434" s="954"/>
      <c r="F1434" s="1334"/>
      <c r="I1434" s="382"/>
      <c r="J1434" s="172"/>
      <c r="K1434" s="1189"/>
      <c r="P1434" s="643"/>
      <c r="AT1434" s="172"/>
      <c r="AU1434" s="172"/>
      <c r="AV1434" s="172"/>
      <c r="AW1434" s="172"/>
      <c r="AX1434" s="172"/>
      <c r="AY1434" s="172"/>
      <c r="AZ1434" s="172"/>
      <c r="BA1434" s="172"/>
      <c r="BB1434" s="172"/>
      <c r="BC1434" s="172"/>
      <c r="BD1434" s="172"/>
      <c r="BE1434" s="172"/>
      <c r="BF1434" s="172"/>
      <c r="BG1434" s="172"/>
      <c r="BH1434" s="172"/>
      <c r="BI1434" s="172"/>
      <c r="BJ1434" s="172"/>
      <c r="BK1434" s="172"/>
      <c r="BL1434" s="172"/>
      <c r="BM1434" s="172"/>
      <c r="BN1434" s="172"/>
      <c r="BO1434" s="172"/>
      <c r="BP1434" s="172"/>
    </row>
    <row r="1435" spans="1:68" s="555" customFormat="1" ht="409.6">
      <c r="A1435" s="172"/>
      <c r="E1435" s="954"/>
      <c r="F1435" s="1334"/>
      <c r="I1435" s="382"/>
      <c r="J1435" s="172"/>
      <c r="K1435" s="1189"/>
      <c r="P1435" s="643"/>
      <c r="AT1435" s="172"/>
      <c r="AU1435" s="172"/>
      <c r="AV1435" s="172"/>
      <c r="AW1435" s="172"/>
      <c r="AX1435" s="172"/>
      <c r="AY1435" s="172"/>
      <c r="AZ1435" s="172"/>
      <c r="BA1435" s="172"/>
      <c r="BB1435" s="172"/>
      <c r="BC1435" s="172"/>
      <c r="BD1435" s="172"/>
      <c r="BE1435" s="172"/>
      <c r="BF1435" s="172"/>
      <c r="BG1435" s="172"/>
      <c r="BH1435" s="172"/>
      <c r="BI1435" s="172"/>
      <c r="BJ1435" s="172"/>
      <c r="BK1435" s="172"/>
      <c r="BL1435" s="172"/>
      <c r="BM1435" s="172"/>
      <c r="BN1435" s="172"/>
      <c r="BO1435" s="172"/>
      <c r="BP1435" s="172"/>
    </row>
    <row r="1436" spans="1:68" s="555" customFormat="1" ht="409.6">
      <c r="A1436" s="172"/>
      <c r="E1436" s="954"/>
      <c r="F1436" s="1334"/>
      <c r="I1436" s="382"/>
      <c r="J1436" s="172"/>
      <c r="K1436" s="1189"/>
      <c r="P1436" s="643"/>
      <c r="AT1436" s="172"/>
      <c r="AU1436" s="172"/>
      <c r="AV1436" s="172"/>
      <c r="AW1436" s="172"/>
      <c r="AX1436" s="172"/>
      <c r="AY1436" s="172"/>
      <c r="AZ1436" s="172"/>
      <c r="BA1436" s="172"/>
      <c r="BB1436" s="172"/>
      <c r="BC1436" s="172"/>
      <c r="BD1436" s="172"/>
      <c r="BE1436" s="172"/>
      <c r="BF1436" s="172"/>
      <c r="BG1436" s="172"/>
      <c r="BH1436" s="172"/>
      <c r="BI1436" s="172"/>
      <c r="BJ1436" s="172"/>
      <c r="BK1436" s="172"/>
      <c r="BL1436" s="172"/>
      <c r="BM1436" s="172"/>
      <c r="BN1436" s="172"/>
      <c r="BO1436" s="172"/>
      <c r="BP1436" s="172"/>
    </row>
    <row r="1437" spans="1:68" s="555" customFormat="1" ht="409.6">
      <c r="A1437" s="172"/>
      <c r="E1437" s="954"/>
      <c r="F1437" s="1334"/>
      <c r="I1437" s="382"/>
      <c r="J1437" s="172"/>
      <c r="K1437" s="1189"/>
      <c r="P1437" s="643"/>
      <c r="AT1437" s="172"/>
      <c r="AU1437" s="172"/>
      <c r="AV1437" s="172"/>
      <c r="AW1437" s="172"/>
      <c r="AX1437" s="172"/>
      <c r="AY1437" s="172"/>
      <c r="AZ1437" s="172"/>
      <c r="BA1437" s="172"/>
      <c r="BB1437" s="172"/>
      <c r="BC1437" s="172"/>
      <c r="BD1437" s="172"/>
      <c r="BE1437" s="172"/>
      <c r="BF1437" s="172"/>
      <c r="BG1437" s="172"/>
      <c r="BH1437" s="172"/>
      <c r="BI1437" s="172"/>
      <c r="BJ1437" s="172"/>
      <c r="BK1437" s="172"/>
      <c r="BL1437" s="172"/>
      <c r="BM1437" s="172"/>
      <c r="BN1437" s="172"/>
      <c r="BO1437" s="172"/>
      <c r="BP1437" s="172"/>
    </row>
    <row r="1438" spans="1:68" s="555" customFormat="1" ht="409.6">
      <c r="A1438" s="172"/>
      <c r="E1438" s="954"/>
      <c r="F1438" s="1334"/>
      <c r="I1438" s="382"/>
      <c r="J1438" s="172"/>
      <c r="K1438" s="1189"/>
      <c r="P1438" s="643"/>
      <c r="AT1438" s="172"/>
      <c r="AU1438" s="172"/>
      <c r="AV1438" s="172"/>
      <c r="AW1438" s="172"/>
      <c r="AX1438" s="172"/>
      <c r="AY1438" s="172"/>
      <c r="AZ1438" s="172"/>
      <c r="BA1438" s="172"/>
      <c r="BB1438" s="172"/>
      <c r="BC1438" s="172"/>
      <c r="BD1438" s="172"/>
      <c r="BE1438" s="172"/>
      <c r="BF1438" s="172"/>
      <c r="BG1438" s="172"/>
      <c r="BH1438" s="172"/>
      <c r="BI1438" s="172"/>
      <c r="BJ1438" s="172"/>
      <c r="BK1438" s="172"/>
      <c r="BL1438" s="172"/>
      <c r="BM1438" s="172"/>
      <c r="BN1438" s="172"/>
      <c r="BO1438" s="172"/>
      <c r="BP1438" s="172"/>
    </row>
    <row r="1439" spans="1:68" s="555" customFormat="1" ht="409.6">
      <c r="A1439" s="172"/>
      <c r="E1439" s="954"/>
      <c r="F1439" s="1334"/>
      <c r="I1439" s="382"/>
      <c r="J1439" s="172"/>
      <c r="K1439" s="1189"/>
      <c r="P1439" s="643"/>
      <c r="AT1439" s="172"/>
      <c r="AU1439" s="172"/>
      <c r="AV1439" s="172"/>
      <c r="AW1439" s="172"/>
      <c r="AX1439" s="172"/>
      <c r="AY1439" s="172"/>
      <c r="AZ1439" s="172"/>
      <c r="BA1439" s="172"/>
      <c r="BB1439" s="172"/>
      <c r="BC1439" s="172"/>
      <c r="BD1439" s="172"/>
      <c r="BE1439" s="172"/>
      <c r="BF1439" s="172"/>
      <c r="BG1439" s="172"/>
      <c r="BH1439" s="172"/>
      <c r="BI1439" s="172"/>
      <c r="BJ1439" s="172"/>
      <c r="BK1439" s="172"/>
      <c r="BL1439" s="172"/>
      <c r="BM1439" s="172"/>
      <c r="BN1439" s="172"/>
      <c r="BO1439" s="172"/>
      <c r="BP1439" s="172"/>
    </row>
    <row r="1440" spans="1:68" s="555" customFormat="1" ht="409.6">
      <c r="A1440" s="172"/>
      <c r="E1440" s="954"/>
      <c r="F1440" s="1334"/>
      <c r="I1440" s="382"/>
      <c r="J1440" s="172"/>
      <c r="K1440" s="1189"/>
      <c r="P1440" s="643"/>
      <c r="AT1440" s="172"/>
      <c r="AU1440" s="172"/>
      <c r="AV1440" s="172"/>
      <c r="AW1440" s="172"/>
      <c r="AX1440" s="172"/>
      <c r="AY1440" s="172"/>
      <c r="AZ1440" s="172"/>
      <c r="BA1440" s="172"/>
      <c r="BB1440" s="172"/>
      <c r="BC1440" s="172"/>
      <c r="BD1440" s="172"/>
      <c r="BE1440" s="172"/>
      <c r="BF1440" s="172"/>
      <c r="BG1440" s="172"/>
      <c r="BH1440" s="172"/>
      <c r="BI1440" s="172"/>
      <c r="BJ1440" s="172"/>
      <c r="BK1440" s="172"/>
      <c r="BL1440" s="172"/>
      <c r="BM1440" s="172"/>
      <c r="BN1440" s="172"/>
      <c r="BO1440" s="172"/>
      <c r="BP1440" s="172"/>
    </row>
    <row r="1441" spans="1:68" s="555" customFormat="1" ht="409.6">
      <c r="A1441" s="172"/>
      <c r="E1441" s="954"/>
      <c r="F1441" s="1334"/>
      <c r="I1441" s="382"/>
      <c r="J1441" s="172"/>
      <c r="K1441" s="1189"/>
      <c r="P1441" s="643"/>
      <c r="AT1441" s="172"/>
      <c r="AU1441" s="172"/>
      <c r="AV1441" s="172"/>
      <c r="AW1441" s="172"/>
      <c r="AX1441" s="172"/>
      <c r="AY1441" s="172"/>
      <c r="AZ1441" s="172"/>
      <c r="BA1441" s="172"/>
      <c r="BB1441" s="172"/>
      <c r="BC1441" s="172"/>
      <c r="BD1441" s="172"/>
      <c r="BE1441" s="172"/>
      <c r="BF1441" s="172"/>
      <c r="BG1441" s="172"/>
      <c r="BH1441" s="172"/>
      <c r="BI1441" s="172"/>
      <c r="BJ1441" s="172"/>
      <c r="BK1441" s="172"/>
      <c r="BL1441" s="172"/>
      <c r="BM1441" s="172"/>
      <c r="BN1441" s="172"/>
      <c r="BO1441" s="172"/>
      <c r="BP1441" s="172"/>
    </row>
    <row r="1442" spans="1:68" s="555" customFormat="1" ht="409.6">
      <c r="A1442" s="172"/>
      <c r="E1442" s="954"/>
      <c r="F1442" s="1334"/>
      <c r="I1442" s="382"/>
      <c r="J1442" s="172"/>
      <c r="K1442" s="1189"/>
      <c r="P1442" s="643"/>
      <c r="AT1442" s="172"/>
      <c r="AU1442" s="172"/>
      <c r="AV1442" s="172"/>
      <c r="AW1442" s="172"/>
      <c r="AX1442" s="172"/>
      <c r="AY1442" s="172"/>
      <c r="AZ1442" s="172"/>
      <c r="BA1442" s="172"/>
      <c r="BB1442" s="172"/>
      <c r="BC1442" s="172"/>
      <c r="BD1442" s="172"/>
      <c r="BE1442" s="172"/>
      <c r="BF1442" s="172"/>
      <c r="BG1442" s="172"/>
      <c r="BH1442" s="172"/>
      <c r="BI1442" s="172"/>
      <c r="BJ1442" s="172"/>
      <c r="BK1442" s="172"/>
      <c r="BL1442" s="172"/>
      <c r="BM1442" s="172"/>
      <c r="BN1442" s="172"/>
      <c r="BO1442" s="172"/>
      <c r="BP1442" s="172"/>
    </row>
    <row r="1443" spans="1:68" s="555" customFormat="1" ht="409.6">
      <c r="A1443" s="172"/>
      <c r="E1443" s="954"/>
      <c r="F1443" s="1334"/>
      <c r="I1443" s="382"/>
      <c r="J1443" s="172"/>
      <c r="K1443" s="1189"/>
      <c r="P1443" s="643"/>
      <c r="AT1443" s="172"/>
      <c r="AU1443" s="172"/>
      <c r="AV1443" s="172"/>
      <c r="AW1443" s="172"/>
      <c r="AX1443" s="172"/>
      <c r="AY1443" s="172"/>
      <c r="AZ1443" s="172"/>
      <c r="BA1443" s="172"/>
      <c r="BB1443" s="172"/>
      <c r="BC1443" s="172"/>
      <c r="BD1443" s="172"/>
      <c r="BE1443" s="172"/>
      <c r="BF1443" s="172"/>
      <c r="BG1443" s="172"/>
      <c r="BH1443" s="172"/>
      <c r="BI1443" s="172"/>
      <c r="BJ1443" s="172"/>
      <c r="BK1443" s="172"/>
      <c r="BL1443" s="172"/>
      <c r="BM1443" s="172"/>
      <c r="BN1443" s="172"/>
      <c r="BO1443" s="172"/>
      <c r="BP1443" s="172"/>
    </row>
    <row r="1444" spans="1:68" s="555" customFormat="1" ht="409.6">
      <c r="A1444" s="172"/>
      <c r="E1444" s="954"/>
      <c r="F1444" s="1334"/>
      <c r="I1444" s="382"/>
      <c r="J1444" s="172"/>
      <c r="K1444" s="1189"/>
      <c r="P1444" s="643"/>
      <c r="AT1444" s="172"/>
      <c r="AU1444" s="172"/>
      <c r="AV1444" s="172"/>
      <c r="AW1444" s="172"/>
      <c r="AX1444" s="172"/>
      <c r="AY1444" s="172"/>
      <c r="AZ1444" s="172"/>
      <c r="BA1444" s="172"/>
      <c r="BB1444" s="172"/>
      <c r="BC1444" s="172"/>
      <c r="BD1444" s="172"/>
      <c r="BE1444" s="172"/>
      <c r="BF1444" s="172"/>
      <c r="BG1444" s="172"/>
      <c r="BH1444" s="172"/>
      <c r="BI1444" s="172"/>
      <c r="BJ1444" s="172"/>
      <c r="BK1444" s="172"/>
      <c r="BL1444" s="172"/>
      <c r="BM1444" s="172"/>
      <c r="BN1444" s="172"/>
      <c r="BO1444" s="172"/>
      <c r="BP1444" s="172"/>
    </row>
    <row r="1445" spans="1:68" s="555" customFormat="1" ht="409.6">
      <c r="A1445" s="172"/>
      <c r="E1445" s="954"/>
      <c r="F1445" s="1334"/>
      <c r="I1445" s="382"/>
      <c r="J1445" s="172"/>
      <c r="K1445" s="1189"/>
      <c r="P1445" s="643"/>
      <c r="AT1445" s="172"/>
      <c r="AU1445" s="172"/>
      <c r="AV1445" s="172"/>
      <c r="AW1445" s="172"/>
      <c r="AX1445" s="172"/>
      <c r="AY1445" s="172"/>
      <c r="AZ1445" s="172"/>
      <c r="BA1445" s="172"/>
      <c r="BB1445" s="172"/>
      <c r="BC1445" s="172"/>
      <c r="BD1445" s="172"/>
      <c r="BE1445" s="172"/>
      <c r="BF1445" s="172"/>
      <c r="BG1445" s="172"/>
      <c r="BH1445" s="172"/>
      <c r="BI1445" s="172"/>
      <c r="BJ1445" s="172"/>
      <c r="BK1445" s="172"/>
      <c r="BL1445" s="172"/>
      <c r="BM1445" s="172"/>
      <c r="BN1445" s="172"/>
      <c r="BO1445" s="172"/>
      <c r="BP1445" s="172"/>
    </row>
    <row r="1446" spans="1:68" s="555" customFormat="1" ht="409.6">
      <c r="A1446" s="172"/>
      <c r="E1446" s="954"/>
      <c r="F1446" s="1334"/>
      <c r="I1446" s="382"/>
      <c r="J1446" s="172"/>
      <c r="K1446" s="1189"/>
      <c r="P1446" s="643"/>
      <c r="AT1446" s="172"/>
      <c r="AU1446" s="172"/>
      <c r="AV1446" s="172"/>
      <c r="AW1446" s="172"/>
      <c r="AX1446" s="172"/>
      <c r="AY1446" s="172"/>
      <c r="AZ1446" s="172"/>
      <c r="BA1446" s="172"/>
      <c r="BB1446" s="172"/>
      <c r="BC1446" s="172"/>
      <c r="BD1446" s="172"/>
      <c r="BE1446" s="172"/>
      <c r="BF1446" s="172"/>
      <c r="BG1446" s="172"/>
      <c r="BH1446" s="172"/>
      <c r="BI1446" s="172"/>
      <c r="BJ1446" s="172"/>
      <c r="BK1446" s="172"/>
      <c r="BL1446" s="172"/>
      <c r="BM1446" s="172"/>
      <c r="BN1446" s="172"/>
      <c r="BO1446" s="172"/>
      <c r="BP1446" s="172"/>
    </row>
    <row r="1447" spans="1:68" s="555" customFormat="1" ht="409.6">
      <c r="A1447" s="172"/>
      <c r="E1447" s="954"/>
      <c r="F1447" s="1334"/>
      <c r="I1447" s="382"/>
      <c r="J1447" s="172"/>
      <c r="K1447" s="1189"/>
      <c r="P1447" s="643"/>
      <c r="AT1447" s="172"/>
      <c r="AU1447" s="172"/>
      <c r="AV1447" s="172"/>
      <c r="AW1447" s="172"/>
      <c r="AX1447" s="172"/>
      <c r="AY1447" s="172"/>
      <c r="AZ1447" s="172"/>
      <c r="BA1447" s="172"/>
      <c r="BB1447" s="172"/>
      <c r="BC1447" s="172"/>
      <c r="BD1447" s="172"/>
      <c r="BE1447" s="172"/>
      <c r="BF1447" s="172"/>
      <c r="BG1447" s="172"/>
      <c r="BH1447" s="172"/>
      <c r="BI1447" s="172"/>
      <c r="BJ1447" s="172"/>
      <c r="BK1447" s="172"/>
      <c r="BL1447" s="172"/>
      <c r="BM1447" s="172"/>
      <c r="BN1447" s="172"/>
      <c r="BO1447" s="172"/>
      <c r="BP1447" s="172"/>
    </row>
    <row r="1448" spans="1:68" s="555" customFormat="1" ht="409.6">
      <c r="A1448" s="172"/>
      <c r="E1448" s="954"/>
      <c r="F1448" s="1334"/>
      <c r="I1448" s="382"/>
      <c r="J1448" s="172"/>
      <c r="K1448" s="1189"/>
      <c r="P1448" s="643"/>
      <c r="AT1448" s="172"/>
      <c r="AU1448" s="172"/>
      <c r="AV1448" s="172"/>
      <c r="AW1448" s="172"/>
      <c r="AX1448" s="172"/>
      <c r="AY1448" s="172"/>
      <c r="AZ1448" s="172"/>
      <c r="BA1448" s="172"/>
      <c r="BB1448" s="172"/>
      <c r="BC1448" s="172"/>
      <c r="BD1448" s="172"/>
      <c r="BE1448" s="172"/>
      <c r="BF1448" s="172"/>
      <c r="BG1448" s="172"/>
      <c r="BH1448" s="172"/>
      <c r="BI1448" s="172"/>
      <c r="BJ1448" s="172"/>
      <c r="BK1448" s="172"/>
      <c r="BL1448" s="172"/>
      <c r="BM1448" s="172"/>
      <c r="BN1448" s="172"/>
      <c r="BO1448" s="172"/>
      <c r="BP1448" s="172"/>
    </row>
    <row r="1449" spans="1:68" s="555" customFormat="1" ht="409.6">
      <c r="A1449" s="172"/>
      <c r="E1449" s="954"/>
      <c r="F1449" s="1334"/>
      <c r="I1449" s="382"/>
      <c r="J1449" s="172"/>
      <c r="K1449" s="1189"/>
      <c r="P1449" s="643"/>
      <c r="AT1449" s="172"/>
      <c r="AU1449" s="172"/>
      <c r="AV1449" s="172"/>
      <c r="AW1449" s="172"/>
      <c r="AX1449" s="172"/>
      <c r="AY1449" s="172"/>
      <c r="AZ1449" s="172"/>
      <c r="BA1449" s="172"/>
      <c r="BB1449" s="172"/>
      <c r="BC1449" s="172"/>
      <c r="BD1449" s="172"/>
      <c r="BE1449" s="172"/>
      <c r="BF1449" s="172"/>
      <c r="BG1449" s="172"/>
      <c r="BH1449" s="172"/>
      <c r="BI1449" s="172"/>
      <c r="BJ1449" s="172"/>
      <c r="BK1449" s="172"/>
      <c r="BL1449" s="172"/>
      <c r="BM1449" s="172"/>
      <c r="BN1449" s="172"/>
      <c r="BO1449" s="172"/>
      <c r="BP1449" s="172"/>
    </row>
    <row r="1450" spans="1:68" s="555" customFormat="1" ht="409.6">
      <c r="A1450" s="172"/>
      <c r="E1450" s="954"/>
      <c r="F1450" s="1334"/>
      <c r="I1450" s="382"/>
      <c r="J1450" s="172"/>
      <c r="K1450" s="1189"/>
      <c r="P1450" s="643"/>
      <c r="AT1450" s="172"/>
      <c r="AU1450" s="172"/>
      <c r="AV1450" s="172"/>
      <c r="AW1450" s="172"/>
      <c r="AX1450" s="172"/>
      <c r="AY1450" s="172"/>
      <c r="AZ1450" s="172"/>
      <c r="BA1450" s="172"/>
      <c r="BB1450" s="172"/>
      <c r="BC1450" s="172"/>
      <c r="BD1450" s="172"/>
      <c r="BE1450" s="172"/>
      <c r="BF1450" s="172"/>
      <c r="BG1450" s="172"/>
      <c r="BH1450" s="172"/>
      <c r="BI1450" s="172"/>
      <c r="BJ1450" s="172"/>
      <c r="BK1450" s="172"/>
      <c r="BL1450" s="172"/>
      <c r="BM1450" s="172"/>
      <c r="BN1450" s="172"/>
      <c r="BO1450" s="172"/>
      <c r="BP1450" s="172"/>
    </row>
    <row r="1451" spans="1:68" s="555" customFormat="1" ht="409.6">
      <c r="A1451" s="172"/>
      <c r="E1451" s="954"/>
      <c r="F1451" s="1334"/>
      <c r="I1451" s="382"/>
      <c r="J1451" s="172"/>
      <c r="K1451" s="1189"/>
      <c r="P1451" s="643"/>
      <c r="AT1451" s="172"/>
      <c r="AU1451" s="172"/>
      <c r="AV1451" s="172"/>
      <c r="AW1451" s="172"/>
      <c r="AX1451" s="172"/>
      <c r="AY1451" s="172"/>
      <c r="AZ1451" s="172"/>
      <c r="BA1451" s="172"/>
      <c r="BB1451" s="172"/>
      <c r="BC1451" s="172"/>
      <c r="BD1451" s="172"/>
      <c r="BE1451" s="172"/>
      <c r="BF1451" s="172"/>
      <c r="BG1451" s="172"/>
      <c r="BH1451" s="172"/>
      <c r="BI1451" s="172"/>
      <c r="BJ1451" s="172"/>
      <c r="BK1451" s="172"/>
      <c r="BL1451" s="172"/>
      <c r="BM1451" s="172"/>
      <c r="BN1451" s="172"/>
      <c r="BO1451" s="172"/>
      <c r="BP1451" s="172"/>
    </row>
    <row r="1452" spans="1:68" s="555" customFormat="1" ht="409.6">
      <c r="A1452" s="172"/>
      <c r="E1452" s="954"/>
      <c r="F1452" s="1334"/>
      <c r="I1452" s="382"/>
      <c r="J1452" s="172"/>
      <c r="K1452" s="1189"/>
      <c r="P1452" s="643"/>
      <c r="AT1452" s="172"/>
      <c r="AU1452" s="172"/>
      <c r="AV1452" s="172"/>
      <c r="AW1452" s="172"/>
      <c r="AX1452" s="172"/>
      <c r="AY1452" s="172"/>
      <c r="AZ1452" s="172"/>
      <c r="BA1452" s="172"/>
      <c r="BB1452" s="172"/>
      <c r="BC1452" s="172"/>
      <c r="BD1452" s="172"/>
      <c r="BE1452" s="172"/>
      <c r="BF1452" s="172"/>
      <c r="BG1452" s="172"/>
      <c r="BH1452" s="172"/>
      <c r="BI1452" s="172"/>
      <c r="BJ1452" s="172"/>
      <c r="BK1452" s="172"/>
      <c r="BL1452" s="172"/>
      <c r="BM1452" s="172"/>
      <c r="BN1452" s="172"/>
      <c r="BO1452" s="172"/>
      <c r="BP1452" s="172"/>
    </row>
    <row r="1453" spans="1:68" s="555" customFormat="1" ht="409.6">
      <c r="A1453" s="172"/>
      <c r="E1453" s="954"/>
      <c r="F1453" s="1334"/>
      <c r="I1453" s="382"/>
      <c r="J1453" s="172"/>
      <c r="K1453" s="1189"/>
      <c r="P1453" s="643"/>
      <c r="AT1453" s="172"/>
      <c r="AU1453" s="172"/>
      <c r="AV1453" s="172"/>
      <c r="AW1453" s="172"/>
      <c r="AX1453" s="172"/>
      <c r="AY1453" s="172"/>
      <c r="AZ1453" s="172"/>
      <c r="BA1453" s="172"/>
      <c r="BB1453" s="172"/>
      <c r="BC1453" s="172"/>
      <c r="BD1453" s="172"/>
      <c r="BE1453" s="172"/>
      <c r="BF1453" s="172"/>
      <c r="BG1453" s="172"/>
      <c r="BH1453" s="172"/>
      <c r="BI1453" s="172"/>
      <c r="BJ1453" s="172"/>
      <c r="BK1453" s="172"/>
      <c r="BL1453" s="172"/>
      <c r="BM1453" s="172"/>
      <c r="BN1453" s="172"/>
      <c r="BO1453" s="172"/>
      <c r="BP1453" s="172"/>
    </row>
    <row r="1454" spans="1:68" s="555" customFormat="1" ht="409.6">
      <c r="A1454" s="172"/>
      <c r="E1454" s="954"/>
      <c r="F1454" s="1334"/>
      <c r="I1454" s="382"/>
      <c r="J1454" s="172"/>
      <c r="K1454" s="1189"/>
      <c r="P1454" s="643"/>
      <c r="AT1454" s="172"/>
      <c r="AU1454" s="172"/>
      <c r="AV1454" s="172"/>
      <c r="AW1454" s="172"/>
      <c r="AX1454" s="172"/>
      <c r="AY1454" s="172"/>
      <c r="AZ1454" s="172"/>
      <c r="BA1454" s="172"/>
      <c r="BB1454" s="172"/>
      <c r="BC1454" s="172"/>
      <c r="BD1454" s="172"/>
      <c r="BE1454" s="172"/>
      <c r="BF1454" s="172"/>
      <c r="BG1454" s="172"/>
      <c r="BH1454" s="172"/>
      <c r="BI1454" s="172"/>
      <c r="BJ1454" s="172"/>
      <c r="BK1454" s="172"/>
      <c r="BL1454" s="172"/>
      <c r="BM1454" s="172"/>
      <c r="BN1454" s="172"/>
      <c r="BO1454" s="172"/>
      <c r="BP1454" s="172"/>
    </row>
    <row r="1455" spans="1:68" s="555" customFormat="1" ht="409.6">
      <c r="A1455" s="172"/>
      <c r="E1455" s="954"/>
      <c r="F1455" s="1334"/>
      <c r="I1455" s="382"/>
      <c r="J1455" s="172"/>
      <c r="K1455" s="1189"/>
      <c r="P1455" s="643"/>
      <c r="AT1455" s="172"/>
      <c r="AU1455" s="172"/>
      <c r="AV1455" s="172"/>
      <c r="AW1455" s="172"/>
      <c r="AX1455" s="172"/>
      <c r="AY1455" s="172"/>
      <c r="AZ1455" s="172"/>
      <c r="BA1455" s="172"/>
      <c r="BB1455" s="172"/>
      <c r="BC1455" s="172"/>
      <c r="BD1455" s="172"/>
      <c r="BE1455" s="172"/>
      <c r="BF1455" s="172"/>
      <c r="BG1455" s="172"/>
      <c r="BH1455" s="172"/>
      <c r="BI1455" s="172"/>
      <c r="BJ1455" s="172"/>
      <c r="BK1455" s="172"/>
      <c r="BL1455" s="172"/>
      <c r="BM1455" s="172"/>
      <c r="BN1455" s="172"/>
      <c r="BO1455" s="172"/>
      <c r="BP1455" s="172"/>
    </row>
    <row r="1456" spans="1:68" s="555" customFormat="1" ht="409.6">
      <c r="A1456" s="172"/>
      <c r="E1456" s="954"/>
      <c r="F1456" s="1334"/>
      <c r="I1456" s="382"/>
      <c r="J1456" s="172"/>
      <c r="K1456" s="1189"/>
      <c r="P1456" s="643"/>
      <c r="AT1456" s="172"/>
      <c r="AU1456" s="172"/>
      <c r="AV1456" s="172"/>
      <c r="AW1456" s="172"/>
      <c r="AX1456" s="172"/>
      <c r="AY1456" s="172"/>
      <c r="AZ1456" s="172"/>
      <c r="BA1456" s="172"/>
      <c r="BB1456" s="172"/>
      <c r="BC1456" s="172"/>
      <c r="BD1456" s="172"/>
      <c r="BE1456" s="172"/>
      <c r="BF1456" s="172"/>
      <c r="BG1456" s="172"/>
      <c r="BH1456" s="172"/>
      <c r="BI1456" s="172"/>
      <c r="BJ1456" s="172"/>
      <c r="BK1456" s="172"/>
      <c r="BL1456" s="172"/>
      <c r="BM1456" s="172"/>
      <c r="BN1456" s="172"/>
      <c r="BO1456" s="172"/>
      <c r="BP1456" s="172"/>
    </row>
    <row r="1457" spans="1:68" s="555" customFormat="1" ht="409.6">
      <c r="A1457" s="172"/>
      <c r="E1457" s="954"/>
      <c r="F1457" s="1334"/>
      <c r="I1457" s="382"/>
      <c r="J1457" s="172"/>
      <c r="K1457" s="1189"/>
      <c r="P1457" s="643"/>
      <c r="AT1457" s="172"/>
      <c r="AU1457" s="172"/>
      <c r="AV1457" s="172"/>
      <c r="AW1457" s="172"/>
      <c r="AX1457" s="172"/>
      <c r="AY1457" s="172"/>
      <c r="AZ1457" s="172"/>
      <c r="BA1457" s="172"/>
      <c r="BB1457" s="172"/>
      <c r="BC1457" s="172"/>
      <c r="BD1457" s="172"/>
      <c r="BE1457" s="172"/>
      <c r="BF1457" s="172"/>
      <c r="BG1457" s="172"/>
      <c r="BH1457" s="172"/>
      <c r="BI1457" s="172"/>
      <c r="BJ1457" s="172"/>
      <c r="BK1457" s="172"/>
      <c r="BL1457" s="172"/>
      <c r="BM1457" s="172"/>
      <c r="BN1457" s="172"/>
      <c r="BO1457" s="172"/>
      <c r="BP1457" s="172"/>
    </row>
    <row r="1458" spans="1:68" s="555" customFormat="1" ht="409.6">
      <c r="A1458" s="172"/>
      <c r="E1458" s="954"/>
      <c r="F1458" s="1334"/>
      <c r="I1458" s="382"/>
      <c r="J1458" s="172"/>
      <c r="K1458" s="1189"/>
      <c r="P1458" s="643"/>
      <c r="AT1458" s="172"/>
      <c r="AU1458" s="172"/>
      <c r="AV1458" s="172"/>
      <c r="AW1458" s="172"/>
      <c r="AX1458" s="172"/>
      <c r="AY1458" s="172"/>
      <c r="AZ1458" s="172"/>
      <c r="BA1458" s="172"/>
      <c r="BB1458" s="172"/>
      <c r="BC1458" s="172"/>
      <c r="BD1458" s="172"/>
      <c r="BE1458" s="172"/>
      <c r="BF1458" s="172"/>
      <c r="BG1458" s="172"/>
      <c r="BH1458" s="172"/>
      <c r="BI1458" s="172"/>
      <c r="BJ1458" s="172"/>
      <c r="BK1458" s="172"/>
      <c r="BL1458" s="172"/>
      <c r="BM1458" s="172"/>
      <c r="BN1458" s="172"/>
      <c r="BO1458" s="172"/>
      <c r="BP1458" s="172"/>
    </row>
    <row r="1459" spans="1:68" s="555" customFormat="1" ht="409.6">
      <c r="A1459" s="172"/>
      <c r="E1459" s="954"/>
      <c r="F1459" s="1334"/>
      <c r="I1459" s="382"/>
      <c r="J1459" s="172"/>
      <c r="K1459" s="1189"/>
      <c r="P1459" s="643"/>
      <c r="AT1459" s="172"/>
      <c r="AU1459" s="172"/>
      <c r="AV1459" s="172"/>
      <c r="AW1459" s="172"/>
      <c r="AX1459" s="172"/>
      <c r="AY1459" s="172"/>
      <c r="AZ1459" s="172"/>
      <c r="BA1459" s="172"/>
      <c r="BB1459" s="172"/>
      <c r="BC1459" s="172"/>
      <c r="BD1459" s="172"/>
      <c r="BE1459" s="172"/>
      <c r="BF1459" s="172"/>
      <c r="BG1459" s="172"/>
      <c r="BH1459" s="172"/>
      <c r="BI1459" s="172"/>
      <c r="BJ1459" s="172"/>
      <c r="BK1459" s="172"/>
      <c r="BL1459" s="172"/>
      <c r="BM1459" s="172"/>
      <c r="BN1459" s="172"/>
      <c r="BO1459" s="172"/>
      <c r="BP1459" s="172"/>
    </row>
    <row r="1460" spans="1:68" s="555" customFormat="1" ht="409.6">
      <c r="A1460" s="172"/>
      <c r="E1460" s="954"/>
      <c r="F1460" s="1334"/>
      <c r="I1460" s="382"/>
      <c r="J1460" s="172"/>
      <c r="K1460" s="1189"/>
      <c r="P1460" s="643"/>
      <c r="AT1460" s="172"/>
      <c r="AU1460" s="172"/>
      <c r="AV1460" s="172"/>
      <c r="AW1460" s="172"/>
      <c r="AX1460" s="172"/>
      <c r="AY1460" s="172"/>
      <c r="AZ1460" s="172"/>
      <c r="BA1460" s="172"/>
      <c r="BB1460" s="172"/>
      <c r="BC1460" s="172"/>
      <c r="BD1460" s="172"/>
      <c r="BE1460" s="172"/>
      <c r="BF1460" s="172"/>
      <c r="BG1460" s="172"/>
      <c r="BH1460" s="172"/>
      <c r="BI1460" s="172"/>
      <c r="BJ1460" s="172"/>
      <c r="BK1460" s="172"/>
      <c r="BL1460" s="172"/>
      <c r="BM1460" s="172"/>
      <c r="BN1460" s="172"/>
      <c r="BO1460" s="172"/>
      <c r="BP1460" s="172"/>
    </row>
    <row r="1461" spans="1:68" s="555" customFormat="1" ht="409.6">
      <c r="A1461" s="172"/>
      <c r="E1461" s="954"/>
      <c r="F1461" s="1334"/>
      <c r="I1461" s="382"/>
      <c r="J1461" s="172"/>
      <c r="K1461" s="1189"/>
      <c r="P1461" s="643"/>
      <c r="AT1461" s="172"/>
      <c r="AU1461" s="172"/>
      <c r="AV1461" s="172"/>
      <c r="AW1461" s="172"/>
      <c r="AX1461" s="172"/>
      <c r="AY1461" s="172"/>
      <c r="AZ1461" s="172"/>
      <c r="BA1461" s="172"/>
      <c r="BB1461" s="172"/>
      <c r="BC1461" s="172"/>
      <c r="BD1461" s="172"/>
      <c r="BE1461" s="172"/>
      <c r="BF1461" s="172"/>
      <c r="BG1461" s="172"/>
      <c r="BH1461" s="172"/>
      <c r="BI1461" s="172"/>
      <c r="BJ1461" s="172"/>
      <c r="BK1461" s="172"/>
      <c r="BL1461" s="172"/>
      <c r="BM1461" s="172"/>
      <c r="BN1461" s="172"/>
      <c r="BO1461" s="172"/>
      <c r="BP1461" s="172"/>
    </row>
    <row r="1462" spans="1:68" s="555" customFormat="1" ht="409.6">
      <c r="A1462" s="172"/>
      <c r="E1462" s="954"/>
      <c r="F1462" s="1334"/>
      <c r="I1462" s="382"/>
      <c r="J1462" s="172"/>
      <c r="K1462" s="1189"/>
      <c r="P1462" s="643"/>
      <c r="AT1462" s="172"/>
      <c r="AU1462" s="172"/>
      <c r="AV1462" s="172"/>
      <c r="AW1462" s="172"/>
      <c r="AX1462" s="172"/>
      <c r="AY1462" s="172"/>
      <c r="AZ1462" s="172"/>
      <c r="BA1462" s="172"/>
      <c r="BB1462" s="172"/>
      <c r="BC1462" s="172"/>
      <c r="BD1462" s="172"/>
      <c r="BE1462" s="172"/>
      <c r="BF1462" s="172"/>
      <c r="BG1462" s="172"/>
      <c r="BH1462" s="172"/>
      <c r="BI1462" s="172"/>
      <c r="BJ1462" s="172"/>
      <c r="BK1462" s="172"/>
      <c r="BL1462" s="172"/>
      <c r="BM1462" s="172"/>
      <c r="BN1462" s="172"/>
      <c r="BO1462" s="172"/>
      <c r="BP1462" s="172"/>
    </row>
    <row r="1463" spans="1:68" s="555" customFormat="1" ht="409.6">
      <c r="A1463" s="172"/>
      <c r="E1463" s="954"/>
      <c r="F1463" s="1334"/>
      <c r="I1463" s="382"/>
      <c r="J1463" s="172"/>
      <c r="K1463" s="1189"/>
      <c r="P1463" s="643"/>
      <c r="AT1463" s="172"/>
      <c r="AU1463" s="172"/>
      <c r="AV1463" s="172"/>
      <c r="AW1463" s="172"/>
      <c r="AX1463" s="172"/>
      <c r="AY1463" s="172"/>
      <c r="AZ1463" s="172"/>
      <c r="BA1463" s="172"/>
      <c r="BB1463" s="172"/>
      <c r="BC1463" s="172"/>
      <c r="BD1463" s="172"/>
      <c r="BE1463" s="172"/>
      <c r="BF1463" s="172"/>
      <c r="BG1463" s="172"/>
      <c r="BH1463" s="172"/>
      <c r="BI1463" s="172"/>
      <c r="BJ1463" s="172"/>
      <c r="BK1463" s="172"/>
      <c r="BL1463" s="172"/>
      <c r="BM1463" s="172"/>
      <c r="BN1463" s="172"/>
      <c r="BO1463" s="172"/>
      <c r="BP1463" s="172"/>
    </row>
    <row r="1464" spans="1:68" s="555" customFormat="1" ht="409.6">
      <c r="A1464" s="172"/>
      <c r="E1464" s="954"/>
      <c r="F1464" s="1334"/>
      <c r="I1464" s="382"/>
      <c r="J1464" s="172"/>
      <c r="K1464" s="1189"/>
      <c r="P1464" s="643"/>
      <c r="AT1464" s="172"/>
      <c r="AU1464" s="172"/>
      <c r="AV1464" s="172"/>
      <c r="AW1464" s="172"/>
      <c r="AX1464" s="172"/>
      <c r="AY1464" s="172"/>
      <c r="AZ1464" s="172"/>
      <c r="BA1464" s="172"/>
      <c r="BB1464" s="172"/>
      <c r="BC1464" s="172"/>
      <c r="BD1464" s="172"/>
      <c r="BE1464" s="172"/>
      <c r="BF1464" s="172"/>
      <c r="BG1464" s="172"/>
      <c r="BH1464" s="172"/>
      <c r="BI1464" s="172"/>
      <c r="BJ1464" s="172"/>
      <c r="BK1464" s="172"/>
      <c r="BL1464" s="172"/>
      <c r="BM1464" s="172"/>
      <c r="BN1464" s="172"/>
      <c r="BO1464" s="172"/>
      <c r="BP1464" s="172"/>
    </row>
    <row r="1465" spans="1:68" s="555" customFormat="1" ht="409.6">
      <c r="A1465" s="172"/>
      <c r="E1465" s="954"/>
      <c r="F1465" s="1334"/>
      <c r="I1465" s="382"/>
      <c r="J1465" s="172"/>
      <c r="K1465" s="1189"/>
      <c r="P1465" s="643"/>
      <c r="AT1465" s="172"/>
      <c r="AU1465" s="172"/>
      <c r="AV1465" s="172"/>
      <c r="AW1465" s="172"/>
      <c r="AX1465" s="172"/>
      <c r="AY1465" s="172"/>
      <c r="AZ1465" s="172"/>
      <c r="BA1465" s="172"/>
      <c r="BB1465" s="172"/>
      <c r="BC1465" s="172"/>
      <c r="BD1465" s="172"/>
      <c r="BE1465" s="172"/>
      <c r="BF1465" s="172"/>
      <c r="BG1465" s="172"/>
      <c r="BH1465" s="172"/>
      <c r="BI1465" s="172"/>
      <c r="BJ1465" s="172"/>
      <c r="BK1465" s="172"/>
      <c r="BL1465" s="172"/>
      <c r="BM1465" s="172"/>
      <c r="BN1465" s="172"/>
      <c r="BO1465" s="172"/>
      <c r="BP1465" s="172"/>
    </row>
    <row r="1466" spans="1:68" s="555" customFormat="1" ht="409.6">
      <c r="A1466" s="172"/>
      <c r="E1466" s="954"/>
      <c r="F1466" s="1334"/>
      <c r="I1466" s="382"/>
      <c r="J1466" s="172"/>
      <c r="K1466" s="1189"/>
      <c r="P1466" s="643"/>
      <c r="AT1466" s="172"/>
      <c r="AU1466" s="172"/>
      <c r="AV1466" s="172"/>
      <c r="AW1466" s="172"/>
      <c r="AX1466" s="172"/>
      <c r="AY1466" s="172"/>
      <c r="AZ1466" s="172"/>
      <c r="BA1466" s="172"/>
      <c r="BB1466" s="172"/>
      <c r="BC1466" s="172"/>
      <c r="BD1466" s="172"/>
      <c r="BE1466" s="172"/>
      <c r="BF1466" s="172"/>
      <c r="BG1466" s="172"/>
      <c r="BH1466" s="172"/>
      <c r="BI1466" s="172"/>
      <c r="BJ1466" s="172"/>
      <c r="BK1466" s="172"/>
      <c r="BL1466" s="172"/>
      <c r="BM1466" s="172"/>
      <c r="BN1466" s="172"/>
      <c r="BO1466" s="172"/>
      <c r="BP1466" s="172"/>
    </row>
    <row r="1467" spans="1:68" s="555" customFormat="1" ht="409.6">
      <c r="A1467" s="172"/>
      <c r="E1467" s="954"/>
      <c r="F1467" s="1334"/>
      <c r="I1467" s="382"/>
      <c r="J1467" s="172"/>
      <c r="K1467" s="1189"/>
      <c r="P1467" s="643"/>
      <c r="AT1467" s="172"/>
      <c r="AU1467" s="172"/>
      <c r="AV1467" s="172"/>
      <c r="AW1467" s="172"/>
      <c r="AX1467" s="172"/>
      <c r="AY1467" s="172"/>
      <c r="AZ1467" s="172"/>
      <c r="BA1467" s="172"/>
      <c r="BB1467" s="172"/>
      <c r="BC1467" s="172"/>
      <c r="BD1467" s="172"/>
      <c r="BE1467" s="172"/>
      <c r="BF1467" s="172"/>
      <c r="BG1467" s="172"/>
      <c r="BH1467" s="172"/>
      <c r="BI1467" s="172"/>
      <c r="BJ1467" s="172"/>
      <c r="BK1467" s="172"/>
      <c r="BL1467" s="172"/>
      <c r="BM1467" s="172"/>
      <c r="BN1467" s="172"/>
      <c r="BO1467" s="172"/>
      <c r="BP1467" s="172"/>
    </row>
    <row r="1468" spans="1:68" s="555" customFormat="1" ht="409.6">
      <c r="A1468" s="172"/>
      <c r="E1468" s="954"/>
      <c r="F1468" s="1334"/>
      <c r="I1468" s="382"/>
      <c r="J1468" s="172"/>
      <c r="K1468" s="1189"/>
      <c r="P1468" s="643"/>
      <c r="AT1468" s="172"/>
      <c r="AU1468" s="172"/>
      <c r="AV1468" s="172"/>
      <c r="AW1468" s="172"/>
      <c r="AX1468" s="172"/>
      <c r="AY1468" s="172"/>
      <c r="AZ1468" s="172"/>
      <c r="BA1468" s="172"/>
      <c r="BB1468" s="172"/>
      <c r="BC1468" s="172"/>
      <c r="BD1468" s="172"/>
      <c r="BE1468" s="172"/>
      <c r="BF1468" s="172"/>
      <c r="BG1468" s="172"/>
      <c r="BH1468" s="172"/>
      <c r="BI1468" s="172"/>
      <c r="BJ1468" s="172"/>
      <c r="BK1468" s="172"/>
      <c r="BL1468" s="172"/>
      <c r="BM1468" s="172"/>
      <c r="BN1468" s="172"/>
      <c r="BO1468" s="172"/>
      <c r="BP1468" s="172"/>
    </row>
    <row r="1469" spans="1:68" s="555" customFormat="1" ht="409.6">
      <c r="A1469" s="172"/>
      <c r="E1469" s="954"/>
      <c r="F1469" s="1334"/>
      <c r="I1469" s="382"/>
      <c r="J1469" s="172"/>
      <c r="K1469" s="1189"/>
      <c r="P1469" s="643"/>
      <c r="AT1469" s="172"/>
      <c r="AU1469" s="172"/>
      <c r="AV1469" s="172"/>
      <c r="AW1469" s="172"/>
      <c r="AX1469" s="172"/>
      <c r="AY1469" s="172"/>
      <c r="AZ1469" s="172"/>
      <c r="BA1469" s="172"/>
      <c r="BB1469" s="172"/>
      <c r="BC1469" s="172"/>
      <c r="BD1469" s="172"/>
      <c r="BE1469" s="172"/>
      <c r="BF1469" s="172"/>
      <c r="BG1469" s="172"/>
      <c r="BH1469" s="172"/>
      <c r="BI1469" s="172"/>
      <c r="BJ1469" s="172"/>
      <c r="BK1469" s="172"/>
      <c r="BL1469" s="172"/>
      <c r="BM1469" s="172"/>
      <c r="BN1469" s="172"/>
      <c r="BO1469" s="172"/>
      <c r="BP1469" s="172"/>
    </row>
    <row r="1470" spans="1:68" s="555" customFormat="1" ht="409.6">
      <c r="A1470" s="172"/>
      <c r="E1470" s="954"/>
      <c r="F1470" s="1334"/>
      <c r="I1470" s="382"/>
      <c r="J1470" s="172"/>
      <c r="K1470" s="1189"/>
      <c r="P1470" s="643"/>
      <c r="AT1470" s="172"/>
      <c r="AU1470" s="172"/>
      <c r="AV1470" s="172"/>
      <c r="AW1470" s="172"/>
      <c r="AX1470" s="172"/>
      <c r="AY1470" s="172"/>
      <c r="AZ1470" s="172"/>
      <c r="BA1470" s="172"/>
      <c r="BB1470" s="172"/>
      <c r="BC1470" s="172"/>
      <c r="BD1470" s="172"/>
      <c r="BE1470" s="172"/>
      <c r="BF1470" s="172"/>
      <c r="BG1470" s="172"/>
      <c r="BH1470" s="172"/>
      <c r="BI1470" s="172"/>
      <c r="BJ1470" s="172"/>
      <c r="BK1470" s="172"/>
      <c r="BL1470" s="172"/>
      <c r="BM1470" s="172"/>
      <c r="BN1470" s="172"/>
      <c r="BO1470" s="172"/>
      <c r="BP1470" s="172"/>
    </row>
    <row r="1471" spans="1:68" s="555" customFormat="1" ht="409.6">
      <c r="A1471" s="172"/>
      <c r="E1471" s="954"/>
      <c r="F1471" s="1334"/>
      <c r="I1471" s="382"/>
      <c r="J1471" s="172"/>
      <c r="K1471" s="1189"/>
      <c r="P1471" s="643"/>
      <c r="AT1471" s="172"/>
      <c r="AU1471" s="172"/>
      <c r="AV1471" s="172"/>
      <c r="AW1471" s="172"/>
      <c r="AX1471" s="172"/>
      <c r="AY1471" s="172"/>
      <c r="AZ1471" s="172"/>
      <c r="BA1471" s="172"/>
      <c r="BB1471" s="172"/>
      <c r="BC1471" s="172"/>
      <c r="BD1471" s="172"/>
      <c r="BE1471" s="172"/>
      <c r="BF1471" s="172"/>
      <c r="BG1471" s="172"/>
      <c r="BH1471" s="172"/>
      <c r="BI1471" s="172"/>
      <c r="BJ1471" s="172"/>
      <c r="BK1471" s="172"/>
      <c r="BL1471" s="172"/>
      <c r="BM1471" s="172"/>
      <c r="BN1471" s="172"/>
      <c r="BO1471" s="172"/>
      <c r="BP1471" s="172"/>
    </row>
    <row r="1472" spans="1:68" s="555" customFormat="1" ht="409.6">
      <c r="A1472" s="172"/>
      <c r="E1472" s="954"/>
      <c r="F1472" s="1334"/>
      <c r="I1472" s="382"/>
      <c r="J1472" s="172"/>
      <c r="K1472" s="1189"/>
      <c r="P1472" s="643"/>
      <c r="AT1472" s="172"/>
      <c r="AU1472" s="172"/>
      <c r="AV1472" s="172"/>
      <c r="AW1472" s="172"/>
      <c r="AX1472" s="172"/>
      <c r="AY1472" s="172"/>
      <c r="AZ1472" s="172"/>
      <c r="BA1472" s="172"/>
      <c r="BB1472" s="172"/>
      <c r="BC1472" s="172"/>
      <c r="BD1472" s="172"/>
      <c r="BE1472" s="172"/>
      <c r="BF1472" s="172"/>
      <c r="BG1472" s="172"/>
      <c r="BH1472" s="172"/>
      <c r="BI1472" s="172"/>
      <c r="BJ1472" s="172"/>
      <c r="BK1472" s="172"/>
      <c r="BL1472" s="172"/>
      <c r="BM1472" s="172"/>
      <c r="BN1472" s="172"/>
      <c r="BO1472" s="172"/>
      <c r="BP1472" s="172"/>
    </row>
    <row r="1473" spans="1:68" s="555" customFormat="1" ht="409.6">
      <c r="A1473" s="172"/>
      <c r="E1473" s="954"/>
      <c r="F1473" s="1334"/>
      <c r="I1473" s="382"/>
      <c r="J1473" s="172"/>
      <c r="K1473" s="1189"/>
      <c r="P1473" s="643"/>
      <c r="AT1473" s="172"/>
      <c r="AU1473" s="172"/>
      <c r="AV1473" s="172"/>
      <c r="AW1473" s="172"/>
      <c r="AX1473" s="172"/>
      <c r="AY1473" s="172"/>
      <c r="AZ1473" s="172"/>
      <c r="BA1473" s="172"/>
      <c r="BB1473" s="172"/>
      <c r="BC1473" s="172"/>
      <c r="BD1473" s="172"/>
      <c r="BE1473" s="172"/>
      <c r="BF1473" s="172"/>
      <c r="BG1473" s="172"/>
      <c r="BH1473" s="172"/>
      <c r="BI1473" s="172"/>
      <c r="BJ1473" s="172"/>
      <c r="BK1473" s="172"/>
      <c r="BL1473" s="172"/>
      <c r="BM1473" s="172"/>
      <c r="BN1473" s="172"/>
      <c r="BO1473" s="172"/>
      <c r="BP1473" s="172"/>
    </row>
    <row r="1474" spans="1:68" s="555" customFormat="1" ht="409.6">
      <c r="A1474" s="172"/>
      <c r="E1474" s="954"/>
      <c r="F1474" s="1334"/>
      <c r="I1474" s="382"/>
      <c r="J1474" s="172"/>
      <c r="K1474" s="1189"/>
      <c r="P1474" s="643"/>
      <c r="AT1474" s="172"/>
      <c r="AU1474" s="172"/>
      <c r="AV1474" s="172"/>
      <c r="AW1474" s="172"/>
      <c r="AX1474" s="172"/>
      <c r="AY1474" s="172"/>
      <c r="AZ1474" s="172"/>
      <c r="BA1474" s="172"/>
      <c r="BB1474" s="172"/>
      <c r="BC1474" s="172"/>
      <c r="BD1474" s="172"/>
      <c r="BE1474" s="172"/>
      <c r="BF1474" s="172"/>
      <c r="BG1474" s="172"/>
      <c r="BH1474" s="172"/>
      <c r="BI1474" s="172"/>
      <c r="BJ1474" s="172"/>
      <c r="BK1474" s="172"/>
      <c r="BL1474" s="172"/>
      <c r="BM1474" s="172"/>
      <c r="BN1474" s="172"/>
      <c r="BO1474" s="172"/>
      <c r="BP1474" s="172"/>
    </row>
    <row r="1475" spans="1:68" s="555" customFormat="1" ht="409.6">
      <c r="A1475" s="172"/>
      <c r="E1475" s="954"/>
      <c r="F1475" s="1334"/>
      <c r="I1475" s="382"/>
      <c r="J1475" s="172"/>
      <c r="K1475" s="1189"/>
      <c r="P1475" s="643"/>
      <c r="AT1475" s="172"/>
      <c r="AU1475" s="172"/>
      <c r="AV1475" s="172"/>
      <c r="AW1475" s="172"/>
      <c r="AX1475" s="172"/>
      <c r="AY1475" s="172"/>
      <c r="AZ1475" s="172"/>
      <c r="BA1475" s="172"/>
      <c r="BB1475" s="172"/>
      <c r="BC1475" s="172"/>
      <c r="BD1475" s="172"/>
      <c r="BE1475" s="172"/>
      <c r="BF1475" s="172"/>
      <c r="BG1475" s="172"/>
      <c r="BH1475" s="172"/>
      <c r="BI1475" s="172"/>
      <c r="BJ1475" s="172"/>
      <c r="BK1475" s="172"/>
      <c r="BL1475" s="172"/>
      <c r="BM1475" s="172"/>
      <c r="BN1475" s="172"/>
      <c r="BO1475" s="172"/>
      <c r="BP1475" s="172"/>
    </row>
    <row r="1476" spans="1:68" s="555" customFormat="1" ht="409.6">
      <c r="A1476" s="172"/>
      <c r="E1476" s="954"/>
      <c r="F1476" s="1334"/>
      <c r="I1476" s="382"/>
      <c r="J1476" s="172"/>
      <c r="K1476" s="1189"/>
      <c r="P1476" s="643"/>
      <c r="AT1476" s="172"/>
      <c r="AU1476" s="172"/>
      <c r="AV1476" s="172"/>
      <c r="AW1476" s="172"/>
      <c r="AX1476" s="172"/>
      <c r="AY1476" s="172"/>
      <c r="AZ1476" s="172"/>
      <c r="BA1476" s="172"/>
      <c r="BB1476" s="172"/>
      <c r="BC1476" s="172"/>
      <c r="BD1476" s="172"/>
      <c r="BE1476" s="172"/>
      <c r="BF1476" s="172"/>
      <c r="BG1476" s="172"/>
      <c r="BH1476" s="172"/>
      <c r="BI1476" s="172"/>
      <c r="BJ1476" s="172"/>
      <c r="BK1476" s="172"/>
      <c r="BL1476" s="172"/>
      <c r="BM1476" s="172"/>
      <c r="BN1476" s="172"/>
      <c r="BO1476" s="172"/>
      <c r="BP1476" s="172"/>
    </row>
    <row r="1477" spans="1:68" s="555" customFormat="1" ht="409.6">
      <c r="A1477" s="172"/>
      <c r="E1477" s="954"/>
      <c r="F1477" s="1334"/>
      <c r="I1477" s="382"/>
      <c r="J1477" s="172"/>
      <c r="K1477" s="1189"/>
      <c r="P1477" s="643"/>
      <c r="AT1477" s="172"/>
      <c r="AU1477" s="172"/>
      <c r="AV1477" s="172"/>
      <c r="AW1477" s="172"/>
      <c r="AX1477" s="172"/>
      <c r="AY1477" s="172"/>
      <c r="AZ1477" s="172"/>
      <c r="BA1477" s="172"/>
      <c r="BB1477" s="172"/>
      <c r="BC1477" s="172"/>
      <c r="BD1477" s="172"/>
      <c r="BE1477" s="172"/>
      <c r="BF1477" s="172"/>
      <c r="BG1477" s="172"/>
      <c r="BH1477" s="172"/>
      <c r="BI1477" s="172"/>
      <c r="BJ1477" s="172"/>
      <c r="BK1477" s="172"/>
      <c r="BL1477" s="172"/>
      <c r="BM1477" s="172"/>
      <c r="BN1477" s="172"/>
      <c r="BO1477" s="172"/>
      <c r="BP1477" s="172"/>
    </row>
    <row r="1478" spans="1:68" s="555" customFormat="1" ht="409.6">
      <c r="A1478" s="172"/>
      <c r="E1478" s="954"/>
      <c r="F1478" s="1334"/>
      <c r="I1478" s="382"/>
      <c r="J1478" s="172"/>
      <c r="K1478" s="1189"/>
      <c r="P1478" s="643"/>
      <c r="AT1478" s="172"/>
      <c r="AU1478" s="172"/>
      <c r="AV1478" s="172"/>
      <c r="AW1478" s="172"/>
      <c r="AX1478" s="172"/>
      <c r="AY1478" s="172"/>
      <c r="AZ1478" s="172"/>
      <c r="BA1478" s="172"/>
      <c r="BB1478" s="172"/>
      <c r="BC1478" s="172"/>
      <c r="BD1478" s="172"/>
      <c r="BE1478" s="172"/>
      <c r="BF1478" s="172"/>
      <c r="BG1478" s="172"/>
      <c r="BH1478" s="172"/>
      <c r="BI1478" s="172"/>
      <c r="BJ1478" s="172"/>
      <c r="BK1478" s="172"/>
      <c r="BL1478" s="172"/>
      <c r="BM1478" s="172"/>
      <c r="BN1478" s="172"/>
      <c r="BO1478" s="172"/>
      <c r="BP1478" s="172"/>
    </row>
    <row r="1479" spans="1:68" s="555" customFormat="1" ht="409.6">
      <c r="A1479" s="172"/>
      <c r="E1479" s="954"/>
      <c r="F1479" s="1334"/>
      <c r="I1479" s="382"/>
      <c r="J1479" s="172"/>
      <c r="K1479" s="1189"/>
      <c r="P1479" s="643"/>
      <c r="AT1479" s="172"/>
      <c r="AU1479" s="172"/>
      <c r="AV1479" s="172"/>
      <c r="AW1479" s="172"/>
      <c r="AX1479" s="172"/>
      <c r="AY1479" s="172"/>
      <c r="AZ1479" s="172"/>
      <c r="BA1479" s="172"/>
      <c r="BB1479" s="172"/>
      <c r="BC1479" s="172"/>
      <c r="BD1479" s="172"/>
      <c r="BE1479" s="172"/>
      <c r="BF1479" s="172"/>
      <c r="BG1479" s="172"/>
      <c r="BH1479" s="172"/>
      <c r="BI1479" s="172"/>
      <c r="BJ1479" s="172"/>
      <c r="BK1479" s="172"/>
      <c r="BL1479" s="172"/>
      <c r="BM1479" s="172"/>
      <c r="BN1479" s="172"/>
      <c r="BO1479" s="172"/>
      <c r="BP1479" s="172"/>
    </row>
    <row r="1480" spans="1:68" s="555" customFormat="1" ht="409.6">
      <c r="A1480" s="172"/>
      <c r="E1480" s="954"/>
      <c r="F1480" s="1334"/>
      <c r="I1480" s="382"/>
      <c r="J1480" s="172"/>
      <c r="K1480" s="1189"/>
      <c r="P1480" s="643"/>
      <c r="AT1480" s="172"/>
      <c r="AU1480" s="172"/>
      <c r="AV1480" s="172"/>
      <c r="AW1480" s="172"/>
      <c r="AX1480" s="172"/>
      <c r="AY1480" s="172"/>
      <c r="AZ1480" s="172"/>
      <c r="BA1480" s="172"/>
      <c r="BB1480" s="172"/>
      <c r="BC1480" s="172"/>
      <c r="BD1480" s="172"/>
      <c r="BE1480" s="172"/>
      <c r="BF1480" s="172"/>
      <c r="BG1480" s="172"/>
      <c r="BH1480" s="172"/>
      <c r="BI1480" s="172"/>
      <c r="BJ1480" s="172"/>
      <c r="BK1480" s="172"/>
      <c r="BL1480" s="172"/>
      <c r="BM1480" s="172"/>
      <c r="BN1480" s="172"/>
      <c r="BO1480" s="172"/>
      <c r="BP1480" s="172"/>
    </row>
    <row r="1481" spans="1:68" s="555" customFormat="1" ht="409.6">
      <c r="A1481" s="172"/>
      <c r="E1481" s="954"/>
      <c r="F1481" s="1334"/>
      <c r="I1481" s="382"/>
      <c r="J1481" s="172"/>
      <c r="K1481" s="1189"/>
      <c r="P1481" s="643"/>
      <c r="AT1481" s="172"/>
      <c r="AU1481" s="172"/>
      <c r="AV1481" s="172"/>
      <c r="AW1481" s="172"/>
      <c r="AX1481" s="172"/>
      <c r="AY1481" s="172"/>
      <c r="AZ1481" s="172"/>
      <c r="BA1481" s="172"/>
      <c r="BB1481" s="172"/>
      <c r="BC1481" s="172"/>
      <c r="BD1481" s="172"/>
      <c r="BE1481" s="172"/>
      <c r="BF1481" s="172"/>
      <c r="BG1481" s="172"/>
      <c r="BH1481" s="172"/>
      <c r="BI1481" s="172"/>
      <c r="BJ1481" s="172"/>
      <c r="BK1481" s="172"/>
      <c r="BL1481" s="172"/>
      <c r="BM1481" s="172"/>
      <c r="BN1481" s="172"/>
      <c r="BO1481" s="172"/>
      <c r="BP1481" s="172"/>
    </row>
    <row r="1482" spans="1:68" s="555" customFormat="1" ht="409.6">
      <c r="A1482" s="172"/>
      <c r="E1482" s="954"/>
      <c r="F1482" s="1334"/>
      <c r="I1482" s="382"/>
      <c r="J1482" s="172"/>
      <c r="K1482" s="1189"/>
      <c r="P1482" s="643"/>
      <c r="AT1482" s="172"/>
      <c r="AU1482" s="172"/>
      <c r="AV1482" s="172"/>
      <c r="AW1482" s="172"/>
      <c r="AX1482" s="172"/>
      <c r="AY1482" s="172"/>
      <c r="AZ1482" s="172"/>
      <c r="BA1482" s="172"/>
      <c r="BB1482" s="172"/>
      <c r="BC1482" s="172"/>
      <c r="BD1482" s="172"/>
      <c r="BE1482" s="172"/>
      <c r="BF1482" s="172"/>
      <c r="BG1482" s="172"/>
      <c r="BH1482" s="172"/>
      <c r="BI1482" s="172"/>
      <c r="BJ1482" s="172"/>
      <c r="BK1482" s="172"/>
      <c r="BL1482" s="172"/>
      <c r="BM1482" s="172"/>
      <c r="BN1482" s="172"/>
      <c r="BO1482" s="172"/>
      <c r="BP1482" s="172"/>
    </row>
    <row r="1483" spans="1:68" s="555" customFormat="1" ht="409.6">
      <c r="A1483" s="172"/>
      <c r="E1483" s="954"/>
      <c r="F1483" s="1334"/>
      <c r="I1483" s="382"/>
      <c r="J1483" s="172"/>
      <c r="K1483" s="1189"/>
      <c r="P1483" s="643"/>
      <c r="AT1483" s="172"/>
      <c r="AU1483" s="172"/>
      <c r="AV1483" s="172"/>
      <c r="AW1483" s="172"/>
      <c r="AX1483" s="172"/>
      <c r="AY1483" s="172"/>
      <c r="AZ1483" s="172"/>
      <c r="BA1483" s="172"/>
      <c r="BB1483" s="172"/>
      <c r="BC1483" s="172"/>
      <c r="BD1483" s="172"/>
      <c r="BE1483" s="172"/>
      <c r="BF1483" s="172"/>
      <c r="BG1483" s="172"/>
      <c r="BH1483" s="172"/>
      <c r="BI1483" s="172"/>
      <c r="BJ1483" s="172"/>
      <c r="BK1483" s="172"/>
      <c r="BL1483" s="172"/>
      <c r="BM1483" s="172"/>
      <c r="BN1483" s="172"/>
      <c r="BO1483" s="172"/>
      <c r="BP1483" s="172"/>
    </row>
    <row r="1484" spans="1:68" s="555" customFormat="1" ht="409.6">
      <c r="A1484" s="172"/>
      <c r="E1484" s="954"/>
      <c r="F1484" s="1334"/>
      <c r="I1484" s="382"/>
      <c r="J1484" s="172"/>
      <c r="K1484" s="1189"/>
      <c r="P1484" s="643"/>
      <c r="AT1484" s="172"/>
      <c r="AU1484" s="172"/>
      <c r="AV1484" s="172"/>
      <c r="AW1484" s="172"/>
      <c r="AX1484" s="172"/>
      <c r="AY1484" s="172"/>
      <c r="AZ1484" s="172"/>
      <c r="BA1484" s="172"/>
      <c r="BB1484" s="172"/>
      <c r="BC1484" s="172"/>
      <c r="BD1484" s="172"/>
      <c r="BE1484" s="172"/>
      <c r="BF1484" s="172"/>
      <c r="BG1484" s="172"/>
      <c r="BH1484" s="172"/>
      <c r="BI1484" s="172"/>
      <c r="BJ1484" s="172"/>
      <c r="BK1484" s="172"/>
      <c r="BL1484" s="172"/>
      <c r="BM1484" s="172"/>
      <c r="BN1484" s="172"/>
      <c r="BO1484" s="172"/>
      <c r="BP1484" s="172"/>
    </row>
    <row r="1485" spans="1:68" s="555" customFormat="1" ht="409.6">
      <c r="A1485" s="172"/>
      <c r="E1485" s="954"/>
      <c r="F1485" s="1334"/>
      <c r="I1485" s="382"/>
      <c r="J1485" s="172"/>
      <c r="K1485" s="1189"/>
      <c r="P1485" s="643"/>
      <c r="AT1485" s="172"/>
      <c r="AU1485" s="172"/>
      <c r="AV1485" s="172"/>
      <c r="AW1485" s="172"/>
      <c r="AX1485" s="172"/>
      <c r="AY1485" s="172"/>
      <c r="AZ1485" s="172"/>
      <c r="BA1485" s="172"/>
      <c r="BB1485" s="172"/>
      <c r="BC1485" s="172"/>
      <c r="BD1485" s="172"/>
      <c r="BE1485" s="172"/>
      <c r="BF1485" s="172"/>
      <c r="BG1485" s="172"/>
      <c r="BH1485" s="172"/>
      <c r="BI1485" s="172"/>
      <c r="BJ1485" s="172"/>
      <c r="BK1485" s="172"/>
      <c r="BL1485" s="172"/>
      <c r="BM1485" s="172"/>
      <c r="BN1485" s="172"/>
      <c r="BO1485" s="172"/>
      <c r="BP1485" s="172"/>
    </row>
    <row r="1486" spans="1:68" s="555" customFormat="1" ht="409.6">
      <c r="A1486" s="172"/>
      <c r="E1486" s="954"/>
      <c r="F1486" s="1334"/>
      <c r="I1486" s="382"/>
      <c r="J1486" s="172"/>
      <c r="K1486" s="1189"/>
      <c r="P1486" s="643"/>
      <c r="AT1486" s="172"/>
      <c r="AU1486" s="172"/>
      <c r="AV1486" s="172"/>
      <c r="AW1486" s="172"/>
      <c r="AX1486" s="172"/>
      <c r="AY1486" s="172"/>
      <c r="AZ1486" s="172"/>
      <c r="BA1486" s="172"/>
      <c r="BB1486" s="172"/>
      <c r="BC1486" s="172"/>
      <c r="BD1486" s="172"/>
      <c r="BE1486" s="172"/>
      <c r="BF1486" s="172"/>
      <c r="BG1486" s="172"/>
      <c r="BH1486" s="172"/>
      <c r="BI1486" s="172"/>
      <c r="BJ1486" s="172"/>
      <c r="BK1486" s="172"/>
      <c r="BL1486" s="172"/>
      <c r="BM1486" s="172"/>
      <c r="BN1486" s="172"/>
      <c r="BO1486" s="172"/>
      <c r="BP1486" s="172"/>
    </row>
    <row r="1487" spans="1:68" s="555" customFormat="1" ht="409.6">
      <c r="A1487" s="172"/>
      <c r="E1487" s="954"/>
      <c r="F1487" s="1334"/>
      <c r="I1487" s="382"/>
      <c r="J1487" s="172"/>
      <c r="K1487" s="1189"/>
      <c r="P1487" s="643"/>
      <c r="AT1487" s="172"/>
      <c r="AU1487" s="172"/>
      <c r="AV1487" s="172"/>
      <c r="AW1487" s="172"/>
      <c r="AX1487" s="172"/>
      <c r="AY1487" s="172"/>
      <c r="AZ1487" s="172"/>
      <c r="BA1487" s="172"/>
      <c r="BB1487" s="172"/>
      <c r="BC1487" s="172"/>
      <c r="BD1487" s="172"/>
      <c r="BE1487" s="172"/>
      <c r="BF1487" s="172"/>
      <c r="BG1487" s="172"/>
      <c r="BH1487" s="172"/>
      <c r="BI1487" s="172"/>
      <c r="BJ1487" s="172"/>
      <c r="BK1487" s="172"/>
      <c r="BL1487" s="172"/>
      <c r="BM1487" s="172"/>
      <c r="BN1487" s="172"/>
      <c r="BO1487" s="172"/>
      <c r="BP1487" s="172"/>
    </row>
    <row r="1488" spans="1:68" s="555" customFormat="1" ht="409.6">
      <c r="A1488" s="172"/>
      <c r="E1488" s="954"/>
      <c r="F1488" s="1334"/>
      <c r="I1488" s="382"/>
      <c r="J1488" s="172"/>
      <c r="K1488" s="1189"/>
      <c r="P1488" s="643"/>
      <c r="AT1488" s="172"/>
      <c r="AU1488" s="172"/>
      <c r="AV1488" s="172"/>
      <c r="AW1488" s="172"/>
      <c r="AX1488" s="172"/>
      <c r="AY1488" s="172"/>
      <c r="AZ1488" s="172"/>
      <c r="BA1488" s="172"/>
      <c r="BB1488" s="172"/>
      <c r="BC1488" s="172"/>
      <c r="BD1488" s="172"/>
      <c r="BE1488" s="172"/>
      <c r="BF1488" s="172"/>
      <c r="BG1488" s="172"/>
      <c r="BH1488" s="172"/>
      <c r="BI1488" s="172"/>
      <c r="BJ1488" s="172"/>
      <c r="BK1488" s="172"/>
      <c r="BL1488" s="172"/>
      <c r="BM1488" s="172"/>
      <c r="BN1488" s="172"/>
      <c r="BO1488" s="172"/>
      <c r="BP1488" s="172"/>
    </row>
    <row r="1489" spans="1:68" s="555" customFormat="1" ht="409.6">
      <c r="A1489" s="172"/>
      <c r="E1489" s="954"/>
      <c r="F1489" s="1334"/>
      <c r="I1489" s="382"/>
      <c r="J1489" s="172"/>
      <c r="K1489" s="1189"/>
      <c r="P1489" s="643"/>
      <c r="AT1489" s="172"/>
      <c r="AU1489" s="172"/>
      <c r="AV1489" s="172"/>
      <c r="AW1489" s="172"/>
      <c r="AX1489" s="172"/>
      <c r="AY1489" s="172"/>
      <c r="AZ1489" s="172"/>
      <c r="BA1489" s="172"/>
      <c r="BB1489" s="172"/>
      <c r="BC1489" s="172"/>
      <c r="BD1489" s="172"/>
      <c r="BE1489" s="172"/>
      <c r="BF1489" s="172"/>
      <c r="BG1489" s="172"/>
      <c r="BH1489" s="172"/>
      <c r="BI1489" s="172"/>
      <c r="BJ1489" s="172"/>
      <c r="BK1489" s="172"/>
      <c r="BL1489" s="172"/>
      <c r="BM1489" s="172"/>
      <c r="BN1489" s="172"/>
      <c r="BO1489" s="172"/>
      <c r="BP1489" s="172"/>
    </row>
    <row r="1490" spans="1:68" s="555" customFormat="1" ht="409.6">
      <c r="A1490" s="172"/>
      <c r="E1490" s="954"/>
      <c r="F1490" s="1334"/>
      <c r="I1490" s="382"/>
      <c r="J1490" s="172"/>
      <c r="K1490" s="1189"/>
      <c r="P1490" s="643"/>
      <c r="AT1490" s="172"/>
      <c r="AU1490" s="172"/>
      <c r="AV1490" s="172"/>
      <c r="AW1490" s="172"/>
      <c r="AX1490" s="172"/>
      <c r="AY1490" s="172"/>
      <c r="AZ1490" s="172"/>
      <c r="BA1490" s="172"/>
      <c r="BB1490" s="172"/>
      <c r="BC1490" s="172"/>
      <c r="BD1490" s="172"/>
      <c r="BE1490" s="172"/>
      <c r="BF1490" s="172"/>
      <c r="BG1490" s="172"/>
      <c r="BH1490" s="172"/>
      <c r="BI1490" s="172"/>
      <c r="BJ1490" s="172"/>
      <c r="BK1490" s="172"/>
      <c r="BL1490" s="172"/>
      <c r="BM1490" s="172"/>
      <c r="BN1490" s="172"/>
      <c r="BO1490" s="172"/>
      <c r="BP1490" s="172"/>
    </row>
    <row r="1491" spans="1:68" s="555" customFormat="1" ht="409.6">
      <c r="A1491" s="172"/>
      <c r="E1491" s="954"/>
      <c r="F1491" s="1334"/>
      <c r="I1491" s="382"/>
      <c r="J1491" s="172"/>
      <c r="K1491" s="1189"/>
      <c r="P1491" s="643"/>
      <c r="AT1491" s="172"/>
      <c r="AU1491" s="172"/>
      <c r="AV1491" s="172"/>
      <c r="AW1491" s="172"/>
      <c r="AX1491" s="172"/>
      <c r="AY1491" s="172"/>
      <c r="AZ1491" s="172"/>
      <c r="BA1491" s="172"/>
      <c r="BB1491" s="172"/>
      <c r="BC1491" s="172"/>
      <c r="BD1491" s="172"/>
      <c r="BE1491" s="172"/>
      <c r="BF1491" s="172"/>
      <c r="BG1491" s="172"/>
      <c r="BH1491" s="172"/>
      <c r="BI1491" s="172"/>
      <c r="BJ1491" s="172"/>
      <c r="BK1491" s="172"/>
      <c r="BL1491" s="172"/>
      <c r="BM1491" s="172"/>
      <c r="BN1491" s="172"/>
      <c r="BO1491" s="172"/>
      <c r="BP1491" s="172"/>
    </row>
    <row r="1492" spans="1:68" s="555" customFormat="1" ht="409.6">
      <c r="A1492" s="172"/>
      <c r="E1492" s="954"/>
      <c r="F1492" s="1334"/>
      <c r="I1492" s="382"/>
      <c r="J1492" s="172"/>
      <c r="K1492" s="1189"/>
      <c r="P1492" s="643"/>
      <c r="AT1492" s="172"/>
      <c r="AU1492" s="172"/>
      <c r="AV1492" s="172"/>
      <c r="AW1492" s="172"/>
      <c r="AX1492" s="172"/>
      <c r="AY1492" s="172"/>
      <c r="AZ1492" s="172"/>
      <c r="BA1492" s="172"/>
      <c r="BB1492" s="172"/>
      <c r="BC1492" s="172"/>
      <c r="BD1492" s="172"/>
      <c r="BE1492" s="172"/>
      <c r="BF1492" s="172"/>
      <c r="BG1492" s="172"/>
      <c r="BH1492" s="172"/>
      <c r="BI1492" s="172"/>
      <c r="BJ1492" s="172"/>
      <c r="BK1492" s="172"/>
      <c r="BL1492" s="172"/>
      <c r="BM1492" s="172"/>
      <c r="BN1492" s="172"/>
      <c r="BO1492" s="172"/>
      <c r="BP1492" s="172"/>
    </row>
    <row r="1493" spans="1:68" s="555" customFormat="1" ht="409.6">
      <c r="A1493" s="172"/>
      <c r="E1493" s="954"/>
      <c r="F1493" s="1334"/>
      <c r="I1493" s="382"/>
      <c r="J1493" s="172"/>
      <c r="K1493" s="1189"/>
      <c r="P1493" s="643"/>
      <c r="AT1493" s="172"/>
      <c r="AU1493" s="172"/>
      <c r="AV1493" s="172"/>
      <c r="AW1493" s="172"/>
      <c r="AX1493" s="172"/>
      <c r="AY1493" s="172"/>
      <c r="AZ1493" s="172"/>
      <c r="BA1493" s="172"/>
      <c r="BB1493" s="172"/>
      <c r="BC1493" s="172"/>
      <c r="BD1493" s="172"/>
      <c r="BE1493" s="172"/>
      <c r="BF1493" s="172"/>
      <c r="BG1493" s="172"/>
      <c r="BH1493" s="172"/>
      <c r="BI1493" s="172"/>
      <c r="BJ1493" s="172"/>
      <c r="BK1493" s="172"/>
      <c r="BL1493" s="172"/>
      <c r="BM1493" s="172"/>
      <c r="BN1493" s="172"/>
      <c r="BO1493" s="172"/>
      <c r="BP1493" s="172"/>
    </row>
    <row r="1494" spans="1:68" s="555" customFormat="1" ht="409.6">
      <c r="A1494" s="172"/>
      <c r="E1494" s="954"/>
      <c r="F1494" s="1334"/>
      <c r="I1494" s="382"/>
      <c r="J1494" s="172"/>
      <c r="K1494" s="1189"/>
      <c r="P1494" s="643"/>
      <c r="AT1494" s="172"/>
      <c r="AU1494" s="172"/>
      <c r="AV1494" s="172"/>
      <c r="AW1494" s="172"/>
      <c r="AX1494" s="172"/>
      <c r="AY1494" s="172"/>
      <c r="AZ1494" s="172"/>
      <c r="BA1494" s="172"/>
      <c r="BB1494" s="172"/>
      <c r="BC1494" s="172"/>
      <c r="BD1494" s="172"/>
      <c r="BE1494" s="172"/>
      <c r="BF1494" s="172"/>
      <c r="BG1494" s="172"/>
      <c r="BH1494" s="172"/>
      <c r="BI1494" s="172"/>
      <c r="BJ1494" s="172"/>
      <c r="BK1494" s="172"/>
      <c r="BL1494" s="172"/>
      <c r="BM1494" s="172"/>
      <c r="BN1494" s="172"/>
      <c r="BO1494" s="172"/>
      <c r="BP1494" s="172"/>
    </row>
    <row r="1495" spans="1:68" s="555" customFormat="1" ht="409.6">
      <c r="A1495" s="172"/>
      <c r="E1495" s="954"/>
      <c r="F1495" s="1334"/>
      <c r="I1495" s="382"/>
      <c r="J1495" s="172"/>
      <c r="K1495" s="1189"/>
      <c r="P1495" s="643"/>
      <c r="AT1495" s="172"/>
      <c r="AU1495" s="172"/>
      <c r="AV1495" s="172"/>
      <c r="AW1495" s="172"/>
      <c r="AX1495" s="172"/>
      <c r="AY1495" s="172"/>
      <c r="AZ1495" s="172"/>
      <c r="BA1495" s="172"/>
      <c r="BB1495" s="172"/>
      <c r="BC1495" s="172"/>
      <c r="BD1495" s="172"/>
      <c r="BE1495" s="172"/>
      <c r="BF1495" s="172"/>
      <c r="BG1495" s="172"/>
      <c r="BH1495" s="172"/>
      <c r="BI1495" s="172"/>
      <c r="BJ1495" s="172"/>
      <c r="BK1495" s="172"/>
      <c r="BL1495" s="172"/>
      <c r="BM1495" s="172"/>
      <c r="BN1495" s="172"/>
      <c r="BO1495" s="172"/>
      <c r="BP1495" s="172"/>
    </row>
    <row r="1496" spans="1:68" s="555" customFormat="1" ht="409.6">
      <c r="A1496" s="172"/>
      <c r="E1496" s="954"/>
      <c r="F1496" s="1334"/>
      <c r="I1496" s="382"/>
      <c r="J1496" s="172"/>
      <c r="K1496" s="1189"/>
      <c r="P1496" s="643"/>
      <c r="AT1496" s="172"/>
      <c r="AU1496" s="172"/>
      <c r="AV1496" s="172"/>
      <c r="AW1496" s="172"/>
      <c r="AX1496" s="172"/>
      <c r="AY1496" s="172"/>
      <c r="AZ1496" s="172"/>
      <c r="BA1496" s="172"/>
      <c r="BB1496" s="172"/>
      <c r="BC1496" s="172"/>
      <c r="BD1496" s="172"/>
      <c r="BE1496" s="172"/>
      <c r="BF1496" s="172"/>
      <c r="BG1496" s="172"/>
      <c r="BH1496" s="172"/>
      <c r="BI1496" s="172"/>
      <c r="BJ1496" s="172"/>
      <c r="BK1496" s="172"/>
      <c r="BL1496" s="172"/>
      <c r="BM1496" s="172"/>
      <c r="BN1496" s="172"/>
      <c r="BO1496" s="172"/>
      <c r="BP1496" s="172"/>
    </row>
    <row r="1497" spans="1:68" s="555" customFormat="1" ht="409.6">
      <c r="A1497" s="172"/>
      <c r="E1497" s="954"/>
      <c r="F1497" s="1334"/>
      <c r="I1497" s="382"/>
      <c r="J1497" s="172"/>
      <c r="K1497" s="1189"/>
      <c r="P1497" s="643"/>
      <c r="AT1497" s="172"/>
      <c r="AU1497" s="172"/>
      <c r="AV1497" s="172"/>
      <c r="AW1497" s="172"/>
      <c r="AX1497" s="172"/>
      <c r="AY1497" s="172"/>
      <c r="AZ1497" s="172"/>
      <c r="BA1497" s="172"/>
      <c r="BB1497" s="172"/>
      <c r="BC1497" s="172"/>
      <c r="BD1497" s="172"/>
      <c r="BE1497" s="172"/>
      <c r="BF1497" s="172"/>
      <c r="BG1497" s="172"/>
      <c r="BH1497" s="172"/>
      <c r="BI1497" s="172"/>
      <c r="BJ1497" s="172"/>
      <c r="BK1497" s="172"/>
      <c r="BL1497" s="172"/>
      <c r="BM1497" s="172"/>
      <c r="BN1497" s="172"/>
      <c r="BO1497" s="172"/>
      <c r="BP1497" s="172"/>
    </row>
    <row r="1498" spans="1:68" s="555" customFormat="1" ht="409.6">
      <c r="A1498" s="172"/>
      <c r="E1498" s="954"/>
      <c r="F1498" s="1334"/>
      <c r="I1498" s="382"/>
      <c r="J1498" s="172"/>
      <c r="K1498" s="1189"/>
      <c r="P1498" s="643"/>
      <c r="AT1498" s="172"/>
      <c r="AU1498" s="172"/>
      <c r="AV1498" s="172"/>
      <c r="AW1498" s="172"/>
      <c r="AX1498" s="172"/>
      <c r="AY1498" s="172"/>
      <c r="AZ1498" s="172"/>
      <c r="BA1498" s="172"/>
      <c r="BB1498" s="172"/>
      <c r="BC1498" s="172"/>
      <c r="BD1498" s="172"/>
      <c r="BE1498" s="172"/>
      <c r="BF1498" s="172"/>
      <c r="BG1498" s="172"/>
      <c r="BH1498" s="172"/>
      <c r="BI1498" s="172"/>
      <c r="BJ1498" s="172"/>
      <c r="BK1498" s="172"/>
      <c r="BL1498" s="172"/>
      <c r="BM1498" s="172"/>
      <c r="BN1498" s="172"/>
      <c r="BO1498" s="172"/>
      <c r="BP1498" s="172"/>
    </row>
    <row r="1499" spans="1:68" s="555" customFormat="1" ht="409.6">
      <c r="A1499" s="172"/>
      <c r="E1499" s="954"/>
      <c r="F1499" s="1334"/>
      <c r="I1499" s="382"/>
      <c r="J1499" s="172"/>
      <c r="K1499" s="1189"/>
      <c r="P1499" s="643"/>
      <c r="AT1499" s="172"/>
      <c r="AU1499" s="172"/>
      <c r="AV1499" s="172"/>
      <c r="AW1499" s="172"/>
      <c r="AX1499" s="172"/>
      <c r="AY1499" s="172"/>
      <c r="AZ1499" s="172"/>
      <c r="BA1499" s="172"/>
      <c r="BB1499" s="172"/>
      <c r="BC1499" s="172"/>
      <c r="BD1499" s="172"/>
      <c r="BE1499" s="172"/>
      <c r="BF1499" s="172"/>
      <c r="BG1499" s="172"/>
      <c r="BH1499" s="172"/>
      <c r="BI1499" s="172"/>
      <c r="BJ1499" s="172"/>
      <c r="BK1499" s="172"/>
      <c r="BL1499" s="172"/>
      <c r="BM1499" s="172"/>
      <c r="BN1499" s="172"/>
      <c r="BO1499" s="172"/>
      <c r="BP1499" s="172"/>
    </row>
    <row r="1500" spans="1:68" s="555" customFormat="1" ht="409.6">
      <c r="A1500" s="172"/>
      <c r="E1500" s="954"/>
      <c r="F1500" s="1334"/>
      <c r="I1500" s="382"/>
      <c r="J1500" s="172"/>
      <c r="K1500" s="1189"/>
      <c r="P1500" s="643"/>
      <c r="AT1500" s="172"/>
      <c r="AU1500" s="172"/>
      <c r="AV1500" s="172"/>
      <c r="AW1500" s="172"/>
      <c r="AX1500" s="172"/>
      <c r="AY1500" s="172"/>
      <c r="AZ1500" s="172"/>
      <c r="BA1500" s="172"/>
      <c r="BB1500" s="172"/>
      <c r="BC1500" s="172"/>
      <c r="BD1500" s="172"/>
      <c r="BE1500" s="172"/>
      <c r="BF1500" s="172"/>
      <c r="BG1500" s="172"/>
      <c r="BH1500" s="172"/>
      <c r="BI1500" s="172"/>
      <c r="BJ1500" s="172"/>
      <c r="BK1500" s="172"/>
      <c r="BL1500" s="172"/>
      <c r="BM1500" s="172"/>
      <c r="BN1500" s="172"/>
      <c r="BO1500" s="172"/>
      <c r="BP1500" s="172"/>
    </row>
    <row r="1501" spans="1:68" s="555" customFormat="1" ht="409.6">
      <c r="A1501" s="172"/>
      <c r="E1501" s="954"/>
      <c r="F1501" s="1334"/>
      <c r="I1501" s="382"/>
      <c r="J1501" s="172"/>
      <c r="K1501" s="1189"/>
      <c r="P1501" s="643"/>
      <c r="AT1501" s="172"/>
      <c r="AU1501" s="172"/>
      <c r="AV1501" s="172"/>
      <c r="AW1501" s="172"/>
      <c r="AX1501" s="172"/>
      <c r="AY1501" s="172"/>
      <c r="AZ1501" s="172"/>
      <c r="BA1501" s="172"/>
      <c r="BB1501" s="172"/>
      <c r="BC1501" s="172"/>
      <c r="BD1501" s="172"/>
      <c r="BE1501" s="172"/>
      <c r="BF1501" s="172"/>
      <c r="BG1501" s="172"/>
      <c r="BH1501" s="172"/>
      <c r="BI1501" s="172"/>
      <c r="BJ1501" s="172"/>
      <c r="BK1501" s="172"/>
      <c r="BL1501" s="172"/>
      <c r="BM1501" s="172"/>
      <c r="BN1501" s="172"/>
      <c r="BO1501" s="172"/>
      <c r="BP1501" s="172"/>
    </row>
    <row r="1502" spans="1:68" s="555" customFormat="1" ht="409.6">
      <c r="A1502" s="172"/>
      <c r="E1502" s="954"/>
      <c r="F1502" s="1334"/>
      <c r="I1502" s="382"/>
      <c r="J1502" s="172"/>
      <c r="K1502" s="1189"/>
      <c r="P1502" s="643"/>
      <c r="AT1502" s="172"/>
      <c r="AU1502" s="172"/>
      <c r="AV1502" s="172"/>
      <c r="AW1502" s="172"/>
      <c r="AX1502" s="172"/>
      <c r="AY1502" s="172"/>
      <c r="AZ1502" s="172"/>
      <c r="BA1502" s="172"/>
      <c r="BB1502" s="172"/>
      <c r="BC1502" s="172"/>
      <c r="BD1502" s="172"/>
      <c r="BE1502" s="172"/>
      <c r="BF1502" s="172"/>
      <c r="BG1502" s="172"/>
      <c r="BH1502" s="172"/>
      <c r="BI1502" s="172"/>
      <c r="BJ1502" s="172"/>
      <c r="BK1502" s="172"/>
      <c r="BL1502" s="172"/>
      <c r="BM1502" s="172"/>
      <c r="BN1502" s="172"/>
      <c r="BO1502" s="172"/>
      <c r="BP1502" s="172"/>
    </row>
    <row r="1503" spans="1:68" s="555" customFormat="1" ht="409.6">
      <c r="A1503" s="172"/>
      <c r="E1503" s="954"/>
      <c r="F1503" s="1334"/>
      <c r="I1503" s="382"/>
      <c r="J1503" s="172"/>
      <c r="K1503" s="1189"/>
      <c r="P1503" s="643"/>
      <c r="AT1503" s="172"/>
      <c r="AU1503" s="172"/>
      <c r="AV1503" s="172"/>
      <c r="AW1503" s="172"/>
      <c r="AX1503" s="172"/>
      <c r="AY1503" s="172"/>
      <c r="AZ1503" s="172"/>
      <c r="BA1503" s="172"/>
      <c r="BB1503" s="172"/>
      <c r="BC1503" s="172"/>
      <c r="BD1503" s="172"/>
      <c r="BE1503" s="172"/>
      <c r="BF1503" s="172"/>
      <c r="BG1503" s="172"/>
      <c r="BH1503" s="172"/>
      <c r="BI1503" s="172"/>
      <c r="BJ1503" s="172"/>
      <c r="BK1503" s="172"/>
      <c r="BL1503" s="172"/>
      <c r="BM1503" s="172"/>
      <c r="BN1503" s="172"/>
      <c r="BO1503" s="172"/>
      <c r="BP1503" s="172"/>
    </row>
    <row r="1504" spans="1:68" s="555" customFormat="1" ht="409.6">
      <c r="A1504" s="172"/>
      <c r="E1504" s="954"/>
      <c r="F1504" s="1334"/>
      <c r="I1504" s="382"/>
      <c r="J1504" s="172"/>
      <c r="K1504" s="1189"/>
      <c r="P1504" s="643"/>
      <c r="AT1504" s="172"/>
      <c r="AU1504" s="172"/>
      <c r="AV1504" s="172"/>
      <c r="AW1504" s="172"/>
      <c r="AX1504" s="172"/>
      <c r="AY1504" s="172"/>
      <c r="AZ1504" s="172"/>
      <c r="BA1504" s="172"/>
      <c r="BB1504" s="172"/>
      <c r="BC1504" s="172"/>
      <c r="BD1504" s="172"/>
      <c r="BE1504" s="172"/>
      <c r="BF1504" s="172"/>
      <c r="BG1504" s="172"/>
      <c r="BH1504" s="172"/>
      <c r="BI1504" s="172"/>
      <c r="BJ1504" s="172"/>
      <c r="BK1504" s="172"/>
      <c r="BL1504" s="172"/>
      <c r="BM1504" s="172"/>
      <c r="BN1504" s="172"/>
      <c r="BO1504" s="172"/>
      <c r="BP1504" s="172"/>
    </row>
    <row r="1505" spans="1:68" s="555" customFormat="1" ht="409.6">
      <c r="A1505" s="172"/>
      <c r="E1505" s="954"/>
      <c r="F1505" s="1334"/>
      <c r="I1505" s="382"/>
      <c r="J1505" s="172"/>
      <c r="K1505" s="1189"/>
      <c r="P1505" s="643"/>
      <c r="AT1505" s="172"/>
      <c r="AU1505" s="172"/>
      <c r="AV1505" s="172"/>
      <c r="AW1505" s="172"/>
      <c r="AX1505" s="172"/>
      <c r="AY1505" s="172"/>
      <c r="AZ1505" s="172"/>
      <c r="BA1505" s="172"/>
      <c r="BB1505" s="172"/>
      <c r="BC1505" s="172"/>
      <c r="BD1505" s="172"/>
      <c r="BE1505" s="172"/>
      <c r="BF1505" s="172"/>
      <c r="BG1505" s="172"/>
      <c r="BH1505" s="172"/>
      <c r="BI1505" s="172"/>
      <c r="BJ1505" s="172"/>
      <c r="BK1505" s="172"/>
      <c r="BL1505" s="172"/>
      <c r="BM1505" s="172"/>
      <c r="BN1505" s="172"/>
      <c r="BO1505" s="172"/>
      <c r="BP1505" s="172"/>
    </row>
    <row r="1506" spans="1:68" s="555" customFormat="1" ht="409.6">
      <c r="A1506" s="172"/>
      <c r="E1506" s="954"/>
      <c r="F1506" s="1334"/>
      <c r="I1506" s="382"/>
      <c r="J1506" s="172"/>
      <c r="K1506" s="1189"/>
      <c r="P1506" s="643"/>
      <c r="AT1506" s="172"/>
      <c r="AU1506" s="172"/>
      <c r="AV1506" s="172"/>
      <c r="AW1506" s="172"/>
      <c r="AX1506" s="172"/>
      <c r="AY1506" s="172"/>
      <c r="AZ1506" s="172"/>
      <c r="BA1506" s="172"/>
      <c r="BB1506" s="172"/>
      <c r="BC1506" s="172"/>
      <c r="BD1506" s="172"/>
      <c r="BE1506" s="172"/>
      <c r="BF1506" s="172"/>
      <c r="BG1506" s="172"/>
      <c r="BH1506" s="172"/>
      <c r="BI1506" s="172"/>
      <c r="BJ1506" s="172"/>
      <c r="BK1506" s="172"/>
      <c r="BL1506" s="172"/>
      <c r="BM1506" s="172"/>
      <c r="BN1506" s="172"/>
      <c r="BO1506" s="172"/>
      <c r="BP1506" s="172"/>
    </row>
    <row r="1507" spans="1:68" s="555" customFormat="1" ht="409.6">
      <c r="A1507" s="172"/>
      <c r="E1507" s="954"/>
      <c r="F1507" s="1334"/>
      <c r="I1507" s="382"/>
      <c r="J1507" s="172"/>
      <c r="K1507" s="1189"/>
      <c r="P1507" s="643"/>
      <c r="AT1507" s="172"/>
      <c r="AU1507" s="172"/>
      <c r="AV1507" s="172"/>
      <c r="AW1507" s="172"/>
      <c r="AX1507" s="172"/>
      <c r="AY1507" s="172"/>
      <c r="AZ1507" s="172"/>
      <c r="BA1507" s="172"/>
      <c r="BB1507" s="172"/>
      <c r="BC1507" s="172"/>
      <c r="BD1507" s="172"/>
      <c r="BE1507" s="172"/>
      <c r="BF1507" s="172"/>
      <c r="BG1507" s="172"/>
      <c r="BH1507" s="172"/>
      <c r="BI1507" s="172"/>
      <c r="BJ1507" s="172"/>
      <c r="BK1507" s="172"/>
      <c r="BL1507" s="172"/>
      <c r="BM1507" s="172"/>
      <c r="BN1507" s="172"/>
      <c r="BO1507" s="172"/>
      <c r="BP1507" s="172"/>
    </row>
    <row r="1508" spans="1:68" s="555" customFormat="1" ht="409.6">
      <c r="A1508" s="172"/>
      <c r="E1508" s="954"/>
      <c r="F1508" s="1334"/>
      <c r="I1508" s="382"/>
      <c r="J1508" s="172"/>
      <c r="K1508" s="1189"/>
      <c r="P1508" s="643"/>
      <c r="AT1508" s="172"/>
      <c r="AU1508" s="172"/>
      <c r="AV1508" s="172"/>
      <c r="AW1508" s="172"/>
      <c r="AX1508" s="172"/>
      <c r="AY1508" s="172"/>
      <c r="AZ1508" s="172"/>
      <c r="BA1508" s="172"/>
      <c r="BB1508" s="172"/>
      <c r="BC1508" s="172"/>
      <c r="BD1508" s="172"/>
      <c r="BE1508" s="172"/>
      <c r="BF1508" s="172"/>
      <c r="BG1508" s="172"/>
      <c r="BH1508" s="172"/>
      <c r="BI1508" s="172"/>
      <c r="BJ1508" s="172"/>
      <c r="BK1508" s="172"/>
      <c r="BL1508" s="172"/>
      <c r="BM1508" s="172"/>
      <c r="BN1508" s="172"/>
      <c r="BO1508" s="172"/>
      <c r="BP1508" s="172"/>
    </row>
    <row r="1509" spans="1:68" s="555" customFormat="1" ht="409.6">
      <c r="A1509" s="172"/>
      <c r="E1509" s="954"/>
      <c r="F1509" s="1334"/>
      <c r="I1509" s="382"/>
      <c r="J1509" s="172"/>
      <c r="K1509" s="1189"/>
      <c r="P1509" s="643"/>
      <c r="AT1509" s="172"/>
      <c r="AU1509" s="172"/>
      <c r="AV1509" s="172"/>
      <c r="AW1509" s="172"/>
      <c r="AX1509" s="172"/>
      <c r="AY1509" s="172"/>
      <c r="AZ1509" s="172"/>
      <c r="BA1509" s="172"/>
      <c r="BB1509" s="172"/>
      <c r="BC1509" s="172"/>
      <c r="BD1509" s="172"/>
      <c r="BE1509" s="172"/>
      <c r="BF1509" s="172"/>
      <c r="BG1509" s="172"/>
      <c r="BH1509" s="172"/>
      <c r="BI1509" s="172"/>
      <c r="BJ1509" s="172"/>
      <c r="BK1509" s="172"/>
      <c r="BL1509" s="172"/>
      <c r="BM1509" s="172"/>
      <c r="BN1509" s="172"/>
      <c r="BO1509" s="172"/>
      <c r="BP1509" s="172"/>
    </row>
    <row r="1510" spans="1:68" s="555" customFormat="1" ht="409.6">
      <c r="A1510" s="172"/>
      <c r="E1510" s="954"/>
      <c r="F1510" s="1334"/>
      <c r="I1510" s="382"/>
      <c r="J1510" s="172"/>
      <c r="K1510" s="1189"/>
      <c r="P1510" s="643"/>
      <c r="AT1510" s="172"/>
      <c r="AU1510" s="172"/>
      <c r="AV1510" s="172"/>
      <c r="AW1510" s="172"/>
      <c r="AX1510" s="172"/>
      <c r="AY1510" s="172"/>
      <c r="AZ1510" s="172"/>
      <c r="BA1510" s="172"/>
      <c r="BB1510" s="172"/>
      <c r="BC1510" s="172"/>
      <c r="BD1510" s="172"/>
      <c r="BE1510" s="172"/>
      <c r="BF1510" s="172"/>
      <c r="BG1510" s="172"/>
      <c r="BH1510" s="172"/>
      <c r="BI1510" s="172"/>
      <c r="BJ1510" s="172"/>
      <c r="BK1510" s="172"/>
      <c r="BL1510" s="172"/>
      <c r="BM1510" s="172"/>
      <c r="BN1510" s="172"/>
      <c r="BO1510" s="172"/>
      <c r="BP1510" s="172"/>
    </row>
    <row r="1511" spans="1:68" s="555" customFormat="1" ht="409.6">
      <c r="A1511" s="172"/>
      <c r="E1511" s="954"/>
      <c r="F1511" s="1334"/>
      <c r="I1511" s="382"/>
      <c r="J1511" s="172"/>
      <c r="K1511" s="1189"/>
      <c r="P1511" s="643"/>
      <c r="AT1511" s="172"/>
      <c r="AU1511" s="172"/>
      <c r="AV1511" s="172"/>
      <c r="AW1511" s="172"/>
      <c r="AX1511" s="172"/>
      <c r="AY1511" s="172"/>
      <c r="AZ1511" s="172"/>
      <c r="BA1511" s="172"/>
      <c r="BB1511" s="172"/>
      <c r="BC1511" s="172"/>
      <c r="BD1511" s="172"/>
      <c r="BE1511" s="172"/>
      <c r="BF1511" s="172"/>
      <c r="BG1511" s="172"/>
      <c r="BH1511" s="172"/>
      <c r="BI1511" s="172"/>
      <c r="BJ1511" s="172"/>
      <c r="BK1511" s="172"/>
      <c r="BL1511" s="172"/>
      <c r="BM1511" s="172"/>
      <c r="BN1511" s="172"/>
      <c r="BO1511" s="172"/>
      <c r="BP1511" s="172"/>
    </row>
    <row r="1512" spans="1:68" s="555" customFormat="1" ht="409.6">
      <c r="A1512" s="172"/>
      <c r="E1512" s="954"/>
      <c r="F1512" s="1334"/>
      <c r="I1512" s="382"/>
      <c r="J1512" s="172"/>
      <c r="K1512" s="1189"/>
      <c r="P1512" s="643"/>
      <c r="AT1512" s="172"/>
      <c r="AU1512" s="172"/>
      <c r="AV1512" s="172"/>
      <c r="AW1512" s="172"/>
      <c r="AX1512" s="172"/>
      <c r="AY1512" s="172"/>
      <c r="AZ1512" s="172"/>
      <c r="BA1512" s="172"/>
      <c r="BB1512" s="172"/>
      <c r="BC1512" s="172"/>
      <c r="BD1512" s="172"/>
      <c r="BE1512" s="172"/>
      <c r="BF1512" s="172"/>
      <c r="BG1512" s="172"/>
      <c r="BH1512" s="172"/>
      <c r="BI1512" s="172"/>
      <c r="BJ1512" s="172"/>
      <c r="BK1512" s="172"/>
      <c r="BL1512" s="172"/>
      <c r="BM1512" s="172"/>
      <c r="BN1512" s="172"/>
      <c r="BO1512" s="172"/>
      <c r="BP1512" s="172"/>
    </row>
    <row r="1513" spans="1:68" s="555" customFormat="1" ht="409.6">
      <c r="A1513" s="172"/>
      <c r="E1513" s="954"/>
      <c r="F1513" s="1334"/>
      <c r="I1513" s="382"/>
      <c r="J1513" s="172"/>
      <c r="K1513" s="1189"/>
      <c r="P1513" s="643"/>
      <c r="AT1513" s="172"/>
      <c r="AU1513" s="172"/>
      <c r="AV1513" s="172"/>
      <c r="AW1513" s="172"/>
      <c r="AX1513" s="172"/>
      <c r="AY1513" s="172"/>
      <c r="AZ1513" s="172"/>
      <c r="BA1513" s="172"/>
      <c r="BB1513" s="172"/>
      <c r="BC1513" s="172"/>
      <c r="BD1513" s="172"/>
      <c r="BE1513" s="172"/>
      <c r="BF1513" s="172"/>
      <c r="BG1513" s="172"/>
      <c r="BH1513" s="172"/>
      <c r="BI1513" s="172"/>
      <c r="BJ1513" s="172"/>
      <c r="BK1513" s="172"/>
      <c r="BL1513" s="172"/>
      <c r="BM1513" s="172"/>
      <c r="BN1513" s="172"/>
      <c r="BO1513" s="172"/>
      <c r="BP1513" s="172"/>
    </row>
    <row r="1514" spans="1:68" s="555" customFormat="1" ht="409.6">
      <c r="A1514" s="172"/>
      <c r="E1514" s="954"/>
      <c r="F1514" s="1334"/>
      <c r="I1514" s="382"/>
      <c r="J1514" s="172"/>
      <c r="K1514" s="1189"/>
      <c r="P1514" s="643"/>
      <c r="AT1514" s="172"/>
      <c r="AU1514" s="172"/>
      <c r="AV1514" s="172"/>
      <c r="AW1514" s="172"/>
      <c r="AX1514" s="172"/>
      <c r="AY1514" s="172"/>
      <c r="AZ1514" s="172"/>
      <c r="BA1514" s="172"/>
      <c r="BB1514" s="172"/>
      <c r="BC1514" s="172"/>
      <c r="BD1514" s="172"/>
      <c r="BE1514" s="172"/>
      <c r="BF1514" s="172"/>
      <c r="BG1514" s="172"/>
      <c r="BH1514" s="172"/>
      <c r="BI1514" s="172"/>
      <c r="BJ1514" s="172"/>
      <c r="BK1514" s="172"/>
      <c r="BL1514" s="172"/>
      <c r="BM1514" s="172"/>
      <c r="BN1514" s="172"/>
      <c r="BO1514" s="172"/>
      <c r="BP1514" s="172"/>
    </row>
  </sheetData>
  <autoFilter ref="A3:AT899">
    <filterColumn colId="1" showButton="0"/>
    <filterColumn colId="11" showButton="0"/>
    <filterColumn colId="30" showButton="0"/>
    <filterColumn colId="34" showButton="0"/>
    <filterColumn colId="35" showButton="0"/>
    <filterColumn colId="36" showButton="0"/>
    <filterColumn colId="37" showButton="0"/>
    <filterColumn colId="39" showButton="0"/>
  </autoFilter>
  <customSheetViews>
    <customSheetView guid="{29ADDA07-E427-4C12-A26F-16DB0F983414}" scale="70" showPageBreaks="1" showAutoFilter="1" hiddenColumns="1" view="pageBreakPreview" topLeftCell="A58">
      <selection activeCell="S65" sqref="S65"/>
      <rowBreaks count="1" manualBreakCount="1">
        <brk id="54" max="8" man="1"/>
      </rowBreaks>
      <colBreaks count="1" manualBreakCount="1">
        <brk id="9" max="1048575" man="1"/>
      </colBreaks>
      <pageMargins left="0.27" right="0.19" top="0.74803149606299202" bottom="0.47244094488188998" header="0.511811023622047" footer="0.27559055118110198"/>
      <pageSetup paperSize="9" scale="55" orientation="portrait" verticalDpi="300" r:id="rId1"/>
      <headerFooter alignWithMargins="0">
        <oddHeader>&amp;LSanyo Eng And Const Vietnam Co., Ltd&amp;RRev.0 --- 26th/Dec./2014</oddHeader>
        <oddFooter>&amp;CElect - &amp;P / &amp;N -</oddFooter>
      </headerFooter>
      <autoFilter ref="A3:AT899">
        <filterColumn colId="1" showButton="0"/>
        <filterColumn colId="11" showButton="0"/>
        <filterColumn colId="30" showButton="0"/>
        <filterColumn colId="34" showButton="0"/>
        <filterColumn colId="35" showButton="0"/>
        <filterColumn colId="36" showButton="0"/>
        <filterColumn colId="37" showButton="0"/>
        <filterColumn colId="39" showButton="0"/>
      </autoFilter>
    </customSheetView>
  </customSheetViews>
  <mergeCells count="16">
    <mergeCell ref="G883:H883"/>
    <mergeCell ref="G868:H868"/>
    <mergeCell ref="B819:C819"/>
    <mergeCell ref="O3:O4"/>
    <mergeCell ref="AE3:AF3"/>
    <mergeCell ref="B3:C4"/>
    <mergeCell ref="AI3:AM3"/>
    <mergeCell ref="AN3:AO3"/>
    <mergeCell ref="B424:C424"/>
    <mergeCell ref="B636:C636"/>
    <mergeCell ref="L3:M3"/>
    <mergeCell ref="A3:A4"/>
    <mergeCell ref="E3:E4"/>
    <mergeCell ref="F3:F4"/>
    <mergeCell ref="I3:I4"/>
    <mergeCell ref="K3:K4"/>
  </mergeCells>
  <pageMargins left="0.27" right="0.19" top="0.74803149606299202" bottom="0.47244094488188998" header="0.511811023622047" footer="0.27559055118110198"/>
  <pageSetup paperSize="9" scale="55" orientation="portrait" verticalDpi="300" r:id="rId2"/>
  <headerFooter alignWithMargins="0">
    <oddHeader>&amp;LSanyo Eng And Const Vietnam Co., Ltd&amp;RRev.0 --- 26th/Dec./2014</oddHeader>
    <oddFooter>&amp;CElect - &amp;P / &amp;N -</oddFooter>
  </headerFooter>
  <rowBreaks count="1" manualBreakCount="1">
    <brk id="54" max="8" man="1"/>
  </rowBreaks>
  <colBreaks count="1" manualBreakCount="1">
    <brk id="9" max="1048575" man="1"/>
  </colBreaks>
  <ignoredErrors>
    <ignoredError sqref="D197 D195:D196" numberStoredAsText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6"/>
  <sheetViews>
    <sheetView view="pageBreakPreview" zoomScaleNormal="100" zoomScaleSheetLayoutView="100" workbookViewId="0">
      <selection activeCell="D6" sqref="D6"/>
    </sheetView>
  </sheetViews>
  <sheetFormatPr defaultRowHeight="11.25"/>
  <cols>
    <col min="1" max="1" width="6" style="1254" customWidth="1"/>
    <col min="2" max="2" width="31.85546875" style="1259" hidden="1" customWidth="1"/>
    <col min="3" max="3" width="33.140625" style="1254" customWidth="1"/>
    <col min="4" max="4" width="40.140625" style="1254" customWidth="1"/>
    <col min="5" max="5" width="9.28515625" style="1259" customWidth="1"/>
    <col min="6" max="6" width="31.28515625" style="1254" customWidth="1"/>
    <col min="7" max="7" width="10.85546875" style="1254" customWidth="1"/>
    <col min="8" max="8" width="21.85546875" style="1254" customWidth="1"/>
    <col min="9" max="9" width="11.5703125" style="1262" customWidth="1"/>
    <col min="10" max="12" width="9.140625" style="1262"/>
    <col min="13" max="16384" width="9.140625" style="1255"/>
  </cols>
  <sheetData>
    <row r="1" spans="1:12" ht="14.25" customHeight="1">
      <c r="A1" s="406" t="str">
        <f>[1]Cover!D11</f>
        <v>SAIGON PRECISION LT1 PHASE-4 FACTORY</v>
      </c>
      <c r="B1" s="1253"/>
      <c r="C1" s="406"/>
      <c r="E1" s="1253"/>
      <c r="F1" s="406"/>
      <c r="G1" s="406"/>
      <c r="H1" s="407" t="s">
        <v>1038</v>
      </c>
      <c r="I1" s="1255"/>
      <c r="J1" s="1255"/>
      <c r="K1" s="1255"/>
      <c r="L1" s="1255"/>
    </row>
    <row r="2" spans="1:12" ht="14.25" customHeight="1">
      <c r="A2" s="406" t="s">
        <v>1039</v>
      </c>
      <c r="B2" s="1253"/>
      <c r="C2" s="406"/>
      <c r="E2" s="1253"/>
      <c r="F2" s="406"/>
      <c r="G2" s="406"/>
      <c r="H2" s="407"/>
      <c r="I2" s="1255"/>
      <c r="J2" s="1255"/>
      <c r="K2" s="1255"/>
      <c r="L2" s="1255"/>
    </row>
    <row r="3" spans="1:12" ht="14.25" customHeight="1">
      <c r="A3" s="406"/>
      <c r="B3" s="1253"/>
      <c r="C3" s="406"/>
      <c r="D3" s="1256"/>
      <c r="E3" s="1253"/>
      <c r="F3" s="408"/>
      <c r="G3" s="408"/>
      <c r="H3" s="406"/>
      <c r="I3" s="1255"/>
      <c r="J3" s="1255"/>
      <c r="K3" s="1255"/>
      <c r="L3" s="1255"/>
    </row>
    <row r="4" spans="1:12" ht="15" customHeight="1">
      <c r="A4" s="1486" t="s">
        <v>437</v>
      </c>
      <c r="B4" s="1488" t="s">
        <v>438</v>
      </c>
      <c r="C4" s="1489"/>
      <c r="D4" s="1249"/>
      <c r="E4" s="1251" t="s">
        <v>439</v>
      </c>
      <c r="F4" s="1249" t="s">
        <v>440</v>
      </c>
      <c r="G4" s="1249" t="s">
        <v>441</v>
      </c>
      <c r="H4" s="409" t="s">
        <v>442</v>
      </c>
      <c r="I4" s="1255"/>
      <c r="J4" s="1255"/>
      <c r="K4" s="1255"/>
      <c r="L4" s="1255"/>
    </row>
    <row r="5" spans="1:12" s="1258" customFormat="1">
      <c r="A5" s="1487"/>
      <c r="B5" s="1490" t="s">
        <v>443</v>
      </c>
      <c r="C5" s="1490"/>
      <c r="D5" s="1250" t="s">
        <v>1344</v>
      </c>
      <c r="E5" s="1252" t="s">
        <v>444</v>
      </c>
      <c r="F5" s="1250" t="s">
        <v>445</v>
      </c>
      <c r="G5" s="1250" t="s">
        <v>446</v>
      </c>
      <c r="H5" s="410" t="s">
        <v>325</v>
      </c>
      <c r="I5" s="1257"/>
    </row>
    <row r="6" spans="1:12" s="1262" customFormat="1">
      <c r="A6" s="411"/>
      <c r="B6" s="1259"/>
      <c r="C6" s="1254"/>
      <c r="D6" s="1260"/>
      <c r="E6" s="412"/>
      <c r="F6" s="414"/>
      <c r="G6" s="413"/>
      <c r="H6" s="1260"/>
      <c r="I6" s="1261"/>
    </row>
    <row r="7" spans="1:12">
      <c r="A7" s="411">
        <v>1</v>
      </c>
      <c r="B7" s="1259" t="s">
        <v>447</v>
      </c>
      <c r="C7" s="1254" t="s">
        <v>448</v>
      </c>
      <c r="D7" s="1260"/>
      <c r="E7" s="412"/>
      <c r="F7" s="414"/>
      <c r="G7" s="413"/>
      <c r="H7" s="1260"/>
      <c r="I7" s="1255"/>
      <c r="J7" s="1255"/>
      <c r="K7" s="1255"/>
      <c r="L7" s="1255"/>
    </row>
    <row r="8" spans="1:12">
      <c r="A8" s="411"/>
      <c r="D8" s="1260" t="s">
        <v>454</v>
      </c>
      <c r="E8" s="412"/>
      <c r="F8" s="414" t="s">
        <v>1037</v>
      </c>
      <c r="G8" s="413" t="s">
        <v>455</v>
      </c>
      <c r="H8" s="1260" t="s">
        <v>456</v>
      </c>
      <c r="I8" s="1255"/>
      <c r="J8" s="1255"/>
      <c r="K8" s="1255"/>
      <c r="L8" s="1255"/>
    </row>
    <row r="9" spans="1:12">
      <c r="A9" s="411"/>
      <c r="D9" s="1260" t="s">
        <v>457</v>
      </c>
      <c r="E9" s="412"/>
      <c r="F9" s="414"/>
      <c r="G9" s="413"/>
      <c r="H9" s="1272" t="s">
        <v>137</v>
      </c>
      <c r="I9" s="1255"/>
      <c r="J9" s="1255"/>
      <c r="K9" s="1255"/>
      <c r="L9" s="1255"/>
    </row>
    <row r="10" spans="1:12">
      <c r="A10" s="411"/>
      <c r="D10" s="1260" t="s">
        <v>458</v>
      </c>
      <c r="E10" s="412"/>
      <c r="F10" s="414" t="s">
        <v>459</v>
      </c>
      <c r="G10" s="413" t="s">
        <v>460</v>
      </c>
      <c r="H10" s="416" t="s">
        <v>1041</v>
      </c>
      <c r="I10" s="1255"/>
      <c r="J10" s="1255"/>
      <c r="K10" s="1255"/>
      <c r="L10" s="1255"/>
    </row>
    <row r="11" spans="1:12">
      <c r="A11" s="411"/>
      <c r="D11" s="1260" t="s">
        <v>1040</v>
      </c>
      <c r="E11" s="412"/>
      <c r="F11" s="414" t="s">
        <v>1282</v>
      </c>
      <c r="G11" s="413" t="s">
        <v>460</v>
      </c>
      <c r="H11" s="1260" t="s">
        <v>456</v>
      </c>
      <c r="I11" s="1255"/>
      <c r="J11" s="1255"/>
      <c r="K11" s="1255"/>
      <c r="L11" s="1255"/>
    </row>
    <row r="12" spans="1:12">
      <c r="A12" s="411"/>
      <c r="D12" s="1260" t="s">
        <v>462</v>
      </c>
      <c r="E12" s="412"/>
      <c r="F12" s="414" t="s">
        <v>452</v>
      </c>
      <c r="G12" s="413" t="s">
        <v>453</v>
      </c>
      <c r="H12" s="416" t="s">
        <v>450</v>
      </c>
      <c r="I12" s="1255"/>
      <c r="J12" s="1255"/>
      <c r="K12" s="1255"/>
      <c r="L12" s="1255"/>
    </row>
    <row r="13" spans="1:12">
      <c r="A13" s="411"/>
      <c r="D13" s="1260"/>
      <c r="E13" s="412"/>
      <c r="F13" s="414"/>
      <c r="G13" s="413"/>
      <c r="H13" s="1260"/>
      <c r="I13" s="1255"/>
      <c r="J13" s="1255"/>
      <c r="K13" s="1255"/>
      <c r="L13" s="1255"/>
    </row>
    <row r="14" spans="1:12">
      <c r="A14" s="411">
        <v>2</v>
      </c>
      <c r="B14" s="1259" t="s">
        <v>463</v>
      </c>
      <c r="C14" s="1254" t="s">
        <v>464</v>
      </c>
      <c r="D14" s="1260"/>
      <c r="E14" s="412"/>
      <c r="F14" s="414"/>
      <c r="G14" s="413"/>
      <c r="H14" s="1260"/>
      <c r="I14" s="1255"/>
      <c r="J14" s="1255"/>
      <c r="K14" s="1255"/>
      <c r="L14" s="1255"/>
    </row>
    <row r="15" spans="1:12">
      <c r="A15" s="411"/>
      <c r="D15" s="1260"/>
      <c r="E15" s="412"/>
      <c r="F15" s="414"/>
      <c r="G15" s="413"/>
      <c r="H15" s="1260"/>
      <c r="I15" s="1255"/>
      <c r="J15" s="1255"/>
      <c r="K15" s="1255"/>
      <c r="L15" s="1255"/>
    </row>
    <row r="16" spans="1:12">
      <c r="A16" s="411"/>
      <c r="D16" s="1260" t="s">
        <v>466</v>
      </c>
      <c r="E16" s="412"/>
      <c r="F16" s="414" t="s">
        <v>459</v>
      </c>
      <c r="G16" s="413" t="s">
        <v>455</v>
      </c>
      <c r="H16" s="1260" t="s">
        <v>461</v>
      </c>
      <c r="I16" s="1255"/>
      <c r="J16" s="1255"/>
      <c r="K16" s="1255"/>
      <c r="L16" s="1255"/>
    </row>
    <row r="17" spans="1:12">
      <c r="A17" s="411"/>
      <c r="D17" s="1260" t="s">
        <v>467</v>
      </c>
      <c r="E17" s="412"/>
      <c r="F17" s="414" t="s">
        <v>1283</v>
      </c>
      <c r="G17" s="413" t="s">
        <v>449</v>
      </c>
      <c r="H17" s="1260" t="s">
        <v>450</v>
      </c>
      <c r="I17" s="1255"/>
      <c r="J17" s="1255"/>
      <c r="K17" s="1255"/>
      <c r="L17" s="1255"/>
    </row>
    <row r="18" spans="1:12" ht="22.5">
      <c r="A18" s="411"/>
      <c r="D18" s="438" t="s">
        <v>803</v>
      </c>
      <c r="E18" s="412"/>
      <c r="F18" s="416" t="s">
        <v>1290</v>
      </c>
      <c r="G18" s="413" t="s">
        <v>451</v>
      </c>
      <c r="H18" s="1260" t="s">
        <v>450</v>
      </c>
      <c r="I18" s="1255"/>
      <c r="J18" s="1255"/>
      <c r="K18" s="1255"/>
      <c r="L18" s="1255"/>
    </row>
    <row r="19" spans="1:12">
      <c r="A19" s="411"/>
      <c r="D19" s="438"/>
      <c r="E19" s="412"/>
      <c r="F19" s="416"/>
      <c r="G19" s="413"/>
      <c r="H19" s="1260"/>
      <c r="I19" s="1255"/>
      <c r="J19" s="1255"/>
      <c r="K19" s="1255"/>
      <c r="L19" s="1255"/>
    </row>
    <row r="20" spans="1:12" ht="15.75" customHeight="1">
      <c r="A20" s="411">
        <v>3</v>
      </c>
      <c r="B20" s="1259" t="s">
        <v>465</v>
      </c>
      <c r="C20" s="1254" t="s">
        <v>1309</v>
      </c>
      <c r="D20" s="1260" t="s">
        <v>1310</v>
      </c>
      <c r="E20" s="412"/>
      <c r="F20" s="414" t="s">
        <v>1313</v>
      </c>
      <c r="G20" s="413" t="s">
        <v>1311</v>
      </c>
      <c r="H20" s="1260" t="s">
        <v>456</v>
      </c>
      <c r="I20" s="1255"/>
      <c r="J20" s="1255"/>
      <c r="K20" s="1255"/>
      <c r="L20" s="1255"/>
    </row>
    <row r="21" spans="1:12" ht="15.75" customHeight="1">
      <c r="A21" s="411"/>
      <c r="D21" s="1260" t="s">
        <v>1312</v>
      </c>
      <c r="E21" s="412"/>
      <c r="F21" s="414"/>
      <c r="G21" s="413" t="s">
        <v>451</v>
      </c>
      <c r="H21" s="416" t="s">
        <v>450</v>
      </c>
      <c r="I21" s="1255"/>
      <c r="J21" s="1255"/>
      <c r="K21" s="1255"/>
      <c r="L21" s="1255"/>
    </row>
    <row r="22" spans="1:12">
      <c r="A22" s="411"/>
      <c r="D22" s="1260"/>
      <c r="E22" s="412"/>
      <c r="F22" s="414"/>
      <c r="G22" s="413"/>
      <c r="H22" s="1260"/>
      <c r="I22" s="1255"/>
      <c r="J22" s="1255"/>
      <c r="K22" s="1255"/>
      <c r="L22" s="1255"/>
    </row>
    <row r="23" spans="1:12" ht="16.5" customHeight="1">
      <c r="A23" s="411">
        <v>4</v>
      </c>
      <c r="B23" s="1259" t="s">
        <v>465</v>
      </c>
      <c r="C23" s="1254" t="s">
        <v>726</v>
      </c>
      <c r="D23" s="1260"/>
      <c r="E23" s="412"/>
      <c r="F23" s="414"/>
      <c r="G23" s="413"/>
      <c r="H23" s="1260"/>
      <c r="I23" s="1255"/>
      <c r="J23" s="1255"/>
      <c r="K23" s="1255"/>
      <c r="L23" s="1255"/>
    </row>
    <row r="24" spans="1:12">
      <c r="A24" s="411"/>
      <c r="D24" s="1260" t="s">
        <v>727</v>
      </c>
      <c r="E24" s="412"/>
      <c r="F24" s="414"/>
      <c r="G24" s="413"/>
      <c r="H24" s="1272" t="s">
        <v>137</v>
      </c>
      <c r="I24" s="1255"/>
      <c r="J24" s="1255"/>
      <c r="K24" s="1255"/>
      <c r="L24" s="1255"/>
    </row>
    <row r="25" spans="1:12">
      <c r="A25" s="411"/>
      <c r="D25" s="1260" t="s">
        <v>728</v>
      </c>
      <c r="E25" s="412"/>
      <c r="F25" s="414"/>
      <c r="G25" s="413"/>
      <c r="H25" s="1272" t="s">
        <v>137</v>
      </c>
      <c r="I25" s="1255"/>
      <c r="J25" s="1255"/>
      <c r="K25" s="1255"/>
      <c r="L25" s="1255"/>
    </row>
    <row r="26" spans="1:12">
      <c r="A26" s="411"/>
      <c r="D26" s="1260" t="s">
        <v>467</v>
      </c>
      <c r="E26" s="412"/>
      <c r="F26" s="414" t="s">
        <v>1283</v>
      </c>
      <c r="G26" s="413" t="s">
        <v>449</v>
      </c>
      <c r="H26" s="1260" t="s">
        <v>450</v>
      </c>
      <c r="I26" s="1255"/>
      <c r="J26" s="1255"/>
      <c r="K26" s="1255"/>
      <c r="L26" s="1255"/>
    </row>
    <row r="27" spans="1:12" ht="22.5">
      <c r="A27" s="411"/>
      <c r="D27" s="438" t="s">
        <v>803</v>
      </c>
      <c r="E27" s="412"/>
      <c r="F27" s="416" t="s">
        <v>1290</v>
      </c>
      <c r="G27" s="413" t="s">
        <v>451</v>
      </c>
      <c r="H27" s="1260" t="s">
        <v>450</v>
      </c>
      <c r="I27" s="1255"/>
      <c r="J27" s="1255"/>
      <c r="K27" s="1255"/>
      <c r="L27" s="1255"/>
    </row>
    <row r="28" spans="1:12">
      <c r="A28" s="411"/>
      <c r="D28" s="1260"/>
      <c r="E28" s="412"/>
      <c r="F28" s="415"/>
      <c r="G28" s="413"/>
      <c r="H28" s="416"/>
      <c r="I28" s="1255"/>
      <c r="J28" s="1255"/>
      <c r="K28" s="1255"/>
      <c r="L28" s="1255"/>
    </row>
    <row r="29" spans="1:12">
      <c r="A29" s="411">
        <v>5</v>
      </c>
      <c r="B29" s="1259" t="s">
        <v>469</v>
      </c>
      <c r="C29" s="1254" t="s">
        <v>1292</v>
      </c>
      <c r="D29" s="1260"/>
      <c r="E29" s="412"/>
      <c r="F29" s="414"/>
      <c r="G29" s="413"/>
      <c r="H29" s="1260"/>
      <c r="I29" s="1255"/>
      <c r="J29" s="1255"/>
      <c r="K29" s="1255"/>
      <c r="L29" s="1255"/>
    </row>
    <row r="30" spans="1:12">
      <c r="A30" s="411"/>
      <c r="D30" s="1260" t="s">
        <v>741</v>
      </c>
      <c r="E30" s="412"/>
      <c r="F30" s="414" t="s">
        <v>1284</v>
      </c>
      <c r="G30" s="413" t="s">
        <v>470</v>
      </c>
      <c r="H30" s="1260" t="s">
        <v>284</v>
      </c>
      <c r="I30" s="1255"/>
      <c r="J30" s="1255"/>
      <c r="K30" s="1255"/>
      <c r="L30" s="1255"/>
    </row>
    <row r="31" spans="1:12">
      <c r="A31" s="411"/>
      <c r="D31" s="1260" t="s">
        <v>471</v>
      </c>
      <c r="E31" s="412"/>
      <c r="F31" s="414" t="s">
        <v>1286</v>
      </c>
      <c r="G31" s="413" t="s">
        <v>470</v>
      </c>
      <c r="H31" s="1260" t="s">
        <v>472</v>
      </c>
      <c r="I31" s="1255"/>
      <c r="J31" s="1255"/>
      <c r="K31" s="1255"/>
      <c r="L31" s="1255"/>
    </row>
    <row r="32" spans="1:12">
      <c r="A32" s="411"/>
      <c r="D32" s="1260" t="s">
        <v>473</v>
      </c>
      <c r="E32" s="412"/>
      <c r="F32" s="414" t="s">
        <v>1285</v>
      </c>
      <c r="G32" s="413" t="s">
        <v>451</v>
      </c>
      <c r="H32" s="1260" t="s">
        <v>160</v>
      </c>
      <c r="I32" s="1255"/>
      <c r="J32" s="1255"/>
      <c r="K32" s="1255"/>
      <c r="L32" s="1255"/>
    </row>
    <row r="33" spans="1:12">
      <c r="A33" s="411"/>
      <c r="D33" s="1260" t="s">
        <v>474</v>
      </c>
      <c r="E33" s="412"/>
      <c r="F33" s="414" t="s">
        <v>1287</v>
      </c>
      <c r="G33" s="413" t="s">
        <v>475</v>
      </c>
      <c r="H33" s="1260" t="s">
        <v>476</v>
      </c>
      <c r="I33" s="1255"/>
      <c r="J33" s="1255"/>
      <c r="K33" s="1255"/>
      <c r="L33" s="1255"/>
    </row>
    <row r="34" spans="1:12">
      <c r="A34" s="411"/>
      <c r="D34" s="1260" t="s">
        <v>477</v>
      </c>
      <c r="E34" s="412"/>
      <c r="F34" s="414" t="s">
        <v>1283</v>
      </c>
      <c r="G34" s="413" t="s">
        <v>451</v>
      </c>
      <c r="H34" s="416" t="s">
        <v>450</v>
      </c>
      <c r="I34" s="1255"/>
      <c r="J34" s="1255"/>
      <c r="K34" s="1255"/>
      <c r="L34" s="1255"/>
    </row>
    <row r="35" spans="1:12">
      <c r="A35" s="411"/>
      <c r="D35" s="1260" t="s">
        <v>800</v>
      </c>
      <c r="E35" s="412"/>
      <c r="F35" s="414" t="s">
        <v>1288</v>
      </c>
      <c r="G35" s="413" t="s">
        <v>451</v>
      </c>
      <c r="H35" s="416" t="s">
        <v>450</v>
      </c>
      <c r="I35" s="1255"/>
      <c r="J35" s="1255"/>
      <c r="K35" s="1255"/>
      <c r="L35" s="1255"/>
    </row>
    <row r="36" spans="1:12">
      <c r="A36" s="411"/>
      <c r="D36" s="1260" t="s">
        <v>801</v>
      </c>
      <c r="E36" s="412"/>
      <c r="F36" s="416" t="s">
        <v>1289</v>
      </c>
      <c r="G36" s="413" t="s">
        <v>451</v>
      </c>
      <c r="H36" s="1260" t="s">
        <v>160</v>
      </c>
      <c r="I36" s="1255"/>
      <c r="J36" s="1255"/>
      <c r="K36" s="1255"/>
      <c r="L36" s="1255"/>
    </row>
    <row r="37" spans="1:12">
      <c r="A37" s="411"/>
      <c r="D37" s="1260" t="s">
        <v>802</v>
      </c>
      <c r="E37" s="412"/>
      <c r="F37" s="416" t="s">
        <v>1290</v>
      </c>
      <c r="G37" s="413" t="s">
        <v>451</v>
      </c>
      <c r="H37" s="416" t="s">
        <v>450</v>
      </c>
      <c r="I37" s="1255"/>
      <c r="J37" s="1255"/>
      <c r="K37" s="1255"/>
      <c r="L37" s="1255"/>
    </row>
    <row r="38" spans="1:12">
      <c r="A38" s="411"/>
      <c r="D38" s="1260"/>
      <c r="E38" s="412"/>
      <c r="F38" s="414"/>
      <c r="G38" s="413"/>
      <c r="H38" s="1260"/>
      <c r="I38" s="1255"/>
      <c r="J38" s="1255"/>
      <c r="K38" s="1255"/>
      <c r="L38" s="1255"/>
    </row>
    <row r="39" spans="1:12">
      <c r="A39" s="411">
        <v>6</v>
      </c>
      <c r="B39" s="1259" t="s">
        <v>479</v>
      </c>
      <c r="C39" s="1254" t="s">
        <v>1293</v>
      </c>
      <c r="D39" s="1260"/>
      <c r="E39" s="412"/>
      <c r="F39" s="414"/>
      <c r="G39" s="413"/>
      <c r="H39" s="1260"/>
      <c r="I39" s="1255"/>
      <c r="J39" s="1255"/>
      <c r="K39" s="1255"/>
      <c r="L39" s="1255"/>
    </row>
    <row r="40" spans="1:12">
      <c r="A40" s="411"/>
      <c r="D40" s="1260" t="s">
        <v>1294</v>
      </c>
      <c r="E40" s="412"/>
      <c r="F40" s="414" t="s">
        <v>1291</v>
      </c>
      <c r="G40" s="413" t="s">
        <v>475</v>
      </c>
      <c r="H40" s="1260" t="s">
        <v>476</v>
      </c>
      <c r="I40" s="1255"/>
      <c r="J40" s="1255"/>
      <c r="K40" s="1255"/>
      <c r="L40" s="1255"/>
    </row>
    <row r="41" spans="1:12">
      <c r="A41" s="411"/>
      <c r="D41" s="1260" t="s">
        <v>477</v>
      </c>
      <c r="E41" s="412"/>
      <c r="F41" s="414" t="s">
        <v>468</v>
      </c>
      <c r="G41" s="413" t="s">
        <v>451</v>
      </c>
      <c r="H41" s="416" t="s">
        <v>450</v>
      </c>
      <c r="I41" s="1255"/>
      <c r="J41" s="1255"/>
      <c r="K41" s="1255"/>
      <c r="L41" s="1255"/>
    </row>
    <row r="42" spans="1:12">
      <c r="A42" s="411"/>
      <c r="D42" s="1260" t="s">
        <v>800</v>
      </c>
      <c r="E42" s="412"/>
      <c r="F42" s="414" t="s">
        <v>1288</v>
      </c>
      <c r="G42" s="413" t="s">
        <v>451</v>
      </c>
      <c r="H42" s="416" t="s">
        <v>450</v>
      </c>
      <c r="I42" s="1255"/>
      <c r="J42" s="1255"/>
      <c r="K42" s="1255"/>
      <c r="L42" s="1255"/>
    </row>
    <row r="43" spans="1:12">
      <c r="A43" s="411"/>
      <c r="D43" s="1260" t="s">
        <v>801</v>
      </c>
      <c r="E43" s="412"/>
      <c r="F43" s="416" t="s">
        <v>1289</v>
      </c>
      <c r="G43" s="413" t="s">
        <v>451</v>
      </c>
      <c r="H43" s="1260" t="s">
        <v>160</v>
      </c>
      <c r="I43" s="1255"/>
      <c r="J43" s="1255"/>
      <c r="K43" s="1255"/>
      <c r="L43" s="1255"/>
    </row>
    <row r="44" spans="1:12" ht="409.6">
      <c r="A44" s="411"/>
      <c r="D44" s="1260" t="s">
        <v>802</v>
      </c>
      <c r="E44" s="412"/>
      <c r="F44" s="416" t="s">
        <v>1290</v>
      </c>
      <c r="G44" s="413" t="s">
        <v>451</v>
      </c>
      <c r="H44" s="416" t="s">
        <v>450</v>
      </c>
      <c r="I44" s="1255"/>
      <c r="J44" s="1255"/>
      <c r="K44" s="1255"/>
      <c r="L44" s="1255"/>
    </row>
    <row r="45" spans="1:12" ht="409.6">
      <c r="A45" s="411"/>
      <c r="D45" s="1260"/>
      <c r="E45" s="412"/>
      <c r="F45" s="414"/>
      <c r="G45" s="413"/>
      <c r="H45" s="416"/>
      <c r="I45" s="1255"/>
      <c r="J45" s="1255"/>
      <c r="K45" s="1255"/>
      <c r="L45" s="1255"/>
    </row>
    <row r="46" spans="1:12" ht="409.6">
      <c r="A46" s="411">
        <v>7</v>
      </c>
      <c r="C46" s="1254" t="s">
        <v>487</v>
      </c>
      <c r="D46" s="1260" t="s">
        <v>488</v>
      </c>
      <c r="E46" s="412"/>
      <c r="F46" s="414" t="s">
        <v>489</v>
      </c>
      <c r="G46" s="413" t="s">
        <v>451</v>
      </c>
      <c r="H46" s="416" t="s">
        <v>481</v>
      </c>
      <c r="I46" s="1255"/>
      <c r="J46" s="1255"/>
      <c r="K46" s="1255"/>
      <c r="L46" s="1255"/>
    </row>
    <row r="47" spans="1:12" ht="409.6">
      <c r="A47" s="411"/>
      <c r="D47" s="1260" t="s">
        <v>480</v>
      </c>
      <c r="E47" s="412"/>
      <c r="F47" s="416" t="s">
        <v>1290</v>
      </c>
      <c r="G47" s="413" t="s">
        <v>451</v>
      </c>
      <c r="H47" s="416" t="s">
        <v>481</v>
      </c>
      <c r="I47" s="1255"/>
      <c r="J47" s="1255"/>
      <c r="K47" s="1255"/>
      <c r="L47" s="1255"/>
    </row>
    <row r="48" spans="1:12" ht="409.6">
      <c r="A48" s="411"/>
      <c r="B48" s="1259" t="s">
        <v>482</v>
      </c>
      <c r="D48" s="1260" t="s">
        <v>490</v>
      </c>
      <c r="E48" s="412"/>
      <c r="F48" s="416" t="s">
        <v>1290</v>
      </c>
      <c r="G48" s="413" t="s">
        <v>451</v>
      </c>
      <c r="H48" s="416" t="s">
        <v>481</v>
      </c>
      <c r="I48" s="1255"/>
      <c r="J48" s="1255"/>
      <c r="K48" s="1255"/>
      <c r="L48" s="1255"/>
    </row>
    <row r="49" spans="1:12" ht="409.6">
      <c r="A49" s="411"/>
      <c r="D49" s="1260" t="s">
        <v>800</v>
      </c>
      <c r="E49" s="412"/>
      <c r="F49" s="414" t="s">
        <v>1288</v>
      </c>
      <c r="G49" s="413" t="s">
        <v>451</v>
      </c>
      <c r="H49" s="416" t="s">
        <v>450</v>
      </c>
      <c r="I49" s="1255"/>
      <c r="J49" s="1255"/>
      <c r="K49" s="1255"/>
      <c r="L49" s="1255"/>
    </row>
    <row r="50" spans="1:12" ht="409.6">
      <c r="A50" s="411"/>
      <c r="D50" s="1260" t="s">
        <v>802</v>
      </c>
      <c r="E50" s="412"/>
      <c r="F50" s="416" t="s">
        <v>1290</v>
      </c>
      <c r="G50" s="413" t="s">
        <v>451</v>
      </c>
      <c r="H50" s="416" t="s">
        <v>450</v>
      </c>
      <c r="I50" s="1255"/>
      <c r="J50" s="1255"/>
      <c r="K50" s="1255"/>
      <c r="L50" s="1255"/>
    </row>
    <row r="51" spans="1:12" ht="409.6">
      <c r="A51" s="411"/>
      <c r="D51" s="1260"/>
      <c r="E51" s="412"/>
      <c r="F51" s="414"/>
      <c r="G51" s="413"/>
      <c r="H51" s="416"/>
      <c r="I51" s="1255"/>
      <c r="J51" s="1255"/>
      <c r="K51" s="1255"/>
      <c r="L51" s="1255"/>
    </row>
    <row r="52" spans="1:12" ht="409.6">
      <c r="A52" s="411">
        <v>8</v>
      </c>
      <c r="B52" s="1259" t="s">
        <v>483</v>
      </c>
      <c r="C52" s="1254" t="s">
        <v>417</v>
      </c>
      <c r="D52" s="416" t="s">
        <v>484</v>
      </c>
      <c r="E52" s="412"/>
      <c r="F52" s="414" t="s">
        <v>1295</v>
      </c>
      <c r="G52" s="413" t="s">
        <v>470</v>
      </c>
      <c r="H52" s="416" t="s">
        <v>350</v>
      </c>
      <c r="I52" s="1255"/>
      <c r="J52" s="1255"/>
      <c r="K52" s="1255"/>
      <c r="L52" s="1255"/>
    </row>
    <row r="53" spans="1:12" ht="409.6">
      <c r="A53" s="411"/>
      <c r="D53" s="1260" t="s">
        <v>800</v>
      </c>
      <c r="E53" s="412"/>
      <c r="F53" s="414" t="s">
        <v>1288</v>
      </c>
      <c r="G53" s="413" t="s">
        <v>451</v>
      </c>
      <c r="H53" s="416" t="s">
        <v>450</v>
      </c>
      <c r="I53" s="1255"/>
      <c r="J53" s="1255"/>
      <c r="K53" s="1255"/>
      <c r="L53" s="1255"/>
    </row>
    <row r="54" spans="1:12" ht="409.6">
      <c r="A54" s="411"/>
      <c r="D54" s="1260" t="s">
        <v>802</v>
      </c>
      <c r="E54" s="412"/>
      <c r="F54" s="416" t="s">
        <v>1290</v>
      </c>
      <c r="G54" s="413" t="s">
        <v>451</v>
      </c>
      <c r="H54" s="416" t="s">
        <v>450</v>
      </c>
      <c r="I54" s="1255"/>
      <c r="J54" s="1255"/>
      <c r="K54" s="1255"/>
      <c r="L54" s="1255"/>
    </row>
    <row r="55" spans="1:12" ht="409.6">
      <c r="A55" s="411"/>
      <c r="D55" s="1260"/>
      <c r="E55" s="412"/>
      <c r="F55" s="414"/>
      <c r="G55" s="413"/>
      <c r="H55" s="416"/>
      <c r="I55" s="1255"/>
      <c r="J55" s="1255"/>
      <c r="K55" s="1255"/>
      <c r="L55" s="1255"/>
    </row>
    <row r="56" spans="1:12" ht="409.6">
      <c r="A56" s="411">
        <v>9</v>
      </c>
      <c r="B56" s="1259" t="s">
        <v>485</v>
      </c>
      <c r="C56" s="1254" t="s">
        <v>338</v>
      </c>
      <c r="D56" s="1260" t="s">
        <v>486</v>
      </c>
      <c r="E56" s="412"/>
      <c r="F56" s="414" t="s">
        <v>145</v>
      </c>
      <c r="G56" s="413" t="s">
        <v>470</v>
      </c>
      <c r="H56" s="1260" t="s">
        <v>456</v>
      </c>
      <c r="I56" s="1255"/>
      <c r="J56" s="1255"/>
      <c r="K56" s="1255"/>
      <c r="L56" s="1255"/>
    </row>
    <row r="57" spans="1:12" ht="409.6">
      <c r="A57" s="411"/>
      <c r="D57" s="1260" t="s">
        <v>800</v>
      </c>
      <c r="E57" s="412"/>
      <c r="F57" s="414" t="s">
        <v>1288</v>
      </c>
      <c r="G57" s="413" t="s">
        <v>451</v>
      </c>
      <c r="H57" s="416" t="s">
        <v>450</v>
      </c>
      <c r="I57" s="1255"/>
      <c r="J57" s="1255"/>
      <c r="K57" s="1255"/>
      <c r="L57" s="1255"/>
    </row>
    <row r="58" spans="1:12" ht="409.6">
      <c r="A58" s="411"/>
      <c r="D58" s="1260" t="s">
        <v>802</v>
      </c>
      <c r="E58" s="412"/>
      <c r="F58" s="416" t="s">
        <v>1290</v>
      </c>
      <c r="G58" s="413" t="s">
        <v>451</v>
      </c>
      <c r="H58" s="416" t="s">
        <v>450</v>
      </c>
      <c r="I58" s="1255"/>
      <c r="J58" s="1255"/>
      <c r="K58" s="1255"/>
      <c r="L58" s="1255"/>
    </row>
    <row r="59" spans="1:12" ht="409.6">
      <c r="A59" s="411"/>
      <c r="D59" s="1260"/>
      <c r="E59" s="412"/>
      <c r="F59" s="414"/>
      <c r="G59" s="413"/>
      <c r="H59" s="1260"/>
      <c r="I59" s="1255"/>
      <c r="J59" s="1255"/>
      <c r="K59" s="1255"/>
      <c r="L59" s="1255"/>
    </row>
    <row r="60" spans="1:12" ht="409.6">
      <c r="A60" s="411">
        <v>10</v>
      </c>
      <c r="B60" s="1259" t="s">
        <v>485</v>
      </c>
      <c r="C60" s="1254" t="s">
        <v>970</v>
      </c>
      <c r="D60" s="1260" t="s">
        <v>1319</v>
      </c>
      <c r="E60" s="412"/>
      <c r="F60" s="414" t="s">
        <v>1296</v>
      </c>
      <c r="G60" s="413" t="s">
        <v>470</v>
      </c>
      <c r="H60" s="1260" t="s">
        <v>456</v>
      </c>
      <c r="I60" s="1255"/>
      <c r="J60" s="1255"/>
      <c r="K60" s="1255"/>
      <c r="L60" s="1255"/>
    </row>
    <row r="61" spans="1:12" ht="409.6">
      <c r="A61" s="411"/>
      <c r="D61" s="1260" t="s">
        <v>800</v>
      </c>
      <c r="E61" s="412"/>
      <c r="F61" s="414" t="s">
        <v>1288</v>
      </c>
      <c r="G61" s="413" t="s">
        <v>451</v>
      </c>
      <c r="H61" s="416" t="s">
        <v>450</v>
      </c>
      <c r="I61" s="1255"/>
      <c r="J61" s="1255"/>
      <c r="K61" s="1255"/>
      <c r="L61" s="1255"/>
    </row>
    <row r="62" spans="1:12" ht="409.6">
      <c r="A62" s="411"/>
      <c r="D62" s="416"/>
      <c r="E62" s="412"/>
      <c r="F62" s="414"/>
      <c r="G62" s="413"/>
      <c r="H62" s="416"/>
      <c r="I62" s="1255"/>
      <c r="J62" s="1255"/>
      <c r="K62" s="1255"/>
      <c r="L62" s="1255"/>
    </row>
    <row r="63" spans="1:12" ht="409.6">
      <c r="A63" s="1250"/>
      <c r="B63" s="1263"/>
      <c r="C63" s="1256"/>
      <c r="D63" s="1250"/>
      <c r="E63" s="417"/>
      <c r="F63" s="1264"/>
      <c r="G63" s="418"/>
      <c r="H63" s="1265"/>
      <c r="I63" s="1255"/>
      <c r="J63" s="1255"/>
      <c r="K63" s="1255"/>
      <c r="L63" s="1255"/>
    </row>
    <row r="66" spans="1:1" ht="409.6">
      <c r="A66" s="419"/>
    </row>
  </sheetData>
  <customSheetViews>
    <customSheetView guid="{29ADDA07-E427-4C12-A26F-16DB0F983414}" showPageBreaks="1" printArea="1" hiddenColumns="1" view="pageBreakPreview" topLeftCell="A28">
      <selection activeCell="H25" sqref="H25"/>
      <pageMargins left="0.74803149606299213" right="0.21" top="0.98425196850393704" bottom="0.98425196850393704" header="0.51181102362204722" footer="0.51181102362204722"/>
      <pageSetup paperSize="9" scale="61" orientation="portrait" r:id="rId1"/>
      <headerFooter alignWithMargins="0"/>
    </customSheetView>
  </customSheetViews>
  <mergeCells count="3">
    <mergeCell ref="A4:A5"/>
    <mergeCell ref="B4:C4"/>
    <mergeCell ref="B5:C5"/>
  </mergeCells>
  <phoneticPr fontId="52"/>
  <pageMargins left="0.74803149606299213" right="0.21" top="0.98425196850393704" bottom="0.98425196850393704" header="0.51181102362204722" footer="0.51181102362204722"/>
  <pageSetup paperSize="9" scale="61" orientation="portrait" r:id="rId2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"/>
  <sheetViews>
    <sheetView showFormulas="1" workbookViewId="0">
      <selection activeCell="A25" sqref="A25"/>
    </sheetView>
  </sheetViews>
  <sheetFormatPr defaultColWidth="10.7109375" defaultRowHeight="12.75"/>
  <cols>
    <col min="1" max="1" width="34.85546875" style="9" customWidth="1"/>
    <col min="2" max="2" width="1.42578125" style="9" customWidth="1"/>
    <col min="3" max="3" width="37.42578125" style="9" customWidth="1"/>
    <col min="4" max="16384" width="10.7109375" style="9"/>
  </cols>
  <sheetData>
    <row r="1" spans="1:3" ht="13.5" thickBot="1"/>
    <row r="2" spans="1:3" ht="13.5" thickBot="1">
      <c r="A2" s="10" t="s">
        <v>339</v>
      </c>
      <c r="C2" s="10" t="s">
        <v>340</v>
      </c>
    </row>
    <row r="3" spans="1:3">
      <c r="A3" s="11" t="s">
        <v>341</v>
      </c>
      <c r="C3" s="12" t="str">
        <f>"Deleted By Kaspersky Lab AV Del"</f>
        <v>Deleted By Kaspersky Lab AV Del</v>
      </c>
    </row>
    <row r="4" spans="1:3">
      <c r="A4" s="13" t="s">
        <v>342</v>
      </c>
      <c r="C4" s="14" t="str">
        <f>"Deleted By Kaspersky Lab A"</f>
        <v>Deleted By Kaspersky Lab A</v>
      </c>
    </row>
    <row r="5" spans="1:3">
      <c r="A5" s="15" t="s">
        <v>343</v>
      </c>
      <c r="C5" s="14" t="str">
        <f>"Deleted By Kaspersky "</f>
        <v xml:space="preserve">Deleted By Kaspersky </v>
      </c>
    </row>
    <row r="6" spans="1:3" ht="13.5" thickBot="1">
      <c r="A6" s="16">
        <v>3</v>
      </c>
      <c r="C6" s="14" t="str">
        <f>"Deleted By Kaspersky "</f>
        <v xml:space="preserve">Deleted By Kaspersky </v>
      </c>
    </row>
    <row r="7" spans="1:3">
      <c r="C7" s="14" t="str">
        <f>"Deleted By Kaspersky Lab AV Deleted By "</f>
        <v xml:space="preserve">Deleted By Kaspersky Lab AV Deleted By </v>
      </c>
    </row>
    <row r="8" spans="1:3" ht="13.5" thickBot="1">
      <c r="C8" s="17" t="str">
        <f>"D"</f>
        <v>D</v>
      </c>
    </row>
    <row r="9" spans="1:3" ht="13.5" thickBot="1">
      <c r="A9" s="10" t="s">
        <v>344</v>
      </c>
    </row>
    <row r="10" spans="1:3" ht="13.5" thickBot="1">
      <c r="A10" s="12" t="str">
        <f>"Deleted By Kaspersky Lab AV Deleted By"</f>
        <v>Deleted By Kaspersky Lab AV Deleted By</v>
      </c>
      <c r="C10" s="10" t="s">
        <v>345</v>
      </c>
    </row>
    <row r="11" spans="1:3">
      <c r="A11" s="14" t="str">
        <f>"Deleted "</f>
        <v xml:space="preserve">Deleted </v>
      </c>
      <c r="C11" s="12" t="str">
        <f>"Delete"</f>
        <v>Delete</v>
      </c>
    </row>
    <row r="12" spans="1:3">
      <c r="A12" s="14" t="str">
        <f>"Deleted By"</f>
        <v>Deleted By</v>
      </c>
      <c r="C12" s="14" t="str">
        <f>"Deleted "</f>
        <v xml:space="preserve">Deleted </v>
      </c>
    </row>
    <row r="13" spans="1:3">
      <c r="A13" s="14" t="str">
        <f>"D"</f>
        <v>D</v>
      </c>
      <c r="C13" s="14" t="str">
        <f>"Deleted By"</f>
        <v>Deleted By</v>
      </c>
    </row>
    <row r="14" spans="1:3">
      <c r="A14" s="14" t="str">
        <f>""</f>
        <v/>
      </c>
      <c r="C14" s="14" t="str">
        <f>"D"</f>
        <v>D</v>
      </c>
    </row>
    <row r="15" spans="1:3">
      <c r="A15" s="14" t="str">
        <f>"Dele"</f>
        <v>Dele</v>
      </c>
      <c r="C15" s="14" t="str">
        <f>"Del"</f>
        <v>Del</v>
      </c>
    </row>
    <row r="16" spans="1:3">
      <c r="A16" s="14" t="str">
        <f>"Dele"</f>
        <v>Dele</v>
      </c>
      <c r="C16" s="14" t="str">
        <f>"D"</f>
        <v>D</v>
      </c>
    </row>
    <row r="17" spans="1:3">
      <c r="A17" s="14" t="str">
        <f>"Dele"</f>
        <v>Dele</v>
      </c>
      <c r="C17" s="14" t="str">
        <f>"Delete"</f>
        <v>Delete</v>
      </c>
    </row>
    <row r="18" spans="1:3">
      <c r="A18" s="14" t="str">
        <f>"D"</f>
        <v>D</v>
      </c>
      <c r="C18" s="14" t="str">
        <f>"Deleted By Kasper"</f>
        <v>Deleted By Kasper</v>
      </c>
    </row>
    <row r="19" spans="1:3">
      <c r="A19" s="14" t="str">
        <f>"Delete"</f>
        <v>Delete</v>
      </c>
      <c r="C19" s="14" t="str">
        <f>""</f>
        <v/>
      </c>
    </row>
    <row r="20" spans="1:3" ht="13.5" thickBot="1">
      <c r="A20" s="14" t="str">
        <f>"Deleted By Kasper"</f>
        <v>Deleted By Kasper</v>
      </c>
      <c r="C20" s="17" t="str">
        <f>"D"</f>
        <v>D</v>
      </c>
    </row>
    <row r="21" spans="1:3" ht="13.5" thickBot="1">
      <c r="A21" s="14" t="str">
        <f>"Deleted By Kaspersky"</f>
        <v>Deleted By Kaspersky</v>
      </c>
    </row>
    <row r="22" spans="1:3" ht="13.5" thickBot="1">
      <c r="A22" s="14" t="str">
        <f>"Deleted By Kaspersk"</f>
        <v>Deleted By Kaspersk</v>
      </c>
      <c r="C22" s="10" t="s">
        <v>346</v>
      </c>
    </row>
    <row r="23" spans="1:3">
      <c r="A23" s="14" t="str">
        <f>"Deleted By Kaspersky"</f>
        <v>Deleted By Kaspersky</v>
      </c>
      <c r="C23" s="12" t="str">
        <f>"Delete"</f>
        <v>Delete</v>
      </c>
    </row>
    <row r="24" spans="1:3">
      <c r="A24" s="14" t="str">
        <f>"Deleted By K"</f>
        <v>Deleted By K</v>
      </c>
      <c r="C24" s="15" t="str">
        <f>"Deleted By Kaspersky Lab"</f>
        <v>Deleted By Kaspersky Lab</v>
      </c>
    </row>
    <row r="25" spans="1:3">
      <c r="A25" s="14" t="str">
        <f>"D"</f>
        <v>D</v>
      </c>
      <c r="C25" s="15" t="str">
        <f>"Deleted By Kasp"</f>
        <v>Deleted By Kasp</v>
      </c>
    </row>
    <row r="26" spans="1:3">
      <c r="A26" s="14" t="str">
        <f>"D"</f>
        <v>D</v>
      </c>
      <c r="C26" s="14" t="str">
        <f>"Deleted By K"</f>
        <v>Deleted By K</v>
      </c>
    </row>
    <row r="27" spans="1:3">
      <c r="A27" s="14" t="str">
        <f>"D"</f>
        <v>D</v>
      </c>
      <c r="C27" s="14" t="str">
        <f>"Deleted By"</f>
        <v>Deleted By</v>
      </c>
    </row>
    <row r="28" spans="1:3">
      <c r="A28" s="14" t="str">
        <f>"Delete"</f>
        <v>Delete</v>
      </c>
      <c r="C28" s="14" t="str">
        <f>"D"</f>
        <v>D</v>
      </c>
    </row>
    <row r="29" spans="1:3">
      <c r="A29" s="14" t="str">
        <f>"D"</f>
        <v>D</v>
      </c>
      <c r="C29" s="14" t="str">
        <f>""</f>
        <v/>
      </c>
    </row>
    <row r="30" spans="1:3" ht="13.5" thickBot="1">
      <c r="A30" s="17" t="str">
        <f>"D"</f>
        <v>D</v>
      </c>
      <c r="C30" s="14" t="str">
        <f>"Del"</f>
        <v>Del</v>
      </c>
    </row>
    <row r="31" spans="1:3">
      <c r="C31" s="14" t="str">
        <f>"Delete"</f>
        <v>Delete</v>
      </c>
    </row>
    <row r="32" spans="1:3" ht="13.5" thickBot="1">
      <c r="C32" s="14" t="str">
        <f>"Deleted By Kaspersk"</f>
        <v>Deleted By Kaspersk</v>
      </c>
    </row>
    <row r="33" spans="1:3">
      <c r="A33" s="12" t="str">
        <f>"Dele"</f>
        <v>Dele</v>
      </c>
      <c r="C33" s="15" t="str">
        <f>"Deleted By Kaspersky Lab"</f>
        <v>Deleted By Kaspersky Lab</v>
      </c>
    </row>
    <row r="34" spans="1:3">
      <c r="A34" s="14" t="str">
        <f>"Deleted By Kas"</f>
        <v>Deleted By Kas</v>
      </c>
      <c r="C34" s="14" t="str">
        <f>"Deleted By K"</f>
        <v>Deleted By K</v>
      </c>
    </row>
    <row r="35" spans="1:3" ht="13.5" thickBot="1">
      <c r="A35" s="17" t="str">
        <f>"D"</f>
        <v>D</v>
      </c>
      <c r="C35" s="17" t="str">
        <f>"D"</f>
        <v>D</v>
      </c>
    </row>
  </sheetData>
  <sheetProtection password="CFB0" sheet="1" objects="1"/>
  <customSheetViews>
    <customSheetView guid="{29ADDA07-E427-4C12-A26F-16DB0F983414}" showFormulas="1" state="hidden">
      <selection activeCell="A25" sqref="A25"/>
      <pageMargins left="0.75" right="0.75" top="0.41" bottom="0.5" header="0.22" footer="0.27"/>
      <pageSetup paperSize="9" orientation="landscape" r:id="rId1"/>
      <headerFooter alignWithMargins="0"/>
    </customSheetView>
  </customSheetViews>
  <phoneticPr fontId="23" type="noConversion"/>
  <pageMargins left="0.75" right="0.75" top="0.41" bottom="0.5" header="0.22" footer="0.27"/>
  <pageSetup paperSize="9" orientation="landscape" r:id="rId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5</vt:i4>
      </vt:variant>
    </vt:vector>
  </HeadingPairs>
  <TitlesOfParts>
    <vt:vector size="13" baseType="lpstr">
      <vt:lpstr>Cover</vt:lpstr>
      <vt:lpstr>Condition-1</vt:lpstr>
      <vt:lpstr>Condition-2</vt:lpstr>
      <vt:lpstr>M&amp;E Expenses</vt:lpstr>
      <vt:lpstr>Summary-E</vt:lpstr>
      <vt:lpstr>Elect BOQ</vt:lpstr>
      <vt:lpstr>Elect Maker</vt:lpstr>
      <vt:lpstr>XL4Test5</vt:lpstr>
      <vt:lpstr>XL4Test5!Documents_array</vt:lpstr>
      <vt:lpstr>'Elect Maker'!Print_Area</vt:lpstr>
      <vt:lpstr>'M&amp;E Expenses'!Print_Area</vt:lpstr>
      <vt:lpstr>'Summary-E'!Print_Area</vt:lpstr>
      <vt:lpstr>XL4Test5!shimz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Cop.</dc:creator>
  <cp:lastModifiedBy>Minh Luan Vo</cp:lastModifiedBy>
  <cp:lastPrinted>2014-12-27T02:29:13Z</cp:lastPrinted>
  <dcterms:created xsi:type="dcterms:W3CDTF">2009-10-21T09:04:56Z</dcterms:created>
  <dcterms:modified xsi:type="dcterms:W3CDTF">2015-11-10T10:03:54Z</dcterms:modified>
</cp:coreProperties>
</file>