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ictor_motta_d_lucas_accenture_com/Documents/NBA/Conversores/OT-Multiproduto/"/>
    </mc:Choice>
  </mc:AlternateContent>
  <bookViews>
    <workbookView xWindow="0" yWindow="0" windowWidth="20490" windowHeight="7530"/>
  </bookViews>
  <sheets>
    <sheet name="Erro" sheetId="1" r:id="rId1"/>
  </sheets>
  <externalReferences>
    <externalReference r:id="rId2"/>
    <externalReference r:id="rId3"/>
    <externalReference r:id="rId4"/>
  </externalReferences>
  <definedNames>
    <definedName name="validValues">[3]Settings!$A$1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M19" i="1" l="1"/>
  <c r="KL19" i="1"/>
  <c r="KK19" i="1"/>
  <c r="KC19" i="1"/>
  <c r="KD19" i="1" s="1"/>
  <c r="KA19" i="1"/>
  <c r="JZ19" i="1"/>
  <c r="JW19" i="1"/>
  <c r="JX19" i="1" s="1"/>
  <c r="JU19" i="1"/>
  <c r="JT19" i="1"/>
  <c r="JQ19" i="1"/>
  <c r="JR19" i="1" s="1"/>
  <c r="JO19" i="1"/>
  <c r="JN19" i="1"/>
  <c r="JK19" i="1"/>
  <c r="JL19" i="1" s="1"/>
  <c r="JI19" i="1"/>
  <c r="JH19" i="1"/>
  <c r="JE19" i="1"/>
  <c r="JF19" i="1" s="1"/>
  <c r="JC19" i="1"/>
  <c r="JB19" i="1"/>
  <c r="IY19" i="1"/>
  <c r="IZ19" i="1" s="1"/>
  <c r="IW19" i="1"/>
  <c r="IV19" i="1"/>
  <c r="IS19" i="1"/>
  <c r="IT19" i="1" s="1"/>
  <c r="IQ19" i="1"/>
  <c r="IP19" i="1"/>
  <c r="IE19" i="1"/>
  <c r="IF19" i="1" s="1"/>
  <c r="IA19" i="1"/>
  <c r="HX19" i="1"/>
  <c r="HU19" i="1"/>
  <c r="HC19" i="1"/>
  <c r="GZ19" i="1"/>
  <c r="GW19" i="1"/>
  <c r="GT19" i="1"/>
  <c r="GQ19" i="1"/>
  <c r="GN19" i="1"/>
  <c r="GK19" i="1"/>
  <c r="GL19" i="1" s="1"/>
  <c r="GI19" i="1"/>
  <c r="GH19" i="1"/>
  <c r="GE19" i="1"/>
  <c r="GF19" i="1" s="1"/>
  <c r="GC19" i="1"/>
  <c r="GB19" i="1"/>
  <c r="FY19" i="1"/>
  <c r="FZ19" i="1" s="1"/>
  <c r="FW19" i="1"/>
  <c r="FV19" i="1"/>
  <c r="FS19" i="1"/>
  <c r="FT19" i="1" s="1"/>
  <c r="FQ19" i="1"/>
  <c r="FP19" i="1"/>
  <c r="FM19" i="1"/>
  <c r="FN19" i="1" s="1"/>
  <c r="FK19" i="1"/>
  <c r="FJ19" i="1"/>
  <c r="FG19" i="1"/>
  <c r="FH19" i="1" s="1"/>
  <c r="FE19" i="1"/>
  <c r="FD19" i="1"/>
  <c r="FA19" i="1"/>
  <c r="FB19" i="1" s="1"/>
  <c r="EY19" i="1"/>
  <c r="EX19" i="1"/>
  <c r="EU19" i="1"/>
  <c r="EV19" i="1" s="1"/>
  <c r="ES19" i="1"/>
  <c r="ER19" i="1"/>
  <c r="EO19" i="1"/>
  <c r="EP19" i="1" s="1"/>
  <c r="EH19" i="1"/>
  <c r="EL19" i="1" s="1"/>
  <c r="EE19" i="1"/>
  <c r="EF19" i="1" s="1"/>
  <c r="DX19" i="1"/>
  <c r="EB19" i="1" s="1"/>
  <c r="EC19" i="1" s="1"/>
  <c r="DP19" i="1"/>
  <c r="DT19" i="1" s="1"/>
  <c r="DU19" i="1" s="1"/>
  <c r="DH19" i="1"/>
  <c r="CZ19" i="1"/>
  <c r="DA19" i="1" s="1"/>
  <c r="CV19" i="1"/>
  <c r="CW19" i="1" s="1"/>
  <c r="CR19" i="1"/>
  <c r="CS19" i="1" s="1"/>
  <c r="CN19" i="1"/>
  <c r="CO19" i="1" s="1"/>
  <c r="CJ19" i="1"/>
  <c r="CK19" i="1" s="1"/>
  <c r="CF19" i="1"/>
  <c r="CG19" i="1" s="1"/>
  <c r="CB19" i="1"/>
  <c r="CC19" i="1" s="1"/>
  <c r="BX19" i="1"/>
  <c r="BY19" i="1" s="1"/>
  <c r="BS19" i="1"/>
  <c r="BO19" i="1"/>
  <c r="BM19" i="1"/>
  <c r="BK19" i="1"/>
  <c r="BH19" i="1"/>
  <c r="BF19" i="1"/>
  <c r="BI19" i="1" s="1"/>
  <c r="BB19" i="1"/>
  <c r="AZ19" i="1"/>
  <c r="HY19" i="1" s="1"/>
  <c r="KM18" i="1"/>
  <c r="KL18" i="1"/>
  <c r="KK18" i="1"/>
  <c r="KC18" i="1"/>
  <c r="KD18" i="1" s="1"/>
  <c r="JZ18" i="1"/>
  <c r="KA18" i="1" s="1"/>
  <c r="JW18" i="1"/>
  <c r="JX18" i="1" s="1"/>
  <c r="JT18" i="1"/>
  <c r="JU18" i="1" s="1"/>
  <c r="JQ18" i="1"/>
  <c r="JR18" i="1" s="1"/>
  <c r="JN18" i="1"/>
  <c r="JO18" i="1" s="1"/>
  <c r="JK18" i="1"/>
  <c r="JL18" i="1" s="1"/>
  <c r="JH18" i="1"/>
  <c r="JI18" i="1" s="1"/>
  <c r="JE18" i="1"/>
  <c r="JF18" i="1" s="1"/>
  <c r="JB18" i="1"/>
  <c r="JC18" i="1" s="1"/>
  <c r="IY18" i="1"/>
  <c r="IZ18" i="1" s="1"/>
  <c r="IV18" i="1"/>
  <c r="IW18" i="1" s="1"/>
  <c r="IS18" i="1"/>
  <c r="IT18" i="1" s="1"/>
  <c r="IP18" i="1"/>
  <c r="IQ18" i="1" s="1"/>
  <c r="IE18" i="1"/>
  <c r="IF18" i="1" s="1"/>
  <c r="IA18" i="1"/>
  <c r="HY18" i="1"/>
  <c r="HX18" i="1"/>
  <c r="HU18" i="1"/>
  <c r="HC18" i="1"/>
  <c r="GZ18" i="1"/>
  <c r="GW18" i="1"/>
  <c r="GT18" i="1"/>
  <c r="GQ18" i="1"/>
  <c r="GN18" i="1"/>
  <c r="GK18" i="1"/>
  <c r="GL18" i="1" s="1"/>
  <c r="GI18" i="1"/>
  <c r="GH18" i="1"/>
  <c r="GE18" i="1"/>
  <c r="GF18" i="1" s="1"/>
  <c r="GB18" i="1"/>
  <c r="GC18" i="1" s="1"/>
  <c r="FY18" i="1"/>
  <c r="FZ18" i="1" s="1"/>
  <c r="FW18" i="1"/>
  <c r="FV18" i="1"/>
  <c r="FS18" i="1"/>
  <c r="FT18" i="1" s="1"/>
  <c r="FP18" i="1"/>
  <c r="FQ18" i="1" s="1"/>
  <c r="FM18" i="1"/>
  <c r="FN18" i="1" s="1"/>
  <c r="FK18" i="1"/>
  <c r="FJ18" i="1"/>
  <c r="FG18" i="1"/>
  <c r="FH18" i="1" s="1"/>
  <c r="FD18" i="1"/>
  <c r="FE18" i="1" s="1"/>
  <c r="FA18" i="1"/>
  <c r="FB18" i="1" s="1"/>
  <c r="EY18" i="1"/>
  <c r="EX18" i="1"/>
  <c r="EU18" i="1"/>
  <c r="EV18" i="1" s="1"/>
  <c r="ER18" i="1"/>
  <c r="ES18" i="1" s="1"/>
  <c r="EO18" i="1"/>
  <c r="EP18" i="1" s="1"/>
  <c r="EL18" i="1"/>
  <c r="EH18" i="1"/>
  <c r="EE18" i="1"/>
  <c r="EF18" i="1" s="1"/>
  <c r="EB18" i="1"/>
  <c r="EC18" i="1" s="1"/>
  <c r="DX18" i="1"/>
  <c r="DY18" i="1" s="1"/>
  <c r="DP18" i="1"/>
  <c r="DQ18" i="1" s="1"/>
  <c r="DL18" i="1"/>
  <c r="DM18" i="1" s="1"/>
  <c r="DH18" i="1"/>
  <c r="DI18" i="1" s="1"/>
  <c r="CZ18" i="1"/>
  <c r="CV18" i="1"/>
  <c r="CW18" i="1" s="1"/>
  <c r="CR18" i="1"/>
  <c r="CS18" i="1" s="1"/>
  <c r="CO18" i="1"/>
  <c r="CN18" i="1"/>
  <c r="CJ18" i="1"/>
  <c r="CK18" i="1" s="1"/>
  <c r="CF18" i="1"/>
  <c r="CG18" i="1" s="1"/>
  <c r="CB18" i="1"/>
  <c r="CC18" i="1" s="1"/>
  <c r="BY18" i="1"/>
  <c r="BX18" i="1"/>
  <c r="BS18" i="1"/>
  <c r="BM18" i="1"/>
  <c r="BK18" i="1"/>
  <c r="BO18" i="1" s="1"/>
  <c r="BH18" i="1"/>
  <c r="BF18" i="1"/>
  <c r="BI18" i="1" s="1"/>
  <c r="BB18" i="1"/>
  <c r="AZ18" i="1"/>
  <c r="KM17" i="1"/>
  <c r="KL17" i="1"/>
  <c r="KK17" i="1"/>
  <c r="KC17" i="1"/>
  <c r="KD17" i="1" s="1"/>
  <c r="KA17" i="1"/>
  <c r="JZ17" i="1"/>
  <c r="JW17" i="1"/>
  <c r="JX17" i="1" s="1"/>
  <c r="JT17" i="1"/>
  <c r="JU17" i="1" s="1"/>
  <c r="JQ17" i="1"/>
  <c r="JR17" i="1" s="1"/>
  <c r="JO17" i="1"/>
  <c r="JN17" i="1"/>
  <c r="JK17" i="1"/>
  <c r="JL17" i="1" s="1"/>
  <c r="JH17" i="1"/>
  <c r="JI17" i="1" s="1"/>
  <c r="JE17" i="1"/>
  <c r="JF17" i="1" s="1"/>
  <c r="JC17" i="1"/>
  <c r="JB17" i="1"/>
  <c r="IY17" i="1"/>
  <c r="IZ17" i="1" s="1"/>
  <c r="IV17" i="1"/>
  <c r="IW17" i="1" s="1"/>
  <c r="IS17" i="1"/>
  <c r="IT17" i="1" s="1"/>
  <c r="IQ17" i="1"/>
  <c r="IP17" i="1"/>
  <c r="IE17" i="1"/>
  <c r="IF17" i="1" s="1"/>
  <c r="IA17" i="1"/>
  <c r="HY17" i="1"/>
  <c r="HX17" i="1"/>
  <c r="HU17" i="1"/>
  <c r="HC17" i="1"/>
  <c r="GZ17" i="1"/>
  <c r="GW17" i="1"/>
  <c r="GT17" i="1"/>
  <c r="GQ17" i="1"/>
  <c r="GN17" i="1"/>
  <c r="GK17" i="1"/>
  <c r="GL17" i="1" s="1"/>
  <c r="GI17" i="1"/>
  <c r="GH17" i="1"/>
  <c r="GE17" i="1"/>
  <c r="GF17" i="1" s="1"/>
  <c r="GB17" i="1"/>
  <c r="GC17" i="1" s="1"/>
  <c r="FY17" i="1"/>
  <c r="FZ17" i="1" s="1"/>
  <c r="FW17" i="1"/>
  <c r="FV17" i="1"/>
  <c r="FS17" i="1"/>
  <c r="FT17" i="1" s="1"/>
  <c r="FP17" i="1"/>
  <c r="FQ17" i="1" s="1"/>
  <c r="FM17" i="1"/>
  <c r="FN17" i="1" s="1"/>
  <c r="FK17" i="1"/>
  <c r="FJ17" i="1"/>
  <c r="FG17" i="1"/>
  <c r="FH17" i="1" s="1"/>
  <c r="FD17" i="1"/>
  <c r="FE17" i="1" s="1"/>
  <c r="FA17" i="1"/>
  <c r="FB17" i="1" s="1"/>
  <c r="EY17" i="1"/>
  <c r="EX17" i="1"/>
  <c r="EU17" i="1"/>
  <c r="EV17" i="1" s="1"/>
  <c r="ER17" i="1"/>
  <c r="ES17" i="1" s="1"/>
  <c r="EO17" i="1"/>
  <c r="EP17" i="1" s="1"/>
  <c r="EL17" i="1"/>
  <c r="EH17" i="1"/>
  <c r="EE17" i="1"/>
  <c r="EF17" i="1" s="1"/>
  <c r="EB17" i="1"/>
  <c r="EC17" i="1" s="1"/>
  <c r="DX17" i="1"/>
  <c r="DY17" i="1" s="1"/>
  <c r="DP17" i="1"/>
  <c r="DL17" i="1"/>
  <c r="DM17" i="1" s="1"/>
  <c r="DH17" i="1"/>
  <c r="DI17" i="1" s="1"/>
  <c r="CZ17" i="1"/>
  <c r="CV17" i="1"/>
  <c r="CW17" i="1" s="1"/>
  <c r="CR17" i="1"/>
  <c r="CS17" i="1" s="1"/>
  <c r="CO17" i="1"/>
  <c r="CN17" i="1"/>
  <c r="CJ17" i="1"/>
  <c r="CK17" i="1" s="1"/>
  <c r="CF17" i="1"/>
  <c r="CG17" i="1" s="1"/>
  <c r="CB17" i="1"/>
  <c r="CC17" i="1" s="1"/>
  <c r="BY17" i="1"/>
  <c r="BX17" i="1"/>
  <c r="BS17" i="1"/>
  <c r="BM17" i="1"/>
  <c r="BK17" i="1"/>
  <c r="BO17" i="1" s="1"/>
  <c r="BH17" i="1"/>
  <c r="BF17" i="1"/>
  <c r="BI17" i="1" s="1"/>
  <c r="BB17" i="1"/>
  <c r="AZ17" i="1"/>
  <c r="KM16" i="1"/>
  <c r="KL16" i="1"/>
  <c r="KK16" i="1"/>
  <c r="KC16" i="1"/>
  <c r="KD16" i="1" s="1"/>
  <c r="KA16" i="1"/>
  <c r="JZ16" i="1"/>
  <c r="JW16" i="1"/>
  <c r="JX16" i="1" s="1"/>
  <c r="JT16" i="1"/>
  <c r="JU16" i="1" s="1"/>
  <c r="JQ16" i="1"/>
  <c r="JR16" i="1" s="1"/>
  <c r="JO16" i="1"/>
  <c r="JN16" i="1"/>
  <c r="JK16" i="1"/>
  <c r="JL16" i="1" s="1"/>
  <c r="JH16" i="1"/>
  <c r="JI16" i="1" s="1"/>
  <c r="JE16" i="1"/>
  <c r="JF16" i="1" s="1"/>
  <c r="JC16" i="1"/>
  <c r="JB16" i="1"/>
  <c r="IY16" i="1"/>
  <c r="IZ16" i="1" s="1"/>
  <c r="IV16" i="1"/>
  <c r="IW16" i="1" s="1"/>
  <c r="IS16" i="1"/>
  <c r="IT16" i="1" s="1"/>
  <c r="IQ16" i="1"/>
  <c r="IP16" i="1"/>
  <c r="IF16" i="1"/>
  <c r="IE16" i="1"/>
  <c r="IA16" i="1"/>
  <c r="HX16" i="1"/>
  <c r="HU16" i="1"/>
  <c r="HC16" i="1"/>
  <c r="GZ16" i="1"/>
  <c r="GW16" i="1"/>
  <c r="GT16" i="1"/>
  <c r="GQ16" i="1"/>
  <c r="GN16" i="1"/>
  <c r="GL16" i="1"/>
  <c r="GK16" i="1"/>
  <c r="GI16" i="1"/>
  <c r="GH16" i="1"/>
  <c r="GF16" i="1"/>
  <c r="GE16" i="1"/>
  <c r="GC16" i="1"/>
  <c r="GB16" i="1"/>
  <c r="FZ16" i="1"/>
  <c r="FY16" i="1"/>
  <c r="FW16" i="1"/>
  <c r="FV16" i="1"/>
  <c r="FT16" i="1"/>
  <c r="FS16" i="1"/>
  <c r="FQ16" i="1"/>
  <c r="FP16" i="1"/>
  <c r="FN16" i="1"/>
  <c r="FM16" i="1"/>
  <c r="FK16" i="1"/>
  <c r="FJ16" i="1"/>
  <c r="FH16" i="1"/>
  <c r="FG16" i="1"/>
  <c r="FE16" i="1"/>
  <c r="FD16" i="1"/>
  <c r="FB16" i="1"/>
  <c r="FA16" i="1"/>
  <c r="EY16" i="1"/>
  <c r="EX16" i="1"/>
  <c r="EV16" i="1"/>
  <c r="EU16" i="1"/>
  <c r="ES16" i="1"/>
  <c r="ER16" i="1"/>
  <c r="EP16" i="1"/>
  <c r="EO16" i="1"/>
  <c r="EL16" i="1"/>
  <c r="EH16" i="1"/>
  <c r="EF16" i="1"/>
  <c r="EE16" i="1"/>
  <c r="EC16" i="1"/>
  <c r="EB16" i="1"/>
  <c r="DY16" i="1"/>
  <c r="DX16" i="1"/>
  <c r="DU16" i="1"/>
  <c r="DT16" i="1"/>
  <c r="DQ16" i="1"/>
  <c r="DP16" i="1"/>
  <c r="DM16" i="1"/>
  <c r="DL16" i="1"/>
  <c r="DI16" i="1"/>
  <c r="DH16" i="1"/>
  <c r="DE16" i="1"/>
  <c r="DD16" i="1"/>
  <c r="DA16" i="1"/>
  <c r="CZ16" i="1"/>
  <c r="CW16" i="1"/>
  <c r="CV16" i="1"/>
  <c r="CS16" i="1"/>
  <c r="CR16" i="1"/>
  <c r="CO16" i="1"/>
  <c r="CN16" i="1"/>
  <c r="CK16" i="1"/>
  <c r="CJ16" i="1"/>
  <c r="CG16" i="1"/>
  <c r="CF16" i="1"/>
  <c r="CC16" i="1"/>
  <c r="CB16" i="1"/>
  <c r="BY16" i="1"/>
  <c r="BX16" i="1"/>
  <c r="BS16" i="1"/>
  <c r="BM16" i="1"/>
  <c r="BK16" i="1"/>
  <c r="BO16" i="1" s="1"/>
  <c r="BI16" i="1"/>
  <c r="BH16" i="1"/>
  <c r="BF16" i="1"/>
  <c r="BB16" i="1"/>
  <c r="AZ16" i="1"/>
  <c r="HY16" i="1" s="1"/>
  <c r="KM15" i="1"/>
  <c r="KL15" i="1"/>
  <c r="KK15" i="1"/>
  <c r="KD15" i="1"/>
  <c r="KC15" i="1"/>
  <c r="KA15" i="1"/>
  <c r="JZ15" i="1"/>
  <c r="JX15" i="1"/>
  <c r="JW15" i="1"/>
  <c r="JU15" i="1"/>
  <c r="JT15" i="1"/>
  <c r="JR15" i="1"/>
  <c r="JQ15" i="1"/>
  <c r="JO15" i="1"/>
  <c r="JN15" i="1"/>
  <c r="JL15" i="1"/>
  <c r="JK15" i="1"/>
  <c r="JI15" i="1"/>
  <c r="JH15" i="1"/>
  <c r="JF15" i="1"/>
  <c r="JE15" i="1"/>
  <c r="JC15" i="1"/>
  <c r="JB15" i="1"/>
  <c r="IZ15" i="1"/>
  <c r="IY15" i="1"/>
  <c r="IW15" i="1"/>
  <c r="IV15" i="1"/>
  <c r="IT15" i="1"/>
  <c r="IS15" i="1"/>
  <c r="IQ15" i="1"/>
  <c r="IP15" i="1"/>
  <c r="IF15" i="1"/>
  <c r="IE15" i="1"/>
  <c r="IA15" i="1"/>
  <c r="HX15" i="1"/>
  <c r="HU15" i="1"/>
  <c r="HC15" i="1"/>
  <c r="GZ15" i="1"/>
  <c r="GW15" i="1"/>
  <c r="GT15" i="1"/>
  <c r="GQ15" i="1"/>
  <c r="GN15" i="1"/>
  <c r="GL15" i="1"/>
  <c r="GK15" i="1"/>
  <c r="GI15" i="1"/>
  <c r="GH15" i="1"/>
  <c r="GF15" i="1"/>
  <c r="GE15" i="1"/>
  <c r="GC15" i="1"/>
  <c r="GB15" i="1"/>
  <c r="FZ15" i="1"/>
  <c r="FY15" i="1"/>
  <c r="FW15" i="1"/>
  <c r="FV15" i="1"/>
  <c r="FT15" i="1"/>
  <c r="FS15" i="1"/>
  <c r="FQ15" i="1"/>
  <c r="FP15" i="1"/>
  <c r="FN15" i="1"/>
  <c r="FM15" i="1"/>
  <c r="FK15" i="1"/>
  <c r="FJ15" i="1"/>
  <c r="FH15" i="1"/>
  <c r="FG15" i="1"/>
  <c r="FE15" i="1"/>
  <c r="FD15" i="1"/>
  <c r="FB15" i="1"/>
  <c r="FA15" i="1"/>
  <c r="EY15" i="1"/>
  <c r="EX15" i="1"/>
  <c r="EV15" i="1"/>
  <c r="EU15" i="1"/>
  <c r="ES15" i="1"/>
  <c r="ER15" i="1"/>
  <c r="EP15" i="1"/>
  <c r="EO15" i="1"/>
  <c r="EL15" i="1"/>
  <c r="EH15" i="1"/>
  <c r="EF15" i="1"/>
  <c r="EE15" i="1"/>
  <c r="EC15" i="1"/>
  <c r="EB15" i="1"/>
  <c r="DY15" i="1"/>
  <c r="DX15" i="1"/>
  <c r="DU15" i="1"/>
  <c r="DT15" i="1"/>
  <c r="DQ15" i="1"/>
  <c r="DP15" i="1"/>
  <c r="DM15" i="1"/>
  <c r="DL15" i="1"/>
  <c r="DI15" i="1"/>
  <c r="DH15" i="1"/>
  <c r="DE15" i="1"/>
  <c r="DD15" i="1"/>
  <c r="DA15" i="1"/>
  <c r="CZ15" i="1"/>
  <c r="CW15" i="1"/>
  <c r="CV15" i="1"/>
  <c r="CS15" i="1"/>
  <c r="CR15" i="1"/>
  <c r="CO15" i="1"/>
  <c r="CN15" i="1"/>
  <c r="CK15" i="1"/>
  <c r="CJ15" i="1"/>
  <c r="CG15" i="1"/>
  <c r="CF15" i="1"/>
  <c r="CC15" i="1"/>
  <c r="CB15" i="1"/>
  <c r="BY15" i="1"/>
  <c r="BX15" i="1"/>
  <c r="BS15" i="1"/>
  <c r="BM15" i="1"/>
  <c r="BK15" i="1"/>
  <c r="BO15" i="1" s="1"/>
  <c r="BH15" i="1"/>
  <c r="BF15" i="1"/>
  <c r="BI15" i="1" s="1"/>
  <c r="BB15" i="1"/>
  <c r="AZ15" i="1"/>
  <c r="HY15" i="1" s="1"/>
  <c r="KM14" i="1"/>
  <c r="KL14" i="1"/>
  <c r="KK14" i="1"/>
  <c r="KD14" i="1"/>
  <c r="KC14" i="1"/>
  <c r="KA14" i="1"/>
  <c r="JZ14" i="1"/>
  <c r="JX14" i="1"/>
  <c r="JW14" i="1"/>
  <c r="JU14" i="1"/>
  <c r="JT14" i="1"/>
  <c r="JR14" i="1"/>
  <c r="JQ14" i="1"/>
  <c r="JO14" i="1"/>
  <c r="JN14" i="1"/>
  <c r="JL14" i="1"/>
  <c r="JK14" i="1"/>
  <c r="JI14" i="1"/>
  <c r="JH14" i="1"/>
  <c r="JF14" i="1"/>
  <c r="JE14" i="1"/>
  <c r="JC14" i="1"/>
  <c r="JB14" i="1"/>
  <c r="IZ14" i="1"/>
  <c r="IY14" i="1"/>
  <c r="IW14" i="1"/>
  <c r="IV14" i="1"/>
  <c r="IT14" i="1"/>
  <c r="IS14" i="1"/>
  <c r="IQ14" i="1"/>
  <c r="IP14" i="1"/>
  <c r="IF14" i="1"/>
  <c r="IE14" i="1"/>
  <c r="IA14" i="1"/>
  <c r="HX14" i="1"/>
  <c r="HU14" i="1"/>
  <c r="HC14" i="1"/>
  <c r="GZ14" i="1"/>
  <c r="GW14" i="1"/>
  <c r="GT14" i="1"/>
  <c r="GQ14" i="1"/>
  <c r="GN14" i="1"/>
  <c r="GL14" i="1"/>
  <c r="GK14" i="1"/>
  <c r="GI14" i="1"/>
  <c r="GH14" i="1"/>
  <c r="GF14" i="1"/>
  <c r="GE14" i="1"/>
  <c r="GC14" i="1"/>
  <c r="GB14" i="1"/>
  <c r="FZ14" i="1"/>
  <c r="FY14" i="1"/>
  <c r="FW14" i="1"/>
  <c r="FV14" i="1"/>
  <c r="FT14" i="1"/>
  <c r="FS14" i="1"/>
  <c r="FQ14" i="1"/>
  <c r="FP14" i="1"/>
  <c r="FN14" i="1"/>
  <c r="FM14" i="1"/>
  <c r="FK14" i="1"/>
  <c r="FJ14" i="1"/>
  <c r="FH14" i="1"/>
  <c r="FG14" i="1"/>
  <c r="FE14" i="1"/>
  <c r="FD14" i="1"/>
  <c r="FB14" i="1"/>
  <c r="FA14" i="1"/>
  <c r="EY14" i="1"/>
  <c r="EX14" i="1"/>
  <c r="EV14" i="1"/>
  <c r="EU14" i="1"/>
  <c r="ES14" i="1"/>
  <c r="ER14" i="1"/>
  <c r="EP14" i="1"/>
  <c r="EO14" i="1"/>
  <c r="EM14" i="1"/>
  <c r="EL14" i="1"/>
  <c r="EH14" i="1"/>
  <c r="EE14" i="1"/>
  <c r="EF14" i="1" s="1"/>
  <c r="EB14" i="1"/>
  <c r="EC14" i="1" s="1"/>
  <c r="DX14" i="1"/>
  <c r="DY14" i="1" s="1"/>
  <c r="DT14" i="1"/>
  <c r="DU14" i="1" s="1"/>
  <c r="DP14" i="1"/>
  <c r="DQ14" i="1" s="1"/>
  <c r="DL14" i="1"/>
  <c r="DM14" i="1" s="1"/>
  <c r="DH14" i="1"/>
  <c r="DI14" i="1" s="1"/>
  <c r="DD14" i="1"/>
  <c r="DE14" i="1" s="1"/>
  <c r="CZ14" i="1"/>
  <c r="DA14" i="1" s="1"/>
  <c r="CV14" i="1"/>
  <c r="CW14" i="1" s="1"/>
  <c r="CR14" i="1"/>
  <c r="CS14" i="1" s="1"/>
  <c r="CN14" i="1"/>
  <c r="CO14" i="1" s="1"/>
  <c r="CJ14" i="1"/>
  <c r="CK14" i="1" s="1"/>
  <c r="CF14" i="1"/>
  <c r="CG14" i="1" s="1"/>
  <c r="CB14" i="1"/>
  <c r="CC14" i="1" s="1"/>
  <c r="BX14" i="1"/>
  <c r="BY14" i="1" s="1"/>
  <c r="BS14" i="1"/>
  <c r="BM14" i="1"/>
  <c r="BK14" i="1"/>
  <c r="BO14" i="1" s="1"/>
  <c r="BH14" i="1"/>
  <c r="BF14" i="1"/>
  <c r="BI14" i="1" s="1"/>
  <c r="BB14" i="1"/>
  <c r="AZ14" i="1"/>
  <c r="HY14" i="1" s="1"/>
  <c r="KM13" i="1"/>
  <c r="KL13" i="1"/>
  <c r="KK13" i="1"/>
  <c r="KC13" i="1"/>
  <c r="KD13" i="1" s="1"/>
  <c r="JZ13" i="1"/>
  <c r="KA13" i="1" s="1"/>
  <c r="JW13" i="1"/>
  <c r="JX13" i="1" s="1"/>
  <c r="JT13" i="1"/>
  <c r="JU13" i="1" s="1"/>
  <c r="JQ13" i="1"/>
  <c r="JR13" i="1" s="1"/>
  <c r="JN13" i="1"/>
  <c r="JO13" i="1" s="1"/>
  <c r="JK13" i="1"/>
  <c r="JL13" i="1" s="1"/>
  <c r="JH13" i="1"/>
  <c r="JI13" i="1" s="1"/>
  <c r="JE13" i="1"/>
  <c r="JF13" i="1" s="1"/>
  <c r="JB13" i="1"/>
  <c r="JC13" i="1" s="1"/>
  <c r="IY13" i="1"/>
  <c r="IZ13" i="1" s="1"/>
  <c r="IV13" i="1"/>
  <c r="IW13" i="1" s="1"/>
  <c r="IS13" i="1"/>
  <c r="IT13" i="1" s="1"/>
  <c r="IP13" i="1"/>
  <c r="IQ13" i="1" s="1"/>
  <c r="IE13" i="1"/>
  <c r="IF13" i="1" s="1"/>
  <c r="IA13" i="1"/>
  <c r="HX13" i="1"/>
  <c r="HU13" i="1"/>
  <c r="HC13" i="1"/>
  <c r="GZ13" i="1"/>
  <c r="GW13" i="1"/>
  <c r="GT13" i="1"/>
  <c r="GQ13" i="1"/>
  <c r="GN13" i="1"/>
  <c r="GK13" i="1"/>
  <c r="GL13" i="1" s="1"/>
  <c r="GH13" i="1"/>
  <c r="GI13" i="1" s="1"/>
  <c r="GE13" i="1"/>
  <c r="GF13" i="1" s="1"/>
  <c r="GB13" i="1"/>
  <c r="GC13" i="1" s="1"/>
  <c r="FY13" i="1"/>
  <c r="FZ13" i="1" s="1"/>
  <c r="FV13" i="1"/>
  <c r="FW13" i="1" s="1"/>
  <c r="FS13" i="1"/>
  <c r="FT13" i="1" s="1"/>
  <c r="FP13" i="1"/>
  <c r="FQ13" i="1" s="1"/>
  <c r="FM13" i="1"/>
  <c r="FN13" i="1" s="1"/>
  <c r="FJ13" i="1"/>
  <c r="FK13" i="1" s="1"/>
  <c r="FG13" i="1"/>
  <c r="FH13" i="1" s="1"/>
  <c r="FD13" i="1"/>
  <c r="FE13" i="1" s="1"/>
  <c r="FA13" i="1"/>
  <c r="FB13" i="1" s="1"/>
  <c r="EX13" i="1"/>
  <c r="EY13" i="1" s="1"/>
  <c r="EU13" i="1"/>
  <c r="EV13" i="1" s="1"/>
  <c r="ER13" i="1"/>
  <c r="ES13" i="1" s="1"/>
  <c r="EO13" i="1"/>
  <c r="EP13" i="1" s="1"/>
  <c r="EL13" i="1"/>
  <c r="EM13" i="1" s="1"/>
  <c r="EH13" i="1"/>
  <c r="EF13" i="1"/>
  <c r="EE13" i="1"/>
  <c r="EC13" i="1"/>
  <c r="EB13" i="1"/>
  <c r="DY13" i="1"/>
  <c r="DX13" i="1"/>
  <c r="DU13" i="1"/>
  <c r="DT13" i="1"/>
  <c r="DQ13" i="1"/>
  <c r="DP13" i="1"/>
  <c r="DM13" i="1"/>
  <c r="DL13" i="1"/>
  <c r="DI13" i="1"/>
  <c r="DH13" i="1"/>
  <c r="DE13" i="1"/>
  <c r="DD13" i="1"/>
  <c r="DA13" i="1"/>
  <c r="CZ13" i="1"/>
  <c r="CW13" i="1"/>
  <c r="CV13" i="1"/>
  <c r="CS13" i="1"/>
  <c r="CR13" i="1"/>
  <c r="CO13" i="1"/>
  <c r="CN13" i="1"/>
  <c r="CK13" i="1"/>
  <c r="CJ13" i="1"/>
  <c r="CG13" i="1"/>
  <c r="CF13" i="1"/>
  <c r="CC13" i="1"/>
  <c r="CB13" i="1"/>
  <c r="BY13" i="1"/>
  <c r="BX13" i="1"/>
  <c r="BS13" i="1"/>
  <c r="BO13" i="1"/>
  <c r="BM13" i="1"/>
  <c r="BK13" i="1"/>
  <c r="BI13" i="1"/>
  <c r="BH13" i="1"/>
  <c r="BF13" i="1"/>
  <c r="BB13" i="1"/>
  <c r="AZ13" i="1"/>
  <c r="HY13" i="1" s="1"/>
  <c r="KM12" i="1"/>
  <c r="KL12" i="1"/>
  <c r="KK12" i="1"/>
  <c r="KD12" i="1"/>
  <c r="KC12" i="1"/>
  <c r="KA12" i="1"/>
  <c r="JZ12" i="1"/>
  <c r="JX12" i="1"/>
  <c r="JW12" i="1"/>
  <c r="JU12" i="1"/>
  <c r="JT12" i="1"/>
  <c r="JR12" i="1"/>
  <c r="JQ12" i="1"/>
  <c r="JO12" i="1"/>
  <c r="JN12" i="1"/>
  <c r="JL12" i="1"/>
  <c r="JK12" i="1"/>
  <c r="JI12" i="1"/>
  <c r="JH12" i="1"/>
  <c r="JF12" i="1"/>
  <c r="JE12" i="1"/>
  <c r="JC12" i="1"/>
  <c r="JB12" i="1"/>
  <c r="IZ12" i="1"/>
  <c r="IY12" i="1"/>
  <c r="IW12" i="1"/>
  <c r="IV12" i="1"/>
  <c r="IT12" i="1"/>
  <c r="IS12" i="1"/>
  <c r="IQ12" i="1"/>
  <c r="IP12" i="1"/>
  <c r="IF12" i="1"/>
  <c r="IE12" i="1"/>
  <c r="IA12" i="1"/>
  <c r="HX12" i="1"/>
  <c r="HU12" i="1"/>
  <c r="HC12" i="1"/>
  <c r="GZ12" i="1"/>
  <c r="GW12" i="1"/>
  <c r="GT12" i="1"/>
  <c r="GQ12" i="1"/>
  <c r="GN12" i="1"/>
  <c r="GL12" i="1"/>
  <c r="GK12" i="1"/>
  <c r="GI12" i="1"/>
  <c r="GH12" i="1"/>
  <c r="GF12" i="1"/>
  <c r="GE12" i="1"/>
  <c r="GC12" i="1"/>
  <c r="GB12" i="1"/>
  <c r="FZ12" i="1"/>
  <c r="FY12" i="1"/>
  <c r="FW12" i="1"/>
  <c r="FV12" i="1"/>
  <c r="FT12" i="1"/>
  <c r="FS12" i="1"/>
  <c r="FQ12" i="1"/>
  <c r="FP12" i="1"/>
  <c r="FN12" i="1"/>
  <c r="FM12" i="1"/>
  <c r="FK12" i="1"/>
  <c r="FJ12" i="1"/>
  <c r="FH12" i="1"/>
  <c r="FG12" i="1"/>
  <c r="FE12" i="1"/>
  <c r="FD12" i="1"/>
  <c r="FB12" i="1"/>
  <c r="FA12" i="1"/>
  <c r="EY12" i="1"/>
  <c r="EX12" i="1"/>
  <c r="EV12" i="1"/>
  <c r="EU12" i="1"/>
  <c r="ES12" i="1"/>
  <c r="ER12" i="1"/>
  <c r="EP12" i="1"/>
  <c r="EO12" i="1"/>
  <c r="EM12" i="1"/>
  <c r="EL12" i="1"/>
  <c r="EH12" i="1"/>
  <c r="EE12" i="1"/>
  <c r="EF12" i="1" s="1"/>
  <c r="EB12" i="1"/>
  <c r="EC12" i="1" s="1"/>
  <c r="DX12" i="1"/>
  <c r="DY12" i="1" s="1"/>
  <c r="DT12" i="1"/>
  <c r="DU12" i="1" s="1"/>
  <c r="DP12" i="1"/>
  <c r="DQ12" i="1" s="1"/>
  <c r="DL12" i="1"/>
  <c r="DM12" i="1" s="1"/>
  <c r="DH12" i="1"/>
  <c r="DI12" i="1" s="1"/>
  <c r="DD12" i="1"/>
  <c r="DE12" i="1" s="1"/>
  <c r="CZ12" i="1"/>
  <c r="DA12" i="1" s="1"/>
  <c r="CV12" i="1"/>
  <c r="CW12" i="1" s="1"/>
  <c r="CR12" i="1"/>
  <c r="CS12" i="1" s="1"/>
  <c r="CN12" i="1"/>
  <c r="CO12" i="1" s="1"/>
  <c r="CJ12" i="1"/>
  <c r="CK12" i="1" s="1"/>
  <c r="CF12" i="1"/>
  <c r="CG12" i="1" s="1"/>
  <c r="CB12" i="1"/>
  <c r="CC12" i="1" s="1"/>
  <c r="BX12" i="1"/>
  <c r="BY12" i="1" s="1"/>
  <c r="BS12" i="1"/>
  <c r="BM12" i="1"/>
  <c r="BK12" i="1"/>
  <c r="BO12" i="1" s="1"/>
  <c r="BI12" i="1"/>
  <c r="BH12" i="1"/>
  <c r="BF12" i="1"/>
  <c r="BB12" i="1"/>
  <c r="AZ12" i="1"/>
  <c r="HY12" i="1" s="1"/>
  <c r="KM11" i="1"/>
  <c r="KL11" i="1"/>
  <c r="KK11" i="1"/>
  <c r="KC11" i="1"/>
  <c r="KD11" i="1" s="1"/>
  <c r="JZ11" i="1"/>
  <c r="KA11" i="1" s="1"/>
  <c r="JW11" i="1"/>
  <c r="JX11" i="1" s="1"/>
  <c r="JT11" i="1"/>
  <c r="JU11" i="1" s="1"/>
  <c r="JQ11" i="1"/>
  <c r="JR11" i="1" s="1"/>
  <c r="JN11" i="1"/>
  <c r="JO11" i="1" s="1"/>
  <c r="JK11" i="1"/>
  <c r="JL11" i="1" s="1"/>
  <c r="JH11" i="1"/>
  <c r="JI11" i="1" s="1"/>
  <c r="JE11" i="1"/>
  <c r="JF11" i="1" s="1"/>
  <c r="JB11" i="1"/>
  <c r="JC11" i="1" s="1"/>
  <c r="IY11" i="1"/>
  <c r="IZ11" i="1" s="1"/>
  <c r="IV11" i="1"/>
  <c r="IW11" i="1" s="1"/>
  <c r="IS11" i="1"/>
  <c r="IT11" i="1" s="1"/>
  <c r="IP11" i="1"/>
  <c r="IQ11" i="1" s="1"/>
  <c r="IE11" i="1"/>
  <c r="IF11" i="1" s="1"/>
  <c r="IA11" i="1"/>
  <c r="HY11" i="1"/>
  <c r="HX11" i="1"/>
  <c r="HU11" i="1"/>
  <c r="HC11" i="1"/>
  <c r="GZ11" i="1"/>
  <c r="GW11" i="1"/>
  <c r="GT11" i="1"/>
  <c r="GQ11" i="1"/>
  <c r="GN11" i="1"/>
  <c r="GK11" i="1"/>
  <c r="GL11" i="1" s="1"/>
  <c r="GH11" i="1"/>
  <c r="GI11" i="1" s="1"/>
  <c r="GE11" i="1"/>
  <c r="GF11" i="1" s="1"/>
  <c r="GB11" i="1"/>
  <c r="GC11" i="1" s="1"/>
  <c r="FY11" i="1"/>
  <c r="FZ11" i="1" s="1"/>
  <c r="FV11" i="1"/>
  <c r="FW11" i="1" s="1"/>
  <c r="FS11" i="1"/>
  <c r="FT11" i="1" s="1"/>
  <c r="FP11" i="1"/>
  <c r="FQ11" i="1" s="1"/>
  <c r="FM11" i="1"/>
  <c r="FN11" i="1" s="1"/>
  <c r="FJ11" i="1"/>
  <c r="FK11" i="1" s="1"/>
  <c r="FG11" i="1"/>
  <c r="FH11" i="1" s="1"/>
  <c r="FD11" i="1"/>
  <c r="FE11" i="1" s="1"/>
  <c r="FA11" i="1"/>
  <c r="FB11" i="1" s="1"/>
  <c r="EX11" i="1"/>
  <c r="EY11" i="1" s="1"/>
  <c r="EU11" i="1"/>
  <c r="EV11" i="1" s="1"/>
  <c r="ER11" i="1"/>
  <c r="ES11" i="1" s="1"/>
  <c r="EO11" i="1"/>
  <c r="EP11" i="1" s="1"/>
  <c r="EL11" i="1"/>
  <c r="EM11" i="1" s="1"/>
  <c r="EH11" i="1"/>
  <c r="EF11" i="1"/>
  <c r="EE11" i="1"/>
  <c r="EC11" i="1"/>
  <c r="EB11" i="1"/>
  <c r="DY11" i="1"/>
  <c r="DX11" i="1"/>
  <c r="DU11" i="1"/>
  <c r="DT11" i="1"/>
  <c r="DQ11" i="1"/>
  <c r="DP11" i="1"/>
  <c r="DM11" i="1"/>
  <c r="DL11" i="1"/>
  <c r="DI11" i="1"/>
  <c r="DH11" i="1"/>
  <c r="DE11" i="1"/>
  <c r="DD11" i="1"/>
  <c r="DA11" i="1"/>
  <c r="CZ11" i="1"/>
  <c r="CW11" i="1"/>
  <c r="CV11" i="1"/>
  <c r="CS11" i="1"/>
  <c r="CR11" i="1"/>
  <c r="CO11" i="1"/>
  <c r="CN11" i="1"/>
  <c r="CK11" i="1"/>
  <c r="CJ11" i="1"/>
  <c r="CG11" i="1"/>
  <c r="CF11" i="1"/>
  <c r="CC11" i="1"/>
  <c r="CB11" i="1"/>
  <c r="BY11" i="1"/>
  <c r="BX11" i="1"/>
  <c r="BS11" i="1"/>
  <c r="BM11" i="1"/>
  <c r="BK11" i="1"/>
  <c r="BO11" i="1" s="1"/>
  <c r="BI11" i="1"/>
  <c r="BH11" i="1"/>
  <c r="BF11" i="1"/>
  <c r="BB11" i="1"/>
  <c r="AZ11" i="1"/>
  <c r="KM10" i="1"/>
  <c r="KL10" i="1"/>
  <c r="KK10" i="1"/>
  <c r="KD10" i="1"/>
  <c r="KC10" i="1"/>
  <c r="KA10" i="1"/>
  <c r="JZ10" i="1"/>
  <c r="JX10" i="1"/>
  <c r="JW10" i="1"/>
  <c r="JU10" i="1"/>
  <c r="JT10" i="1"/>
  <c r="JR10" i="1"/>
  <c r="JQ10" i="1"/>
  <c r="JO10" i="1"/>
  <c r="JN10" i="1"/>
  <c r="JL10" i="1"/>
  <c r="JK10" i="1"/>
  <c r="JI10" i="1"/>
  <c r="JH10" i="1"/>
  <c r="JF10" i="1"/>
  <c r="JE10" i="1"/>
  <c r="JC10" i="1"/>
  <c r="JB10" i="1"/>
  <c r="IZ10" i="1"/>
  <c r="IY10" i="1"/>
  <c r="IW10" i="1"/>
  <c r="IV10" i="1"/>
  <c r="IT10" i="1"/>
  <c r="IS10" i="1"/>
  <c r="IQ10" i="1"/>
  <c r="IP10" i="1"/>
  <c r="IF10" i="1"/>
  <c r="IE10" i="1"/>
  <c r="IA10" i="1"/>
  <c r="HY10" i="1"/>
  <c r="HX10" i="1"/>
  <c r="HU10" i="1"/>
  <c r="HC10" i="1"/>
  <c r="GZ10" i="1"/>
  <c r="GW10" i="1"/>
  <c r="GT10" i="1"/>
  <c r="GQ10" i="1"/>
  <c r="GN10" i="1"/>
  <c r="GL10" i="1"/>
  <c r="GK10" i="1"/>
  <c r="GI10" i="1"/>
  <c r="GH10" i="1"/>
  <c r="GF10" i="1"/>
  <c r="GE10" i="1"/>
  <c r="GC10" i="1"/>
  <c r="GB10" i="1"/>
  <c r="FZ10" i="1"/>
  <c r="FY10" i="1"/>
  <c r="FW10" i="1"/>
  <c r="FV10" i="1"/>
  <c r="FT10" i="1"/>
  <c r="FS10" i="1"/>
  <c r="FQ10" i="1"/>
  <c r="FP10" i="1"/>
  <c r="FN10" i="1"/>
  <c r="FM10" i="1"/>
  <c r="FK10" i="1"/>
  <c r="FJ10" i="1"/>
  <c r="FH10" i="1"/>
  <c r="FG10" i="1"/>
  <c r="FE10" i="1"/>
  <c r="FD10" i="1"/>
  <c r="FB10" i="1"/>
  <c r="FA10" i="1"/>
  <c r="EY10" i="1"/>
  <c r="EX10" i="1"/>
  <c r="EV10" i="1"/>
  <c r="EU10" i="1"/>
  <c r="ES10" i="1"/>
  <c r="ER10" i="1"/>
  <c r="EP10" i="1"/>
  <c r="EO10" i="1"/>
  <c r="EM10" i="1"/>
  <c r="EL10" i="1"/>
  <c r="EH10" i="1"/>
  <c r="EE10" i="1"/>
  <c r="EF10" i="1" s="1"/>
  <c r="EC10" i="1"/>
  <c r="EB10" i="1"/>
  <c r="DX10" i="1"/>
  <c r="DY10" i="1" s="1"/>
  <c r="DU10" i="1"/>
  <c r="DT10" i="1"/>
  <c r="DP10" i="1"/>
  <c r="DQ10" i="1" s="1"/>
  <c r="DL10" i="1"/>
  <c r="DM10" i="1" s="1"/>
  <c r="DH10" i="1"/>
  <c r="DI10" i="1" s="1"/>
  <c r="DD10" i="1"/>
  <c r="DE10" i="1" s="1"/>
  <c r="CZ10" i="1"/>
  <c r="DA10" i="1" s="1"/>
  <c r="CW10" i="1"/>
  <c r="CV10" i="1"/>
  <c r="CR10" i="1"/>
  <c r="CS10" i="1" s="1"/>
  <c r="CO10" i="1"/>
  <c r="CN10" i="1"/>
  <c r="CJ10" i="1"/>
  <c r="CK10" i="1" s="1"/>
  <c r="CF10" i="1"/>
  <c r="CG10" i="1" s="1"/>
  <c r="CB10" i="1"/>
  <c r="CC10" i="1" s="1"/>
  <c r="BX10" i="1"/>
  <c r="BY10" i="1" s="1"/>
  <c r="BS10" i="1"/>
  <c r="BM10" i="1"/>
  <c r="BK10" i="1"/>
  <c r="BO10" i="1" s="1"/>
  <c r="BH10" i="1"/>
  <c r="BF10" i="1"/>
  <c r="BI10" i="1" s="1"/>
  <c r="BB10" i="1"/>
  <c r="AZ10" i="1"/>
  <c r="KM9" i="1"/>
  <c r="KL9" i="1"/>
  <c r="KK9" i="1"/>
  <c r="KC9" i="1"/>
  <c r="KD9" i="1" s="1"/>
  <c r="KA9" i="1"/>
  <c r="JZ9" i="1"/>
  <c r="JW9" i="1"/>
  <c r="JX9" i="1" s="1"/>
  <c r="JT9" i="1"/>
  <c r="JU9" i="1" s="1"/>
  <c r="JQ9" i="1"/>
  <c r="JR9" i="1" s="1"/>
  <c r="JN9" i="1"/>
  <c r="JO9" i="1" s="1"/>
  <c r="JK9" i="1"/>
  <c r="JL9" i="1" s="1"/>
  <c r="JI9" i="1"/>
  <c r="JH9" i="1"/>
  <c r="JE9" i="1"/>
  <c r="JF9" i="1" s="1"/>
  <c r="JC9" i="1"/>
  <c r="JB9" i="1"/>
  <c r="IY9" i="1"/>
  <c r="IZ9" i="1" s="1"/>
  <c r="IV9" i="1"/>
  <c r="IW9" i="1" s="1"/>
  <c r="IS9" i="1"/>
  <c r="IT9" i="1" s="1"/>
  <c r="IP9" i="1"/>
  <c r="IQ9" i="1" s="1"/>
  <c r="IE9" i="1"/>
  <c r="IF9" i="1" s="1"/>
  <c r="IA9" i="1"/>
  <c r="HX9" i="1"/>
  <c r="HU9" i="1"/>
  <c r="HC9" i="1"/>
  <c r="GZ9" i="1"/>
  <c r="GW9" i="1"/>
  <c r="GT9" i="1"/>
  <c r="GQ9" i="1"/>
  <c r="GN9" i="1"/>
  <c r="GK9" i="1"/>
  <c r="GL9" i="1" s="1"/>
  <c r="GI9" i="1"/>
  <c r="GH9" i="1"/>
  <c r="GE9" i="1"/>
  <c r="GF9" i="1" s="1"/>
  <c r="GB9" i="1"/>
  <c r="GC9" i="1" s="1"/>
  <c r="FY9" i="1"/>
  <c r="FZ9" i="1" s="1"/>
  <c r="FV9" i="1"/>
  <c r="FW9" i="1" s="1"/>
  <c r="FS9" i="1"/>
  <c r="FT9" i="1" s="1"/>
  <c r="FQ9" i="1"/>
  <c r="FP9" i="1"/>
  <c r="FM9" i="1"/>
  <c r="FN9" i="1" s="1"/>
  <c r="FK9" i="1"/>
  <c r="FJ9" i="1"/>
  <c r="FG9" i="1"/>
  <c r="FH9" i="1" s="1"/>
  <c r="FD9" i="1"/>
  <c r="FE9" i="1" s="1"/>
  <c r="FA9" i="1"/>
  <c r="FB9" i="1" s="1"/>
  <c r="EX9" i="1"/>
  <c r="EY9" i="1" s="1"/>
  <c r="EU9" i="1"/>
  <c r="EV9" i="1" s="1"/>
  <c r="ES9" i="1"/>
  <c r="ER9" i="1"/>
  <c r="EO9" i="1"/>
  <c r="EP9" i="1" s="1"/>
  <c r="EM9" i="1"/>
  <c r="EL9" i="1"/>
  <c r="EH9" i="1"/>
  <c r="EE9" i="1"/>
  <c r="EF9" i="1" s="1"/>
  <c r="EC9" i="1"/>
  <c r="EB9" i="1"/>
  <c r="DX9" i="1"/>
  <c r="DY9" i="1" s="1"/>
  <c r="DU9" i="1"/>
  <c r="DT9" i="1"/>
  <c r="DP9" i="1"/>
  <c r="DQ9" i="1" s="1"/>
  <c r="DM9" i="1"/>
  <c r="DL9" i="1"/>
  <c r="DH9" i="1"/>
  <c r="DI9" i="1" s="1"/>
  <c r="DE9" i="1"/>
  <c r="DD9" i="1"/>
  <c r="CZ9" i="1"/>
  <c r="DA9" i="1" s="1"/>
  <c r="CW9" i="1"/>
  <c r="CV9" i="1"/>
  <c r="CR9" i="1"/>
  <c r="CS9" i="1" s="1"/>
  <c r="CO9" i="1"/>
  <c r="CN9" i="1"/>
  <c r="CJ9" i="1"/>
  <c r="CK9" i="1" s="1"/>
  <c r="CG9" i="1"/>
  <c r="CF9" i="1"/>
  <c r="CB9" i="1"/>
  <c r="CC9" i="1" s="1"/>
  <c r="BY9" i="1"/>
  <c r="BX9" i="1"/>
  <c r="BS9" i="1"/>
  <c r="BO9" i="1"/>
  <c r="BM9" i="1"/>
  <c r="BK9" i="1"/>
  <c r="BI9" i="1"/>
  <c r="BH9" i="1"/>
  <c r="BF9" i="1"/>
  <c r="BB9" i="1"/>
  <c r="AZ9" i="1"/>
  <c r="HY9" i="1" s="1"/>
  <c r="KM8" i="1"/>
  <c r="KL8" i="1"/>
  <c r="KK8" i="1"/>
  <c r="KC8" i="1"/>
  <c r="KD8" i="1" s="1"/>
  <c r="KA8" i="1"/>
  <c r="JZ8" i="1"/>
  <c r="JW8" i="1"/>
  <c r="JX8" i="1" s="1"/>
  <c r="JU8" i="1"/>
  <c r="JT8" i="1"/>
  <c r="JQ8" i="1"/>
  <c r="JR8" i="1" s="1"/>
  <c r="JO8" i="1"/>
  <c r="JN8" i="1"/>
  <c r="JK8" i="1"/>
  <c r="JL8" i="1" s="1"/>
  <c r="JI8" i="1"/>
  <c r="JH8" i="1"/>
  <c r="JE8" i="1"/>
  <c r="JF8" i="1" s="1"/>
  <c r="JC8" i="1"/>
  <c r="JB8" i="1"/>
  <c r="IY8" i="1"/>
  <c r="IZ8" i="1" s="1"/>
  <c r="IW8" i="1"/>
  <c r="IV8" i="1"/>
  <c r="IS8" i="1"/>
  <c r="IT8" i="1" s="1"/>
  <c r="IQ8" i="1"/>
  <c r="IP8" i="1"/>
  <c r="IE8" i="1"/>
  <c r="IF8" i="1" s="1"/>
  <c r="IA8" i="1"/>
  <c r="HX8" i="1"/>
  <c r="HU8" i="1"/>
  <c r="HC8" i="1"/>
  <c r="GZ8" i="1"/>
  <c r="GW8" i="1"/>
  <c r="GT8" i="1"/>
  <c r="GQ8" i="1"/>
  <c r="GN8" i="1"/>
  <c r="GK8" i="1"/>
  <c r="GL8" i="1" s="1"/>
  <c r="GI8" i="1"/>
  <c r="GH8" i="1"/>
  <c r="GE8" i="1"/>
  <c r="GF8" i="1" s="1"/>
  <c r="GC8" i="1"/>
  <c r="GB8" i="1"/>
  <c r="FY8" i="1"/>
  <c r="FZ8" i="1" s="1"/>
  <c r="FW8" i="1"/>
  <c r="FV8" i="1"/>
  <c r="FS8" i="1"/>
  <c r="FT8" i="1" s="1"/>
  <c r="FQ8" i="1"/>
  <c r="FP8" i="1"/>
  <c r="FM8" i="1"/>
  <c r="FN8" i="1" s="1"/>
  <c r="FK8" i="1"/>
  <c r="FJ8" i="1"/>
  <c r="FG8" i="1"/>
  <c r="FH8" i="1" s="1"/>
  <c r="FE8" i="1"/>
  <c r="FD8" i="1"/>
  <c r="FA8" i="1"/>
  <c r="FB8" i="1" s="1"/>
  <c r="EY8" i="1"/>
  <c r="EX8" i="1"/>
  <c r="EU8" i="1"/>
  <c r="EV8" i="1" s="1"/>
  <c r="ES8" i="1"/>
  <c r="ER8" i="1"/>
  <c r="EO8" i="1"/>
  <c r="EP8" i="1" s="1"/>
  <c r="EM8" i="1"/>
  <c r="EL8" i="1"/>
  <c r="EH8" i="1"/>
  <c r="EE8" i="1"/>
  <c r="EF8" i="1" s="1"/>
  <c r="EB8" i="1"/>
  <c r="EC8" i="1" s="1"/>
  <c r="DX8" i="1"/>
  <c r="DY8" i="1" s="1"/>
  <c r="DT8" i="1"/>
  <c r="DU8" i="1" s="1"/>
  <c r="DQ8" i="1"/>
  <c r="DP8" i="1"/>
  <c r="DL8" i="1"/>
  <c r="DM8" i="1" s="1"/>
  <c r="DI8" i="1"/>
  <c r="DH8" i="1"/>
  <c r="DD8" i="1"/>
  <c r="DE8" i="1" s="1"/>
  <c r="CZ8" i="1"/>
  <c r="DA8" i="1" s="1"/>
  <c r="CV8" i="1"/>
  <c r="CW8" i="1" s="1"/>
  <c r="CR8" i="1"/>
  <c r="CS8" i="1" s="1"/>
  <c r="CN8" i="1"/>
  <c r="CO8" i="1" s="1"/>
  <c r="CK8" i="1"/>
  <c r="CJ8" i="1"/>
  <c r="CF8" i="1"/>
  <c r="CG8" i="1" s="1"/>
  <c r="CC8" i="1"/>
  <c r="CB8" i="1"/>
  <c r="BX8" i="1"/>
  <c r="BY8" i="1" s="1"/>
  <c r="BS8" i="1"/>
  <c r="BO8" i="1"/>
  <c r="BM8" i="1"/>
  <c r="BK8" i="1"/>
  <c r="BI8" i="1"/>
  <c r="BH8" i="1"/>
  <c r="BF8" i="1"/>
  <c r="BB8" i="1"/>
  <c r="AZ8" i="1"/>
  <c r="HY8" i="1" s="1"/>
  <c r="KM7" i="1"/>
  <c r="KL7" i="1"/>
  <c r="KK7" i="1"/>
  <c r="KC7" i="1"/>
  <c r="KD7" i="1" s="1"/>
  <c r="JZ7" i="1"/>
  <c r="KA7" i="1" s="1"/>
  <c r="JW7" i="1"/>
  <c r="JX7" i="1" s="1"/>
  <c r="JT7" i="1"/>
  <c r="JU7" i="1" s="1"/>
  <c r="JR7" i="1"/>
  <c r="JQ7" i="1"/>
  <c r="JN7" i="1"/>
  <c r="JO7" i="1" s="1"/>
  <c r="JL7" i="1"/>
  <c r="JK7" i="1"/>
  <c r="JH7" i="1"/>
  <c r="JI7" i="1" s="1"/>
  <c r="JE7" i="1"/>
  <c r="JF7" i="1" s="1"/>
  <c r="JB7" i="1"/>
  <c r="JC7" i="1" s="1"/>
  <c r="IY7" i="1"/>
  <c r="IZ7" i="1" s="1"/>
  <c r="IV7" i="1"/>
  <c r="IW7" i="1" s="1"/>
  <c r="IT7" i="1"/>
  <c r="IS7" i="1"/>
  <c r="IP7" i="1"/>
  <c r="IQ7" i="1" s="1"/>
  <c r="IF7" i="1"/>
  <c r="IE7" i="1"/>
  <c r="IA7" i="1"/>
  <c r="HX7" i="1"/>
  <c r="HU7" i="1"/>
  <c r="HC7" i="1"/>
  <c r="GZ7" i="1"/>
  <c r="GW7" i="1"/>
  <c r="GT7" i="1"/>
  <c r="GQ7" i="1"/>
  <c r="GN7" i="1"/>
  <c r="GL7" i="1"/>
  <c r="GK7" i="1"/>
  <c r="GH7" i="1"/>
  <c r="GI7" i="1" s="1"/>
  <c r="GE7" i="1"/>
  <c r="GF7" i="1" s="1"/>
  <c r="GB7" i="1"/>
  <c r="GC7" i="1" s="1"/>
  <c r="FY7" i="1"/>
  <c r="FZ7" i="1" s="1"/>
  <c r="FV7" i="1"/>
  <c r="FW7" i="1" s="1"/>
  <c r="FT7" i="1"/>
  <c r="FS7" i="1"/>
  <c r="FP7" i="1"/>
  <c r="FQ7" i="1" s="1"/>
  <c r="FN7" i="1"/>
  <c r="FM7" i="1"/>
  <c r="FJ7" i="1"/>
  <c r="FK7" i="1" s="1"/>
  <c r="FG7" i="1"/>
  <c r="FH7" i="1" s="1"/>
  <c r="FD7" i="1"/>
  <c r="FE7" i="1" s="1"/>
  <c r="FA7" i="1"/>
  <c r="FB7" i="1" s="1"/>
  <c r="EX7" i="1"/>
  <c r="EY7" i="1" s="1"/>
  <c r="EV7" i="1"/>
  <c r="EU7" i="1"/>
  <c r="ER7" i="1"/>
  <c r="ES7" i="1" s="1"/>
  <c r="EP7" i="1"/>
  <c r="EO7" i="1"/>
  <c r="EL7" i="1"/>
  <c r="EM7" i="1" s="1"/>
  <c r="EH7" i="1"/>
  <c r="EF7" i="1"/>
  <c r="EE7" i="1"/>
  <c r="EB7" i="1"/>
  <c r="EC7" i="1" s="1"/>
  <c r="DY7" i="1"/>
  <c r="DX7" i="1"/>
  <c r="DT7" i="1"/>
  <c r="DU7" i="1" s="1"/>
  <c r="DQ7" i="1"/>
  <c r="DP7" i="1"/>
  <c r="DL7" i="1"/>
  <c r="DM7" i="1" s="1"/>
  <c r="DI7" i="1"/>
  <c r="DH7" i="1"/>
  <c r="DD7" i="1"/>
  <c r="DE7" i="1" s="1"/>
  <c r="DA7" i="1"/>
  <c r="CZ7" i="1"/>
  <c r="CV7" i="1"/>
  <c r="CW7" i="1" s="1"/>
  <c r="CS7" i="1"/>
  <c r="CR7" i="1"/>
  <c r="CN7" i="1"/>
  <c r="CO7" i="1" s="1"/>
  <c r="CK7" i="1"/>
  <c r="CJ7" i="1"/>
  <c r="CF7" i="1"/>
  <c r="CG7" i="1" s="1"/>
  <c r="CC7" i="1"/>
  <c r="CB7" i="1"/>
  <c r="BX7" i="1"/>
  <c r="BY7" i="1" s="1"/>
  <c r="BS7" i="1"/>
  <c r="BM7" i="1"/>
  <c r="BK7" i="1"/>
  <c r="BO7" i="1" s="1"/>
  <c r="BI7" i="1"/>
  <c r="BH7" i="1"/>
  <c r="BF7" i="1"/>
  <c r="BB7" i="1"/>
  <c r="AZ7" i="1"/>
  <c r="HY7" i="1" s="1"/>
  <c r="KM6" i="1"/>
  <c r="KL6" i="1"/>
  <c r="KK6" i="1"/>
  <c r="KD6" i="1"/>
  <c r="KC6" i="1"/>
  <c r="KA6" i="1"/>
  <c r="JZ6" i="1"/>
  <c r="JX6" i="1"/>
  <c r="JW6" i="1"/>
  <c r="JU6" i="1"/>
  <c r="JT6" i="1"/>
  <c r="JR6" i="1"/>
  <c r="JQ6" i="1"/>
  <c r="JO6" i="1"/>
  <c r="JN6" i="1"/>
  <c r="JL6" i="1"/>
  <c r="JK6" i="1"/>
  <c r="JI6" i="1"/>
  <c r="JH6" i="1"/>
  <c r="JF6" i="1"/>
  <c r="JE6" i="1"/>
  <c r="JC6" i="1"/>
  <c r="JB6" i="1"/>
  <c r="IZ6" i="1"/>
  <c r="IY6" i="1"/>
  <c r="IW6" i="1"/>
  <c r="IV6" i="1"/>
  <c r="IT6" i="1"/>
  <c r="IS6" i="1"/>
  <c r="IQ6" i="1"/>
  <c r="IP6" i="1"/>
  <c r="IF6" i="1"/>
  <c r="IE6" i="1"/>
  <c r="IA6" i="1"/>
  <c r="HY6" i="1"/>
  <c r="HX6" i="1"/>
  <c r="HU6" i="1"/>
  <c r="HC6" i="1"/>
  <c r="GZ6" i="1"/>
  <c r="GW6" i="1"/>
  <c r="GT6" i="1"/>
  <c r="GQ6" i="1"/>
  <c r="GN6" i="1"/>
  <c r="GL6" i="1"/>
  <c r="GK6" i="1"/>
  <c r="GH6" i="1"/>
  <c r="GI6" i="1" s="1"/>
  <c r="GF6" i="1"/>
  <c r="GE6" i="1"/>
  <c r="GB6" i="1"/>
  <c r="GC6" i="1" s="1"/>
  <c r="FZ6" i="1"/>
  <c r="FY6" i="1"/>
  <c r="FV6" i="1"/>
  <c r="FW6" i="1" s="1"/>
  <c r="FT6" i="1"/>
  <c r="FS6" i="1"/>
  <c r="FP6" i="1"/>
  <c r="FQ6" i="1" s="1"/>
  <c r="FN6" i="1"/>
  <c r="FM6" i="1"/>
  <c r="FJ6" i="1"/>
  <c r="FK6" i="1" s="1"/>
  <c r="FH6" i="1"/>
  <c r="FG6" i="1"/>
  <c r="FD6" i="1"/>
  <c r="FE6" i="1" s="1"/>
  <c r="FB6" i="1"/>
  <c r="FA6" i="1"/>
  <c r="EX6" i="1"/>
  <c r="EY6" i="1" s="1"/>
  <c r="EV6" i="1"/>
  <c r="EU6" i="1"/>
  <c r="ER6" i="1"/>
  <c r="ES6" i="1" s="1"/>
  <c r="EP6" i="1"/>
  <c r="EO6" i="1"/>
  <c r="EL6" i="1"/>
  <c r="EM6" i="1" s="1"/>
  <c r="EH6" i="1"/>
  <c r="EE6" i="1"/>
  <c r="EF6" i="1" s="1"/>
  <c r="EB6" i="1"/>
  <c r="EC6" i="1" s="1"/>
  <c r="DX6" i="1"/>
  <c r="DY6" i="1" s="1"/>
  <c r="DU6" i="1"/>
  <c r="DT6" i="1"/>
  <c r="DP6" i="1"/>
  <c r="DQ6" i="1" s="1"/>
  <c r="DL6" i="1"/>
  <c r="DM6" i="1" s="1"/>
  <c r="DH6" i="1"/>
  <c r="DI6" i="1" s="1"/>
  <c r="DD6" i="1"/>
  <c r="DE6" i="1" s="1"/>
  <c r="CZ6" i="1"/>
  <c r="DA6" i="1" s="1"/>
  <c r="CV6" i="1"/>
  <c r="CW6" i="1" s="1"/>
  <c r="CR6" i="1"/>
  <c r="CS6" i="1" s="1"/>
  <c r="CO6" i="1"/>
  <c r="CN6" i="1"/>
  <c r="CJ6" i="1"/>
  <c r="CK6" i="1" s="1"/>
  <c r="CF6" i="1"/>
  <c r="CG6" i="1" s="1"/>
  <c r="CB6" i="1"/>
  <c r="CC6" i="1" s="1"/>
  <c r="BX6" i="1"/>
  <c r="BY6" i="1" s="1"/>
  <c r="BS6" i="1"/>
  <c r="BM6" i="1"/>
  <c r="BK6" i="1"/>
  <c r="BO6" i="1" s="1"/>
  <c r="BH6" i="1"/>
  <c r="BF6" i="1"/>
  <c r="BI6" i="1" s="1"/>
  <c r="BB6" i="1"/>
  <c r="AZ6" i="1"/>
  <c r="KM5" i="1"/>
  <c r="KL5" i="1"/>
  <c r="KK5" i="1"/>
  <c r="KC5" i="1"/>
  <c r="KD5" i="1" s="1"/>
  <c r="KA5" i="1"/>
  <c r="JZ5" i="1"/>
  <c r="JW5" i="1"/>
  <c r="JX5" i="1" s="1"/>
  <c r="JT5" i="1"/>
  <c r="JU5" i="1" s="1"/>
  <c r="JQ5" i="1"/>
  <c r="JR5" i="1" s="1"/>
  <c r="JN5" i="1"/>
  <c r="JO5" i="1" s="1"/>
  <c r="JK5" i="1"/>
  <c r="JL5" i="1" s="1"/>
  <c r="JH5" i="1"/>
  <c r="JI5" i="1" s="1"/>
  <c r="JE5" i="1"/>
  <c r="JF5" i="1" s="1"/>
  <c r="JC5" i="1"/>
  <c r="JB5" i="1"/>
  <c r="IY5" i="1"/>
  <c r="IZ5" i="1" s="1"/>
  <c r="IV5" i="1"/>
  <c r="IW5" i="1" s="1"/>
  <c r="IS5" i="1"/>
  <c r="IT5" i="1" s="1"/>
  <c r="IP5" i="1"/>
  <c r="IQ5" i="1" s="1"/>
  <c r="IE5" i="1"/>
  <c r="IF5" i="1" s="1"/>
  <c r="IA5" i="1"/>
  <c r="HX5" i="1"/>
  <c r="HU5" i="1"/>
  <c r="HC5" i="1"/>
  <c r="GZ5" i="1"/>
  <c r="GW5" i="1"/>
  <c r="GT5" i="1"/>
  <c r="GQ5" i="1"/>
  <c r="GN5" i="1"/>
  <c r="GK5" i="1"/>
  <c r="GL5" i="1" s="1"/>
  <c r="GI5" i="1"/>
  <c r="GH5" i="1"/>
  <c r="GE5" i="1"/>
  <c r="GF5" i="1" s="1"/>
  <c r="GB5" i="1"/>
  <c r="GC5" i="1" s="1"/>
  <c r="FY5" i="1"/>
  <c r="FZ5" i="1" s="1"/>
  <c r="FV5" i="1"/>
  <c r="FW5" i="1" s="1"/>
  <c r="FS5" i="1"/>
  <c r="FT5" i="1" s="1"/>
  <c r="FP5" i="1"/>
  <c r="FQ5" i="1" s="1"/>
  <c r="FM5" i="1"/>
  <c r="FN5" i="1" s="1"/>
  <c r="FK5" i="1"/>
  <c r="FJ5" i="1"/>
  <c r="FG5" i="1"/>
  <c r="FH5" i="1" s="1"/>
  <c r="FD5" i="1"/>
  <c r="FE5" i="1" s="1"/>
  <c r="FA5" i="1"/>
  <c r="FB5" i="1" s="1"/>
  <c r="EX5" i="1"/>
  <c r="EY5" i="1" s="1"/>
  <c r="EU5" i="1"/>
  <c r="EV5" i="1" s="1"/>
  <c r="ER5" i="1"/>
  <c r="ES5" i="1" s="1"/>
  <c r="EO5" i="1"/>
  <c r="EP5" i="1" s="1"/>
  <c r="EM5" i="1"/>
  <c r="EL5" i="1"/>
  <c r="EH5" i="1"/>
  <c r="EE5" i="1"/>
  <c r="EF5" i="1" s="1"/>
  <c r="EC5" i="1"/>
  <c r="EB5" i="1"/>
  <c r="DX5" i="1"/>
  <c r="DY5" i="1" s="1"/>
  <c r="DU5" i="1"/>
  <c r="DT5" i="1"/>
  <c r="DP5" i="1"/>
  <c r="DQ5" i="1" s="1"/>
  <c r="DM5" i="1"/>
  <c r="DL5" i="1"/>
  <c r="DH5" i="1"/>
  <c r="DI5" i="1" s="1"/>
  <c r="DE5" i="1"/>
  <c r="DD5" i="1"/>
  <c r="CZ5" i="1"/>
  <c r="DA5" i="1" s="1"/>
  <c r="CW5" i="1"/>
  <c r="CV5" i="1"/>
  <c r="CR5" i="1"/>
  <c r="CS5" i="1" s="1"/>
  <c r="CO5" i="1"/>
  <c r="CN5" i="1"/>
  <c r="CJ5" i="1"/>
  <c r="CK5" i="1" s="1"/>
  <c r="CG5" i="1"/>
  <c r="CF5" i="1"/>
  <c r="CB5" i="1"/>
  <c r="CC5" i="1" s="1"/>
  <c r="BY5" i="1"/>
  <c r="BX5" i="1"/>
  <c r="BS5" i="1"/>
  <c r="BO5" i="1"/>
  <c r="BM5" i="1"/>
  <c r="BK5" i="1"/>
  <c r="BI5" i="1"/>
  <c r="BH5" i="1"/>
  <c r="BF5" i="1"/>
  <c r="BB5" i="1"/>
  <c r="AZ5" i="1"/>
  <c r="HY5" i="1" s="1"/>
  <c r="KM4" i="1"/>
  <c r="KL4" i="1"/>
  <c r="KK4" i="1"/>
  <c r="KC4" i="1"/>
  <c r="KD4" i="1" s="1"/>
  <c r="KA4" i="1"/>
  <c r="JZ4" i="1"/>
  <c r="JW4" i="1"/>
  <c r="JX4" i="1" s="1"/>
  <c r="JU4" i="1"/>
  <c r="JT4" i="1"/>
  <c r="JQ4" i="1"/>
  <c r="JR4" i="1" s="1"/>
  <c r="JO4" i="1"/>
  <c r="JN4" i="1"/>
  <c r="JK4" i="1"/>
  <c r="JL4" i="1" s="1"/>
  <c r="JI4" i="1"/>
  <c r="JH4" i="1"/>
  <c r="JE4" i="1"/>
  <c r="JF4" i="1" s="1"/>
  <c r="JC4" i="1"/>
  <c r="JB4" i="1"/>
  <c r="IY4" i="1"/>
  <c r="IZ4" i="1" s="1"/>
  <c r="IW4" i="1"/>
  <c r="IV4" i="1"/>
  <c r="IS4" i="1"/>
  <c r="IT4" i="1" s="1"/>
  <c r="IQ4" i="1"/>
  <c r="IP4" i="1"/>
  <c r="IE4" i="1"/>
  <c r="IF4" i="1" s="1"/>
  <c r="IA4" i="1"/>
  <c r="HX4" i="1"/>
  <c r="HU4" i="1"/>
  <c r="HC4" i="1"/>
  <c r="GZ4" i="1"/>
  <c r="GW4" i="1"/>
  <c r="GT4" i="1"/>
  <c r="GQ4" i="1"/>
  <c r="GN4" i="1"/>
  <c r="GK4" i="1"/>
  <c r="GL4" i="1" s="1"/>
  <c r="GI4" i="1"/>
  <c r="GH4" i="1"/>
  <c r="GE4" i="1"/>
  <c r="GF4" i="1" s="1"/>
  <c r="GC4" i="1"/>
  <c r="GB4" i="1"/>
  <c r="FY4" i="1"/>
  <c r="FZ4" i="1" s="1"/>
  <c r="FW4" i="1"/>
  <c r="FV4" i="1"/>
  <c r="FS4" i="1"/>
  <c r="FT4" i="1" s="1"/>
  <c r="FQ4" i="1"/>
  <c r="FP4" i="1"/>
  <c r="FM4" i="1"/>
  <c r="FN4" i="1" s="1"/>
  <c r="FK4" i="1"/>
  <c r="FJ4" i="1"/>
  <c r="FG4" i="1"/>
  <c r="FH4" i="1" s="1"/>
  <c r="FE4" i="1"/>
  <c r="FD4" i="1"/>
  <c r="FA4" i="1"/>
  <c r="FB4" i="1" s="1"/>
  <c r="EY4" i="1"/>
  <c r="EX4" i="1"/>
  <c r="EU4" i="1"/>
  <c r="EV4" i="1" s="1"/>
  <c r="ES4" i="1"/>
  <c r="ER4" i="1"/>
  <c r="EO4" i="1"/>
  <c r="EP4" i="1" s="1"/>
  <c r="EM4" i="1"/>
  <c r="EL4" i="1"/>
  <c r="EH4" i="1"/>
  <c r="EE4" i="1"/>
  <c r="EF4" i="1" s="1"/>
  <c r="EB4" i="1"/>
  <c r="EC4" i="1" s="1"/>
  <c r="DX4" i="1"/>
  <c r="DY4" i="1" s="1"/>
  <c r="DT4" i="1"/>
  <c r="DU4" i="1" s="1"/>
  <c r="DP4" i="1"/>
  <c r="DQ4" i="1" s="1"/>
  <c r="DL4" i="1"/>
  <c r="DM4" i="1" s="1"/>
  <c r="DI4" i="1"/>
  <c r="DH4" i="1"/>
  <c r="DD4" i="1"/>
  <c r="DE4" i="1" s="1"/>
  <c r="CZ4" i="1"/>
  <c r="DA4" i="1" s="1"/>
  <c r="CV4" i="1"/>
  <c r="CW4" i="1" s="1"/>
  <c r="CR4" i="1"/>
  <c r="CS4" i="1" s="1"/>
  <c r="CN4" i="1"/>
  <c r="CO4" i="1" s="1"/>
  <c r="CJ4" i="1"/>
  <c r="CK4" i="1" s="1"/>
  <c r="CF4" i="1"/>
  <c r="CG4" i="1" s="1"/>
  <c r="CC4" i="1"/>
  <c r="CB4" i="1"/>
  <c r="BX4" i="1"/>
  <c r="BY4" i="1" s="1"/>
  <c r="BS4" i="1"/>
  <c r="BO4" i="1"/>
  <c r="BM4" i="1"/>
  <c r="BK4" i="1"/>
  <c r="BI4" i="1"/>
  <c r="BH4" i="1"/>
  <c r="BF4" i="1"/>
  <c r="BB4" i="1"/>
  <c r="AZ4" i="1"/>
  <c r="HY4" i="1" s="1"/>
  <c r="KM3" i="1"/>
  <c r="KL3" i="1"/>
  <c r="KK3" i="1"/>
  <c r="KD3" i="1"/>
  <c r="KC3" i="1"/>
  <c r="JZ3" i="1"/>
  <c r="KA3" i="1" s="1"/>
  <c r="JW3" i="1"/>
  <c r="JX3" i="1" s="1"/>
  <c r="JT3" i="1"/>
  <c r="JU3" i="1" s="1"/>
  <c r="JQ3" i="1"/>
  <c r="JR3" i="1" s="1"/>
  <c r="JN3" i="1"/>
  <c r="JO3" i="1" s="1"/>
  <c r="JL3" i="1"/>
  <c r="JK3" i="1"/>
  <c r="JH3" i="1"/>
  <c r="JI3" i="1" s="1"/>
  <c r="JE3" i="1"/>
  <c r="JF3" i="1" s="1"/>
  <c r="JB3" i="1"/>
  <c r="JC3" i="1" s="1"/>
  <c r="IY3" i="1"/>
  <c r="IZ3" i="1" s="1"/>
  <c r="IV3" i="1"/>
  <c r="IW3" i="1" s="1"/>
  <c r="IS3" i="1"/>
  <c r="IT3" i="1" s="1"/>
  <c r="IP3" i="1"/>
  <c r="IQ3" i="1" s="1"/>
  <c r="IF3" i="1"/>
  <c r="IE3" i="1"/>
  <c r="IA3" i="1"/>
  <c r="HY3" i="1"/>
  <c r="HX3" i="1"/>
  <c r="HU3" i="1"/>
  <c r="HC3" i="1"/>
  <c r="GZ3" i="1"/>
  <c r="GW3" i="1"/>
  <c r="GT3" i="1"/>
  <c r="GQ3" i="1"/>
  <c r="GN3" i="1"/>
  <c r="GL3" i="1"/>
  <c r="GK3" i="1"/>
  <c r="GH3" i="1"/>
  <c r="GI3" i="1" s="1"/>
  <c r="GF3" i="1"/>
  <c r="GE3" i="1"/>
  <c r="GB3" i="1"/>
  <c r="GC3" i="1" s="1"/>
  <c r="FY3" i="1"/>
  <c r="FZ3" i="1" s="1"/>
  <c r="FV3" i="1"/>
  <c r="FW3" i="1" s="1"/>
  <c r="FS3" i="1"/>
  <c r="FT3" i="1" s="1"/>
  <c r="FP3" i="1"/>
  <c r="FQ3" i="1" s="1"/>
  <c r="FN3" i="1"/>
  <c r="FM3" i="1"/>
  <c r="FJ3" i="1"/>
  <c r="FK3" i="1" s="1"/>
  <c r="FG3" i="1"/>
  <c r="FH3" i="1" s="1"/>
  <c r="FD3" i="1"/>
  <c r="FE3" i="1" s="1"/>
  <c r="FA3" i="1"/>
  <c r="FB3" i="1" s="1"/>
  <c r="EX3" i="1"/>
  <c r="EY3" i="1" s="1"/>
  <c r="EU3" i="1"/>
  <c r="EV3" i="1" s="1"/>
  <c r="ER3" i="1"/>
  <c r="ES3" i="1" s="1"/>
  <c r="EP3" i="1"/>
  <c r="EO3" i="1"/>
  <c r="EL3" i="1"/>
  <c r="EM3" i="1" s="1"/>
  <c r="EH3" i="1"/>
  <c r="EE3" i="1"/>
  <c r="EF3" i="1" s="1"/>
  <c r="EB3" i="1"/>
  <c r="EC3" i="1" s="1"/>
  <c r="DX3" i="1"/>
  <c r="DY3" i="1" s="1"/>
  <c r="DT3" i="1"/>
  <c r="DU3" i="1" s="1"/>
  <c r="DP3" i="1"/>
  <c r="DQ3" i="1" s="1"/>
  <c r="DM3" i="1"/>
  <c r="DL3" i="1"/>
  <c r="DH3" i="1"/>
  <c r="DI3" i="1" s="1"/>
  <c r="DD3" i="1"/>
  <c r="DE3" i="1" s="1"/>
  <c r="CZ3" i="1"/>
  <c r="DA3" i="1" s="1"/>
  <c r="CV3" i="1"/>
  <c r="CW3" i="1" s="1"/>
  <c r="CR3" i="1"/>
  <c r="CS3" i="1" s="1"/>
  <c r="CN3" i="1"/>
  <c r="CO3" i="1" s="1"/>
  <c r="CJ3" i="1"/>
  <c r="CK3" i="1" s="1"/>
  <c r="CG3" i="1"/>
  <c r="CF3" i="1"/>
  <c r="CB3" i="1"/>
  <c r="CC3" i="1" s="1"/>
  <c r="BX3" i="1"/>
  <c r="BY3" i="1" s="1"/>
  <c r="BS3" i="1"/>
  <c r="BM3" i="1"/>
  <c r="BK3" i="1"/>
  <c r="BO3" i="1" s="1"/>
  <c r="BH3" i="1"/>
  <c r="BF3" i="1"/>
  <c r="BI3" i="1" s="1"/>
  <c r="BB3" i="1"/>
  <c r="AZ3" i="1"/>
  <c r="KB1" i="1"/>
  <c r="JY1" i="1"/>
  <c r="JV1" i="1"/>
  <c r="JS1" i="1"/>
  <c r="JP1" i="1"/>
  <c r="JM1" i="1"/>
  <c r="JJ1" i="1"/>
  <c r="JG1" i="1"/>
  <c r="JD1" i="1"/>
  <c r="JA1" i="1"/>
  <c r="IX1" i="1"/>
  <c r="IU1" i="1"/>
  <c r="IR1" i="1"/>
  <c r="IO1" i="1"/>
  <c r="HT1" i="1"/>
  <c r="HQ1" i="1"/>
  <c r="HN1" i="1"/>
  <c r="HK1" i="1"/>
  <c r="HH1" i="1"/>
  <c r="HE1" i="1"/>
  <c r="HB1" i="1"/>
  <c r="GY1" i="1"/>
  <c r="GV1" i="1"/>
  <c r="GS1" i="1"/>
  <c r="GP1" i="1"/>
  <c r="GM1" i="1"/>
  <c r="GJ1" i="1"/>
  <c r="GG1" i="1"/>
  <c r="GD1" i="1"/>
  <c r="GA1" i="1"/>
  <c r="FX1" i="1"/>
  <c r="FU1" i="1"/>
  <c r="FR1" i="1"/>
  <c r="FO1" i="1"/>
  <c r="FL1" i="1"/>
  <c r="FI1" i="1"/>
  <c r="FF1" i="1"/>
  <c r="FC1" i="1"/>
  <c r="EZ1" i="1"/>
  <c r="EW1" i="1"/>
  <c r="ET1" i="1"/>
  <c r="EQ1" i="1"/>
  <c r="EN1" i="1"/>
  <c r="EG1" i="1"/>
  <c r="ED1" i="1"/>
  <c r="DV1" i="1"/>
  <c r="DN1" i="1"/>
  <c r="DF1" i="1"/>
  <c r="CX1" i="1"/>
  <c r="CT1" i="1"/>
  <c r="CP1" i="1"/>
  <c r="CL1" i="1"/>
  <c r="CH1" i="1"/>
  <c r="CD1" i="1"/>
  <c r="BZ1" i="1"/>
  <c r="BV1" i="1"/>
  <c r="BE1" i="1"/>
  <c r="DA17" i="1" l="1"/>
  <c r="DD17" i="1"/>
  <c r="DE17" i="1" s="1"/>
  <c r="DQ17" i="1"/>
  <c r="DT17" i="1"/>
  <c r="DU17" i="1" s="1"/>
  <c r="DA18" i="1"/>
  <c r="DD18" i="1"/>
  <c r="DE18" i="1" s="1"/>
  <c r="DL19" i="1"/>
  <c r="DM19" i="1" s="1"/>
  <c r="DI19" i="1"/>
  <c r="DT18" i="1"/>
  <c r="DU18" i="1" s="1"/>
  <c r="DD19" i="1"/>
  <c r="DE19" i="1" s="1"/>
  <c r="DQ19" i="1"/>
  <c r="DY19" i="1"/>
</calcChain>
</file>

<file path=xl/comments1.xml><?xml version="1.0" encoding="utf-8"?>
<comments xmlns="http://schemas.openxmlformats.org/spreadsheetml/2006/main">
  <authors>
    <author>profile</author>
  </authors>
  <commentList>
    <comment ref="AN2" authorId="0" shapeId="0">
      <text>
        <r>
          <rPr>
            <b/>
            <sz val="9"/>
            <color indexed="81"/>
            <rFont val="Segoe UI"/>
            <family val="2"/>
          </rPr>
          <t>Consultar planilha de localidade. Filtrar pela coluna Portfólio.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<sst xmlns="http://schemas.openxmlformats.org/spreadsheetml/2006/main" count="1430" uniqueCount="223">
  <si>
    <t>Portfolio</t>
  </si>
  <si>
    <t>Estratégia</t>
  </si>
  <si>
    <t>Elegibilidade</t>
  </si>
  <si>
    <t>Oi Vende</t>
  </si>
  <si>
    <t>Canais de Venda - ADM de Vendas</t>
  </si>
  <si>
    <t>Demais Canais</t>
  </si>
  <si>
    <t>Campanha</t>
  </si>
  <si>
    <t>Data</t>
  </si>
  <si>
    <t>Configurações da Campanha</t>
  </si>
  <si>
    <t>Regras de Campanha</t>
  </si>
  <si>
    <t>Configurações da Oferta</t>
  </si>
  <si>
    <t>Taxa de Habilitação
Fixo</t>
  </si>
  <si>
    <t>Taxa de Habilitação
Banda Larga</t>
  </si>
  <si>
    <t>Preço Móvel</t>
  </si>
  <si>
    <t>Preço Dependente</t>
  </si>
  <si>
    <t>Dados para Celular</t>
  </si>
  <si>
    <t>Aparelhos</t>
  </si>
  <si>
    <t>Multa</t>
  </si>
  <si>
    <t>Benefício de Minutos</t>
  </si>
  <si>
    <t>Benefício de SMS</t>
  </si>
  <si>
    <t>Chip Alone
(PCS-SBL11111)</t>
  </si>
  <si>
    <t>TOTAIS</t>
  </si>
  <si>
    <t>Campos de uso livre</t>
  </si>
  <si>
    <t>Portfolio
(linguagem comercial)</t>
  </si>
  <si>
    <t>Estratégia 
(aquisição, retenção ou Oi Pontos)</t>
  </si>
  <si>
    <t>Cliente Elegivel</t>
  </si>
  <si>
    <t>Visível no Oi Vende?</t>
  </si>
  <si>
    <t>Televendas Receptivo</t>
  </si>
  <si>
    <t>Televendas Ativo</t>
  </si>
  <si>
    <t>Tele Agentes</t>
  </si>
  <si>
    <t>Tele Agentes Móvel</t>
  </si>
  <si>
    <t>SMP E-Commerce (WEB)</t>
  </si>
  <si>
    <t>PAP</t>
  </si>
  <si>
    <t>Lojas OI</t>
  </si>
  <si>
    <t>Franquia Operacional</t>
  </si>
  <si>
    <t>Franquia OI Atende</t>
  </si>
  <si>
    <t>Franquia</t>
  </si>
  <si>
    <t>Agente Exclusivo</t>
  </si>
  <si>
    <t>Almaviva</t>
  </si>
  <si>
    <t>BSIM R1</t>
  </si>
  <si>
    <t>BSIM R2</t>
  </si>
  <si>
    <t>Atendimento</t>
  </si>
  <si>
    <t>BO Atendimento</t>
  </si>
  <si>
    <t>Ouvidoria</t>
  </si>
  <si>
    <t>Auditoria de Vendas</t>
  </si>
  <si>
    <t>BO Contratos</t>
  </si>
  <si>
    <t>BO Hotline</t>
  </si>
  <si>
    <t>Hotline</t>
  </si>
  <si>
    <t>JEC</t>
  </si>
  <si>
    <t>Procom</t>
  </si>
  <si>
    <t>Blindagem</t>
  </si>
  <si>
    <t>Rentabilização</t>
  </si>
  <si>
    <t>Retenção</t>
  </si>
  <si>
    <t>Nome da campanha</t>
  </si>
  <si>
    <t>Objetivo da Campanha</t>
  </si>
  <si>
    <t>Resumo da Campanha</t>
  </si>
  <si>
    <t xml:space="preserve">Data inicio </t>
  </si>
  <si>
    <t>Data fim</t>
  </si>
  <si>
    <t>Localidade</t>
  </si>
  <si>
    <t>Filial</t>
  </si>
  <si>
    <t>DDD's</t>
  </si>
  <si>
    <t>Unidade de Negócio</t>
  </si>
  <si>
    <t>nº Maximo de oportunidades</t>
  </si>
  <si>
    <t>Nº de adesões esperadas</t>
  </si>
  <si>
    <t>Publico  Alvo</t>
  </si>
  <si>
    <t>Campanha
Subsidiada</t>
  </si>
  <si>
    <t>DACC</t>
  </si>
  <si>
    <t>CSP</t>
  </si>
  <si>
    <t>Nome Oferta</t>
  </si>
  <si>
    <t>Plano Voz 
(campo obrigatório)</t>
  </si>
  <si>
    <t>Código
SBL</t>
  </si>
  <si>
    <t>THAB</t>
  </si>
  <si>
    <t>Código</t>
  </si>
  <si>
    <t>Qtde
Parcelas</t>
  </si>
  <si>
    <t>Valor Total</t>
  </si>
  <si>
    <t xml:space="preserve">
Comercial
Indeterminado</t>
  </si>
  <si>
    <t xml:space="preserve">
% Desc Ajust
Indeterminado</t>
  </si>
  <si>
    <t xml:space="preserve">
Comercial
Indeterminado
DACC</t>
  </si>
  <si>
    <t xml:space="preserve">
% Desc Ajust
Indeterminado
DACC</t>
  </si>
  <si>
    <r>
      <t xml:space="preserve">
Comercial
</t>
    </r>
    <r>
      <rPr>
        <b/>
        <sz val="8"/>
        <color rgb="FFC00000"/>
        <rFont val="Calibri"/>
        <family val="2"/>
        <scheme val="minor"/>
      </rPr>
      <t>Determinado</t>
    </r>
  </si>
  <si>
    <r>
      <t xml:space="preserve">
% Desc Ajust
</t>
    </r>
    <r>
      <rPr>
        <b/>
        <sz val="8"/>
        <color rgb="FFC00000"/>
        <rFont val="Calibri"/>
        <family val="2"/>
        <scheme val="minor"/>
      </rPr>
      <t>Determinado</t>
    </r>
  </si>
  <si>
    <r>
      <t xml:space="preserve">
Comercial</t>
    </r>
    <r>
      <rPr>
        <b/>
        <sz val="8"/>
        <color rgb="FFC00000"/>
        <rFont val="Calibri"/>
        <family val="2"/>
        <scheme val="minor"/>
      </rPr>
      <t xml:space="preserve">
Determinado</t>
    </r>
    <r>
      <rPr>
        <b/>
        <sz val="8"/>
        <color theme="1"/>
        <rFont val="Calibri"/>
        <family val="2"/>
        <scheme val="minor"/>
      </rPr>
      <t xml:space="preserve">
DACC</t>
    </r>
  </si>
  <si>
    <r>
      <t xml:space="preserve">
% Desc Ajust</t>
    </r>
    <r>
      <rPr>
        <b/>
        <sz val="8"/>
        <color rgb="FFC00000"/>
        <rFont val="Calibri"/>
        <family val="2"/>
        <scheme val="minor"/>
      </rPr>
      <t xml:space="preserve">
Determinado</t>
    </r>
    <r>
      <rPr>
        <b/>
        <sz val="8"/>
        <color theme="1"/>
        <rFont val="Calibri"/>
        <family val="2"/>
        <scheme val="minor"/>
      </rPr>
      <t xml:space="preserve">
DACC</t>
    </r>
  </si>
  <si>
    <t xml:space="preserve">
Duração
Meses</t>
  </si>
  <si>
    <t xml:space="preserve">
Conteúdo
Oi Play</t>
  </si>
  <si>
    <t>Comercial/
Tratamento</t>
  </si>
  <si>
    <t>Comercial</t>
  </si>
  <si>
    <t>% Desc</t>
  </si>
  <si>
    <t xml:space="preserve">
Código
Ind</t>
  </si>
  <si>
    <t>Duração
Meses</t>
  </si>
  <si>
    <t xml:space="preserve">
Código
Det</t>
  </si>
  <si>
    <t>% Desc
(ind)</t>
  </si>
  <si>
    <t>Gratuidade?</t>
  </si>
  <si>
    <t xml:space="preserve">
1o Ponto Adicional
Gratuito?</t>
  </si>
  <si>
    <t>Arbor</t>
  </si>
  <si>
    <t>Assinatura Titular</t>
  </si>
  <si>
    <t>Desconto Ass. Titular</t>
  </si>
  <si>
    <t>Nome Benefício</t>
  </si>
  <si>
    <t>Comercial (Franquia+Ass)</t>
  </si>
  <si>
    <t>Assinatura</t>
  </si>
  <si>
    <t>Nome</t>
  </si>
  <si>
    <t>Intragrupo</t>
  </si>
  <si>
    <t xml:space="preserve">
Regra da Oferta
Dados para Celular</t>
  </si>
  <si>
    <t>Pincipal</t>
  </si>
  <si>
    <t xml:space="preserve">
% Desc
(ind)</t>
  </si>
  <si>
    <t>Aparelhos?
Sim / Não</t>
  </si>
  <si>
    <t>Localização dos códigos dos aparelhos</t>
  </si>
  <si>
    <t>Sim/ Não</t>
  </si>
  <si>
    <t>Tipo
Benefício/ Aparelho/ Oi Pontos</t>
  </si>
  <si>
    <t>Valor da multa</t>
  </si>
  <si>
    <t>Duração (meses)</t>
  </si>
  <si>
    <t>Benefício que gerou a fidelização</t>
  </si>
  <si>
    <t>Código Benefício que gerou Fidelização</t>
  </si>
  <si>
    <t>Elemento de Multa</t>
  </si>
  <si>
    <t>Tipo do benefício</t>
  </si>
  <si>
    <t>Nome do benefício</t>
  </si>
  <si>
    <t>Elemento</t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</si>
  <si>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START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</si>
  <si>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</si>
  <si>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HBO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</si>
  <si>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Telecine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</si>
  <si>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Cinema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</si>
  <si>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</si>
  <si>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HBO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</si>
  <si>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Telecine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</si>
  <si>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Cinema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</si>
  <si>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rgb="FFC00000"/>
        <rFont val="Calibri"/>
        <family val="2"/>
        <scheme val="minor"/>
      </rPr>
      <t xml:space="preserve">Total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</si>
  <si>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HBO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</si>
  <si>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Telecine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</si>
  <si>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>[Fixo]
[BL 10Mbps]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Cinema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</si>
  <si>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</si>
  <si>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HBO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</si>
  <si>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Telecine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</si>
  <si>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Cinema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</si>
  <si>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t>Livre 1</t>
  </si>
  <si>
    <t>Livre 2</t>
  </si>
  <si>
    <t>Livre 3</t>
  </si>
  <si>
    <t>Livre 4</t>
  </si>
  <si>
    <t>Livre 5</t>
  </si>
  <si>
    <t>Livre 6</t>
  </si>
  <si>
    <t>Livre 7</t>
  </si>
  <si>
    <t>Livre 8</t>
  </si>
  <si>
    <t>Livre 9</t>
  </si>
  <si>
    <t>Livre 10</t>
  </si>
  <si>
    <t>Linha</t>
  </si>
  <si>
    <t>Mensagem de Erro</t>
  </si>
  <si>
    <t>Oi Total</t>
  </si>
  <si>
    <t>Aquisição</t>
  </si>
  <si>
    <t>Novos e Atuais</t>
  </si>
  <si>
    <t>Sim</t>
  </si>
  <si>
    <t>OT_NAT17_FID_RES_TV1_BASICO_START_BL2</t>
  </si>
  <si>
    <t xml:space="preserve">Vender OI Total com Fidelidade F+BL+TV </t>
  </si>
  <si>
    <t>Produto Fixo + LD + Banda Larga  Até 2MB + TV , Produto com fidelização</t>
  </si>
  <si>
    <t>20. Oi Total</t>
  </si>
  <si>
    <t>Varejo</t>
  </si>
  <si>
    <t>Campanha Restrita</t>
  </si>
  <si>
    <t>Não</t>
  </si>
  <si>
    <t>Oi Total Fixo + Banda Larga + TV 1</t>
  </si>
  <si>
    <t>0T0T_DET_CONTEUDO_A_00.01%.</t>
  </si>
  <si>
    <t>MKT-1-9626729181</t>
  </si>
  <si>
    <t>MKT-1-9825601270</t>
  </si>
  <si>
    <t>MKT-1-9825406035</t>
  </si>
  <si>
    <t>MKT-1-9825544125</t>
  </si>
  <si>
    <t>MKT-1-9825544215</t>
  </si>
  <si>
    <t>MKT-1-9825544305</t>
  </si>
  <si>
    <t>MKT-1-9825544400</t>
  </si>
  <si>
    <t>MKT-1-9825544490</t>
  </si>
  <si>
    <t>PCS-OzTL50</t>
  </si>
  <si>
    <t>PCS-OzTL51</t>
  </si>
  <si>
    <t>PCS-OzTL52</t>
  </si>
  <si>
    <t>PCS-OzTL53</t>
  </si>
  <si>
    <t>PCS-OzTL54</t>
  </si>
  <si>
    <t>MKT-1-9825544580</t>
  </si>
  <si>
    <t>Benefício</t>
  </si>
  <si>
    <t>Ilimitado</t>
  </si>
  <si>
    <t>0T0T_3PRES_MIN_ALLNET_500000</t>
  </si>
  <si>
    <t>MKT-1-10140786051</t>
  </si>
  <si>
    <t>SMS</t>
  </si>
  <si>
    <t>0T0T_UR_SMS_50000</t>
  </si>
  <si>
    <t>MKT-1-9009393117</t>
  </si>
  <si>
    <t>PCS-SBL11111</t>
  </si>
  <si>
    <t/>
  </si>
  <si>
    <t>Erro:  Linha 3</t>
  </si>
  <si>
    <t>Tipo de Benefício não encontrado</t>
  </si>
  <si>
    <t>OT_NAT17_FID_RES_TV2_INTERM_MIX_BL2</t>
  </si>
  <si>
    <t>Oi Total Fixo + Banda Larga + TV 2</t>
  </si>
  <si>
    <t>Erro:  Linha 4</t>
  </si>
  <si>
    <t>OT_NAT17_FID_RES_TV3_INTERM_MIXFILMES_BL2</t>
  </si>
  <si>
    <t>Oi Total Fixo + Banda Larga + TV 3</t>
  </si>
  <si>
    <t>Erro:  Linha 5</t>
  </si>
  <si>
    <t>OT_NAT17_FID_RES_TV3_AVAN_TOT-HBO_BL2</t>
  </si>
  <si>
    <t>Erro:  Linha 6</t>
  </si>
  <si>
    <t>OT_NAT17_FID_RES_TV3_AVAN_TOT-TELEC_BL2</t>
  </si>
  <si>
    <t>Erro:  Linha 7</t>
  </si>
  <si>
    <t>OT_NAT17_FID_RES_TV3_TOP_TC-DVR_BL2</t>
  </si>
  <si>
    <t>Erro:  Linha 8</t>
  </si>
  <si>
    <t>OT_NAT17_FID_RES_TV1_BASICO_START_BL5</t>
  </si>
  <si>
    <t>Produto Fixo + LD + Banda Larga  Acima 5MB + TV , Produto com fidelização</t>
  </si>
  <si>
    <t>Tratamento</t>
  </si>
  <si>
    <t>MKT-1-9825601765</t>
  </si>
  <si>
    <t>Erro:  Linha 9</t>
  </si>
  <si>
    <t>OT_NAT17_FID_RES_TV2_INTERM_MIX_BL5</t>
  </si>
  <si>
    <t>Erro:  Linha 10</t>
  </si>
  <si>
    <t>OT_NAT17_FID_RES_TV3_INTERM_MIXFILMES_BL5</t>
  </si>
  <si>
    <t>Erro:  Linha 11</t>
  </si>
  <si>
    <t>OT_NAT17_FID_RES_TV3_AVAN_TOT-HBO_BL5</t>
  </si>
  <si>
    <t>Erro:  Linha 12</t>
  </si>
  <si>
    <t>OT_NAT17_FID_RES_TV3_AVAN_TOT-TELEC_BL5</t>
  </si>
  <si>
    <t>Erro:  Linha 13</t>
  </si>
  <si>
    <t>OT_NAT17_FID_RES_TV3_TOP_TC-DVR_BL5</t>
  </si>
  <si>
    <t>Erro:  Linha 14</t>
  </si>
  <si>
    <t>OT_NAT17_FID_RES_TV2_INTERM_MIX_VDSL</t>
  </si>
  <si>
    <t>Grátis</t>
  </si>
  <si>
    <t>MKT-1-9825618260</t>
  </si>
  <si>
    <t>Erro:  Linha 15</t>
  </si>
  <si>
    <t>OT_NAT17_FID_RES_TV3_INTERM_MIXFILMES_VDSL</t>
  </si>
  <si>
    <t>Erro:  Linha 16</t>
  </si>
  <si>
    <t>OT_NAT17_FID_RES_TV3_AVAN_TOT-HBO_VDSL</t>
  </si>
  <si>
    <t>Erro:  Linha 17</t>
  </si>
  <si>
    <t>OT_NAT17_FID_RES_TV3_AVAN_TOT-TELEC_VDSL</t>
  </si>
  <si>
    <t>Erro:  Linha 18</t>
  </si>
  <si>
    <t>OT_NAT17_FID_RES_TV3_TOP_TC-DVR_VDSL</t>
  </si>
  <si>
    <t>Erro:  Linha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</si>
</sst>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$-416]\ * #,##0.00_-;\-[$R$-416]\ * #,##0.00_-;_-[$R$-416]\ * &quot;-&quot;??_-;_-@_-"/>
    <numFmt numFmtId="165" formatCode="#,##0_ ;\-#,##0\ "/>
    <numFmt numFmtId="166" formatCode="&quot;R$&quot;\ #,##0.00;[Red]\-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671B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828C"/>
        <bgColor indexed="64"/>
      </patternFill>
    </fill>
    <fill>
      <patternFill patternType="solid">
        <fgColor rgb="FFEBB81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auto="1"/>
      </left>
      <right/>
      <top/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center" vertical="center" wrapText="1"/>
      <protection hidden="1"/>
    </xf>
    <xf numFmtId="0" fontId="4" fillId="3" borderId="6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5" fillId="5" borderId="5" xfId="0" applyFont="1" applyFill="1" applyBorder="1" applyAlignment="1" applyProtection="1">
      <alignment horizontal="center" vertical="center" wrapText="1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0" fontId="3" fillId="6" borderId="8" xfId="0" applyFont="1" applyFill="1" applyBorder="1" applyAlignment="1" applyProtection="1">
      <alignment horizontal="center" vertical="center" wrapText="1"/>
      <protection hidden="1"/>
    </xf>
    <xf numFmtId="0" fontId="3" fillId="6" borderId="9" xfId="0" applyFont="1" applyFill="1" applyBorder="1" applyAlignment="1" applyProtection="1">
      <alignment horizontal="center" vertical="center" wrapText="1"/>
      <protection hidden="1"/>
    </xf>
    <xf numFmtId="0" fontId="3" fillId="6" borderId="10" xfId="0" applyFont="1" applyFill="1" applyBorder="1" applyAlignment="1" applyProtection="1">
      <alignment horizontal="center" vertical="center" wrapText="1"/>
      <protection hidden="1"/>
    </xf>
    <xf numFmtId="0" fontId="4" fillId="7" borderId="5" xfId="0" applyFont="1" applyFill="1" applyBorder="1" applyAlignment="1" applyProtection="1">
      <alignment horizontal="center" vertical="center" wrapText="1"/>
      <protection hidden="1"/>
    </xf>
    <xf numFmtId="0" fontId="4" fillId="7" borderId="6" xfId="0" applyFont="1" applyFill="1" applyBorder="1" applyAlignment="1" applyProtection="1">
      <alignment horizontal="center" vertical="center" wrapText="1"/>
      <protection hidden="1"/>
    </xf>
    <xf numFmtId="0" fontId="4" fillId="7" borderId="11" xfId="0" applyFont="1" applyFill="1" applyBorder="1" applyAlignment="1" applyProtection="1">
      <alignment horizontal="center" vertical="center" wrapText="1"/>
      <protection hidden="1"/>
    </xf>
    <xf numFmtId="0" fontId="4" fillId="7" borderId="7" xfId="0" applyFont="1" applyFill="1" applyBorder="1" applyAlignment="1" applyProtection="1">
      <alignment horizontal="center" vertical="center" wrapText="1"/>
      <protection hidden="1"/>
    </xf>
    <xf numFmtId="0" fontId="6" fillId="7" borderId="5" xfId="0" applyFont="1" applyFill="1" applyBorder="1" applyAlignment="1" applyProtection="1">
      <alignment horizontal="center" vertical="center" wrapText="1"/>
      <protection hidden="1"/>
    </xf>
    <xf numFmtId="0" fontId="6" fillId="7" borderId="6" xfId="0" applyFont="1" applyFill="1" applyBorder="1" applyAlignment="1" applyProtection="1">
      <alignment horizontal="center" vertical="center" wrapText="1"/>
      <protection hidden="1"/>
    </xf>
    <xf numFmtId="0" fontId="6" fillId="7" borderId="7" xfId="0" applyFont="1" applyFill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8" borderId="12" xfId="0" applyFont="1" applyFill="1" applyBorder="1" applyAlignment="1" applyProtection="1">
      <alignment horizontal="center" vertical="center"/>
      <protection locked="0"/>
    </xf>
    <xf numFmtId="0" fontId="3" fillId="8" borderId="3" xfId="0" applyFont="1" applyFill="1" applyBorder="1" applyAlignment="1" applyProtection="1">
      <alignment horizontal="center" vertical="center"/>
      <protection locked="0"/>
    </xf>
    <xf numFmtId="0" fontId="3" fillId="8" borderId="13" xfId="0" applyFont="1" applyFill="1" applyBorder="1" applyAlignment="1" applyProtection="1">
      <alignment horizontal="center" vertical="center"/>
      <protection locked="0"/>
    </xf>
    <xf numFmtId="0" fontId="6" fillId="9" borderId="14" xfId="0" applyFont="1" applyFill="1" applyBorder="1" applyAlignment="1" applyProtection="1">
      <alignment horizontal="center" vertical="center"/>
      <protection locked="0"/>
    </xf>
    <xf numFmtId="0" fontId="6" fillId="9" borderId="15" xfId="0" applyFont="1" applyFill="1" applyBorder="1" applyAlignment="1" applyProtection="1">
      <alignment horizontal="center" vertical="center"/>
      <protection locked="0"/>
    </xf>
    <xf numFmtId="0" fontId="6" fillId="9" borderId="16" xfId="0" applyFont="1" applyFill="1" applyBorder="1" applyAlignment="1" applyProtection="1">
      <alignment horizontal="center" vertical="center"/>
      <protection locked="0"/>
    </xf>
    <xf numFmtId="0" fontId="6" fillId="9" borderId="16" xfId="0" applyFont="1" applyFill="1" applyBorder="1" applyAlignment="1" applyProtection="1">
      <alignment horizontal="center" vertical="center"/>
      <protection locked="0"/>
    </xf>
    <xf numFmtId="0" fontId="7" fillId="10" borderId="17" xfId="0" applyFont="1" applyFill="1" applyBorder="1" applyAlignment="1" applyProtection="1">
      <alignment vertical="center" wrapText="1"/>
      <protection hidden="1"/>
    </xf>
    <xf numFmtId="0" fontId="7" fillId="10" borderId="17" xfId="0" applyFont="1" applyFill="1" applyBorder="1" applyAlignment="1" applyProtection="1">
      <alignment horizontal="center" textRotation="90"/>
      <protection hidden="1"/>
    </xf>
    <xf numFmtId="0" fontId="8" fillId="10" borderId="17" xfId="0" applyFont="1" applyFill="1" applyBorder="1" applyAlignment="1" applyProtection="1">
      <alignment horizontal="center" textRotation="90"/>
      <protection hidden="1"/>
    </xf>
    <xf numFmtId="0" fontId="8" fillId="10" borderId="17" xfId="0" applyFont="1" applyFill="1" applyBorder="1" applyAlignment="1" applyProtection="1">
      <alignment horizontal="center" textRotation="90"/>
      <protection locked="0"/>
    </xf>
    <xf numFmtId="0" fontId="7" fillId="11" borderId="17" xfId="0" applyFont="1" applyFill="1" applyBorder="1" applyAlignment="1" applyProtection="1">
      <alignment horizontal="center" textRotation="90"/>
      <protection hidden="1"/>
    </xf>
    <xf numFmtId="0" fontId="7" fillId="11" borderId="17" xfId="0" applyFont="1" applyFill="1" applyBorder="1" applyAlignment="1" applyProtection="1">
      <alignment horizontal="center" textRotation="90" wrapText="1"/>
      <protection hidden="1"/>
    </xf>
    <xf numFmtId="0" fontId="7" fillId="11" borderId="17" xfId="0" applyFont="1" applyFill="1" applyBorder="1" applyAlignment="1" applyProtection="1">
      <alignment horizontal="center" textRotation="90"/>
      <protection locked="0"/>
    </xf>
    <xf numFmtId="0" fontId="9" fillId="12" borderId="17" xfId="0" applyFont="1" applyFill="1" applyBorder="1" applyAlignment="1" applyProtection="1">
      <alignment vertical="center" wrapText="1"/>
      <protection hidden="1"/>
    </xf>
    <xf numFmtId="0" fontId="9" fillId="12" borderId="17" xfId="0" applyFont="1" applyFill="1" applyBorder="1" applyAlignment="1" applyProtection="1">
      <alignment horizontal="center" vertical="center" textRotation="90" wrapText="1"/>
      <protection hidden="1"/>
    </xf>
    <xf numFmtId="0" fontId="9" fillId="10" borderId="17" xfId="0" applyFont="1" applyFill="1" applyBorder="1" applyAlignment="1" applyProtection="1">
      <alignment horizontal="center" vertical="center" textRotation="90" wrapText="1"/>
      <protection hidden="1"/>
    </xf>
    <xf numFmtId="44" fontId="9" fillId="10" borderId="18" xfId="2" applyFont="1" applyFill="1" applyBorder="1" applyAlignment="1" applyProtection="1">
      <alignment vertical="center" wrapText="1"/>
      <protection hidden="1"/>
    </xf>
    <xf numFmtId="44" fontId="7" fillId="10" borderId="17" xfId="2" applyFont="1" applyFill="1" applyBorder="1" applyAlignment="1" applyProtection="1">
      <alignment vertical="center" wrapText="1"/>
      <protection hidden="1"/>
    </xf>
    <xf numFmtId="44" fontId="7" fillId="10" borderId="19" xfId="2" applyFont="1" applyFill="1" applyBorder="1" applyAlignment="1" applyProtection="1">
      <alignment vertical="center" wrapText="1"/>
      <protection hidden="1"/>
    </xf>
    <xf numFmtId="10" fontId="7" fillId="10" borderId="17" xfId="3" applyNumberFormat="1" applyFont="1" applyFill="1" applyBorder="1" applyAlignment="1" applyProtection="1">
      <alignment vertical="center" wrapText="1"/>
      <protection hidden="1"/>
    </xf>
    <xf numFmtId="0" fontId="7" fillId="10" borderId="1" xfId="0" applyFont="1" applyFill="1" applyBorder="1" applyAlignment="1" applyProtection="1">
      <alignment vertical="center" wrapText="1"/>
      <protection hidden="1"/>
    </xf>
    <xf numFmtId="0" fontId="9" fillId="13" borderId="17" xfId="0" applyFont="1" applyFill="1" applyBorder="1" applyAlignment="1" applyProtection="1">
      <alignment vertical="center" wrapText="1"/>
      <protection hidden="1"/>
    </xf>
    <xf numFmtId="0" fontId="7" fillId="13" borderId="17" xfId="0" applyFont="1" applyFill="1" applyBorder="1" applyAlignment="1" applyProtection="1">
      <alignment vertical="center" wrapText="1"/>
      <protection hidden="1"/>
    </xf>
    <xf numFmtId="0" fontId="7" fillId="12" borderId="1" xfId="0" applyFont="1" applyFill="1" applyBorder="1" applyAlignment="1" applyProtection="1">
      <alignment vertical="center" wrapText="1"/>
      <protection hidden="1"/>
    </xf>
    <xf numFmtId="43" fontId="7" fillId="10" borderId="17" xfId="1" applyFont="1" applyFill="1" applyBorder="1" applyAlignment="1" applyProtection="1">
      <alignment vertical="center" wrapText="1"/>
      <protection hidden="1"/>
    </xf>
    <xf numFmtId="9" fontId="7" fillId="10" borderId="17" xfId="3" applyFont="1" applyFill="1" applyBorder="1" applyAlignment="1" applyProtection="1">
      <alignment vertical="center" wrapText="1"/>
      <protection hidden="1"/>
    </xf>
    <xf numFmtId="0" fontId="8" fillId="10" borderId="17" xfId="0" applyFont="1" applyFill="1" applyBorder="1" applyAlignment="1" applyProtection="1">
      <alignment vertical="center" wrapText="1"/>
      <protection hidden="1"/>
    </xf>
    <xf numFmtId="0" fontId="8" fillId="12" borderId="17" xfId="0" applyFont="1" applyFill="1" applyBorder="1" applyAlignment="1" applyProtection="1">
      <alignment vertical="center" wrapText="1"/>
      <protection hidden="1"/>
    </xf>
    <xf numFmtId="0" fontId="10" fillId="2" borderId="17" xfId="0" applyFont="1" applyFill="1" applyBorder="1" applyAlignment="1" applyProtection="1">
      <alignment vertical="center" wrapText="1"/>
      <protection hidden="1"/>
    </xf>
    <xf numFmtId="0" fontId="7" fillId="10" borderId="18" xfId="0" applyFont="1" applyFill="1" applyBorder="1" applyAlignment="1" applyProtection="1">
      <alignment vertical="center" wrapText="1"/>
      <protection hidden="1"/>
    </xf>
    <xf numFmtId="0" fontId="7" fillId="10" borderId="20" xfId="0" applyFont="1" applyFill="1" applyBorder="1" applyAlignment="1" applyProtection="1">
      <alignment vertical="center" wrapText="1"/>
      <protection hidden="1"/>
    </xf>
    <xf numFmtId="0" fontId="7" fillId="10" borderId="17" xfId="0" applyFont="1" applyFill="1" applyBorder="1" applyAlignment="1" applyProtection="1">
      <alignment horizontal="left" vertical="center" wrapText="1"/>
      <protection hidden="1"/>
    </xf>
    <xf numFmtId="0" fontId="7" fillId="12" borderId="17" xfId="0" applyFont="1" applyFill="1" applyBorder="1" applyAlignment="1" applyProtection="1">
      <alignment horizontal="left" vertical="center" wrapText="1"/>
      <protection hidden="1"/>
    </xf>
    <xf numFmtId="0" fontId="9" fillId="12" borderId="17" xfId="0" applyFont="1" applyFill="1" applyBorder="1" applyAlignment="1" applyProtection="1">
      <alignment horizontal="left" vertical="center" wrapText="1"/>
      <protection hidden="1"/>
    </xf>
    <xf numFmtId="0" fontId="7" fillId="12" borderId="19" xfId="0" applyFont="1" applyFill="1" applyBorder="1" applyAlignment="1" applyProtection="1">
      <alignment horizontal="left" vertical="center" wrapText="1"/>
      <protection hidden="1"/>
    </xf>
    <xf numFmtId="0" fontId="10" fillId="14" borderId="18" xfId="0" applyFont="1" applyFill="1" applyBorder="1" applyAlignment="1" applyProtection="1">
      <alignment horizontal="center" vertical="center" wrapText="1"/>
      <protection locked="0"/>
    </xf>
    <xf numFmtId="0" fontId="10" fillId="14" borderId="17" xfId="0" applyFont="1" applyFill="1" applyBorder="1" applyAlignment="1" applyProtection="1">
      <alignment horizontal="center" vertical="center" wrapText="1"/>
      <protection locked="0"/>
    </xf>
    <xf numFmtId="0" fontId="10" fillId="14" borderId="21" xfId="0" applyFont="1" applyFill="1" applyBorder="1" applyAlignment="1" applyProtection="1">
      <alignment horizontal="center" vertical="center" wrapText="1"/>
      <protection locked="0"/>
    </xf>
    <xf numFmtId="0" fontId="2" fillId="9" borderId="22" xfId="0" applyFont="1" applyFill="1" applyBorder="1" applyAlignment="1" applyProtection="1">
      <alignment horizontal="center" vertical="center"/>
      <protection locked="0"/>
    </xf>
    <xf numFmtId="0" fontId="2" fillId="9" borderId="23" xfId="0" applyFont="1" applyFill="1" applyBorder="1" applyAlignment="1" applyProtection="1">
      <alignment horizontal="center" vertical="center"/>
      <protection locked="0"/>
    </xf>
    <xf numFmtId="0" fontId="2" fillId="9" borderId="24" xfId="0" applyFont="1" applyFill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left" vertical="center"/>
      <protection locked="0"/>
    </xf>
    <xf numFmtId="0" fontId="0" fillId="0" borderId="15" xfId="0" applyFont="1" applyFill="1" applyBorder="1" applyAlignment="1" applyProtection="1">
      <alignment horizontal="left" vertical="center"/>
      <protection locked="0"/>
    </xf>
    <xf numFmtId="0" fontId="0" fillId="0" borderId="16" xfId="0" applyFont="1" applyFill="1" applyBorder="1" applyAlignment="1" applyProtection="1">
      <alignment horizontal="left" vertical="center"/>
      <protection locked="0"/>
    </xf>
    <xf numFmtId="0" fontId="0" fillId="0" borderId="14" xfId="0" applyFont="1" applyFill="1" applyBorder="1" applyAlignment="1" applyProtection="1">
      <alignment horizontal="center"/>
      <protection locked="0"/>
    </xf>
    <xf numFmtId="0" fontId="0" fillId="0" borderId="15" xfId="0" applyFont="1" applyFill="1" applyBorder="1" applyAlignment="1" applyProtection="1">
      <alignment horizontal="center"/>
      <protection locked="0"/>
    </xf>
    <xf numFmtId="0" fontId="0" fillId="0" borderId="25" xfId="0" applyFont="1" applyFill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16" xfId="0" applyFont="1" applyFill="1" applyBorder="1" applyAlignment="1" applyProtection="1">
      <alignment horizontal="center"/>
      <protection locked="0"/>
    </xf>
    <xf numFmtId="0" fontId="0" fillId="0" borderId="27" xfId="0" applyFont="1" applyBorder="1" applyAlignment="1" applyProtection="1">
      <alignment horizontal="left" vertical="center"/>
      <protection locked="0"/>
    </xf>
    <xf numFmtId="0" fontId="12" fillId="0" borderId="28" xfId="0" applyFont="1" applyFill="1" applyBorder="1" applyAlignment="1" applyProtection="1">
      <alignment horizontal="left" vertical="center"/>
      <protection locked="0"/>
    </xf>
    <xf numFmtId="0" fontId="12" fillId="0" borderId="29" xfId="0" applyFont="1" applyFill="1" applyBorder="1" applyAlignment="1" applyProtection="1">
      <alignment horizontal="left" vertical="center"/>
      <protection locked="0"/>
    </xf>
    <xf numFmtId="14" fontId="14" fillId="0" borderId="14" xfId="0" applyNumberFormat="1" applyFont="1" applyFill="1" applyBorder="1" applyAlignment="1" applyProtection="1">
      <alignment horizontal="left" vertical="center"/>
      <protection locked="0"/>
    </xf>
    <xf numFmtId="14" fontId="14" fillId="0" borderId="16" xfId="0" applyNumberFormat="1" applyFont="1" applyFill="1" applyBorder="1" applyAlignment="1" applyProtection="1">
      <alignment horizontal="left" vertical="center"/>
      <protection locked="0"/>
    </xf>
    <xf numFmtId="14" fontId="12" fillId="0" borderId="27" xfId="0" applyNumberFormat="1" applyFont="1" applyFill="1" applyBorder="1" applyAlignment="1" applyProtection="1">
      <alignment horizontal="left" vertical="center"/>
      <protection locked="0"/>
    </xf>
    <xf numFmtId="14" fontId="12" fillId="0" borderId="28" xfId="0" applyNumberFormat="1" applyFont="1" applyFill="1" applyBorder="1" applyAlignment="1" applyProtection="1">
      <alignment horizontal="left" vertical="center"/>
      <protection locked="0"/>
    </xf>
    <xf numFmtId="0" fontId="12" fillId="0" borderId="28" xfId="0" applyFont="1" applyFill="1" applyBorder="1" applyAlignment="1" applyProtection="1">
      <alignment horizontal="center" vertical="center"/>
      <protection locked="0"/>
    </xf>
    <xf numFmtId="0" fontId="0" fillId="0" borderId="29" xfId="0" applyFont="1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5" xfId="0" applyFont="1" applyFill="1" applyBorder="1" applyAlignment="1" applyProtection="1">
      <alignment horizontal="center" vertical="center"/>
      <protection locked="0"/>
    </xf>
    <xf numFmtId="0" fontId="0" fillId="0" borderId="16" xfId="0" applyFont="1" applyFill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left" vertical="center"/>
      <protection locked="0"/>
    </xf>
    <xf numFmtId="0" fontId="12" fillId="0" borderId="15" xfId="0" applyFont="1" applyFill="1" applyBorder="1" applyAlignment="1" applyProtection="1">
      <alignment vertical="center"/>
      <protection locked="0"/>
    </xf>
    <xf numFmtId="0" fontId="0" fillId="14" borderId="16" xfId="0" applyFill="1" applyBorder="1" applyAlignment="1" applyProtection="1">
      <alignment vertical="center"/>
      <protection hidden="1"/>
    </xf>
    <xf numFmtId="0" fontId="0" fillId="0" borderId="25" xfId="0" applyFill="1" applyBorder="1" applyAlignment="1" applyProtection="1">
      <alignment vertical="center"/>
      <protection hidden="1"/>
    </xf>
    <xf numFmtId="0" fontId="0" fillId="14" borderId="25" xfId="0" applyFill="1" applyBorder="1" applyAlignment="1" applyProtection="1">
      <alignment vertical="center"/>
      <protection hidden="1"/>
    </xf>
    <xf numFmtId="0" fontId="12" fillId="14" borderId="15" xfId="0" applyFont="1" applyFill="1" applyBorder="1" applyAlignment="1" applyProtection="1">
      <alignment vertical="center"/>
      <protection hidden="1"/>
    </xf>
    <xf numFmtId="44" fontId="12" fillId="14" borderId="25" xfId="2" applyFont="1" applyFill="1" applyBorder="1" applyAlignment="1" applyProtection="1">
      <alignment vertical="center"/>
      <protection hidden="1"/>
    </xf>
    <xf numFmtId="44" fontId="12" fillId="15" borderId="14" xfId="2" applyFont="1" applyFill="1" applyBorder="1" applyAlignment="1" applyProtection="1">
      <alignment horizontal="left" vertical="center"/>
      <protection locked="0"/>
    </xf>
    <xf numFmtId="10" fontId="0" fillId="14" borderId="15" xfId="3" applyNumberFormat="1" applyFont="1" applyFill="1" applyBorder="1" applyProtection="1">
      <protection hidden="1"/>
    </xf>
    <xf numFmtId="44" fontId="0" fillId="14" borderId="15" xfId="2" applyFont="1" applyFill="1" applyBorder="1" applyProtection="1">
      <protection hidden="1"/>
    </xf>
    <xf numFmtId="10" fontId="14" fillId="15" borderId="15" xfId="3" applyNumberFormat="1" applyFont="1" applyFill="1" applyBorder="1" applyProtection="1">
      <protection hidden="1"/>
    </xf>
    <xf numFmtId="44" fontId="12" fillId="14" borderId="26" xfId="2" applyFont="1" applyFill="1" applyBorder="1" applyAlignment="1" applyProtection="1">
      <alignment horizontal="left" vertical="center"/>
      <protection hidden="1"/>
    </xf>
    <xf numFmtId="44" fontId="0" fillId="0" borderId="15" xfId="2" applyFont="1" applyFill="1" applyBorder="1" applyProtection="1">
      <protection locked="0"/>
    </xf>
    <xf numFmtId="0" fontId="0" fillId="0" borderId="15" xfId="3" applyNumberFormat="1" applyFont="1" applyFill="1" applyBorder="1" applyProtection="1">
      <protection locked="0"/>
    </xf>
    <xf numFmtId="44" fontId="12" fillId="0" borderId="26" xfId="2" applyFont="1" applyFill="1" applyBorder="1" applyAlignment="1" applyProtection="1">
      <alignment horizontal="left" vertical="center"/>
      <protection locked="0"/>
    </xf>
    <xf numFmtId="10" fontId="0" fillId="14" borderId="16" xfId="3" applyNumberFormat="1" applyFont="1" applyFill="1" applyBorder="1" applyProtection="1">
      <protection hidden="1"/>
    </xf>
    <xf numFmtId="0" fontId="0" fillId="0" borderId="14" xfId="0" applyFill="1" applyBorder="1" applyAlignment="1" applyProtection="1">
      <alignment vertical="center"/>
      <protection locked="0"/>
    </xf>
    <xf numFmtId="0" fontId="0" fillId="14" borderId="15" xfId="0" applyFill="1" applyBorder="1" applyAlignment="1" applyProtection="1">
      <alignment vertical="center"/>
      <protection hidden="1"/>
    </xf>
    <xf numFmtId="0" fontId="12" fillId="14" borderId="16" xfId="0" applyFont="1" applyFill="1" applyBorder="1" applyAlignment="1" applyProtection="1">
      <alignment vertical="center"/>
      <protection hidden="1"/>
    </xf>
    <xf numFmtId="10" fontId="0" fillId="0" borderId="14" xfId="3" applyNumberFormat="1" applyFont="1" applyFill="1" applyBorder="1" applyProtection="1">
      <protection locked="0"/>
    </xf>
    <xf numFmtId="44" fontId="0" fillId="0" borderId="15" xfId="2" applyFont="1" applyBorder="1" applyProtection="1">
      <protection locked="0"/>
    </xf>
    <xf numFmtId="10" fontId="0" fillId="14" borderId="25" xfId="3" applyNumberFormat="1" applyFont="1" applyFill="1" applyBorder="1" applyProtection="1">
      <protection hidden="1"/>
    </xf>
    <xf numFmtId="44" fontId="0" fillId="0" borderId="26" xfId="2" applyFont="1" applyBorder="1" applyProtection="1">
      <protection locked="0"/>
    </xf>
    <xf numFmtId="0" fontId="12" fillId="14" borderId="15" xfId="2" applyNumberFormat="1" applyFont="1" applyFill="1" applyBorder="1" applyProtection="1">
      <protection locked="0"/>
    </xf>
    <xf numFmtId="164" fontId="0" fillId="0" borderId="14" xfId="0" applyNumberFormat="1" applyFont="1" applyFill="1" applyBorder="1" applyProtection="1">
      <protection locked="0"/>
    </xf>
    <xf numFmtId="164" fontId="12" fillId="0" borderId="14" xfId="0" applyNumberFormat="1" applyFont="1" applyFill="1" applyBorder="1" applyProtection="1">
      <protection locked="0"/>
    </xf>
    <xf numFmtId="10" fontId="12" fillId="14" borderId="15" xfId="3" applyNumberFormat="1" applyFont="1" applyFill="1" applyBorder="1" applyProtection="1">
      <protection hidden="1"/>
    </xf>
    <xf numFmtId="44" fontId="12" fillId="0" borderId="26" xfId="2" applyFont="1" applyFill="1" applyBorder="1" applyProtection="1">
      <protection locked="0"/>
    </xf>
    <xf numFmtId="165" fontId="12" fillId="0" borderId="15" xfId="2" applyNumberFormat="1" applyFont="1" applyFill="1" applyBorder="1" applyProtection="1">
      <protection locked="0"/>
    </xf>
    <xf numFmtId="10" fontId="12" fillId="14" borderId="15" xfId="3" applyNumberFormat="1" applyFont="1" applyFill="1" applyBorder="1" applyAlignment="1" applyProtection="1">
      <alignment horizontal="right"/>
      <protection hidden="1"/>
    </xf>
    <xf numFmtId="44" fontId="0" fillId="0" borderId="14" xfId="2" applyFont="1" applyBorder="1" applyProtection="1">
      <protection locked="0"/>
    </xf>
    <xf numFmtId="10" fontId="0" fillId="14" borderId="30" xfId="3" applyNumberFormat="1" applyFont="1" applyFill="1" applyBorder="1" applyProtection="1">
      <protection hidden="1"/>
    </xf>
    <xf numFmtId="0" fontId="0" fillId="14" borderId="16" xfId="0" applyFont="1" applyFill="1" applyBorder="1" applyProtection="1">
      <protection hidden="1"/>
    </xf>
    <xf numFmtId="44" fontId="0" fillId="0" borderId="31" xfId="2" applyFont="1" applyBorder="1" applyProtection="1">
      <protection locked="0"/>
    </xf>
    <xf numFmtId="0" fontId="0" fillId="14" borderId="25" xfId="0" applyFont="1" applyFill="1" applyBorder="1" applyProtection="1">
      <protection hidden="1"/>
    </xf>
    <xf numFmtId="44" fontId="0" fillId="14" borderId="32" xfId="2" applyFont="1" applyFill="1" applyBorder="1" applyProtection="1">
      <protection hidden="1"/>
    </xf>
    <xf numFmtId="44" fontId="0" fillId="0" borderId="26" xfId="2" applyFont="1" applyFill="1" applyBorder="1" applyProtection="1">
      <protection locked="0"/>
    </xf>
    <xf numFmtId="44" fontId="0" fillId="14" borderId="33" xfId="2" applyFont="1" applyFill="1" applyBorder="1" applyProtection="1">
      <protection hidden="1"/>
    </xf>
    <xf numFmtId="44" fontId="0" fillId="0" borderId="34" xfId="2" applyFont="1" applyBorder="1" applyProtection="1">
      <protection locked="0"/>
    </xf>
    <xf numFmtId="10" fontId="0" fillId="14" borderId="35" xfId="3" applyNumberFormat="1" applyFont="1" applyFill="1" applyBorder="1" applyProtection="1">
      <protection hidden="1"/>
    </xf>
    <xf numFmtId="10" fontId="0" fillId="0" borderId="26" xfId="3" applyNumberFormat="1" applyFont="1" applyFill="1" applyBorder="1" applyProtection="1">
      <protection locked="0"/>
    </xf>
    <xf numFmtId="10" fontId="0" fillId="0" borderId="36" xfId="3" applyNumberFormat="1" applyFont="1" applyFill="1" applyBorder="1" applyAlignment="1" applyProtection="1">
      <alignment horizontal="left" vertical="center"/>
      <protection hidden="1"/>
    </xf>
    <xf numFmtId="164" fontId="0" fillId="0" borderId="14" xfId="0" applyNumberFormat="1" applyFont="1" applyFill="1" applyBorder="1" applyAlignment="1" applyProtection="1">
      <alignment horizontal="center"/>
      <protection locked="0"/>
    </xf>
    <xf numFmtId="10" fontId="0" fillId="14" borderId="34" xfId="3" applyNumberFormat="1" applyFont="1" applyFill="1" applyBorder="1" applyAlignment="1" applyProtection="1">
      <alignment horizontal="right"/>
      <protection hidden="1"/>
    </xf>
    <xf numFmtId="0" fontId="0" fillId="14" borderId="34" xfId="0" applyFont="1" applyFill="1" applyBorder="1" applyAlignment="1" applyProtection="1">
      <alignment horizontal="left"/>
      <protection hidden="1"/>
    </xf>
    <xf numFmtId="44" fontId="0" fillId="0" borderId="26" xfId="2" applyFont="1" applyFill="1" applyBorder="1" applyAlignment="1" applyProtection="1">
      <alignment horizontal="left"/>
      <protection hidden="1"/>
    </xf>
    <xf numFmtId="10" fontId="0" fillId="14" borderId="15" xfId="3" applyNumberFormat="1" applyFont="1" applyFill="1" applyBorder="1" applyAlignment="1" applyProtection="1">
      <alignment horizontal="right"/>
      <protection hidden="1"/>
    </xf>
    <xf numFmtId="0" fontId="0" fillId="14" borderId="16" xfId="0" applyFont="1" applyFill="1" applyBorder="1" applyAlignment="1" applyProtection="1">
      <alignment horizontal="left"/>
      <protection hidden="1"/>
    </xf>
    <xf numFmtId="0" fontId="0" fillId="14" borderId="35" xfId="0" applyFont="1" applyFill="1" applyBorder="1" applyAlignment="1" applyProtection="1">
      <alignment horizontal="left"/>
      <protection hidden="1"/>
    </xf>
    <xf numFmtId="0" fontId="12" fillId="0" borderId="27" xfId="0" applyFont="1" applyFill="1" applyBorder="1" applyAlignment="1" applyProtection="1">
      <alignment horizontal="center"/>
      <protection locked="0"/>
    </xf>
    <xf numFmtId="0" fontId="12" fillId="0" borderId="29" xfId="0" applyFont="1" applyFill="1" applyBorder="1" applyAlignment="1" applyProtection="1">
      <alignment horizontal="center"/>
      <protection locked="0"/>
    </xf>
    <xf numFmtId="0" fontId="12" fillId="0" borderId="14" xfId="0" applyFont="1" applyFill="1" applyBorder="1" applyAlignment="1" applyProtection="1">
      <alignment horizontal="center"/>
      <protection locked="0"/>
    </xf>
    <xf numFmtId="0" fontId="12" fillId="0" borderId="15" xfId="0" applyFont="1" applyFill="1" applyBorder="1" applyAlignment="1" applyProtection="1">
      <alignment horizontal="center"/>
      <protection locked="0"/>
    </xf>
    <xf numFmtId="44" fontId="12" fillId="0" borderId="15" xfId="2" applyFont="1" applyFill="1" applyBorder="1" applyAlignment="1" applyProtection="1">
      <alignment horizontal="center"/>
      <protection locked="0"/>
    </xf>
    <xf numFmtId="0" fontId="12" fillId="14" borderId="15" xfId="0" applyFont="1" applyFill="1" applyBorder="1" applyAlignment="1" applyProtection="1">
      <alignment horizontal="left"/>
      <protection hidden="1"/>
    </xf>
    <xf numFmtId="0" fontId="12" fillId="14" borderId="15" xfId="0" applyFont="1" applyFill="1" applyBorder="1" applyAlignment="1" applyProtection="1">
      <alignment horizontal="center"/>
      <protection hidden="1"/>
    </xf>
    <xf numFmtId="0" fontId="12" fillId="0" borderId="14" xfId="0" applyFont="1" applyFill="1" applyBorder="1" applyAlignment="1" applyProtection="1">
      <alignment horizontal="left"/>
      <protection locked="0"/>
    </xf>
    <xf numFmtId="0" fontId="14" fillId="14" borderId="15" xfId="0" applyFont="1" applyFill="1" applyBorder="1" applyAlignment="1" applyProtection="1">
      <alignment horizontal="left"/>
      <protection hidden="1"/>
    </xf>
    <xf numFmtId="0" fontId="12" fillId="0" borderId="36" xfId="0" applyFont="1" applyFill="1" applyBorder="1" applyAlignment="1" applyProtection="1">
      <alignment horizontal="center"/>
      <protection locked="0"/>
    </xf>
    <xf numFmtId="166" fontId="0" fillId="14" borderId="31" xfId="2" applyNumberFormat="1" applyFont="1" applyFill="1" applyBorder="1" applyProtection="1">
      <protection locked="0"/>
    </xf>
    <xf numFmtId="166" fontId="0" fillId="14" borderId="32" xfId="2" applyNumberFormat="1" applyFont="1" applyFill="1" applyBorder="1" applyProtection="1">
      <protection locked="0"/>
    </xf>
    <xf numFmtId="0" fontId="0" fillId="0" borderId="14" xfId="0" applyFont="1" applyBorder="1" applyProtection="1">
      <protection locked="0"/>
    </xf>
    <xf numFmtId="0" fontId="0" fillId="0" borderId="15" xfId="0" applyFont="1" applyBorder="1" applyProtection="1">
      <protection locked="0"/>
    </xf>
    <xf numFmtId="0" fontId="0" fillId="0" borderId="16" xfId="0" applyFont="1" applyBorder="1" applyProtection="1">
      <protection locked="0"/>
    </xf>
    <xf numFmtId="0" fontId="12" fillId="0" borderId="31" xfId="0" applyFont="1" applyFill="1" applyBorder="1" applyAlignment="1" applyProtection="1">
      <alignment horizontal="left" vertical="center"/>
      <protection locked="0"/>
    </xf>
    <xf numFmtId="0" fontId="0" fillId="0" borderId="30" xfId="0" applyFont="1" applyFill="1" applyBorder="1" applyAlignment="1" applyProtection="1">
      <alignment horizontal="left" vertical="center"/>
      <protection locked="0"/>
    </xf>
    <xf numFmtId="0" fontId="0" fillId="0" borderId="37" xfId="0" applyFont="1" applyFill="1" applyBorder="1" applyAlignment="1" applyProtection="1">
      <alignment horizontal="left" vertical="center"/>
      <protection locked="0"/>
    </xf>
    <xf numFmtId="0" fontId="0" fillId="0" borderId="31" xfId="0" applyFont="1" applyFill="1" applyBorder="1" applyAlignment="1" applyProtection="1">
      <alignment horizontal="center"/>
      <protection locked="0"/>
    </xf>
    <xf numFmtId="0" fontId="0" fillId="0" borderId="30" xfId="0" applyFont="1" applyFill="1" applyBorder="1" applyAlignment="1" applyProtection="1">
      <alignment horizontal="center"/>
      <protection locked="0"/>
    </xf>
    <xf numFmtId="0" fontId="0" fillId="0" borderId="38" xfId="0" applyFont="1" applyFill="1" applyBorder="1" applyAlignment="1" applyProtection="1">
      <alignment horizontal="center"/>
      <protection locked="0"/>
    </xf>
    <xf numFmtId="0" fontId="0" fillId="0" borderId="39" xfId="0" applyFont="1" applyFill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 vertical="center" wrapText="1"/>
      <protection locked="0"/>
    </xf>
    <xf numFmtId="0" fontId="0" fillId="0" borderId="37" xfId="0" applyFont="1" applyFill="1" applyBorder="1" applyAlignment="1" applyProtection="1">
      <alignment horizontal="center"/>
      <protection locked="0"/>
    </xf>
    <xf numFmtId="14" fontId="14" fillId="0" borderId="31" xfId="0" applyNumberFormat="1" applyFont="1" applyFill="1" applyBorder="1" applyAlignment="1" applyProtection="1">
      <alignment horizontal="left" vertical="center"/>
      <protection locked="0"/>
    </xf>
    <xf numFmtId="14" fontId="14" fillId="0" borderId="37" xfId="0" applyNumberFormat="1" applyFont="1" applyFill="1" applyBorder="1" applyAlignment="1" applyProtection="1">
      <alignment horizontal="left" vertical="center"/>
      <protection locked="0"/>
    </xf>
    <xf numFmtId="0" fontId="12" fillId="0" borderId="30" xfId="0" applyFont="1" applyFill="1" applyBorder="1" applyAlignment="1" applyProtection="1">
      <alignment horizontal="center" vertical="center"/>
      <protection locked="0"/>
    </xf>
    <xf numFmtId="0" fontId="0" fillId="0" borderId="38" xfId="0" applyFont="1" applyFill="1" applyBorder="1" applyAlignment="1" applyProtection="1">
      <alignment horizontal="center" vertical="center"/>
      <protection locked="0"/>
    </xf>
    <xf numFmtId="0" fontId="0" fillId="0" borderId="31" xfId="0" applyFont="1" applyFill="1" applyBorder="1" applyAlignment="1" applyProtection="1">
      <alignment horizontal="center" vertical="center"/>
      <protection locked="0"/>
    </xf>
    <xf numFmtId="0" fontId="0" fillId="0" borderId="30" xfId="0" applyFont="1" applyFill="1" applyBorder="1" applyAlignment="1" applyProtection="1">
      <alignment horizontal="center" vertical="center"/>
      <protection locked="0"/>
    </xf>
    <xf numFmtId="0" fontId="0" fillId="0" borderId="37" xfId="0" applyFont="1" applyFill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horizontal="left" vertical="center"/>
      <protection locked="0"/>
    </xf>
    <xf numFmtId="0" fontId="12" fillId="0" borderId="30" xfId="0" applyFont="1" applyFill="1" applyBorder="1" applyAlignment="1" applyProtection="1">
      <alignment vertical="center"/>
      <protection locked="0"/>
    </xf>
    <xf numFmtId="0" fontId="0" fillId="14" borderId="37" xfId="0" applyFill="1" applyBorder="1" applyAlignment="1" applyProtection="1">
      <alignment vertical="center"/>
      <protection hidden="1"/>
    </xf>
    <xf numFmtId="0" fontId="0" fillId="0" borderId="38" xfId="0" applyFill="1" applyBorder="1" applyAlignment="1" applyProtection="1">
      <alignment vertical="center"/>
      <protection hidden="1"/>
    </xf>
    <xf numFmtId="0" fontId="0" fillId="14" borderId="38" xfId="0" applyFill="1" applyBorder="1" applyAlignment="1" applyProtection="1">
      <alignment vertical="center"/>
      <protection hidden="1"/>
    </xf>
    <xf numFmtId="0" fontId="12" fillId="14" borderId="30" xfId="0" applyFont="1" applyFill="1" applyBorder="1" applyAlignment="1" applyProtection="1">
      <alignment vertical="center"/>
      <protection hidden="1"/>
    </xf>
    <xf numFmtId="44" fontId="12" fillId="14" borderId="38" xfId="2" applyFont="1" applyFill="1" applyBorder="1" applyAlignment="1" applyProtection="1">
      <alignment vertical="center"/>
      <protection hidden="1"/>
    </xf>
    <xf numFmtId="44" fontId="12" fillId="0" borderId="31" xfId="2" applyFont="1" applyFill="1" applyBorder="1" applyAlignment="1" applyProtection="1">
      <alignment horizontal="left" vertical="center"/>
      <protection locked="0"/>
    </xf>
    <xf numFmtId="44" fontId="0" fillId="14" borderId="30" xfId="2" applyFont="1" applyFill="1" applyBorder="1" applyProtection="1">
      <protection hidden="1"/>
    </xf>
    <xf numFmtId="44" fontId="12" fillId="14" borderId="39" xfId="2" applyFont="1" applyFill="1" applyBorder="1" applyAlignment="1" applyProtection="1">
      <alignment horizontal="left" vertical="center"/>
      <protection hidden="1"/>
    </xf>
    <xf numFmtId="44" fontId="0" fillId="0" borderId="30" xfId="2" applyFont="1" applyFill="1" applyBorder="1" applyProtection="1">
      <protection locked="0"/>
    </xf>
    <xf numFmtId="0" fontId="0" fillId="0" borderId="30" xfId="3" applyNumberFormat="1" applyFont="1" applyFill="1" applyBorder="1" applyProtection="1">
      <protection locked="0"/>
    </xf>
    <xf numFmtId="44" fontId="12" fillId="0" borderId="39" xfId="2" applyFont="1" applyFill="1" applyBorder="1" applyAlignment="1" applyProtection="1">
      <alignment horizontal="left" vertical="center"/>
      <protection locked="0"/>
    </xf>
    <xf numFmtId="10" fontId="0" fillId="14" borderId="37" xfId="3" applyNumberFormat="1" applyFont="1" applyFill="1" applyBorder="1" applyProtection="1">
      <protection hidden="1"/>
    </xf>
    <xf numFmtId="0" fontId="0" fillId="0" borderId="31" xfId="0" applyFill="1" applyBorder="1" applyAlignment="1" applyProtection="1">
      <alignment vertical="center"/>
      <protection locked="0"/>
    </xf>
    <xf numFmtId="0" fontId="0" fillId="14" borderId="30" xfId="0" applyFill="1" applyBorder="1" applyAlignment="1" applyProtection="1">
      <alignment vertical="center"/>
      <protection hidden="1"/>
    </xf>
    <xf numFmtId="0" fontId="12" fillId="14" borderId="37" xfId="0" applyFont="1" applyFill="1" applyBorder="1" applyAlignment="1" applyProtection="1">
      <alignment vertical="center"/>
      <protection hidden="1"/>
    </xf>
    <xf numFmtId="10" fontId="0" fillId="0" borderId="31" xfId="3" applyNumberFormat="1" applyFont="1" applyFill="1" applyBorder="1" applyProtection="1">
      <protection locked="0"/>
    </xf>
    <xf numFmtId="44" fontId="0" fillId="0" borderId="30" xfId="2" applyFont="1" applyBorder="1" applyProtection="1">
      <protection locked="0"/>
    </xf>
    <xf numFmtId="10" fontId="0" fillId="14" borderId="38" xfId="3" applyNumberFormat="1" applyFont="1" applyFill="1" applyBorder="1" applyProtection="1">
      <protection hidden="1"/>
    </xf>
    <xf numFmtId="44" fontId="0" fillId="0" borderId="39" xfId="2" applyFont="1" applyBorder="1" applyProtection="1">
      <protection locked="0"/>
    </xf>
    <xf numFmtId="0" fontId="12" fillId="14" borderId="30" xfId="2" applyNumberFormat="1" applyFont="1" applyFill="1" applyBorder="1" applyProtection="1">
      <protection locked="0"/>
    </xf>
    <xf numFmtId="164" fontId="0" fillId="0" borderId="31" xfId="0" applyNumberFormat="1" applyFont="1" applyFill="1" applyBorder="1" applyProtection="1">
      <protection locked="0"/>
    </xf>
    <xf numFmtId="164" fontId="12" fillId="0" borderId="31" xfId="0" applyNumberFormat="1" applyFont="1" applyFill="1" applyBorder="1" applyProtection="1">
      <protection locked="0"/>
    </xf>
    <xf numFmtId="10" fontId="12" fillId="14" borderId="30" xfId="3" applyNumberFormat="1" applyFont="1" applyFill="1" applyBorder="1" applyProtection="1">
      <protection hidden="1"/>
    </xf>
    <xf numFmtId="44" fontId="12" fillId="0" borderId="39" xfId="2" applyFont="1" applyFill="1" applyBorder="1" applyProtection="1">
      <protection locked="0"/>
    </xf>
    <xf numFmtId="165" fontId="12" fillId="0" borderId="30" xfId="2" applyNumberFormat="1" applyFont="1" applyFill="1" applyBorder="1" applyProtection="1">
      <protection locked="0"/>
    </xf>
    <xf numFmtId="10" fontId="12" fillId="14" borderId="30" xfId="3" applyNumberFormat="1" applyFont="1" applyFill="1" applyBorder="1" applyAlignment="1" applyProtection="1">
      <alignment horizontal="right"/>
      <protection hidden="1"/>
    </xf>
    <xf numFmtId="0" fontId="0" fillId="14" borderId="37" xfId="0" applyFont="1" applyFill="1" applyBorder="1" applyProtection="1">
      <protection hidden="1"/>
    </xf>
    <xf numFmtId="0" fontId="0" fillId="14" borderId="38" xfId="0" applyFont="1" applyFill="1" applyBorder="1" applyProtection="1">
      <protection hidden="1"/>
    </xf>
    <xf numFmtId="44" fontId="0" fillId="14" borderId="40" xfId="2" applyFont="1" applyFill="1" applyBorder="1" applyProtection="1">
      <protection hidden="1"/>
    </xf>
    <xf numFmtId="44" fontId="0" fillId="0" borderId="39" xfId="2" applyFont="1" applyFill="1" applyBorder="1" applyProtection="1">
      <protection locked="0"/>
    </xf>
    <xf numFmtId="44" fontId="0" fillId="14" borderId="41" xfId="2" applyFont="1" applyFill="1" applyBorder="1" applyProtection="1">
      <protection hidden="1"/>
    </xf>
    <xf numFmtId="44" fontId="0" fillId="0" borderId="42" xfId="2" applyFont="1" applyBorder="1" applyProtection="1">
      <protection locked="0"/>
    </xf>
    <xf numFmtId="10" fontId="0" fillId="14" borderId="43" xfId="3" applyNumberFormat="1" applyFont="1" applyFill="1" applyBorder="1" applyProtection="1">
      <protection hidden="1"/>
    </xf>
    <xf numFmtId="10" fontId="0" fillId="0" borderId="39" xfId="3" applyNumberFormat="1" applyFont="1" applyFill="1" applyBorder="1" applyProtection="1">
      <protection locked="0"/>
    </xf>
    <xf numFmtId="10" fontId="0" fillId="0" borderId="44" xfId="3" applyNumberFormat="1" applyFont="1" applyFill="1" applyBorder="1" applyAlignment="1" applyProtection="1">
      <alignment horizontal="left" vertical="center"/>
      <protection hidden="1"/>
    </xf>
    <xf numFmtId="164" fontId="0" fillId="0" borderId="31" xfId="0" applyNumberFormat="1" applyFont="1" applyFill="1" applyBorder="1" applyAlignment="1" applyProtection="1">
      <alignment horizontal="center"/>
      <protection locked="0"/>
    </xf>
    <xf numFmtId="10" fontId="0" fillId="14" borderId="42" xfId="3" applyNumberFormat="1" applyFont="1" applyFill="1" applyBorder="1" applyAlignment="1" applyProtection="1">
      <alignment horizontal="right"/>
      <protection hidden="1"/>
    </xf>
    <xf numFmtId="0" fontId="0" fillId="14" borderId="42" xfId="0" applyFont="1" applyFill="1" applyBorder="1" applyAlignment="1" applyProtection="1">
      <alignment horizontal="left"/>
      <protection hidden="1"/>
    </xf>
    <xf numFmtId="44" fontId="0" fillId="0" borderId="39" xfId="2" applyFont="1" applyFill="1" applyBorder="1" applyAlignment="1" applyProtection="1">
      <alignment horizontal="left"/>
      <protection hidden="1"/>
    </xf>
    <xf numFmtId="0" fontId="0" fillId="14" borderId="30" xfId="0" applyFont="1" applyFill="1" applyBorder="1" applyAlignment="1" applyProtection="1">
      <alignment horizontal="left"/>
      <protection hidden="1"/>
    </xf>
    <xf numFmtId="0" fontId="0" fillId="14" borderId="37" xfId="0" applyFont="1" applyFill="1" applyBorder="1" applyAlignment="1" applyProtection="1">
      <alignment horizontal="left"/>
      <protection hidden="1"/>
    </xf>
    <xf numFmtId="0" fontId="0" fillId="14" borderId="43" xfId="0" applyFont="1" applyFill="1" applyBorder="1" applyAlignment="1" applyProtection="1">
      <alignment horizontal="left"/>
      <protection hidden="1"/>
    </xf>
    <xf numFmtId="0" fontId="12" fillId="0" borderId="42" xfId="0" applyFont="1" applyFill="1" applyBorder="1" applyAlignment="1" applyProtection="1">
      <alignment horizontal="center"/>
      <protection locked="0"/>
    </xf>
    <xf numFmtId="0" fontId="12" fillId="0" borderId="38" xfId="0" applyFont="1" applyFill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44" fontId="12" fillId="0" borderId="30" xfId="2" applyFont="1" applyFill="1" applyBorder="1" applyAlignment="1" applyProtection="1">
      <alignment horizontal="center"/>
      <protection locked="0"/>
    </xf>
    <xf numFmtId="0" fontId="12" fillId="14" borderId="30" xfId="0" applyFont="1" applyFill="1" applyBorder="1" applyAlignment="1" applyProtection="1">
      <alignment horizontal="left"/>
      <protection hidden="1"/>
    </xf>
    <xf numFmtId="0" fontId="12" fillId="14" borderId="30" xfId="0" applyFont="1" applyFill="1" applyBorder="1" applyAlignment="1" applyProtection="1">
      <alignment horizontal="center"/>
      <protection hidden="1"/>
    </xf>
    <xf numFmtId="0" fontId="12" fillId="0" borderId="31" xfId="0" applyFont="1" applyFill="1" applyBorder="1" applyAlignment="1" applyProtection="1">
      <alignment horizontal="left"/>
      <protection locked="0"/>
    </xf>
    <xf numFmtId="0" fontId="14" fillId="14" borderId="30" xfId="0" applyFont="1" applyFill="1" applyBorder="1" applyAlignment="1" applyProtection="1">
      <alignment horizontal="left"/>
      <protection hidden="1"/>
    </xf>
    <xf numFmtId="0" fontId="12" fillId="0" borderId="44" xfId="0" applyFont="1" applyFill="1" applyBorder="1" applyAlignment="1" applyProtection="1">
      <alignment horizontal="center"/>
      <protection locked="0"/>
    </xf>
    <xf numFmtId="166" fontId="0" fillId="14" borderId="40" xfId="2" applyNumberFormat="1" applyFont="1" applyFill="1" applyBorder="1" applyProtection="1">
      <protection locked="0"/>
    </xf>
    <xf numFmtId="0" fontId="0" fillId="0" borderId="31" xfId="0" applyFont="1" applyBorder="1" applyProtection="1">
      <protection locked="0"/>
    </xf>
    <xf numFmtId="0" fontId="0" fillId="0" borderId="30" xfId="0" applyFont="1" applyBorder="1" applyProtection="1">
      <protection locked="0"/>
    </xf>
    <xf numFmtId="0" fontId="0" fillId="0" borderId="37" xfId="0" applyFont="1" applyBorder="1" applyProtection="1">
      <protection locked="0"/>
    </xf>
    <xf numFmtId="0" fontId="0" fillId="0" borderId="30" xfId="0" applyFont="1" applyFill="1" applyBorder="1" applyAlignment="1" applyProtection="1">
      <alignment horizontal="center" vertical="center" wrapText="1"/>
      <protection locked="0"/>
    </xf>
    <xf numFmtId="0" fontId="0" fillId="0" borderId="27" xfId="0" applyFont="1" applyFill="1" applyBorder="1" applyAlignment="1" applyProtection="1">
      <alignment horizontal="left" vertical="center"/>
      <protection locked="0"/>
    </xf>
    <xf numFmtId="44" fontId="12" fillId="15" borderId="31" xfId="2" applyFont="1" applyFill="1" applyBorder="1" applyAlignment="1" applyProtection="1">
      <alignment horizontal="left" vertical="center"/>
      <protection locked="0"/>
    </xf>
    <xf numFmtId="10" fontId="14" fillId="15" borderId="30" xfId="3" applyNumberFormat="1" applyFont="1" applyFill="1" applyBorder="1" applyProtection="1">
      <protection hidden="1"/>
    </xf>
    <xf numFmtId="0" fontId="0" fillId="0" borderId="31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37" xfId="0" applyBorder="1" applyProtection="1">
      <protection locked="0"/>
    </xf>
    <xf numFmtId="0" fontId="15" fillId="14" borderId="30" xfId="2" applyNumberFormat="1" applyFont="1" applyFill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2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RETOT/3PRes/Origens/BCM_Oi%20Total%203P%20Res_Natal-17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MP\RETOT\3PRes\Origens\BCM_Oi%20Total%203P%20Res_Natal-17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64815/Rule-Declare-DecisionTableedit_648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Briefing_FID"/>
      <sheetName val="Briefing_NFID"/>
      <sheetName val="Briefing_TRAT"/>
      <sheetName val="ARBOR"/>
      <sheetName val="PLANOS"/>
      <sheetName val="LocalidadesTotal (43.539)"/>
      <sheetName val="BENEFICI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CODIGO SBL</v>
          </cell>
          <cell r="B1" t="str">
            <v>PRODUTO</v>
          </cell>
          <cell r="C1" t="str">
            <v>PREÇO</v>
          </cell>
        </row>
        <row r="2">
          <cell r="A2" t="str">
            <v>FIXO</v>
          </cell>
          <cell r="B2" t="str">
            <v>Bundle Pacote Oi Fixo (75,84)</v>
          </cell>
          <cell r="C2">
            <v>75.84</v>
          </cell>
        </row>
        <row r="3">
          <cell r="A3" t="str">
            <v>PCS-21448p2</v>
          </cell>
          <cell r="B3" t="str">
            <v>Oi Internet Móvel Substituta 10GB Redução de Velocidade</v>
          </cell>
          <cell r="C3">
            <v>127.9</v>
          </cell>
        </row>
        <row r="4">
          <cell r="A4" t="str">
            <v>PCS-30874g</v>
          </cell>
          <cell r="B4" t="str">
            <v>Bundle Oi Velox 300 Kb</v>
          </cell>
          <cell r="C4">
            <v>96.93</v>
          </cell>
        </row>
        <row r="5">
          <cell r="A5" t="str">
            <v>PCS-30577g</v>
          </cell>
          <cell r="B5" t="str">
            <v>Bundle Oi Velox 600 Kb</v>
          </cell>
          <cell r="C5">
            <v>96.93</v>
          </cell>
        </row>
        <row r="6">
          <cell r="A6" t="str">
            <v>PCS-30604g</v>
          </cell>
          <cell r="B6" t="str">
            <v>Bundle Oi Velox 1 Mb</v>
          </cell>
          <cell r="C6">
            <v>96.93</v>
          </cell>
        </row>
        <row r="7">
          <cell r="A7" t="str">
            <v>PCS-30631g</v>
          </cell>
          <cell r="B7" t="str">
            <v>Bundle Oi Velox 2 Mb</v>
          </cell>
          <cell r="C7">
            <v>98.26</v>
          </cell>
        </row>
        <row r="8">
          <cell r="A8" t="str">
            <v>PCS-30658g</v>
          </cell>
          <cell r="B8" t="str">
            <v>Bundle Oi Velox 5 Mb</v>
          </cell>
          <cell r="C8">
            <v>112.31</v>
          </cell>
        </row>
        <row r="9">
          <cell r="A9" t="str">
            <v>PCS-30685g</v>
          </cell>
          <cell r="B9" t="str">
            <v>Bundle Oi Velox 10 Mb</v>
          </cell>
          <cell r="C9">
            <v>126.34</v>
          </cell>
        </row>
        <row r="10">
          <cell r="A10" t="str">
            <v>PCS-30712g</v>
          </cell>
          <cell r="B10" t="str">
            <v>Bundle Oi Velox 15 Mb</v>
          </cell>
          <cell r="C10">
            <v>140.38</v>
          </cell>
        </row>
        <row r="11">
          <cell r="A11" t="str">
            <v>PCS-30739g</v>
          </cell>
          <cell r="B11" t="str">
            <v>Bundle Oi Velox 20 Mb</v>
          </cell>
          <cell r="C11">
            <v>210.58</v>
          </cell>
        </row>
        <row r="12">
          <cell r="A12" t="str">
            <v>PCS-30766g</v>
          </cell>
          <cell r="B12" t="str">
            <v>Bundle Oi Velox 25 Mb</v>
          </cell>
          <cell r="C12">
            <v>280.77</v>
          </cell>
        </row>
        <row r="13">
          <cell r="A13" t="str">
            <v>PCS-30793g</v>
          </cell>
          <cell r="B13" t="str">
            <v>Bundle Oi Velox 30 Mb</v>
          </cell>
          <cell r="C13">
            <v>280.77</v>
          </cell>
        </row>
        <row r="14">
          <cell r="A14" t="str">
            <v>PCS-30820g</v>
          </cell>
          <cell r="B14" t="str">
            <v>Bundle Oi Velox 35 Mb</v>
          </cell>
          <cell r="C14">
            <v>280.77</v>
          </cell>
        </row>
        <row r="15">
          <cell r="A15" t="str">
            <v>PCS-30847g</v>
          </cell>
          <cell r="B15" t="str">
            <v>Bundle Oi Velox 40 Mb</v>
          </cell>
          <cell r="C15">
            <v>280.77</v>
          </cell>
        </row>
        <row r="16">
          <cell r="A16" t="str">
            <v>PCS-30901g</v>
          </cell>
          <cell r="B16" t="str">
            <v>Bundle Oi Velox 50 Mb</v>
          </cell>
          <cell r="C16">
            <v>280.77</v>
          </cell>
        </row>
        <row r="17">
          <cell r="A17" t="str">
            <v>PCS-30928g</v>
          </cell>
          <cell r="B17" t="str">
            <v>Bundle Oi Velox 60 Mb</v>
          </cell>
          <cell r="C17">
            <v>280.77</v>
          </cell>
        </row>
        <row r="18">
          <cell r="A18" t="str">
            <v>PCS-30955g</v>
          </cell>
          <cell r="B18" t="str">
            <v>Bundle Oi Velox 70 Mb</v>
          </cell>
          <cell r="C18">
            <v>280.77</v>
          </cell>
        </row>
        <row r="19">
          <cell r="A19" t="str">
            <v>PCS-30982g</v>
          </cell>
          <cell r="B19" t="str">
            <v>Bundle Oi Velox 80 Mb</v>
          </cell>
          <cell r="C19">
            <v>280.77</v>
          </cell>
        </row>
        <row r="20">
          <cell r="A20" t="str">
            <v>PCS-31009g</v>
          </cell>
          <cell r="B20" t="str">
            <v>Bundle Oi Velox 90 Mb</v>
          </cell>
          <cell r="C20">
            <v>280.77</v>
          </cell>
        </row>
        <row r="21">
          <cell r="A21" t="str">
            <v>PCS-31036g</v>
          </cell>
          <cell r="B21" t="str">
            <v>Bundle Oi Velox 100 Mb</v>
          </cell>
          <cell r="C21">
            <v>280.77</v>
          </cell>
        </row>
        <row r="22">
          <cell r="A22" t="str">
            <v>PCS-4P1piASS</v>
          </cell>
          <cell r="B22" t="str">
            <v>Bundle Oi Conta Total</v>
          </cell>
          <cell r="C22">
            <v>22.98</v>
          </cell>
        </row>
        <row r="23">
          <cell r="A23" t="str">
            <v>PCS-4P1pi</v>
          </cell>
          <cell r="B23" t="str">
            <v>Bundle Oi Conta Total</v>
          </cell>
          <cell r="C23">
            <v>73.33</v>
          </cell>
        </row>
        <row r="24">
          <cell r="A24" t="str">
            <v>PCS-4P2piASS</v>
          </cell>
          <cell r="B24" t="str">
            <v>Bundle Oi Conta Total 50</v>
          </cell>
          <cell r="C24">
            <v>22.98</v>
          </cell>
        </row>
        <row r="25">
          <cell r="A25" t="str">
            <v>PCS-4P2pi</v>
          </cell>
          <cell r="B25" t="str">
            <v>Bundle Oi Conta Total 50</v>
          </cell>
          <cell r="C25">
            <v>87.56</v>
          </cell>
        </row>
        <row r="26">
          <cell r="A26" t="str">
            <v>PCS-4P3piASS</v>
          </cell>
          <cell r="B26" t="str">
            <v>Bundle Oi Conta Total 100</v>
          </cell>
          <cell r="C26">
            <v>22.98</v>
          </cell>
        </row>
        <row r="27">
          <cell r="A27" t="str">
            <v>PCS-4P3pi</v>
          </cell>
          <cell r="B27" t="str">
            <v>Bundle Oi Conta Total 100</v>
          </cell>
          <cell r="C27">
            <v>128.07</v>
          </cell>
        </row>
        <row r="28">
          <cell r="A28" t="str">
            <v>PCS-4P4piASS</v>
          </cell>
          <cell r="B28" t="str">
            <v>Bundle Oi Conta Total 250</v>
          </cell>
          <cell r="C28">
            <v>22.98</v>
          </cell>
        </row>
        <row r="29">
          <cell r="A29" t="str">
            <v>PCS-4P4pi</v>
          </cell>
          <cell r="B29" t="str">
            <v>Bundle Oi Conta Total 250</v>
          </cell>
          <cell r="C29">
            <v>213.45</v>
          </cell>
        </row>
        <row r="30">
          <cell r="A30" t="str">
            <v>PCS-4P5piASS</v>
          </cell>
          <cell r="B30" t="str">
            <v>Bundle Oi Conta Total 500</v>
          </cell>
          <cell r="C30">
            <v>22.98</v>
          </cell>
        </row>
        <row r="31">
          <cell r="A31" t="str">
            <v>PCS-4P5pi</v>
          </cell>
          <cell r="B31" t="str">
            <v>Bundle Oi Conta Total 500</v>
          </cell>
          <cell r="C31">
            <v>330.59</v>
          </cell>
        </row>
        <row r="32">
          <cell r="A32" t="str">
            <v>PCS-4P6piASS</v>
          </cell>
          <cell r="B32" t="str">
            <v>Bundle Oi Conta Total 800</v>
          </cell>
          <cell r="C32">
            <v>22.98</v>
          </cell>
        </row>
        <row r="33">
          <cell r="A33" t="str">
            <v>PCS-4P6pi</v>
          </cell>
          <cell r="B33" t="str">
            <v>Bundle Oi Conta Total 800</v>
          </cell>
          <cell r="C33">
            <v>479.46</v>
          </cell>
        </row>
        <row r="34">
          <cell r="A34" t="str">
            <v>PCS-4P7piASS</v>
          </cell>
          <cell r="B34" t="str">
            <v>BUNDLE Oi Completo 250</v>
          </cell>
          <cell r="C34">
            <v>22.98</v>
          </cell>
        </row>
        <row r="35">
          <cell r="A35" t="str">
            <v>PCS-4P7pi</v>
          </cell>
          <cell r="B35" t="str">
            <v>BUNDLE Oi Completo 250</v>
          </cell>
          <cell r="C35">
            <v>114.89</v>
          </cell>
        </row>
        <row r="36">
          <cell r="A36" t="str">
            <v>PCS-4P8piASS</v>
          </cell>
          <cell r="B36" t="str">
            <v>BUNDLE Oi Completo 500</v>
          </cell>
          <cell r="C36">
            <v>22.98</v>
          </cell>
        </row>
        <row r="37">
          <cell r="A37" t="str">
            <v>PCS-4P8pi</v>
          </cell>
          <cell r="B37" t="str">
            <v>BUNDLE Oi Completo 500</v>
          </cell>
          <cell r="C37">
            <v>216.36</v>
          </cell>
        </row>
        <row r="38">
          <cell r="A38" t="str">
            <v>PCS-4P10piASS</v>
          </cell>
          <cell r="B38" t="str">
            <v>BUNDLE Oi Completo 1.000</v>
          </cell>
          <cell r="C38">
            <v>22.98</v>
          </cell>
        </row>
        <row r="39">
          <cell r="A39" t="str">
            <v>PCS-4P10pi</v>
          </cell>
          <cell r="B39" t="str">
            <v>BUNDLE Oi Completo 1.000</v>
          </cell>
          <cell r="C39">
            <v>280.77</v>
          </cell>
        </row>
        <row r="40">
          <cell r="A40" t="str">
            <v>PCS-4P9piASS</v>
          </cell>
          <cell r="B40" t="str">
            <v>BUNDLE Oi Completo Mais</v>
          </cell>
          <cell r="C40">
            <v>22.98</v>
          </cell>
        </row>
        <row r="41">
          <cell r="A41" t="str">
            <v>PCS-4P9pi</v>
          </cell>
          <cell r="B41" t="str">
            <v>BUNDLE Oi Completo Mais</v>
          </cell>
          <cell r="C41">
            <v>345.16</v>
          </cell>
        </row>
        <row r="42">
          <cell r="A42" t="str">
            <v>PCS-OzTL40</v>
          </cell>
          <cell r="B42" t="str">
            <v>BUNDLE OI TV START HD</v>
          </cell>
          <cell r="C42">
            <v>99</v>
          </cell>
        </row>
        <row r="43">
          <cell r="A43" t="str">
            <v>PCS-OzTL740</v>
          </cell>
          <cell r="B43" t="str">
            <v>Bundle Oi TV Start HD DVR</v>
          </cell>
          <cell r="C43">
            <v>121.03</v>
          </cell>
        </row>
        <row r="44">
          <cell r="A44" t="str">
            <v>PCS-OzTL41</v>
          </cell>
          <cell r="B44" t="str">
            <v>BUNDLE OI TV MIX HD</v>
          </cell>
          <cell r="C44">
            <v>121.03</v>
          </cell>
        </row>
        <row r="45">
          <cell r="A45" t="str">
            <v>PCS-OzTL741</v>
          </cell>
          <cell r="B45" t="str">
            <v>Bundle Oi TV Mix HD DVR</v>
          </cell>
          <cell r="C45">
            <v>176.09</v>
          </cell>
        </row>
        <row r="46">
          <cell r="A46" t="str">
            <v>PCS-OzTL44</v>
          </cell>
          <cell r="B46" t="str">
            <v>BUNDLE OI TV MIX HBOMAX HD</v>
          </cell>
          <cell r="C46">
            <v>192.61</v>
          </cell>
        </row>
        <row r="47">
          <cell r="A47" t="str">
            <v>PCS-OzTL744</v>
          </cell>
          <cell r="B47" t="str">
            <v>Bundle Oi TV Mix HBOMax HD DVR</v>
          </cell>
          <cell r="C47">
            <v>209.13</v>
          </cell>
        </row>
        <row r="48">
          <cell r="A48" t="str">
            <v>PCS-OzTL43</v>
          </cell>
          <cell r="B48" t="str">
            <v>BUNDLE OI TV MIX TELECINE HD</v>
          </cell>
          <cell r="C48">
            <v>203.63</v>
          </cell>
        </row>
        <row r="49">
          <cell r="A49" t="str">
            <v>PCS-OzTL743</v>
          </cell>
          <cell r="B49" t="str">
            <v>Bundle Oi TV Mix Telecine HD DVR</v>
          </cell>
          <cell r="C49">
            <v>220.14</v>
          </cell>
        </row>
        <row r="50">
          <cell r="A50" t="str">
            <v>PCS-OzTL45</v>
          </cell>
          <cell r="B50" t="str">
            <v>BUNDLE OI TV MIX CINEMA HD</v>
          </cell>
          <cell r="C50">
            <v>209.13</v>
          </cell>
        </row>
        <row r="51">
          <cell r="A51" t="str">
            <v>PCS-OzTL745</v>
          </cell>
          <cell r="B51" t="str">
            <v>Bundle Oi TV Mix Cinema HD DVR</v>
          </cell>
          <cell r="C51">
            <v>253.18</v>
          </cell>
        </row>
        <row r="52">
          <cell r="A52" t="str">
            <v>PCS-OzTL42</v>
          </cell>
          <cell r="B52" t="str">
            <v>BUNDLE OI TV TOTAL HD</v>
          </cell>
          <cell r="C52">
            <v>165.08</v>
          </cell>
        </row>
        <row r="53">
          <cell r="A53" t="str">
            <v>PCS-OzTL742</v>
          </cell>
          <cell r="B53" t="str">
            <v>Bundle Oi TV Total HD DVR</v>
          </cell>
          <cell r="C53">
            <v>220.14</v>
          </cell>
        </row>
        <row r="54">
          <cell r="A54" t="str">
            <v>PCS-OzTL47</v>
          </cell>
          <cell r="B54" t="str">
            <v>BUNDLE OI TV TOTAL HBOMAX HD</v>
          </cell>
          <cell r="C54">
            <v>203.63</v>
          </cell>
        </row>
        <row r="55">
          <cell r="A55" t="str">
            <v>PCS-OzTL747</v>
          </cell>
          <cell r="B55" t="str">
            <v>Bundle Oi TV Total HBOMax HD DVR</v>
          </cell>
          <cell r="C55">
            <v>258.69</v>
          </cell>
        </row>
        <row r="56">
          <cell r="A56" t="str">
            <v>PCS-OzTL46</v>
          </cell>
          <cell r="B56" t="str">
            <v>BUNDLE OI TV TOTAL TELECINE HD</v>
          </cell>
          <cell r="C56">
            <v>214.64</v>
          </cell>
        </row>
        <row r="57">
          <cell r="A57" t="str">
            <v>PCS-OzTL746</v>
          </cell>
          <cell r="B57" t="str">
            <v>Bundle Oi TV Total Telecine HD DVR</v>
          </cell>
          <cell r="C57">
            <v>269.7</v>
          </cell>
        </row>
        <row r="58">
          <cell r="A58" t="str">
            <v>PCS-OzTL48</v>
          </cell>
          <cell r="B58" t="str">
            <v>BUNDLE OI TV TOTAL CINEMA HD</v>
          </cell>
          <cell r="C58">
            <v>253.18</v>
          </cell>
        </row>
        <row r="59">
          <cell r="A59" t="str">
            <v>PCS-OzTL748</v>
          </cell>
          <cell r="B59" t="str">
            <v>Bundle Oi TV Total Cinema HD DVR</v>
          </cell>
          <cell r="C59">
            <v>308.25</v>
          </cell>
        </row>
        <row r="60">
          <cell r="A60" t="str">
            <v>PCS-OzTL34</v>
          </cell>
          <cell r="B60" t="str">
            <v>Bundle COMBATE</v>
          </cell>
          <cell r="C60">
            <v>110.13</v>
          </cell>
        </row>
        <row r="61">
          <cell r="A61" t="str">
            <v>PCS-OzTL500</v>
          </cell>
          <cell r="B61" t="str">
            <v>Bundle Étnicos</v>
          </cell>
          <cell r="C61">
            <v>11.01</v>
          </cell>
        </row>
        <row r="62">
          <cell r="A62" t="str">
            <v>PCS-OzTL32</v>
          </cell>
          <cell r="B62" t="str">
            <v>Bundle Playboy TV</v>
          </cell>
          <cell r="C62">
            <v>21.91</v>
          </cell>
        </row>
        <row r="63">
          <cell r="A63" t="str">
            <v>PCS-OzTL501</v>
          </cell>
          <cell r="B63" t="str">
            <v>Bundle Premiere FC (2 campeonatos)</v>
          </cell>
          <cell r="C63">
            <v>93.5</v>
          </cell>
        </row>
        <row r="64">
          <cell r="A64" t="str">
            <v>PCS-OzTL502</v>
          </cell>
          <cell r="B64" t="str">
            <v>Bundle Premiere FC (3 campeonatos)</v>
          </cell>
          <cell r="C64">
            <v>115.52</v>
          </cell>
        </row>
        <row r="65">
          <cell r="A65" t="str">
            <v>PCS-OzTL503</v>
          </cell>
          <cell r="B65" t="str">
            <v>Bundle SexPrivê</v>
          </cell>
          <cell r="C65">
            <v>16.399999999999999</v>
          </cell>
        </row>
        <row r="66">
          <cell r="A66" t="str">
            <v>PCS-OzTL31</v>
          </cell>
          <cell r="B66" t="str">
            <v>Bundle Sexy Hot</v>
          </cell>
          <cell r="C66">
            <v>21.91</v>
          </cell>
        </row>
        <row r="67">
          <cell r="A67" t="str">
            <v>PCS-OzTL33</v>
          </cell>
          <cell r="B67" t="str">
            <v>Bundle Sexy Hot + Playboy (Combo)</v>
          </cell>
          <cell r="C67">
            <v>32.92</v>
          </cell>
        </row>
        <row r="68">
          <cell r="A68" t="str">
            <v>PCS-OzTL99</v>
          </cell>
          <cell r="B68" t="str">
            <v>Bundle PONTO ADICIONAL</v>
          </cell>
          <cell r="C68">
            <v>29.9</v>
          </cell>
        </row>
        <row r="69">
          <cell r="A69" t="str">
            <v>PCS-OzTL35</v>
          </cell>
          <cell r="B69" t="str">
            <v>Oi TV Série A + 1 Estadual</v>
          </cell>
          <cell r="C69">
            <v>93.5</v>
          </cell>
        </row>
        <row r="70">
          <cell r="A70" t="str">
            <v>PCS-OzTL36</v>
          </cell>
          <cell r="B70" t="str">
            <v>Oi TV Série A + 2 Estaduais</v>
          </cell>
          <cell r="C70">
            <v>115.52</v>
          </cell>
        </row>
        <row r="71">
          <cell r="A71" t="str">
            <v>PCS-OzTL37</v>
          </cell>
          <cell r="B71" t="str">
            <v>Oi TV Série A + B + 1 Estadual</v>
          </cell>
          <cell r="C71">
            <v>115.52</v>
          </cell>
        </row>
        <row r="72">
          <cell r="A72" t="str">
            <v>PCS-OzTL38</v>
          </cell>
          <cell r="B72" t="str">
            <v>Oi TV Série B + 1 Estadual</v>
          </cell>
          <cell r="C72">
            <v>93.5</v>
          </cell>
        </row>
        <row r="73">
          <cell r="A73" t="str">
            <v>PCS-OzTL50</v>
          </cell>
          <cell r="B73" t="str">
            <v>Coleção OI</v>
          </cell>
          <cell r="C73">
            <v>0</v>
          </cell>
        </row>
        <row r="74">
          <cell r="A74" t="str">
            <v>PCS-OzTL51</v>
          </cell>
          <cell r="B74" t="str">
            <v>Fox Premium</v>
          </cell>
          <cell r="C74">
            <v>24.9</v>
          </cell>
        </row>
        <row r="75">
          <cell r="A75" t="str">
            <v>PCS-OzTL52</v>
          </cell>
          <cell r="B75" t="str">
            <v>PenVr</v>
          </cell>
          <cell r="C75">
            <v>10</v>
          </cell>
        </row>
        <row r="76">
          <cell r="A76" t="str">
            <v>PCS-OzTL53</v>
          </cell>
          <cell r="B76" t="str">
            <v>PFC Completo</v>
          </cell>
          <cell r="C76">
            <v>104.9</v>
          </cell>
        </row>
        <row r="77">
          <cell r="A77" t="str">
            <v>PCS-OzTL54</v>
          </cell>
          <cell r="B77" t="str">
            <v>PFC Básico</v>
          </cell>
          <cell r="C77">
            <v>64.900000000000006</v>
          </cell>
        </row>
        <row r="78">
          <cell r="A78" t="str">
            <v>PCS-813566</v>
          </cell>
          <cell r="B78" t="str">
            <v>300MB</v>
          </cell>
          <cell r="C78">
            <v>18.920000000000002</v>
          </cell>
        </row>
        <row r="79">
          <cell r="A79" t="str">
            <v>PCS-813564</v>
          </cell>
          <cell r="B79" t="str">
            <v>500 MB</v>
          </cell>
          <cell r="C79">
            <v>28.44</v>
          </cell>
        </row>
        <row r="80">
          <cell r="A80" t="str">
            <v>PCS-813565</v>
          </cell>
          <cell r="B80" t="str">
            <v>2GB</v>
          </cell>
          <cell r="C80">
            <v>37.950000000000003</v>
          </cell>
        </row>
        <row r="81">
          <cell r="A81" t="str">
            <v>PCS-51793o08</v>
          </cell>
          <cell r="B81" t="str">
            <v>5GB</v>
          </cell>
          <cell r="C81">
            <v>142.15</v>
          </cell>
        </row>
        <row r="82">
          <cell r="A82" t="str">
            <v>PCS-7171B</v>
          </cell>
          <cell r="B82" t="str">
            <v>3GB</v>
          </cell>
          <cell r="C82">
            <v>98.15</v>
          </cell>
        </row>
        <row r="83">
          <cell r="A83" t="str">
            <v>PCS-7171A</v>
          </cell>
          <cell r="B83" t="str">
            <v>10GB</v>
          </cell>
          <cell r="C83">
            <v>196.31</v>
          </cell>
        </row>
        <row r="84">
          <cell r="A84" t="str">
            <v>PCS-10357</v>
          </cell>
          <cell r="B84" t="str">
            <v>Oi Internet pra Celular 1GB</v>
          </cell>
          <cell r="C84">
            <v>65.680000000000007</v>
          </cell>
        </row>
        <row r="85">
          <cell r="A85" t="str">
            <v>sva</v>
          </cell>
          <cell r="B85" t="str">
            <v>Serviço Valor agregado</v>
          </cell>
          <cell r="C85">
            <v>21.43</v>
          </cell>
        </row>
        <row r="86">
          <cell r="A86" t="str">
            <v>Intragrupo</v>
          </cell>
          <cell r="B86" t="str">
            <v>Intragrupo</v>
          </cell>
          <cell r="C86">
            <v>4.37</v>
          </cell>
        </row>
        <row r="87">
          <cell r="A87" t="str">
            <v>Dependente</v>
          </cell>
          <cell r="B87" t="str">
            <v>Assinatura Dependente</v>
          </cell>
          <cell r="C87">
            <v>22.98</v>
          </cell>
        </row>
        <row r="88">
          <cell r="A88" t="str">
            <v>sva_bancas</v>
          </cell>
          <cell r="B88" t="str">
            <v>Bancas (100MB, 200MB, 300MB)</v>
          </cell>
          <cell r="C88">
            <v>6</v>
          </cell>
        </row>
        <row r="89">
          <cell r="A89" t="str">
            <v>sva_livros</v>
          </cell>
          <cell r="B89" t="str">
            <v>Bancas - Livros Narrados (500MB, 1GB, 2GB, 3GB)</v>
          </cell>
          <cell r="C89">
            <v>14</v>
          </cell>
        </row>
        <row r="90">
          <cell r="A90" t="str">
            <v>sva_curtas</v>
          </cell>
          <cell r="B90" t="str">
            <v>Bancas - Livros Narrados - Video Curtas (5GB, 10GB)</v>
          </cell>
          <cell r="C90">
            <v>20.350000000000001</v>
          </cell>
        </row>
      </sheetData>
      <sheetData sheetId="5">
        <row r="1">
          <cell r="B1" t="str">
            <v>Nome plano</v>
          </cell>
          <cell r="C1" t="str">
            <v>Código SBL</v>
          </cell>
        </row>
        <row r="2">
          <cell r="B2" t="str">
            <v>Oi Total Fixo + Pós Conectado 250 + Banda Larga</v>
          </cell>
          <cell r="C2" t="str">
            <v>PCS-4P7pi</v>
          </cell>
        </row>
        <row r="3">
          <cell r="B3" t="str">
            <v>Oi Total Fixo + Pós Conectado 500 + Banda Larga</v>
          </cell>
          <cell r="C3" t="str">
            <v>PCS-4P8pi</v>
          </cell>
        </row>
        <row r="4">
          <cell r="B4" t="str">
            <v>Oi Total Fixo + Pós Conectado 1.000 + Banda Larga</v>
          </cell>
          <cell r="C4" t="str">
            <v>PCS-4P10pi</v>
          </cell>
        </row>
        <row r="5">
          <cell r="B5" t="str">
            <v>Oi Total Fixo + Pós Conectado Mais + Banda Larga</v>
          </cell>
          <cell r="C5" t="str">
            <v>PCS-4P9pi</v>
          </cell>
        </row>
        <row r="6">
          <cell r="B6" t="str">
            <v>Oi Total Fixo + Pós + Banda Larga</v>
          </cell>
          <cell r="C6" t="str">
            <v>PCS-4P1pi</v>
          </cell>
        </row>
        <row r="7">
          <cell r="B7" t="str">
            <v>Oi Total Fixo + Pós 50 + Banda Larga</v>
          </cell>
          <cell r="C7" t="str">
            <v>PCS-4P2pi</v>
          </cell>
        </row>
        <row r="8">
          <cell r="B8" t="str">
            <v>Oi Total Fixo + Pós 100 + Banda Larga</v>
          </cell>
          <cell r="C8" t="str">
            <v>PCS-4P3pi</v>
          </cell>
        </row>
        <row r="9">
          <cell r="B9" t="str">
            <v>Oi Total Fixo + Pós 250 + Banda Larga</v>
          </cell>
          <cell r="C9" t="str">
            <v>PCS-4P4pi</v>
          </cell>
        </row>
        <row r="10">
          <cell r="B10" t="str">
            <v>Oi Total Fixo + Pós 500 + Banda Larga</v>
          </cell>
          <cell r="C10" t="str">
            <v>PCS-4P5pi</v>
          </cell>
        </row>
        <row r="11">
          <cell r="B11" t="str">
            <v>Oi Total Fixo + Pós 800 + Banda Larga</v>
          </cell>
          <cell r="C11" t="str">
            <v>PCS-4P6pi</v>
          </cell>
        </row>
        <row r="12">
          <cell r="B12" t="str">
            <v>Oi Total Fixo + Banda Larga + TV 1</v>
          </cell>
          <cell r="C12" t="str">
            <v>PCS-3PLowpi</v>
          </cell>
        </row>
        <row r="13">
          <cell r="B13" t="str">
            <v>Oi Total Fixo + Banda Larga + TV 2</v>
          </cell>
          <cell r="C13" t="str">
            <v>PCS-3PMepi</v>
          </cell>
        </row>
        <row r="14">
          <cell r="B14" t="str">
            <v>Oi Total Fixo + Banda Larga + TV 3</v>
          </cell>
          <cell r="C14" t="str">
            <v>PCS-3PHipi</v>
          </cell>
        </row>
        <row r="15">
          <cell r="B15" t="str">
            <v>Oi Total Fixo + TV 1</v>
          </cell>
          <cell r="C15" t="str">
            <v>CFG-2Plowpi</v>
          </cell>
        </row>
        <row r="16">
          <cell r="B16" t="str">
            <v>Oi Total Fixo + TV 2</v>
          </cell>
          <cell r="C16" t="str">
            <v>PCS-2PMepi</v>
          </cell>
        </row>
        <row r="17">
          <cell r="B17" t="str">
            <v>Oi Total Fixo + TV 3</v>
          </cell>
          <cell r="C17" t="str">
            <v>PCS-2PHipi</v>
          </cell>
        </row>
        <row r="18">
          <cell r="B18" t="str">
            <v>Oi Total Fixo + Banda Larga 1</v>
          </cell>
          <cell r="C18" t="str">
            <v>PCS-2PFBL1</v>
          </cell>
        </row>
        <row r="19">
          <cell r="B19" t="str">
            <v>Oi Total Fixo + Banda Larga 2</v>
          </cell>
          <cell r="C19" t="str">
            <v>PCS-2PFBL2</v>
          </cell>
        </row>
        <row r="20">
          <cell r="B20" t="str">
            <v>Oi Total Fixo + Banda Larga 3</v>
          </cell>
          <cell r="C20" t="str">
            <v>PCS-2PFBL3</v>
          </cell>
        </row>
        <row r="21">
          <cell r="B21" t="str">
            <v>Oi Internet Pra Celular</v>
          </cell>
        </row>
        <row r="22">
          <cell r="B22" t="str">
            <v>Oi Internet pra Celular 500MB</v>
          </cell>
        </row>
        <row r="23">
          <cell r="B23" t="str">
            <v>Oi Internet pra Celular 5GB</v>
          </cell>
        </row>
        <row r="24">
          <cell r="B24" t="str">
            <v>Oi Internet pra Celular 2GB</v>
          </cell>
        </row>
        <row r="25">
          <cell r="B25" t="str">
            <v>Oi Internet pra Celular 10GB</v>
          </cell>
        </row>
        <row r="26">
          <cell r="B26" t="str">
            <v>Oi Internet pra Celular 3GB</v>
          </cell>
        </row>
        <row r="27">
          <cell r="B27" t="str">
            <v>Oi Internet pra Celular 300MB</v>
          </cell>
        </row>
        <row r="28">
          <cell r="B28" t="str">
            <v>Oi Conta Total Plug 10GB Downgrade</v>
          </cell>
        </row>
        <row r="29">
          <cell r="B29" t="str">
            <v>Oi Conta Total Plug 10GB Downgrade</v>
          </cell>
        </row>
        <row r="30">
          <cell r="B30" t="str">
            <v>Oi Internet pra Celular 1GB</v>
          </cell>
        </row>
        <row r="31">
          <cell r="B31" t="str">
            <v>Oi Internet Móvel 5GB</v>
          </cell>
        </row>
        <row r="32">
          <cell r="B32" t="str">
            <v>Oi Internet Móvel 10GB</v>
          </cell>
        </row>
      </sheetData>
      <sheetData sheetId="6" refreshError="1"/>
      <sheetData sheetId="7">
        <row r="1">
          <cell r="A1" t="str">
            <v>CHAVE</v>
          </cell>
          <cell r="B1" t="str">
            <v>linhaProdutos</v>
          </cell>
          <cell r="C1" t="str">
            <v>template</v>
          </cell>
          <cell r="D1" t="str">
            <v>desconto</v>
          </cell>
          <cell r="E1" t="str">
            <v>codigoIntegracao</v>
          </cell>
          <cell r="F1" t="str">
            <v>nomeBeneficio</v>
          </cell>
          <cell r="G1" t="str">
            <v>status</v>
          </cell>
        </row>
        <row r="2">
          <cell r="A2" t="str">
            <v>Oi Total Fixo + Banda Larga 10.0769Template de desconto FLAT bundle - Fixo - Varejo - Ganho Tributário Cross</v>
          </cell>
          <cell r="B2" t="str">
            <v>Oi Total Fixo + Banda Larga 1</v>
          </cell>
          <cell r="C2" t="str">
            <v>Template de desconto FLAT bundle - Fixo - Varejo - Ganho Tributário Cross</v>
          </cell>
          <cell r="D2">
            <v>7.690000000000001E-2</v>
          </cell>
          <cell r="E2" t="str">
            <v>MKT-1-9824912811</v>
          </cell>
          <cell r="F2" t="str">
            <v>0T3T_REJ17_PCS-2PFBL1_FLAT_FIXO_GT_07.69%</v>
          </cell>
          <cell r="G2">
            <v>7.69</v>
          </cell>
        </row>
        <row r="3">
          <cell r="A3" t="str">
            <v>Oi Total Fixo + Banda Larga 20.0769Template de desconto FLAT bundle - Fixo - Varejo - Ganho Tributário Cross</v>
          </cell>
          <cell r="B3" t="str">
            <v>Oi Total Fixo + Banda Larga 2</v>
          </cell>
          <cell r="C3" t="str">
            <v>Template de desconto FLAT bundle - Fixo - Varejo - Ganho Tributário Cross</v>
          </cell>
          <cell r="D3">
            <v>7.690000000000001E-2</v>
          </cell>
          <cell r="E3" t="str">
            <v>MKT-1-9824913012</v>
          </cell>
          <cell r="F3" t="str">
            <v>0T3T_REJ17_PCS-2PFBL2_FLAT_FIXO_GT_07.69%</v>
          </cell>
          <cell r="G3">
            <v>7.69</v>
          </cell>
        </row>
        <row r="4">
          <cell r="A4" t="str">
            <v>Oi Total Fixo + Banda Larga 30.0769Template de desconto FLAT bundle - Fixo - Varejo - Ganho Tributário Cross</v>
          </cell>
          <cell r="B4" t="str">
            <v>Oi Total Fixo + Banda Larga 3</v>
          </cell>
          <cell r="C4" t="str">
            <v>Template de desconto FLAT bundle - Fixo - Varejo - Ganho Tributário Cross</v>
          </cell>
          <cell r="D4">
            <v>7.690000000000001E-2</v>
          </cell>
          <cell r="E4" t="str">
            <v>MKT-1-9825502213</v>
          </cell>
          <cell r="F4" t="str">
            <v>0T3T_REJ17_PCS-2PFBL3_FLAT_FIXO_GT_07.69%</v>
          </cell>
          <cell r="G4">
            <v>7.69</v>
          </cell>
        </row>
        <row r="5">
          <cell r="A5" t="str">
            <v>Oi Total Fixo + Banda Larga 10.2088Template de desconto FLAT bundle - Fixo - Varejo - Ganho Tributário Cross</v>
          </cell>
          <cell r="B5" t="str">
            <v>Oi Total Fixo + Banda Larga 1</v>
          </cell>
          <cell r="C5" t="str">
            <v>Template de desconto FLAT bundle - Fixo - Varejo - Ganho Tributário Cross</v>
          </cell>
          <cell r="D5">
            <v>0.20879999999999999</v>
          </cell>
          <cell r="E5" t="str">
            <v>MKT-1-9825502414</v>
          </cell>
          <cell r="F5" t="str">
            <v>0T3T_REJ17_PCS-2PFBL1_FLAT_FIXO_GT_20.88%</v>
          </cell>
          <cell r="G5">
            <v>20.88</v>
          </cell>
        </row>
        <row r="6">
          <cell r="A6" t="str">
            <v>Oi Total Fixo + Banda Larga 10.1429Template de desconto FLAT bundle - Fixo - Varejo - Ganho Tributário Cross</v>
          </cell>
          <cell r="B6" t="str">
            <v>Oi Total Fixo + Banda Larga 1</v>
          </cell>
          <cell r="C6" t="str">
            <v>Template de desconto FLAT bundle - Fixo - Varejo - Ganho Tributário Cross</v>
          </cell>
          <cell r="D6">
            <v>0.1429</v>
          </cell>
          <cell r="E6" t="str">
            <v>MKT-1-9825502615</v>
          </cell>
          <cell r="F6" t="str">
            <v>0T3T_REJ17_PCS-2PFBL1_FLAT_FIXO_GT_14.29%</v>
          </cell>
          <cell r="G6">
            <v>14.29</v>
          </cell>
        </row>
        <row r="7">
          <cell r="A7" t="str">
            <v>Oi Total Fixo + Banda Larga 20.2088Template de desconto FLAT bundle - Fixo - Varejo - Ganho Tributário Cross</v>
          </cell>
          <cell r="B7" t="str">
            <v>Oi Total Fixo + Banda Larga 2</v>
          </cell>
          <cell r="C7" t="str">
            <v>Template de desconto FLAT bundle - Fixo - Varejo - Ganho Tributário Cross</v>
          </cell>
          <cell r="D7">
            <v>0.20879999999999999</v>
          </cell>
          <cell r="E7" t="str">
            <v>MKT-1-9825502816</v>
          </cell>
          <cell r="F7" t="str">
            <v>0T3T_REJ17_PCS-2PFBL2_FLAT_FIXO_GT_20.88%</v>
          </cell>
          <cell r="G7">
            <v>20.88</v>
          </cell>
        </row>
        <row r="8">
          <cell r="A8" t="str">
            <v>Oi Total Fixo + Banda Larga 20.1429Template de desconto FLAT bundle - Fixo - Varejo - Ganho Tributário Cross</v>
          </cell>
          <cell r="B8" t="str">
            <v>Oi Total Fixo + Banda Larga 2</v>
          </cell>
          <cell r="C8" t="str">
            <v>Template de desconto FLAT bundle - Fixo - Varejo - Ganho Tributário Cross</v>
          </cell>
          <cell r="D8">
            <v>0.1429</v>
          </cell>
          <cell r="E8" t="str">
            <v>MKT-1-9825503027</v>
          </cell>
          <cell r="F8" t="str">
            <v>0T3T_REJ17_PCS-2PFBL2_FLAT_FIXO_GT_14.29%</v>
          </cell>
          <cell r="G8">
            <v>14.29</v>
          </cell>
        </row>
        <row r="9">
          <cell r="A9" t="str">
            <v>Oi Total Fixo + Banda Larga 30.2088Template de desconto FLAT bundle - Fixo - Varejo - Ganho Tributário Cross</v>
          </cell>
          <cell r="B9" t="str">
            <v>Oi Total Fixo + Banda Larga 3</v>
          </cell>
          <cell r="C9" t="str">
            <v>Template de desconto FLAT bundle - Fixo - Varejo - Ganho Tributário Cross</v>
          </cell>
          <cell r="D9">
            <v>0.20879999999999999</v>
          </cell>
          <cell r="E9" t="str">
            <v>MKT-1-9825510228</v>
          </cell>
          <cell r="F9" t="str">
            <v>0T3T_REJ17_PCS-2PFBL3_FLAT_FIXO_GT_20.88%</v>
          </cell>
          <cell r="G9">
            <v>20.88</v>
          </cell>
        </row>
        <row r="10">
          <cell r="A10" t="str">
            <v>Oi Total Fixo + Banda Larga 30.1429Template de desconto FLAT bundle - Fixo - Varejo - Ganho Tributário Cross</v>
          </cell>
          <cell r="B10" t="str">
            <v>Oi Total Fixo + Banda Larga 3</v>
          </cell>
          <cell r="C10" t="str">
            <v>Template de desconto FLAT bundle - Fixo - Varejo - Ganho Tributário Cross</v>
          </cell>
          <cell r="D10">
            <v>0.1429</v>
          </cell>
          <cell r="E10" t="str">
            <v>MKT-1-9825510429</v>
          </cell>
          <cell r="F10" t="str">
            <v>0T3T_REJ17_PCS-2PFBL3_FLAT_FIXO_GT_14.29%</v>
          </cell>
          <cell r="G10">
            <v>14.29</v>
          </cell>
        </row>
        <row r="11">
          <cell r="A11" t="str">
            <v>Oi Total Fixo + TV 10.3394Template de desconto FLAT bundle - Fixo - Varejo - Ganho Tributário Cross</v>
          </cell>
          <cell r="B11" t="str">
            <v>Plano Oi Internet Total Low</v>
          </cell>
          <cell r="C11" t="str">
            <v>Template de desconto FLAT bundle - Fixo - Varejo - Ganho Tributário Cross</v>
          </cell>
          <cell r="D11">
            <v>0.33939999999999998</v>
          </cell>
          <cell r="E11" t="str">
            <v>MKT-1-9825510630</v>
          </cell>
          <cell r="F11" t="str">
            <v>0T3T_REJ17_CFG-2Plowpi_FLAT_FIXO_GT_33.94%</v>
          </cell>
          <cell r="G11">
            <v>33.94</v>
          </cell>
        </row>
        <row r="12">
          <cell r="A12" t="str">
            <v>Oi Total Fixo + TV 20.3394Template de desconto FLAT bundle - Fixo - Varejo - Ganho Tributário Cross</v>
          </cell>
          <cell r="B12" t="str">
            <v>Plano Oi Internet Total Medium</v>
          </cell>
          <cell r="C12" t="str">
            <v>Template de desconto FLAT bundle - Fixo - Varejo - Ganho Tributário Cross</v>
          </cell>
          <cell r="D12">
            <v>0.33939999999999998</v>
          </cell>
          <cell r="E12" t="str">
            <v>MKT-1-9825510831</v>
          </cell>
          <cell r="F12" t="str">
            <v>0T3T_REJ17_PCS-2PMepi_FLAT_FIXO_GT_33.94%</v>
          </cell>
          <cell r="G12">
            <v>33.94</v>
          </cell>
        </row>
        <row r="13">
          <cell r="A13" t="str">
            <v>Oi Total Fixo + TV 30.3394Template de desconto FLAT bundle - Fixo - Varejo - Ganho Tributário Cross</v>
          </cell>
          <cell r="B13" t="str">
            <v>Plano Oi Internet Total High</v>
          </cell>
          <cell r="C13" t="str">
            <v>Template de desconto FLAT bundle - Fixo - Varejo - Ganho Tributário Cross</v>
          </cell>
          <cell r="D13">
            <v>0.33939999999999998</v>
          </cell>
          <cell r="E13" t="str">
            <v>MKT-1-9825511032</v>
          </cell>
          <cell r="F13" t="str">
            <v>0T3T_REJ17_PCS-2PHipi_FLAT_FIXO_GT_33.94%</v>
          </cell>
          <cell r="G13">
            <v>33.94</v>
          </cell>
        </row>
        <row r="14">
          <cell r="A14" t="str">
            <v>Oi Total Fixo + TV 10.2735Template de desconto FLAT bundle - Fixo - Varejo - Ganho Tributário Cross</v>
          </cell>
          <cell r="B14" t="str">
            <v>Plano Oi Internet Total Low</v>
          </cell>
          <cell r="C14" t="str">
            <v>Template de desconto FLAT bundle - Fixo - Varejo - Ganho Tributário Cross</v>
          </cell>
          <cell r="D14">
            <v>0.27350000000000002</v>
          </cell>
          <cell r="E14" t="str">
            <v>MKT-1-9825556233</v>
          </cell>
          <cell r="F14" t="str">
            <v>0T3T_REJ17_CFG-2Plowpi_FLAT_FIXO_GT_27.35%</v>
          </cell>
          <cell r="G14">
            <v>27.35</v>
          </cell>
        </row>
        <row r="15">
          <cell r="A15" t="str">
            <v>Oi Total Fixo + TV 20.2735Template de desconto FLAT bundle - Fixo - Varejo - Ganho Tributário Cross</v>
          </cell>
          <cell r="B15" t="str">
            <v>Plano Oi Internet Total Medium</v>
          </cell>
          <cell r="C15" t="str">
            <v>Template de desconto FLAT bundle - Fixo - Varejo - Ganho Tributário Cross</v>
          </cell>
          <cell r="D15">
            <v>0.27350000000000002</v>
          </cell>
          <cell r="E15" t="str">
            <v>MKT-1-9825556434</v>
          </cell>
          <cell r="F15" t="str">
            <v>0T3T_REJ17_PCS-2PMepi_FLAT_FIXO_GT_27.35%</v>
          </cell>
          <cell r="G15">
            <v>27.35</v>
          </cell>
        </row>
        <row r="16">
          <cell r="A16" t="str">
            <v>Oi Total Fixo + TV 30.2735Template de desconto FLAT bundle - Fixo - Varejo - Ganho Tributário Cross</v>
          </cell>
          <cell r="B16" t="str">
            <v>Plano Oi Internet Total High</v>
          </cell>
          <cell r="C16" t="str">
            <v>Template de desconto FLAT bundle - Fixo - Varejo - Ganho Tributário Cross</v>
          </cell>
          <cell r="D16">
            <v>0.27350000000000002</v>
          </cell>
          <cell r="E16" t="str">
            <v>MKT-1-9825556635</v>
          </cell>
          <cell r="F16" t="str">
            <v>0T3T_REJ17_PCS-2PHipi_FLAT_FIXO_GT_27.35%</v>
          </cell>
          <cell r="G16">
            <v>27.35</v>
          </cell>
        </row>
        <row r="17">
          <cell r="A17" t="str">
            <v>Oi Total Fixo + TV 10.143Template de desconto FLAT bundle - Fixo - Varejo - Ganho Tributário Cross</v>
          </cell>
          <cell r="B17" t="str">
            <v>Plano Oi Internet Total Low</v>
          </cell>
          <cell r="C17" t="str">
            <v>Template de desconto FLAT bundle - Fixo - Varejo - Ganho Tributário Cross</v>
          </cell>
          <cell r="D17">
            <v>0.14300000000000002</v>
          </cell>
          <cell r="E17" t="str">
            <v>MKT-1-9825593806</v>
          </cell>
          <cell r="F17" t="str">
            <v>0T3T_REJ17_CFG-2Plowpi_FLAT_FIXO_GT_14.30%</v>
          </cell>
          <cell r="G17">
            <v>14.3</v>
          </cell>
        </row>
        <row r="18">
          <cell r="A18" t="str">
            <v>Oi Total Fixo + TV 20.143Template de desconto FLAT bundle - Fixo - Varejo - Ganho Tributário Cross</v>
          </cell>
          <cell r="B18" t="str">
            <v>Plano Oi Internet Total Medium</v>
          </cell>
          <cell r="C18" t="str">
            <v>Template de desconto FLAT bundle - Fixo - Varejo - Ganho Tributário Cross</v>
          </cell>
          <cell r="D18">
            <v>0.14300000000000002</v>
          </cell>
          <cell r="E18" t="str">
            <v>MKT-1-9825602517</v>
          </cell>
          <cell r="F18" t="str">
            <v>0T3T_REJ17_PCS-2PMepi_FLAT_FIXO_GT_14.30%</v>
          </cell>
          <cell r="G18">
            <v>14.3</v>
          </cell>
        </row>
        <row r="19">
          <cell r="A19" t="str">
            <v>Oi Total Fixo + TV 30.143Template de desconto FLAT bundle - Fixo - Varejo - Ganho Tributário Cross</v>
          </cell>
          <cell r="B19" t="str">
            <v>Plano Oi Internet Total High</v>
          </cell>
          <cell r="C19" t="str">
            <v>Template de desconto FLAT bundle - Fixo - Varejo - Ganho Tributário Cross</v>
          </cell>
          <cell r="D19">
            <v>0.14300000000000002</v>
          </cell>
          <cell r="E19" t="str">
            <v>MKT-1-9825602738</v>
          </cell>
          <cell r="F19" t="str">
            <v>0T3T_REJ17_PCS-2PHipi_FLAT_FIXO_GT_14.30%</v>
          </cell>
          <cell r="G19">
            <v>14.3</v>
          </cell>
        </row>
        <row r="20">
          <cell r="A20" t="str">
            <v>Oi Total Fixo + TV 10.0771Template de desconto FLAT bundle - Fixo - Varejo - Ganho Tributário Cross</v>
          </cell>
          <cell r="B20" t="str">
            <v>Plano Oi Internet Total Low</v>
          </cell>
          <cell r="C20" t="str">
            <v>Template de desconto FLAT bundle - Fixo - Varejo - Ganho Tributário Cross</v>
          </cell>
          <cell r="D20">
            <v>7.7100000000000002E-2</v>
          </cell>
          <cell r="E20" t="str">
            <v>MKT-1-9825602939</v>
          </cell>
          <cell r="F20" t="str">
            <v>0T3T_REJ17_CFG-2Plowpi_FLAT_FIXO_GT_07.71%</v>
          </cell>
          <cell r="G20">
            <v>7.71</v>
          </cell>
        </row>
        <row r="21">
          <cell r="A21" t="str">
            <v>Oi Total Fixo + TV 20.0771Template de desconto FLAT bundle - Fixo - Varejo - Ganho Tributário Cross</v>
          </cell>
          <cell r="B21" t="str">
            <v>Plano Oi Internet Total Medium</v>
          </cell>
          <cell r="C21" t="str">
            <v>Template de desconto FLAT bundle - Fixo - Varejo - Ganho Tributário Cross</v>
          </cell>
          <cell r="D21">
            <v>7.7100000000000002E-2</v>
          </cell>
          <cell r="E21" t="str">
            <v>MKT-1-9825620140</v>
          </cell>
          <cell r="F21" t="str">
            <v>0T3T_REJ17_PCS-2PMepi_FLAT_FIXO_GT_07.71%</v>
          </cell>
          <cell r="G21">
            <v>7.71</v>
          </cell>
        </row>
        <row r="22">
          <cell r="A22" t="str">
            <v>Oi Total Fixo + TV 30.0771Template de desconto FLAT bundle - Fixo - Varejo - Ganho Tributário Cross</v>
          </cell>
          <cell r="B22" t="str">
            <v>Plano Oi Internet Total High</v>
          </cell>
          <cell r="C22" t="str">
            <v>Template de desconto FLAT bundle - Fixo - Varejo - Ganho Tributário Cross</v>
          </cell>
          <cell r="D22">
            <v>7.7100000000000002E-2</v>
          </cell>
          <cell r="E22" t="str">
            <v>MKT-1-9825620341</v>
          </cell>
          <cell r="F22" t="str">
            <v>0T3T_REJ17_PCS-2PHipi_FLAT_FIXO_GT_07.71%</v>
          </cell>
          <cell r="G22">
            <v>7.71</v>
          </cell>
        </row>
        <row r="23">
          <cell r="A23" t="str">
            <v>Oi Total Fixo + Pós 50 + Banda Larga0.3393Template de desconto FLAT bundle - Fixo - Varejo - Ganho Tributário Cross</v>
          </cell>
          <cell r="B23" t="str">
            <v>Plano Oi Completo Xsmall</v>
          </cell>
          <cell r="C23" t="str">
            <v>Template de desconto FLAT bundle - Fixo - Varejo - Ganho Tributário Cross</v>
          </cell>
          <cell r="D23">
            <v>0.33929999999999999</v>
          </cell>
          <cell r="E23" t="str">
            <v>MKT-1-9825620542</v>
          </cell>
          <cell r="F23" t="str">
            <v>0T3T_REJ17_PCS-4P2pi_FLAT_FIXO_GT_33.93%</v>
          </cell>
          <cell r="G23">
            <v>33.93</v>
          </cell>
        </row>
        <row r="24">
          <cell r="A24" t="str">
            <v>Oi Total Fixo + Pós Conectado 500 + Banda Larga0.3393Template de desconto FLAT bundle - Fixo - Varejo - Ganho Tributário Cross</v>
          </cell>
          <cell r="B24" t="str">
            <v>Plano Oi Completo 500</v>
          </cell>
          <cell r="C24" t="str">
            <v>Template de desconto FLAT bundle - Fixo - Varejo - Ganho Tributário Cross</v>
          </cell>
          <cell r="D24">
            <v>0.33929999999999999</v>
          </cell>
          <cell r="E24" t="str">
            <v>MKT-1-9825620743</v>
          </cell>
          <cell r="F24" t="str">
            <v>0T3T_REJ17_PCS-4P8pi_FLAT_FIXO_GT_33.93%</v>
          </cell>
          <cell r="G24">
            <v>33.93</v>
          </cell>
        </row>
        <row r="25">
          <cell r="A25" t="str">
            <v>Oi Total Fixo + Pós 100 + Banda Larga0.3393Template de desconto FLAT bundle - Fixo - Varejo - Ganho Tributário Cross</v>
          </cell>
          <cell r="B25" t="str">
            <v>Plano Oi Completo Small</v>
          </cell>
          <cell r="C25" t="str">
            <v>Template de desconto FLAT bundle - Fixo - Varejo - Ganho Tributário Cross</v>
          </cell>
          <cell r="D25">
            <v>0.33929999999999999</v>
          </cell>
          <cell r="E25" t="str">
            <v>MKT-1-9825620944</v>
          </cell>
          <cell r="F25" t="str">
            <v>0T3T_REJ17_PCS-4P3pi_FLAT_FIXO_GT_33.93%</v>
          </cell>
          <cell r="G25">
            <v>33.93</v>
          </cell>
        </row>
        <row r="26">
          <cell r="A26" t="str">
            <v>Oi Total Fixo + Pós Conectado 1.000 + Banda Larga0.3393Template de desconto FLAT bundle - Fixo - Varejo - Ganho Tributário Cross</v>
          </cell>
          <cell r="B26" t="str">
            <v>Plano Oi Completo 1.000</v>
          </cell>
          <cell r="C26" t="str">
            <v>Template de desconto FLAT bundle - Fixo - Varejo - Ganho Tributário Cross</v>
          </cell>
          <cell r="D26">
            <v>0.33929999999999999</v>
          </cell>
          <cell r="E26" t="str">
            <v>MKT-1-9825638145</v>
          </cell>
          <cell r="F26" t="str">
            <v>0T3T_REJ17_PCS-4P10pi_FLAT_FIXO_GT_33.93%</v>
          </cell>
          <cell r="G26">
            <v>33.93</v>
          </cell>
        </row>
        <row r="27">
          <cell r="A27" t="str">
            <v>Oi Total Fixo + Pós Conectado Mais + Banda Larga0.3393Template de desconto FLAT bundle - Fixo - Varejo - Ganho Tributário Cross</v>
          </cell>
          <cell r="B27" t="str">
            <v>Plano Oi Completo Mais</v>
          </cell>
          <cell r="C27" t="str">
            <v>Template de desconto FLAT bundle - Fixo - Varejo - Ganho Tributário Cross</v>
          </cell>
          <cell r="D27">
            <v>0.33929999999999999</v>
          </cell>
          <cell r="E27" t="str">
            <v>MKT-1-9825638346</v>
          </cell>
          <cell r="F27" t="str">
            <v>0T3T_REJ17_PCS-4P9pi_FLAT_FIXO_GT_33.93%</v>
          </cell>
          <cell r="G27">
            <v>33.93</v>
          </cell>
        </row>
        <row r="28">
          <cell r="A28" t="str">
            <v>Oi Total Fixo + Pós 50 + Banda Larga0.1429Template de desconto FLAT bundle - Fixo - Varejo - Ganho Tributário Cross</v>
          </cell>
          <cell r="B28" t="str">
            <v>Plano Oi Completo Xsmall</v>
          </cell>
          <cell r="C28" t="str">
            <v>Template de desconto FLAT bundle - Fixo - Varejo - Ganho Tributário Cross</v>
          </cell>
          <cell r="D28">
            <v>0.1429</v>
          </cell>
          <cell r="E28" t="str">
            <v>MKT-1-9825638547</v>
          </cell>
          <cell r="F28" t="str">
            <v>0T3T_REJ17_PCS-4P2pi_FLAT_FIXO_GT_14.29%</v>
          </cell>
          <cell r="G28">
            <v>14.29</v>
          </cell>
        </row>
        <row r="29">
          <cell r="A29" t="str">
            <v>Oi Total Fixo + Pós Conectado 500 + Banda Larga0.1429Template de desconto FLAT bundle - Fixo - Varejo - Ganho Tributário Cross</v>
          </cell>
          <cell r="B29" t="str">
            <v>Plano Oi Completo 500</v>
          </cell>
          <cell r="C29" t="str">
            <v>Template de desconto FLAT bundle - Fixo - Varejo - Ganho Tributário Cross</v>
          </cell>
          <cell r="D29">
            <v>0.1429</v>
          </cell>
          <cell r="E29" t="str">
            <v>MKT-1-9825638748</v>
          </cell>
          <cell r="F29" t="str">
            <v>0T3T_REJ17_PCS-4P8pi_FLAT_FIXO_GT_14.29%</v>
          </cell>
          <cell r="G29">
            <v>14.29</v>
          </cell>
        </row>
        <row r="30">
          <cell r="A30" t="str">
            <v>Oi Total Fixo + Pós 100 + Banda Larga0.1429Template de desconto FLAT bundle - Fixo - Varejo - Ganho Tributário Cross</v>
          </cell>
          <cell r="B30" t="str">
            <v>Plano Oi Completo Small</v>
          </cell>
          <cell r="C30" t="str">
            <v>Template de desconto FLAT bundle - Fixo - Varejo - Ganho Tributário Cross</v>
          </cell>
          <cell r="D30">
            <v>0.1429</v>
          </cell>
          <cell r="E30" t="str">
            <v>MKT-1-9825638949</v>
          </cell>
          <cell r="F30" t="str">
            <v>0T3T_REJ17_PCS-4P3pi_FLAT_FIXO_GT_14.29%</v>
          </cell>
          <cell r="G30">
            <v>14.29</v>
          </cell>
        </row>
        <row r="31">
          <cell r="A31" t="str">
            <v>Oi Total Fixo + Pós Conectado 1.000 + Banda Larga0.1429Template de desconto FLAT bundle - Fixo - Varejo - Ganho Tributário Cross</v>
          </cell>
          <cell r="B31" t="str">
            <v>Plano Oi Completo 1.000</v>
          </cell>
          <cell r="C31" t="str">
            <v>Template de desconto FLAT bundle - Fixo - Varejo - Ganho Tributário Cross</v>
          </cell>
          <cell r="D31">
            <v>0.1429</v>
          </cell>
          <cell r="E31" t="str">
            <v>MKT-1-9825655150</v>
          </cell>
          <cell r="F31" t="str">
            <v>0T3T_REJ17_PCS-4P10pi_FLAT_FIXO_GT_14.29%</v>
          </cell>
          <cell r="G31">
            <v>14.29</v>
          </cell>
        </row>
        <row r="32">
          <cell r="A32" t="str">
            <v>Oi Total Fixo + Pós Conectado Mais + Banda Larga0.1429Template de desconto FLAT bundle - Fixo - Varejo - Ganho Tributário Cross</v>
          </cell>
          <cell r="B32" t="str">
            <v>Plano Oi Completo Mais</v>
          </cell>
          <cell r="C32" t="str">
            <v>Template de desconto FLAT bundle - Fixo - Varejo - Ganho Tributário Cross</v>
          </cell>
          <cell r="D32">
            <v>0.1429</v>
          </cell>
          <cell r="E32" t="str">
            <v>MKT-1-9825655351</v>
          </cell>
          <cell r="F32" t="str">
            <v>0T3T_REJ17_PCS-4P9pi_FLAT_FIXO_GT_14.29%</v>
          </cell>
          <cell r="G32">
            <v>14.29</v>
          </cell>
        </row>
        <row r="33">
          <cell r="A33" t="str">
            <v>Oi Total Fixo + Banda Larga 10.3406Template de desconto FLAT bundle - Fixo - Varejo - Ganho Tributário Cross</v>
          </cell>
          <cell r="B33" t="str">
            <v>Oi Total Fixo + Banda Larga 1</v>
          </cell>
          <cell r="C33" t="str">
            <v>Template de desconto FLAT bundle - Fixo - Varejo - Ganho Tributário Cross</v>
          </cell>
          <cell r="D33">
            <v>0.34060000000000001</v>
          </cell>
          <cell r="E33" t="str">
            <v>MKT-1-9825655552</v>
          </cell>
          <cell r="F33" t="str">
            <v>0T3T_REJ17_PCS-2PFBL1_FLAT_FIXO_GT_34.06%</v>
          </cell>
          <cell r="G33">
            <v>34.06</v>
          </cell>
        </row>
        <row r="34">
          <cell r="A34" t="str">
            <v>Oi Total Fixo + Banda Larga 10.2747Template de desconto FLAT bundle - Fixo - Varejo - Ganho Tributário Cross</v>
          </cell>
          <cell r="B34" t="str">
            <v>Oi Total Fixo + Banda Larga 1</v>
          </cell>
          <cell r="C34" t="str">
            <v>Template de desconto FLAT bundle - Fixo - Varejo - Ganho Tributário Cross</v>
          </cell>
          <cell r="D34">
            <v>0.2747</v>
          </cell>
          <cell r="E34" t="str">
            <v>MKT-1-9825655753</v>
          </cell>
          <cell r="F34" t="str">
            <v>0T3T_REJ17_PCS-2PFBL1_FLAT_FIXO_GT_27.47%</v>
          </cell>
          <cell r="G34">
            <v>27.47</v>
          </cell>
        </row>
        <row r="35">
          <cell r="A35" t="str">
            <v>Oi Total Fixo + Banda Larga 20.3406Template de desconto FLAT bundle - Fixo - Varejo - Ganho Tributário Cross</v>
          </cell>
          <cell r="B35" t="str">
            <v>Oi Total Fixo + Banda Larga 2</v>
          </cell>
          <cell r="C35" t="str">
            <v>Template de desconto FLAT bundle - Fixo - Varejo - Ganho Tributário Cross</v>
          </cell>
          <cell r="D35">
            <v>0.34060000000000001</v>
          </cell>
          <cell r="E35" t="str">
            <v>MKT-1-9825655954</v>
          </cell>
          <cell r="F35" t="str">
            <v>0T3T_REJ17_PCS-2PFBL2_FLAT_FIXO_GT_34.06%</v>
          </cell>
          <cell r="G35">
            <v>34.06</v>
          </cell>
        </row>
        <row r="36">
          <cell r="A36" t="str">
            <v>Oi Total Fixo + Banda Larga 20.2747Template de desconto FLAT bundle - Fixo - Varejo - Ganho Tributário Cross</v>
          </cell>
          <cell r="B36" t="str">
            <v>Oi Total Fixo + Banda Larga 2</v>
          </cell>
          <cell r="C36" t="str">
            <v>Template de desconto FLAT bundle - Fixo - Varejo - Ganho Tributário Cross</v>
          </cell>
          <cell r="D36">
            <v>0.2747</v>
          </cell>
          <cell r="E36" t="str">
            <v>MKT-1-9825666155</v>
          </cell>
          <cell r="F36" t="str">
            <v>0T3T_REJ17_PCS-2PFBL2_FLAT_FIXO_GT_27.47%</v>
          </cell>
          <cell r="G36">
            <v>27.47</v>
          </cell>
        </row>
        <row r="37">
          <cell r="A37" t="str">
            <v>Oi Total Fixo + Banda Larga 30.3406Template de desconto FLAT bundle - Fixo - Varejo - Ganho Tributário Cross</v>
          </cell>
          <cell r="B37" t="str">
            <v>Oi Total Fixo + Banda Larga 3</v>
          </cell>
          <cell r="C37" t="str">
            <v>Template de desconto FLAT bundle - Fixo - Varejo - Ganho Tributário Cross</v>
          </cell>
          <cell r="D37">
            <v>0.34060000000000001</v>
          </cell>
          <cell r="E37" t="str">
            <v>MKT-1-9825666356</v>
          </cell>
          <cell r="F37" t="str">
            <v>0T3T_REJ17_PCS-2PFBL3_FLAT_FIXO_GT_34.06%</v>
          </cell>
          <cell r="G37">
            <v>34.06</v>
          </cell>
        </row>
        <row r="38">
          <cell r="A38" t="str">
            <v>Oi Total Fixo + Banda Larga 30.2747Template de desconto FLAT bundle - Fixo - Varejo - Ganho Tributário Cross</v>
          </cell>
          <cell r="B38" t="str">
            <v>Oi Total Fixo + Banda Larga 3</v>
          </cell>
          <cell r="C38" t="str">
            <v>Template de desconto FLAT bundle - Fixo - Varejo - Ganho Tributário Cross</v>
          </cell>
          <cell r="D38">
            <v>0.2747</v>
          </cell>
          <cell r="E38" t="str">
            <v>MKT-1-9825666557</v>
          </cell>
          <cell r="F38" t="str">
            <v>0T3T_REJ17_PCS-2PFBL3_FLAT_FIXO_GT_27.47%</v>
          </cell>
          <cell r="G38">
            <v>27.47</v>
          </cell>
        </row>
        <row r="39">
          <cell r="A39" t="str">
            <v>Oi Total Fixo + Banda Larga 10.4725Template de desconto FLAT bundle - Fixo - Varejo - Ganho Tributário Cross</v>
          </cell>
          <cell r="B39" t="str">
            <v>Oi Total Fixo + Banda Larga 1</v>
          </cell>
          <cell r="C39" t="str">
            <v>Template de desconto FLAT bundle - Fixo - Varejo - Ganho Tributário Cross</v>
          </cell>
          <cell r="D39">
            <v>0.47249999999999998</v>
          </cell>
          <cell r="E39" t="str">
            <v>MKT-1-9825666758</v>
          </cell>
          <cell r="F39" t="str">
            <v>0T3T_REJ17_PCS-2PFBL1_FLAT_FIXO_GT_47.25%</v>
          </cell>
          <cell r="G39">
            <v>47.25</v>
          </cell>
        </row>
        <row r="40">
          <cell r="A40" t="str">
            <v>Oi Total Fixo + Banda Larga 10.4066Template de desconto FLAT bundle - Fixo - Varejo - Ganho Tributário Cross</v>
          </cell>
          <cell r="B40" t="str">
            <v>Oi Total Fixo + Banda Larga 1</v>
          </cell>
          <cell r="C40" t="str">
            <v>Template de desconto FLAT bundle - Fixo - Varejo - Ganho Tributário Cross</v>
          </cell>
          <cell r="D40">
            <v>0.40659999999999996</v>
          </cell>
          <cell r="E40" t="str">
            <v>MKT-1-9825666959</v>
          </cell>
          <cell r="F40" t="str">
            <v>0T3T_REJ17_PCS-2PFBL1_FLAT_FIXO_GT_40.66%</v>
          </cell>
          <cell r="G40">
            <v>40.659999999999997</v>
          </cell>
        </row>
        <row r="41">
          <cell r="A41" t="str">
            <v>Oi Total Fixo + Banda Larga 20.4725Template de desconto FLAT bundle - Fixo - Varejo - Ganho Tributário Cross</v>
          </cell>
          <cell r="B41" t="str">
            <v>Oi Total Fixo + Banda Larga 2</v>
          </cell>
          <cell r="C41" t="str">
            <v>Template de desconto FLAT bundle - Fixo - Varejo - Ganho Tributário Cross</v>
          </cell>
          <cell r="D41">
            <v>0.47249999999999998</v>
          </cell>
          <cell r="E41" t="str">
            <v>MKT-1-9825684160</v>
          </cell>
          <cell r="F41" t="str">
            <v>0T3T_REJ17_PCS-2PFBL2_FLAT_FIXO_GT_47.25%</v>
          </cell>
          <cell r="G41">
            <v>47.25</v>
          </cell>
        </row>
        <row r="42">
          <cell r="A42" t="str">
            <v>Oi Total Fixo + Banda Larga 20.4066Template de desconto FLAT bundle - Fixo - Varejo - Ganho Tributário Cross</v>
          </cell>
          <cell r="B42" t="str">
            <v>Oi Total Fixo + Banda Larga 2</v>
          </cell>
          <cell r="C42" t="str">
            <v>Template de desconto FLAT bundle - Fixo - Varejo - Ganho Tributário Cross</v>
          </cell>
          <cell r="D42">
            <v>0.40659999999999996</v>
          </cell>
          <cell r="E42" t="str">
            <v>MKT-1-9825684361</v>
          </cell>
          <cell r="F42" t="str">
            <v>0T3T_REJ17_PCS-2PFBL2_FLAT_FIXO_GT_40.66%</v>
          </cell>
          <cell r="G42">
            <v>40.659999999999997</v>
          </cell>
        </row>
        <row r="43">
          <cell r="A43" t="str">
            <v>Oi Total Fixo + Banda Larga 30.4725Template de desconto FLAT bundle - Fixo - Varejo - Ganho Tributário Cross</v>
          </cell>
          <cell r="B43" t="str">
            <v>Oi Total Fixo + Banda Larga 3</v>
          </cell>
          <cell r="C43" t="str">
            <v>Template de desconto FLAT bundle - Fixo - Varejo - Ganho Tributário Cross</v>
          </cell>
          <cell r="D43">
            <v>0.47249999999999998</v>
          </cell>
          <cell r="E43" t="str">
            <v>MKT-1-9825684562</v>
          </cell>
          <cell r="F43" t="str">
            <v>0T3T_REJ17_PCS-2PFBL3_FLAT_FIXO_GT_47.25%</v>
          </cell>
          <cell r="G43">
            <v>47.25</v>
          </cell>
        </row>
        <row r="44">
          <cell r="A44" t="str">
            <v>Oi Total Fixo + Banda Larga 30.4066Template de desconto FLAT bundle - Fixo - Varejo - Ganho Tributário Cross</v>
          </cell>
          <cell r="B44" t="str">
            <v>Oi Total Fixo + Banda Larga 3</v>
          </cell>
          <cell r="C44" t="str">
            <v>Template de desconto FLAT bundle - Fixo - Varejo - Ganho Tributário Cross</v>
          </cell>
          <cell r="D44">
            <v>0.40659999999999996</v>
          </cell>
          <cell r="E44" t="str">
            <v>MKT-1-9825684803</v>
          </cell>
          <cell r="F44" t="str">
            <v>0T3T_REJ17_PCS-2PFBL3_FLAT_FIXO_GT_40.66%</v>
          </cell>
          <cell r="G44">
            <v>40.659999999999997</v>
          </cell>
        </row>
        <row r="45">
          <cell r="A45" t="str">
            <v>Oi Total Fixo + Banda Larga + TV 10.3393Template de desconto FLAT bundle - Fixo - Varejo - Ganho Tributário Cross</v>
          </cell>
          <cell r="B45" t="str">
            <v>Plano Oi Convergente Low</v>
          </cell>
          <cell r="C45" t="str">
            <v>Template de desconto FLAT bundle - Fixo - Varejo - Ganho Tributário Cross</v>
          </cell>
          <cell r="D45">
            <v>0.33929999999999999</v>
          </cell>
          <cell r="E45" t="str">
            <v>MKT-1-9825718484</v>
          </cell>
          <cell r="F45" t="str">
            <v>0T3T_REJ17_PCS-3PLowpi_FLAT_FIXO_GT_33.93%</v>
          </cell>
          <cell r="G45">
            <v>33.93</v>
          </cell>
        </row>
        <row r="46">
          <cell r="A46" t="str">
            <v>Oi Total Fixo + Banda Larga + TV 20.3393Template de desconto FLAT bundle - Fixo - Varejo - Ganho Tributário Cross</v>
          </cell>
          <cell r="B46" t="str">
            <v>Plano Oi Convergente Medium</v>
          </cell>
          <cell r="C46" t="str">
            <v>Template de desconto FLAT bundle - Fixo - Varejo - Ganho Tributário Cross</v>
          </cell>
          <cell r="D46">
            <v>0.33929999999999999</v>
          </cell>
          <cell r="E46" t="str">
            <v>MKT-1-9825718835</v>
          </cell>
          <cell r="F46" t="str">
            <v>0T3T_REJ17_PCS-3PMepi_FLAT_FIXO_GT_33.93%</v>
          </cell>
          <cell r="G46">
            <v>33.93</v>
          </cell>
        </row>
        <row r="47">
          <cell r="A47" t="str">
            <v>Oi Total Fixo + Banda Larga + TV 30.3393Template de desconto FLAT bundle - Fixo - Varejo - Ganho Tributário Cross</v>
          </cell>
          <cell r="B47" t="str">
            <v>Plano Oi Convergente High</v>
          </cell>
          <cell r="C47" t="str">
            <v>Template de desconto FLAT bundle - Fixo - Varejo - Ganho Tributário Cross</v>
          </cell>
          <cell r="D47">
            <v>0.33929999999999999</v>
          </cell>
          <cell r="E47" t="str">
            <v>MKT-1-9825728196</v>
          </cell>
          <cell r="F47" t="str">
            <v>0T3T_REJ17_PCS-3PHipi_FLAT_FIXO_GT_33.93%</v>
          </cell>
          <cell r="G47">
            <v>33.93</v>
          </cell>
        </row>
        <row r="48">
          <cell r="A48" t="str">
            <v>Oi Total Fixo + Banda Larga + TV 10.2734Template de desconto FLAT bundle - Fixo - Varejo - Ganho Tributário Cross</v>
          </cell>
          <cell r="B48" t="str">
            <v>Plano Oi Convergente Low</v>
          </cell>
          <cell r="C48" t="str">
            <v>Template de desconto FLAT bundle - Fixo - Varejo - Ganho Tributário Cross</v>
          </cell>
          <cell r="D48">
            <v>0.27339999999999998</v>
          </cell>
          <cell r="E48" t="str">
            <v>MKT-1-9825728397</v>
          </cell>
          <cell r="F48" t="str">
            <v>0T3T_REJ17_PCS-3PLowpi_FLAT_FIXO_GT_27.34%</v>
          </cell>
          <cell r="G48">
            <v>27.34</v>
          </cell>
        </row>
        <row r="49">
          <cell r="A49" t="str">
            <v>Oi Total Fixo + Banda Larga + TV 20.2734Template de desconto FLAT bundle - Fixo - Varejo - Ganho Tributário Cross</v>
          </cell>
          <cell r="B49" t="str">
            <v>Plano Oi Convergente Medium</v>
          </cell>
          <cell r="C49" t="str">
            <v>Template de desconto FLAT bundle - Fixo - Varejo - Ganho Tributário Cross</v>
          </cell>
          <cell r="D49">
            <v>0.27339999999999998</v>
          </cell>
          <cell r="E49" t="str">
            <v>MKT-1-9825728598</v>
          </cell>
          <cell r="F49" t="str">
            <v>0T3T_REJ17_PCS-3PMepi_FLAT_FIXO_GT_27.34%</v>
          </cell>
          <cell r="G49">
            <v>27.34</v>
          </cell>
        </row>
        <row r="50">
          <cell r="A50" t="str">
            <v>Oi Total Fixo + Banda Larga + TV 30.2734Template de desconto FLAT bundle - Fixo - Varejo - Ganho Tributário Cross</v>
          </cell>
          <cell r="B50" t="str">
            <v>Plano Oi Convergente High</v>
          </cell>
          <cell r="C50" t="str">
            <v>Template de desconto FLAT bundle - Fixo - Varejo - Ganho Tributário Cross</v>
          </cell>
          <cell r="D50">
            <v>0.27339999999999998</v>
          </cell>
          <cell r="E50" t="str">
            <v>MKT-1-9825728869</v>
          </cell>
          <cell r="F50" t="str">
            <v>0T3T_REJ17_PCS-3PHipi_FLAT_FIXO_GT_27.34%</v>
          </cell>
          <cell r="G50">
            <v>27.34</v>
          </cell>
        </row>
        <row r="51">
          <cell r="A51" t="str">
            <v>Oi Total Fixo + Banda Larga + TV 10.1429Template de desconto FLAT bundle - Fixo - Varejo - Ganho Tributário Cross</v>
          </cell>
          <cell r="B51" t="str">
            <v>Plano Oi Convergente Low</v>
          </cell>
          <cell r="C51" t="str">
            <v>Template de desconto FLAT bundle - Fixo - Varejo - Ganho Tributário Cross</v>
          </cell>
          <cell r="D51">
            <v>0.1429</v>
          </cell>
          <cell r="E51" t="str">
            <v>MKT-1-9825765440</v>
          </cell>
          <cell r="F51" t="str">
            <v>0T3T_REJ17_PCS-3PLowpi_FLAT_FIXO_GT_14.29%</v>
          </cell>
          <cell r="G51">
            <v>14.29</v>
          </cell>
        </row>
        <row r="52">
          <cell r="A52" t="str">
            <v>Oi Total Fixo + Banda Larga + TV 20.1429Template de desconto FLAT bundle - Fixo - Varejo - Ganho Tributário Cross</v>
          </cell>
          <cell r="B52" t="str">
            <v>Plano Oi Convergente Medium</v>
          </cell>
          <cell r="C52" t="str">
            <v>Template de desconto FLAT bundle - Fixo - Varejo - Ganho Tributário Cross</v>
          </cell>
          <cell r="D52">
            <v>0.1429</v>
          </cell>
          <cell r="E52" t="str">
            <v>MKT-1-9825765881</v>
          </cell>
          <cell r="F52" t="str">
            <v>0T3T_REJ17_PCS-3PMepi_FLAT_FIXO_GT_14.29%</v>
          </cell>
          <cell r="G52">
            <v>14.29</v>
          </cell>
        </row>
        <row r="53">
          <cell r="A53" t="str">
            <v>Oi Total Fixo + Banda Larga + TV 30.1429Template de desconto FLAT bundle - Fixo - Varejo - Ganho Tributário Cross</v>
          </cell>
          <cell r="B53" t="str">
            <v>Plano Oi Convergente High</v>
          </cell>
          <cell r="C53" t="str">
            <v>Template de desconto FLAT bundle - Fixo - Varejo - Ganho Tributário Cross</v>
          </cell>
          <cell r="D53">
            <v>0.1429</v>
          </cell>
          <cell r="E53" t="str">
            <v>MKT-1-9825766082</v>
          </cell>
          <cell r="F53" t="str">
            <v>0T3T_REJ17_PCS-3PHipi_FLAT_FIXO_GT_14.29%</v>
          </cell>
          <cell r="G53">
            <v>14.29</v>
          </cell>
        </row>
        <row r="54">
          <cell r="A54" t="str">
            <v>Oi Total Fixo + Banda Larga + TV 10.0771Template de desconto FLAT bundle - Fixo - Varejo - Ganho Tributário Cross</v>
          </cell>
          <cell r="B54" t="str">
            <v>Plano Oi Convergente Low</v>
          </cell>
          <cell r="C54" t="str">
            <v>Template de desconto FLAT bundle - Fixo - Varejo - Ganho Tributário Cross</v>
          </cell>
          <cell r="D54">
            <v>7.7100000000000002E-2</v>
          </cell>
          <cell r="E54" t="str">
            <v>MKT-1-9825771383</v>
          </cell>
          <cell r="F54" t="str">
            <v>0T3T_REJ17_PCS-3PLowpi_FLAT_FIXO_GT_07.71%</v>
          </cell>
          <cell r="G54">
            <v>7.71</v>
          </cell>
        </row>
        <row r="55">
          <cell r="A55" t="str">
            <v>Oi Total Fixo + Banda Larga + TV 20.0771Template de desconto FLAT bundle - Fixo - Varejo - Ganho Tributário Cross</v>
          </cell>
          <cell r="B55" t="str">
            <v>Plano Oi Convergente Medium</v>
          </cell>
          <cell r="C55" t="str">
            <v>Template de desconto FLAT bundle - Fixo - Varejo - Ganho Tributário Cross</v>
          </cell>
          <cell r="D55">
            <v>7.7100000000000002E-2</v>
          </cell>
          <cell r="E55" t="str">
            <v>MKT-1-9825771744</v>
          </cell>
          <cell r="F55" t="str">
            <v>0T3T_REJ17_PCS-3PMepi_FLAT_FIXO_GT_07.71%</v>
          </cell>
          <cell r="G55">
            <v>7.71</v>
          </cell>
        </row>
        <row r="56">
          <cell r="A56" t="str">
            <v>Oi Total Fixo + Banda Larga + TV 30.0771Template de desconto FLAT bundle - Fixo - Varejo - Ganho Tributário Cross</v>
          </cell>
          <cell r="B56" t="str">
            <v>Plano Oi Convergente High</v>
          </cell>
          <cell r="C56" t="str">
            <v>Template de desconto FLAT bundle - Fixo - Varejo - Ganho Tributário Cross</v>
          </cell>
          <cell r="D56">
            <v>7.7100000000000002E-2</v>
          </cell>
          <cell r="E56" t="str">
            <v>MKT-1-9825772095</v>
          </cell>
          <cell r="F56" t="str">
            <v>0T3T_REJ17_PCS-3PHipi_FLAT_FIXO_GT_07.71%</v>
          </cell>
          <cell r="G56">
            <v>7.71</v>
          </cell>
        </row>
        <row r="57">
          <cell r="A57" t="str">
            <v>Oi Total Fixo + TV 10.2089Template de desconto FLAT bundle - Fixo - Varejo - Ganho Tributário Cross</v>
          </cell>
          <cell r="B57" t="str">
            <v>Plano Oi Internet Total Low</v>
          </cell>
          <cell r="C57" t="str">
            <v>Template de desconto FLAT bundle - Fixo - Varejo - Ganho Tributário Cross</v>
          </cell>
          <cell r="D57">
            <v>0.2089</v>
          </cell>
          <cell r="E57" t="str">
            <v>MKT-1-9825781376</v>
          </cell>
          <cell r="F57" t="str">
            <v>0T3T_REJ17_CFG-2Plowpi_FLAT_FIXO_GT_20.89%</v>
          </cell>
          <cell r="G57">
            <v>20.89</v>
          </cell>
        </row>
        <row r="58">
          <cell r="A58" t="str">
            <v>Oi Total Fixo + TV 20.2089Template de desconto FLAT bundle - Fixo - Varejo - Ganho Tributário Cross</v>
          </cell>
          <cell r="B58" t="str">
            <v>Plano Oi Internet Total Medium</v>
          </cell>
          <cell r="C58" t="str">
            <v>Template de desconto FLAT bundle - Fixo - Varejo - Ganho Tributário Cross</v>
          </cell>
          <cell r="D58">
            <v>0.2089</v>
          </cell>
          <cell r="E58" t="str">
            <v>MKT-1-9825781597</v>
          </cell>
          <cell r="F58" t="str">
            <v>0T3T_REJ17_PCS-2PMepi_FLAT_FIXO_GT_20.89%</v>
          </cell>
          <cell r="G58">
            <v>20.89</v>
          </cell>
        </row>
        <row r="59">
          <cell r="A59" t="str">
            <v>Oi Total Fixo + TV 30.2089Template de desconto FLAT bundle - Fixo - Varejo - Ganho Tributário Cross</v>
          </cell>
          <cell r="B59" t="str">
            <v>Plano Oi Internet Total High</v>
          </cell>
          <cell r="C59" t="str">
            <v>Template de desconto FLAT bundle - Fixo - Varejo - Ganho Tributário Cross</v>
          </cell>
          <cell r="D59">
            <v>0.2089</v>
          </cell>
          <cell r="E59" t="str">
            <v>MKT-1-9825781798</v>
          </cell>
          <cell r="F59" t="str">
            <v>0T3T_REJ17_PCS-2PHipi_FLAT_FIXO_GT_20.89%</v>
          </cell>
          <cell r="G59">
            <v>20.89</v>
          </cell>
        </row>
        <row r="60">
          <cell r="A60" t="str">
            <v>Oi Total Fixo + TV 20.4067Template de desconto FLAT bundle - Fixo - Varejo - Ganho Tributário Cross</v>
          </cell>
          <cell r="B60" t="str">
            <v>Plano Oi Internet Total Medium</v>
          </cell>
          <cell r="C60" t="str">
            <v>Template de desconto FLAT bundle - Fixo - Varejo - Ganho Tributário Cross</v>
          </cell>
          <cell r="D60">
            <v>0.40670000000000001</v>
          </cell>
          <cell r="E60" t="str">
            <v>MKT-1-9825781999</v>
          </cell>
          <cell r="F60" t="str">
            <v>0T3T_REJ17_PCS-2PMepi_FLAT_FIXO_GT_40.67%</v>
          </cell>
          <cell r="G60">
            <v>40.67</v>
          </cell>
        </row>
        <row r="61">
          <cell r="A61" t="str">
            <v>Oi Total Fixo + TV 30.4067Template de desconto FLAT bundle - Fixo - Varejo - Ganho Tributário Cross</v>
          </cell>
          <cell r="B61" t="str">
            <v>Plano Oi Internet Total High</v>
          </cell>
          <cell r="C61" t="str">
            <v>Template de desconto FLAT bundle - Fixo - Varejo - Ganho Tributário Cross</v>
          </cell>
          <cell r="D61">
            <v>0.40670000000000001</v>
          </cell>
          <cell r="E61" t="str">
            <v>MKT-1-9825789200</v>
          </cell>
          <cell r="F61" t="str">
            <v>0T3T_REJ17_PCS-2PHipi_FLAT_FIXO_GT_40.67%</v>
          </cell>
          <cell r="G61">
            <v>40.67</v>
          </cell>
        </row>
        <row r="62">
          <cell r="A62" t="str">
            <v>Oi Total Fixo + TV 20.5386Template de desconto FLAT bundle - Fixo - Varejo - Ganho Tributário Cross</v>
          </cell>
          <cell r="B62" t="str">
            <v>Plano Oi Internet Total Medium</v>
          </cell>
          <cell r="C62" t="str">
            <v>Template de desconto FLAT bundle - Fixo - Varejo - Ganho Tributário Cross</v>
          </cell>
          <cell r="D62">
            <v>0.53859999999999997</v>
          </cell>
          <cell r="E62" t="str">
            <v>MKT-1-9825789661</v>
          </cell>
          <cell r="F62" t="str">
            <v>0T3T_REJ17_PCS-2PMepi_FLAT_FIXO_GT_53.86%</v>
          </cell>
          <cell r="G62">
            <v>53.86</v>
          </cell>
        </row>
        <row r="63">
          <cell r="A63" t="str">
            <v>Oi Total Fixo + TV 30.5386Template de desconto FLAT bundle - Fixo - Varejo - Ganho Tributário Cross</v>
          </cell>
          <cell r="B63" t="str">
            <v>Plano Oi Internet Total High</v>
          </cell>
          <cell r="C63" t="str">
            <v>Template de desconto FLAT bundle - Fixo - Varejo - Ganho Tributário Cross</v>
          </cell>
          <cell r="D63">
            <v>0.53859999999999997</v>
          </cell>
          <cell r="E63" t="str">
            <v>MKT-1-9825789862</v>
          </cell>
          <cell r="F63" t="str">
            <v>0T3T_REJ17_PCS-2PHipi_FLAT_FIXO_GT_53.86%</v>
          </cell>
          <cell r="G63">
            <v>53.86</v>
          </cell>
        </row>
        <row r="64">
          <cell r="A64" t="str">
            <v>Oi Total Fixo + Banda Larga + TV 10.2089Template de desconto FLAT bundle - Fixo - Varejo - Ganho Tributário Cross</v>
          </cell>
          <cell r="B64" t="str">
            <v>Plano Oi Convergente Low</v>
          </cell>
          <cell r="C64" t="str">
            <v>Template de desconto FLAT bundle - Fixo - Varejo - Ganho Tributário Cross</v>
          </cell>
          <cell r="D64">
            <v>0.2089</v>
          </cell>
          <cell r="E64" t="str">
            <v>MKT-1-9825798123</v>
          </cell>
          <cell r="F64" t="str">
            <v>0T3T_REJ17_PCS-3PLowpi_FLAT_FIXO_GT_20.89%</v>
          </cell>
          <cell r="G64">
            <v>20.89</v>
          </cell>
        </row>
        <row r="65">
          <cell r="A65" t="str">
            <v>Oi Total Fixo + Banda Larga + TV 20.2089Template de desconto FLAT bundle - Fixo - Varejo - Ganho Tributário Cross</v>
          </cell>
          <cell r="B65" t="str">
            <v>Plano Oi Convergente Medium</v>
          </cell>
          <cell r="C65" t="str">
            <v>Template de desconto FLAT bundle - Fixo - Varejo - Ganho Tributário Cross</v>
          </cell>
          <cell r="D65">
            <v>0.2089</v>
          </cell>
          <cell r="E65" t="str">
            <v>MKT-1-9825798454</v>
          </cell>
          <cell r="F65" t="str">
            <v>0T3T_REJ17_PCS-3PMepi_FLAT_FIXO_GT_20.89%</v>
          </cell>
          <cell r="G65">
            <v>20.89</v>
          </cell>
        </row>
        <row r="66">
          <cell r="A66" t="str">
            <v>Oi Total Fixo + Banda Larga + TV 30.2089Template de desconto FLAT bundle - Fixo - Varejo - Ganho Tributário Cross</v>
          </cell>
          <cell r="B66" t="str">
            <v>Plano Oi Convergente High</v>
          </cell>
          <cell r="C66" t="str">
            <v>Template de desconto FLAT bundle - Fixo - Varejo - Ganho Tributário Cross</v>
          </cell>
          <cell r="D66">
            <v>0.2089</v>
          </cell>
          <cell r="E66" t="str">
            <v>MKT-1-9825798895</v>
          </cell>
          <cell r="F66" t="str">
            <v>0T3T_REJ17_PCS-3PHipi_FLAT_FIXO_GT_20.89%</v>
          </cell>
          <cell r="G66">
            <v>20.89</v>
          </cell>
        </row>
        <row r="67">
          <cell r="A67" t="str">
            <v>Oi Total Fixo + Banda Larga + TV 20.4067Template de desconto FLAT bundle - Fixo - Varejo - Ganho Tributário Cross</v>
          </cell>
          <cell r="B67" t="str">
            <v>Plano Oi Convergente Medium</v>
          </cell>
          <cell r="C67" t="str">
            <v>Template de desconto FLAT bundle - Fixo - Varejo - Ganho Tributário Cross</v>
          </cell>
          <cell r="D67">
            <v>0.40670000000000001</v>
          </cell>
          <cell r="E67" t="str">
            <v>MKT-1-9825806296</v>
          </cell>
          <cell r="F67" t="str">
            <v>0T3T_REJ17_PCS-3PMepi_FLAT_FIXO_GT_40.67%</v>
          </cell>
          <cell r="G67">
            <v>40.67</v>
          </cell>
        </row>
        <row r="68">
          <cell r="A68" t="str">
            <v>Oi Total Fixo + Banda Larga + TV 30.4067Template de desconto FLAT bundle - Fixo - Varejo - Ganho Tributário Cross</v>
          </cell>
          <cell r="B68" t="str">
            <v>Plano Oi Convergente High</v>
          </cell>
          <cell r="C68" t="str">
            <v>Template de desconto FLAT bundle - Fixo - Varejo - Ganho Tributário Cross</v>
          </cell>
          <cell r="D68">
            <v>0.40670000000000001</v>
          </cell>
          <cell r="E68" t="str">
            <v>MKT-1-9825806677</v>
          </cell>
          <cell r="F68" t="str">
            <v>0T3T_REJ17_PCS-3PHipi_FLAT_FIXO_GT_40.67%</v>
          </cell>
          <cell r="G68">
            <v>40.67</v>
          </cell>
        </row>
        <row r="69">
          <cell r="A69" t="str">
            <v>Oi Total Fixo + Banda Larga + TV 20.5386Template de desconto FLAT bundle - Fixo - Varejo - Ganho Tributário Cross</v>
          </cell>
          <cell r="B69" t="str">
            <v>Plano Oi Convergente Medium</v>
          </cell>
          <cell r="C69" t="str">
            <v>Template de desconto FLAT bundle - Fixo - Varejo - Ganho Tributário Cross</v>
          </cell>
          <cell r="D69">
            <v>0.53859999999999997</v>
          </cell>
          <cell r="E69" t="str">
            <v>MKT-1-9825806968</v>
          </cell>
          <cell r="F69" t="str">
            <v>0T3T_REJ17_PCS-3PMepi_FLAT_FIXO_GT_53.86%</v>
          </cell>
          <cell r="G69">
            <v>53.86</v>
          </cell>
        </row>
        <row r="70">
          <cell r="A70" t="str">
            <v>Oi Total Fixo + Banda Larga + TV 30.5386Template de desconto FLAT bundle - Fixo - Varejo - Ganho Tributário Cross</v>
          </cell>
          <cell r="B70" t="str">
            <v>Plano Oi Convergente High</v>
          </cell>
          <cell r="C70" t="str">
            <v>Template de desconto FLAT bundle - Fixo - Varejo - Ganho Tributário Cross</v>
          </cell>
          <cell r="D70">
            <v>0.53859999999999997</v>
          </cell>
          <cell r="E70" t="str">
            <v>MKT-1-9825816349</v>
          </cell>
          <cell r="F70" t="str">
            <v>0T3T_REJ17_PCS-3PHipi_FLAT_FIXO_GT_53.86%</v>
          </cell>
          <cell r="G70">
            <v>53.86</v>
          </cell>
        </row>
        <row r="71">
          <cell r="A71" t="str">
            <v>Oi Total Fixo + Pós 100 + Banda Larga0.2353Template de desconto FLAT bundle - Fixo - Varejo - Ganho Tributário Cross</v>
          </cell>
          <cell r="B71" t="str">
            <v>Plano Oi Completo Small</v>
          </cell>
          <cell r="C71" t="str">
            <v>Template de desconto FLAT bundle - Fixo - Varejo - Ganho Tributário Cross</v>
          </cell>
          <cell r="D71">
            <v>0.23530000000000001</v>
          </cell>
          <cell r="E71" t="str">
            <v>MKT-1-9825816730</v>
          </cell>
          <cell r="F71" t="str">
            <v>0T3T_REJ17_PCS-4P3pi_FLAT_FIXO_GT_23.53%</v>
          </cell>
          <cell r="G71">
            <v>23.53</v>
          </cell>
        </row>
        <row r="72">
          <cell r="A72" t="str">
            <v>Oi Total Fixo + Pós 250 + Banda Larga0.2353Template de desconto FLAT bundle - Fixo - Varejo - Ganho Tributário Cross</v>
          </cell>
          <cell r="B72" t="str">
            <v>Plano Oi Completo Medium</v>
          </cell>
          <cell r="C72" t="str">
            <v>Template de desconto FLAT bundle - Fixo - Varejo - Ganho Tributário Cross</v>
          </cell>
          <cell r="D72">
            <v>0.23530000000000001</v>
          </cell>
          <cell r="E72" t="str">
            <v>MKT-1-9825819111</v>
          </cell>
          <cell r="F72" t="str">
            <v>0T3T_REJ17_PCS-4P4pi_FLAT_FIXO_GT_23.53%</v>
          </cell>
          <cell r="G72">
            <v>23.53</v>
          </cell>
        </row>
        <row r="73">
          <cell r="A73" t="str">
            <v>Oi Total Fixo + Pós Conectado 500 + Banda Larga0.2353Template de desconto FLAT bundle - Fixo - Varejo - Ganho Tributário Cross</v>
          </cell>
          <cell r="B73" t="str">
            <v>Plano Oi Completo 500</v>
          </cell>
          <cell r="C73" t="str">
            <v>Template de desconto FLAT bundle - Fixo - Varejo - Ganho Tributário Cross</v>
          </cell>
          <cell r="D73">
            <v>0.23530000000000001</v>
          </cell>
          <cell r="E73" t="str">
            <v>MKT-1-9825819402</v>
          </cell>
          <cell r="F73" t="str">
            <v>0T3T_REJ17_PCS-4P8pi_FLAT_FIXO_GT_23.53%</v>
          </cell>
          <cell r="G73">
            <v>23.53</v>
          </cell>
        </row>
        <row r="74">
          <cell r="A74" t="str">
            <v>Oi Total Fixo + Pós Conectado 1.000 + Banda Larga0.2353Template de desconto FLAT bundle - Fixo - Varejo - Ganho Tributário Cross</v>
          </cell>
          <cell r="B74" t="str">
            <v>Plano Oi Completo 1.000</v>
          </cell>
          <cell r="C74" t="str">
            <v>Template de desconto FLAT bundle - Fixo - Varejo - Ganho Tributário Cross</v>
          </cell>
          <cell r="D74">
            <v>0.23530000000000001</v>
          </cell>
          <cell r="E74" t="str">
            <v>MKT-1-9825819623</v>
          </cell>
          <cell r="F74" t="str">
            <v>0T3T_REJ17_PCS-4P10pi_FLAT_FIXO_GT_23.53%</v>
          </cell>
          <cell r="G74">
            <v>23.53</v>
          </cell>
        </row>
        <row r="75">
          <cell r="A75" t="str">
            <v>Oi Total Fixo + Pós Conectado Mais + Banda Larga0.2353Template de desconto FLAT bundle - Fixo - Varejo - Ganho Tributário Cross</v>
          </cell>
          <cell r="B75" t="str">
            <v>Plano Oi Completo Mais</v>
          </cell>
          <cell r="C75" t="str">
            <v>Template de desconto FLAT bundle - Fixo - Varejo - Ganho Tributário Cross</v>
          </cell>
          <cell r="D75">
            <v>0.23530000000000001</v>
          </cell>
          <cell r="E75" t="str">
            <v>MKT-1-9825819854</v>
          </cell>
          <cell r="F75" t="str">
            <v>0T3T_REJ17_PCS-4P9pi_FLAT_FIXO_GT_23.53%</v>
          </cell>
          <cell r="G75">
            <v>23.53</v>
          </cell>
        </row>
        <row r="76">
          <cell r="A76" t="str">
            <v>Oi Total Fixo + Pós 500 + Banda Larga0.2353Template de desconto FLAT bundle - Fixo - Varejo - Ganho Tributário Cross</v>
          </cell>
          <cell r="B76" t="str">
            <v>Plano Oi Completo Large</v>
          </cell>
          <cell r="C76" t="str">
            <v>Template de desconto FLAT bundle - Fixo - Varejo - Ganho Tributário Cross</v>
          </cell>
          <cell r="D76">
            <v>0.23530000000000001</v>
          </cell>
          <cell r="E76" t="str">
            <v>MKT-1-9825820075</v>
          </cell>
          <cell r="F76" t="str">
            <v>0T3T_REJ17_PCS-4P5pi_FLAT_FIXO_GT_23.53%</v>
          </cell>
          <cell r="G76">
            <v>23.53</v>
          </cell>
        </row>
        <row r="77">
          <cell r="A77" t="e">
            <v>#N/A</v>
          </cell>
          <cell r="B77" t="str">
            <v>DIVERSOS</v>
          </cell>
          <cell r="C77" t="str">
            <v>Template desconto % Combate nível conta</v>
          </cell>
          <cell r="D77">
            <v>0.31900000000000001</v>
          </cell>
          <cell r="E77" t="str">
            <v>MKT-1-9825406035</v>
          </cell>
          <cell r="F77" t="str">
            <v>0T0T_REJ17_ALACARTE_COMBATE_31.90%</v>
          </cell>
          <cell r="G77">
            <v>31.9</v>
          </cell>
        </row>
        <row r="78">
          <cell r="A78" t="e">
            <v>#N/A</v>
          </cell>
          <cell r="B78" t="str">
            <v>DIVERSOS</v>
          </cell>
          <cell r="C78" t="str">
            <v>Template desconto % Sexy Hot nível conta</v>
          </cell>
          <cell r="D78">
            <v>9.1799999999999993E-2</v>
          </cell>
          <cell r="E78" t="str">
            <v>MKT-1-9825544125</v>
          </cell>
          <cell r="F78" t="str">
            <v>0T0T_REJ17_ALACARTE_SEXHOT_09.18%</v>
          </cell>
          <cell r="G78">
            <v>9.18</v>
          </cell>
        </row>
        <row r="79">
          <cell r="A79" t="e">
            <v>#N/A</v>
          </cell>
          <cell r="B79" t="str">
            <v>DIVERSOS</v>
          </cell>
          <cell r="C79" t="str">
            <v>Template desconto % Playboy nível conta</v>
          </cell>
          <cell r="D79">
            <v>9.1799999999999993E-2</v>
          </cell>
          <cell r="E79" t="str">
            <v>MKT-1-9825544215</v>
          </cell>
          <cell r="F79" t="str">
            <v>0T0T_REJ17_ALACARTE_PLAYBOY_09.18%</v>
          </cell>
          <cell r="G79">
            <v>9.18</v>
          </cell>
        </row>
        <row r="80">
          <cell r="A80" t="e">
            <v>#N/A</v>
          </cell>
          <cell r="B80" t="str">
            <v>DIVERSOS</v>
          </cell>
          <cell r="C80" t="str">
            <v>Template desconto % Sexy Hot + Playboy nível conta</v>
          </cell>
          <cell r="D80">
            <v>9.1799999999999993E-2</v>
          </cell>
          <cell r="E80" t="str">
            <v>MKT-1-9825544305</v>
          </cell>
          <cell r="F80" t="str">
            <v>0T0T_REJ17_ALACARTE_SEXPLAY_09.18%</v>
          </cell>
          <cell r="G80">
            <v>9.18</v>
          </cell>
        </row>
        <row r="81">
          <cell r="A81" t="e">
            <v>#N/A</v>
          </cell>
          <cell r="B81" t="str">
            <v>DIVERSOS</v>
          </cell>
          <cell r="C81" t="str">
            <v>Template desconto % SexPrivê nível conta</v>
          </cell>
          <cell r="D81">
            <v>9.1499999999999998E-2</v>
          </cell>
          <cell r="E81" t="str">
            <v>MKT-1-9825544400</v>
          </cell>
          <cell r="F81" t="str">
            <v>0T0T_REJ17_ALACARTE_SEXPRIVE_09.15%</v>
          </cell>
          <cell r="G81">
            <v>9.15</v>
          </cell>
        </row>
        <row r="82">
          <cell r="A82" t="e">
            <v>#N/A</v>
          </cell>
          <cell r="B82" t="str">
            <v>DIVERSOS</v>
          </cell>
          <cell r="C82" t="str">
            <v>Template desconto % Étnico nível conta</v>
          </cell>
          <cell r="D82">
            <v>9.1799999999999993E-2</v>
          </cell>
          <cell r="E82" t="str">
            <v>MKT-1-9825544490</v>
          </cell>
          <cell r="F82" t="str">
            <v>0T0T_REJ17_ALACARTE_ETNICO_09.18%</v>
          </cell>
          <cell r="G82">
            <v>9.18</v>
          </cell>
        </row>
        <row r="83">
          <cell r="A83" t="e">
            <v>#N/A</v>
          </cell>
          <cell r="B83" t="str">
            <v>DIVERSOS</v>
          </cell>
          <cell r="C83" t="str">
            <v>Template desconto % Ponto adicional nível conta</v>
          </cell>
          <cell r="D83">
            <v>0.1673</v>
          </cell>
          <cell r="E83" t="str">
            <v>MKT-1-9825544580</v>
          </cell>
          <cell r="F83" t="str">
            <v>0T0T_REJ17_TV_PONTO_ADICIONAL_16.73%</v>
          </cell>
          <cell r="G83">
            <v>16.73</v>
          </cell>
        </row>
        <row r="84">
          <cell r="A84" t="str">
            <v>Oi Conta Total Plug 10GB Downgrade0.3753Template de desconto percentual BL Móvel - Internet Total - Varejo</v>
          </cell>
          <cell r="B84" t="str">
            <v>OCT Plug 10GB Downgrade</v>
          </cell>
          <cell r="C84" t="str">
            <v>Template de desconto percentual BL Móvel - Internet Total - Varejo</v>
          </cell>
          <cell r="D84">
            <v>0.37530000000000002</v>
          </cell>
          <cell r="E84" t="str">
            <v>MKT-1-9825544670</v>
          </cell>
          <cell r="F84" t="str">
            <v>0T0T_REJ17_INTSUB-10G_37.53%</v>
          </cell>
          <cell r="G84">
            <v>37.53</v>
          </cell>
        </row>
        <row r="85">
          <cell r="A85" t="str">
            <v>Oi Conta Total Plug 10GB Downgrade0.649Template de desconto percentual BL Móvel - Internet Total - Varejo</v>
          </cell>
          <cell r="B85" t="str">
            <v>OCT Plug 10GB Downgrade</v>
          </cell>
          <cell r="C85" t="str">
            <v>Template de desconto percentual BL Móvel - Internet Total - Varejo</v>
          </cell>
          <cell r="D85">
            <v>0.64900000000000002</v>
          </cell>
          <cell r="E85" t="str">
            <v>MKT-1-9825544790</v>
          </cell>
          <cell r="F85" t="str">
            <v>0T0T_REJ17_INTSUB-10G_64.90%</v>
          </cell>
          <cell r="G85">
            <v>64.900000000000006</v>
          </cell>
        </row>
        <row r="86">
          <cell r="A86" t="str">
            <v>Oi Conta Total Plug 10GB Downgrade0.4058Template de desconto percentual BL Móvel - Internet Total - Varejo</v>
          </cell>
          <cell r="B86" t="str">
            <v>OCT Plug 10GB Downgrade</v>
          </cell>
          <cell r="C86" t="str">
            <v>Template de desconto percentual BL Móvel - Internet Total - Varejo</v>
          </cell>
          <cell r="D86">
            <v>0.40579999999999999</v>
          </cell>
          <cell r="E86" t="str">
            <v>MKT-1-9825544910</v>
          </cell>
          <cell r="F86" t="str">
            <v>0T0T_REJ17_INTSUB-10G_40.58%</v>
          </cell>
          <cell r="G86">
            <v>40.58</v>
          </cell>
        </row>
        <row r="87">
          <cell r="A87" t="str">
            <v>Oi Conta Total Plug 10GB Downgrade0.6099Template de desconto percentual BL Móvel - Internet Total - Varejo</v>
          </cell>
          <cell r="B87" t="str">
            <v>OCT Plug 10GB Downgrade</v>
          </cell>
          <cell r="C87" t="str">
            <v>Template de desconto percentual BL Móvel - Internet Total - Varejo</v>
          </cell>
          <cell r="D87">
            <v>0.6099</v>
          </cell>
          <cell r="E87" t="str">
            <v>MKT-1-9825545030</v>
          </cell>
          <cell r="F87" t="str">
            <v>0T0T_REJ17_INTSUB-10G_60.99%</v>
          </cell>
          <cell r="G87">
            <v>60.99</v>
          </cell>
        </row>
        <row r="88">
          <cell r="A88" t="str">
            <v>Oi Conta Total Plug 10GB Downgrade0.6881Template de desconto percentual BL Móvel - Internet Total - Varejo</v>
          </cell>
          <cell r="B88" t="str">
            <v>OCT Plug 10GB Downgrade</v>
          </cell>
          <cell r="C88" t="str">
            <v>Template de desconto percentual BL Móvel - Internet Total - Varejo</v>
          </cell>
          <cell r="D88">
            <v>0.68810000000000004</v>
          </cell>
          <cell r="E88" t="str">
            <v>MKT-1-9825601150</v>
          </cell>
          <cell r="F88" t="str">
            <v>0T0T_REJ17_INTSUB-10G_68.81%</v>
          </cell>
          <cell r="G88">
            <v>68.81</v>
          </cell>
        </row>
        <row r="89">
          <cell r="A89" t="e">
            <v>#N/A</v>
          </cell>
          <cell r="B89" t="str">
            <v>DIVERSOS</v>
          </cell>
          <cell r="C89" t="str">
            <v>Template Desc. % sobre Serviço SVA B2C</v>
          </cell>
          <cell r="D89">
            <v>0.23010000000000003</v>
          </cell>
          <cell r="E89" t="str">
            <v>MKT-1-9825601270</v>
          </cell>
          <cell r="F89" t="str">
            <v>0T0T_REJ17_IND_SVA_BL_23.01%</v>
          </cell>
          <cell r="G89">
            <v>23.01</v>
          </cell>
        </row>
        <row r="90">
          <cell r="A90" t="e">
            <v>#N/A</v>
          </cell>
          <cell r="B90" t="str">
            <v>DIVERSOS</v>
          </cell>
          <cell r="C90" t="str">
            <v>Template Desc. % sobre Serviço SVA B2C</v>
          </cell>
          <cell r="D90">
            <v>7.1399999999999991E-2</v>
          </cell>
          <cell r="E90" t="str">
            <v>MKT-1-9825601765</v>
          </cell>
          <cell r="F90" t="str">
            <v>0T0T_REJ17_IND_SVA_BL_07.14%</v>
          </cell>
          <cell r="G90">
            <v>7.14</v>
          </cell>
        </row>
        <row r="91">
          <cell r="A91" t="e">
            <v>#N/A</v>
          </cell>
          <cell r="B91" t="str">
            <v>DIVERSOS</v>
          </cell>
          <cell r="C91" t="str">
            <v>Template Desc. % sobre Serviço SVA B2C</v>
          </cell>
          <cell r="D91">
            <v>0.92859999999999998</v>
          </cell>
          <cell r="E91" t="str">
            <v>MKT-1-9825618260</v>
          </cell>
          <cell r="F91" t="str">
            <v>0T0T_REJ17_DET_SVA_BL_92.86%</v>
          </cell>
          <cell r="G91">
            <v>92.86</v>
          </cell>
        </row>
        <row r="92">
          <cell r="A92" t="e">
            <v>#N/A</v>
          </cell>
          <cell r="B92" t="str">
            <v>DIVERSOS</v>
          </cell>
          <cell r="C92" t="str">
            <v>Template desconto % intra-grupo Oi Total</v>
          </cell>
          <cell r="D92">
            <v>0.28920000000000001</v>
          </cell>
          <cell r="E92" t="str">
            <v>MKT-1-9825618761</v>
          </cell>
          <cell r="F92" t="str">
            <v>0T0T_REJ17_INTRAGRUPO_IND_28.92%</v>
          </cell>
          <cell r="G92">
            <v>28.92</v>
          </cell>
        </row>
        <row r="93">
          <cell r="A93" t="str">
            <v>Oi Total Fixo + Banda Larga 10.1778Template de desconto percentual Bundle - Velox XDSL - Varejo</v>
          </cell>
          <cell r="B93" t="str">
            <v>Oi Total Fixo + Banda Larga 1</v>
          </cell>
          <cell r="C93" t="str">
            <v>Template de desconto percentual Bundle - Velox XDSL - Varejo</v>
          </cell>
          <cell r="D93">
            <v>0.17780000000000001</v>
          </cell>
          <cell r="E93" t="str">
            <v>MKT-1-9825561921</v>
          </cell>
          <cell r="F93" t="str">
            <v>0T3T_REJ17_PCS-2PFBL1_DET_BL_17.78%</v>
          </cell>
          <cell r="G93">
            <v>17.78</v>
          </cell>
        </row>
        <row r="94">
          <cell r="A94" t="str">
            <v>Oi Total Fixo + Banda Larga 20.1778Template de desconto percentual Bundle - Velox XDSL - Varejo</v>
          </cell>
          <cell r="B94" t="str">
            <v>Oi Total Fixo + Banda Larga 2</v>
          </cell>
          <cell r="C94" t="str">
            <v>Template de desconto percentual Bundle - Velox XDSL - Varejo</v>
          </cell>
          <cell r="D94">
            <v>0.17780000000000001</v>
          </cell>
          <cell r="E94" t="str">
            <v>MKT-1-9825605232</v>
          </cell>
          <cell r="F94" t="str">
            <v>0T3T_REJ17_PCS-2PFBL2_DET_BL_17.78%</v>
          </cell>
          <cell r="G94">
            <v>17.78</v>
          </cell>
        </row>
        <row r="95">
          <cell r="A95" t="str">
            <v>Oi Total Fixo + Banda Larga 30.1778Template de desconto percentual Bundle - Velox XDSL - Varejo</v>
          </cell>
          <cell r="B95" t="str">
            <v>Oi Total Fixo + Banda Larga 3</v>
          </cell>
          <cell r="C95" t="str">
            <v>Template de desconto percentual Bundle - Velox XDSL - Varejo</v>
          </cell>
          <cell r="D95">
            <v>0.17780000000000001</v>
          </cell>
          <cell r="E95" t="str">
            <v>MKT-1-9825605594</v>
          </cell>
          <cell r="F95" t="str">
            <v>0T3T_REJ17_PCS-2PFBL3_DET_BL_17.78%</v>
          </cell>
          <cell r="G95">
            <v>17.78</v>
          </cell>
        </row>
        <row r="96">
          <cell r="A96" t="str">
            <v>Oi Total Fixo + Banda Larga 10.1334Template de desconto percentual Bundle - Velox XDSL - Varejo</v>
          </cell>
          <cell r="B96" t="str">
            <v>Oi Total Fixo + Banda Larga 1</v>
          </cell>
          <cell r="C96" t="str">
            <v>Template de desconto percentual Bundle - Velox XDSL - Varejo</v>
          </cell>
          <cell r="D96">
            <v>0.13339999999999999</v>
          </cell>
          <cell r="E96" t="str">
            <v>MKT-1-9825605798</v>
          </cell>
          <cell r="F96" t="str">
            <v>0T3T_REJ17_PCS-2PFBL1_DET_BL_13.34%</v>
          </cell>
          <cell r="G96">
            <v>13.34</v>
          </cell>
        </row>
        <row r="97">
          <cell r="A97" t="str">
            <v>Oi Total Fixo + Banda Larga 20.1334Template de desconto percentual Bundle - Velox XDSL - Varejo</v>
          </cell>
          <cell r="B97" t="str">
            <v>Oi Total Fixo + Banda Larga 2</v>
          </cell>
          <cell r="C97" t="str">
            <v>Template de desconto percentual Bundle - Velox XDSL - Varejo</v>
          </cell>
          <cell r="D97">
            <v>0.13339999999999999</v>
          </cell>
          <cell r="E97" t="str">
            <v>MKT-1-9825629192</v>
          </cell>
          <cell r="F97" t="str">
            <v>0T3T_REJ17_PCS-2PFBL2_DET_BL_13.34%</v>
          </cell>
          <cell r="G97">
            <v>13.34</v>
          </cell>
        </row>
        <row r="98">
          <cell r="A98" t="str">
            <v>Oi Total Fixo + Banda Larga 30.1334Template de desconto percentual Bundle - Velox XDSL - Varejo</v>
          </cell>
          <cell r="B98" t="str">
            <v>Oi Total Fixo + Banda Larga 3</v>
          </cell>
          <cell r="C98" t="str">
            <v>Template de desconto percentual Bundle - Velox XDSL - Varejo</v>
          </cell>
          <cell r="D98">
            <v>0.13339999999999999</v>
          </cell>
          <cell r="E98" t="str">
            <v>MKT-1-9825629588</v>
          </cell>
          <cell r="F98" t="str">
            <v>0T3T_REJ17_PCS-2PFBL3_DET_BL_13.34%</v>
          </cell>
          <cell r="G98">
            <v>13.34</v>
          </cell>
        </row>
        <row r="99">
          <cell r="A99" t="str">
            <v>Oi Total Fixo + Banda Larga 10.1512Template de desconto percentual Bundle - Velox XDSL - Varejo</v>
          </cell>
          <cell r="B99" t="str">
            <v>Oi Total Fixo + Banda Larga 1</v>
          </cell>
          <cell r="C99" t="str">
            <v>Template de desconto percentual Bundle - Velox XDSL - Varejo</v>
          </cell>
          <cell r="D99">
            <v>0.1512</v>
          </cell>
          <cell r="E99" t="str">
            <v>MKT-1-9825629732</v>
          </cell>
          <cell r="F99" t="str">
            <v>0T3T_REJ17_PCS-2PFBL1_DET_BL_15.12%</v>
          </cell>
          <cell r="G99">
            <v>15.12</v>
          </cell>
        </row>
        <row r="100">
          <cell r="A100" t="str">
            <v>Oi Total Fixo + Banda Larga 20.1512Template de desconto percentual Bundle - Velox XDSL - Varejo</v>
          </cell>
          <cell r="B100" t="str">
            <v>Oi Total Fixo + Banda Larga 2</v>
          </cell>
          <cell r="C100" t="str">
            <v>Template de desconto percentual Bundle - Velox XDSL - Varejo</v>
          </cell>
          <cell r="D100">
            <v>0.1512</v>
          </cell>
          <cell r="E100" t="str">
            <v>MKT-1-9825629920</v>
          </cell>
          <cell r="F100" t="str">
            <v>0T3T_REJ17_PCS-2PFBL2_DET_BL_15.12%</v>
          </cell>
          <cell r="G100">
            <v>15.12</v>
          </cell>
        </row>
        <row r="101">
          <cell r="A101" t="str">
            <v>Oi Total Fixo + Banda Larga 30.1512Template de desconto percentual Bundle - Velox XDSL - Varejo</v>
          </cell>
          <cell r="B101" t="str">
            <v>Oi Total Fixo + Banda Larga 3</v>
          </cell>
          <cell r="C101" t="str">
            <v>Template de desconto percentual Bundle - Velox XDSL - Varejo</v>
          </cell>
          <cell r="D101">
            <v>0.1512</v>
          </cell>
          <cell r="E101" t="str">
            <v>MKT-1-9825629826</v>
          </cell>
          <cell r="F101" t="str">
            <v>0T3T_REJ17_PCS-2PFBL3_DET_BL_15.12%</v>
          </cell>
          <cell r="G101">
            <v>15.12</v>
          </cell>
        </row>
        <row r="102">
          <cell r="A102" t="str">
            <v>Oi Total Fixo + Pós 50 + Banda Larga0.1422Template de desconto percentual Bundle - Velox XDSL - Varejo</v>
          </cell>
          <cell r="B102" t="str">
            <v>Plano Oi Completo XSmall</v>
          </cell>
          <cell r="C102" t="str">
            <v>Template de desconto percentual Bundle - Velox XDSL - Varejo</v>
          </cell>
          <cell r="D102">
            <v>0.14219999999999999</v>
          </cell>
          <cell r="E102" t="str">
            <v>MKT-1-9825630022</v>
          </cell>
          <cell r="F102" t="str">
            <v>0T3T_REJ17_PCS-4P2pi_DET_BL_14.22%</v>
          </cell>
          <cell r="G102">
            <v>14.22</v>
          </cell>
        </row>
        <row r="103">
          <cell r="A103" t="str">
            <v>Oi Total Fixo + Pós Conectado 500 + Banda Larga0.1422Template de desconto percentual Bundle - Velox XDSL - Varejo</v>
          </cell>
          <cell r="B103" t="str">
            <v>Plano Oi Completo 500</v>
          </cell>
          <cell r="C103" t="str">
            <v>Template de desconto percentual Bundle - Velox XDSL - Varejo</v>
          </cell>
          <cell r="D103">
            <v>0.14219999999999999</v>
          </cell>
          <cell r="E103" t="str">
            <v>MKT-1-9825691118</v>
          </cell>
          <cell r="F103" t="str">
            <v>0T3T_REJ17_PCS-4P8pi_DET_BL_14.22%</v>
          </cell>
          <cell r="G103">
            <v>14.22</v>
          </cell>
        </row>
        <row r="104">
          <cell r="A104" t="str">
            <v>Oi Total Fixo + Pós 100 + Banda Larga0.1422Template de desconto percentual Bundle - Velox XDSL - Varejo</v>
          </cell>
          <cell r="B104" t="str">
            <v>Plano Oi Completo Small</v>
          </cell>
          <cell r="C104" t="str">
            <v>Template de desconto percentual Bundle - Velox XDSL - Varejo</v>
          </cell>
          <cell r="D104">
            <v>0.14219999999999999</v>
          </cell>
          <cell r="E104" t="str">
            <v>MKT-1-9825691220</v>
          </cell>
          <cell r="F104" t="str">
            <v>0T3T_REJ17_PCS-4P3pi_DET_BL_14.22%</v>
          </cell>
          <cell r="G104">
            <v>14.22</v>
          </cell>
        </row>
        <row r="105">
          <cell r="A105" t="str">
            <v>Oi Total Fixo + Pós Conectado 1.000 + Banda Larga0.1422Template de desconto percentual Bundle - Velox XDSL - Varejo</v>
          </cell>
          <cell r="B105" t="str">
            <v>Plano Oi Completo 1.000</v>
          </cell>
          <cell r="C105" t="str">
            <v>Template de desconto percentual Bundle - Velox XDSL - Varejo</v>
          </cell>
          <cell r="D105">
            <v>0.14219999999999999</v>
          </cell>
          <cell r="E105" t="str">
            <v>MKT-1-9825691316</v>
          </cell>
          <cell r="F105" t="str">
            <v>0T3T_REJ17_PCS-4P10pi_DET_BL_14.22%</v>
          </cell>
          <cell r="G105">
            <v>14.22</v>
          </cell>
        </row>
        <row r="106">
          <cell r="A106" t="str">
            <v>Oi Total Fixo + Pós Conectado Mais + Banda Larga0.1422Template de desconto percentual Bundle - Velox XDSL - Varejo</v>
          </cell>
          <cell r="B106" t="str">
            <v>Plano Oi Completo Mais</v>
          </cell>
          <cell r="C106" t="str">
            <v>Template de desconto percentual Bundle - Velox XDSL - Varejo</v>
          </cell>
          <cell r="D106">
            <v>0.14219999999999999</v>
          </cell>
          <cell r="E106" t="str">
            <v>MKT-1-9825691410</v>
          </cell>
          <cell r="F106" t="str">
            <v>0T3T_REJ17_PCS-4P9pi_DET_BL_14.22%</v>
          </cell>
          <cell r="G106">
            <v>14.22</v>
          </cell>
        </row>
        <row r="107">
          <cell r="A107" t="str">
            <v>Oi Total Fixo + Pós 50 + Banda Larga0.1067Template de desconto percentual Bundle - Velox XDSL - Varejo</v>
          </cell>
          <cell r="B107" t="str">
            <v>Plano Oi Completo XSmall</v>
          </cell>
          <cell r="C107" t="str">
            <v>Template de desconto percentual Bundle - Velox XDSL - Varejo</v>
          </cell>
          <cell r="D107">
            <v>0.1067</v>
          </cell>
          <cell r="E107" t="str">
            <v>MKT-1-9825840461</v>
          </cell>
          <cell r="F107" t="str">
            <v>0T3T_REJ17_PCS-4P2pi_DET_BL_10.67%</v>
          </cell>
          <cell r="G107">
            <v>10.67</v>
          </cell>
        </row>
        <row r="108">
          <cell r="A108" t="str">
            <v>Oi Total Fixo + Pós Conectado 500 + Banda Larga0.1067Template de desconto percentual Bundle - Velox XDSL - Varejo</v>
          </cell>
          <cell r="B108" t="str">
            <v>Plano Oi Completo 500</v>
          </cell>
          <cell r="C108" t="str">
            <v>Template de desconto percentual Bundle - Velox XDSL - Varejo</v>
          </cell>
          <cell r="D108">
            <v>0.1067</v>
          </cell>
          <cell r="E108" t="str">
            <v>MKT-1-9825840645</v>
          </cell>
          <cell r="F108" t="str">
            <v>0T3T_REJ17_PCS-4P8pi_DET_BL_10.67%</v>
          </cell>
          <cell r="G108">
            <v>10.67</v>
          </cell>
        </row>
        <row r="109">
          <cell r="A109" t="str">
            <v>Oi Total Fixo + Pós 100 + Banda Larga0.1067Template de desconto percentual Bundle - Velox XDSL - Varejo</v>
          </cell>
          <cell r="B109" t="str">
            <v>Plano Oi Completo Small</v>
          </cell>
          <cell r="C109" t="str">
            <v>Template de desconto percentual Bundle - Velox XDSL - Varejo</v>
          </cell>
          <cell r="D109">
            <v>0.1067</v>
          </cell>
          <cell r="E109" t="str">
            <v>MKT-1-9825961399</v>
          </cell>
          <cell r="F109" t="str">
            <v>0T3T_REJ17_PCS-4P3pi_DET_BL_10.67%</v>
          </cell>
          <cell r="G109">
            <v>10.67</v>
          </cell>
        </row>
        <row r="110">
          <cell r="A110" t="str">
            <v>Oi Total Fixo + Pós Conectado 1.000 + Banda Larga0.1067Template de desconto percentual Bundle - Velox XDSL - Varejo</v>
          </cell>
          <cell r="B110" t="str">
            <v>Plano Oi Completo 1.000</v>
          </cell>
          <cell r="C110" t="str">
            <v>Template de desconto percentual Bundle - Velox XDSL - Varejo</v>
          </cell>
          <cell r="D110">
            <v>0.1067</v>
          </cell>
          <cell r="E110" t="str">
            <v>MKT-1-9825961623</v>
          </cell>
          <cell r="F110" t="str">
            <v>0T3T_REJ17_PCS-4P10pi_DET_BL_10.67%</v>
          </cell>
          <cell r="G110">
            <v>10.67</v>
          </cell>
        </row>
        <row r="111">
          <cell r="A111" t="str">
            <v>Oi Total Fixo + Pós Conectado Mais + Banda Larga0.1067Template de desconto percentual Bundle - Velox XDSL - Varejo</v>
          </cell>
          <cell r="B111" t="str">
            <v>Plano Oi Completo Mais</v>
          </cell>
          <cell r="C111" t="str">
            <v>Template de desconto percentual Bundle - Velox XDSL - Varejo</v>
          </cell>
          <cell r="D111">
            <v>0.1067</v>
          </cell>
          <cell r="E111" t="str">
            <v>MKT-1-9825988107</v>
          </cell>
          <cell r="F111" t="str">
            <v>0T3T_REJ17_PCS-4P9pi_DET_BL_10.67%</v>
          </cell>
          <cell r="G111">
            <v>10.67</v>
          </cell>
        </row>
        <row r="112">
          <cell r="A112" t="str">
            <v>Oi Total Fixo + Pós 50 + Banda Larga0.1245Template de desconto percentual Bundle - Velox XDSL - Varejo</v>
          </cell>
          <cell r="B112" t="str">
            <v>Plano Oi Completo XSmall</v>
          </cell>
          <cell r="C112" t="str">
            <v>Template de desconto percentual Bundle - Velox XDSL - Varejo</v>
          </cell>
          <cell r="D112">
            <v>0.1245</v>
          </cell>
          <cell r="E112" t="str">
            <v>MKT-1-9825988991</v>
          </cell>
          <cell r="F112" t="str">
            <v>0T3T_REJ17_PCS-4P2pi_DET_BL_12.45%</v>
          </cell>
          <cell r="G112">
            <v>12.45</v>
          </cell>
        </row>
        <row r="113">
          <cell r="A113" t="str">
            <v>Oi Total Fixo + Pós Conectado 500 + Banda Larga0.1245Template de desconto percentual Bundle - Velox XDSL - Varejo</v>
          </cell>
          <cell r="B113" t="str">
            <v>Plano Oi Completo 500</v>
          </cell>
          <cell r="C113" t="str">
            <v>Template de desconto percentual Bundle - Velox XDSL - Varejo</v>
          </cell>
          <cell r="D113">
            <v>0.1245</v>
          </cell>
          <cell r="E113" t="str">
            <v>MKT-1-9826014255</v>
          </cell>
          <cell r="F113" t="str">
            <v>0T3T_REJ17_PCS-4P8pi_DET_BL_12.45%</v>
          </cell>
          <cell r="G113">
            <v>12.45</v>
          </cell>
        </row>
        <row r="114">
          <cell r="A114" t="str">
            <v>Oi Total Fixo + Pós 100 + Banda Larga0.1245Template de desconto percentual Bundle - Velox XDSL - Varejo</v>
          </cell>
          <cell r="B114" t="str">
            <v>Plano Oi Completo Small</v>
          </cell>
          <cell r="C114" t="str">
            <v>Template de desconto percentual Bundle - Velox XDSL - Varejo</v>
          </cell>
          <cell r="D114">
            <v>0.1245</v>
          </cell>
          <cell r="E114" t="str">
            <v>MKT-1-9826014569</v>
          </cell>
          <cell r="F114" t="str">
            <v>0T3T_REJ17_PCS-4P3pi_DET_BL_12.45%</v>
          </cell>
          <cell r="G114">
            <v>12.45</v>
          </cell>
        </row>
        <row r="115">
          <cell r="A115" t="str">
            <v>Oi Total Fixo + Pós Conectado 1.000 + Banda Larga0.1245Template de desconto percentual Bundle - Velox XDSL - Varejo</v>
          </cell>
          <cell r="B115" t="str">
            <v>Plano Oi Completo 1.000</v>
          </cell>
          <cell r="C115" t="str">
            <v>Template de desconto percentual Bundle - Velox XDSL - Varejo</v>
          </cell>
          <cell r="D115">
            <v>0.1245</v>
          </cell>
          <cell r="E115" t="str">
            <v>MKT-1-9826014795</v>
          </cell>
          <cell r="F115" t="str">
            <v>0T3T_REJ17_PCS-4P10pi_DET_BL_12.45%</v>
          </cell>
          <cell r="G115">
            <v>12.45</v>
          </cell>
        </row>
        <row r="116">
          <cell r="A116" t="str">
            <v>Oi Total Fixo + Pós Conectado Mais + Banda Larga0.1245Template de desconto percentual Bundle - Velox XDSL - Varejo</v>
          </cell>
          <cell r="B116" t="str">
            <v>Plano Oi Completo Mais</v>
          </cell>
          <cell r="C116" t="str">
            <v>Template de desconto percentual Bundle - Velox XDSL - Varejo</v>
          </cell>
          <cell r="D116">
            <v>0.1245</v>
          </cell>
          <cell r="E116" t="str">
            <v>MKT-1-9826014999</v>
          </cell>
          <cell r="F116" t="str">
            <v>0T3T_REJ17_PCS-4P9pi_DET_BL_12.45%</v>
          </cell>
          <cell r="G116">
            <v>12.45</v>
          </cell>
        </row>
        <row r="117">
          <cell r="A117" t="str">
            <v>Oi Total Fixo + Banda Larga + TV 20.1245Template de desconto percentual Bundle - Velox XDSL - Varejo</v>
          </cell>
          <cell r="B117" t="str">
            <v>Plano Oi Convergente Medium</v>
          </cell>
          <cell r="C117" t="str">
            <v>Template de desconto percentual Bundle - Velox XDSL - Varejo</v>
          </cell>
          <cell r="D117">
            <v>0.1245</v>
          </cell>
          <cell r="E117" t="str">
            <v>MKT-1-9826046173</v>
          </cell>
          <cell r="F117" t="str">
            <v>0T3T_REJ17_PCS-3PMepi_DET_BL_12.45%</v>
          </cell>
          <cell r="G117">
            <v>12.45</v>
          </cell>
        </row>
        <row r="118">
          <cell r="A118" t="str">
            <v>Oi Total Fixo + Banda Larga + TV 30.1245Template de desconto percentual Bundle - Velox XDSL - Varejo</v>
          </cell>
          <cell r="B118" t="str">
            <v>Plano Oi Convergente High</v>
          </cell>
          <cell r="C118" t="str">
            <v>Template de desconto percentual Bundle - Velox XDSL - Varejo</v>
          </cell>
          <cell r="D118">
            <v>0.1245</v>
          </cell>
          <cell r="E118" t="str">
            <v>MKT-1-9826047043</v>
          </cell>
          <cell r="F118" t="str">
            <v>0T3T_REJ17_PCS-3PHipi_DET_BL_12.45%</v>
          </cell>
          <cell r="G118">
            <v>12.45</v>
          </cell>
        </row>
        <row r="119">
          <cell r="A119" t="str">
            <v>Oi Total Fixo + Pós 50 + Banda Larga0.3491Template de desconto percentual FLAT Móvel - Conta Total - Varejo - Ganho Tributário Cross</v>
          </cell>
          <cell r="B119" t="str">
            <v>Plano Oi Completo XSmall</v>
          </cell>
          <cell r="C119" t="str">
            <v>Template de desconto percentual FLAT Móvel - Conta Total - Varejo - Ganho Tributário Cross</v>
          </cell>
          <cell r="D119">
            <v>0.34909999999999997</v>
          </cell>
          <cell r="E119" t="str">
            <v>MKT-1-9824982861</v>
          </cell>
          <cell r="F119" t="str">
            <v>0T3T_REJ17_PCS-4P2pi_FLAT_MÓVEL_GT_34.91%</v>
          </cell>
          <cell r="G119">
            <v>34.909999999999997</v>
          </cell>
        </row>
        <row r="120">
          <cell r="A120" t="str">
            <v>Oi Total Fixo + Pós Conectado 500 + Banda Larga0.7366Template de desconto percentual FLAT Móvel - Conta Total - Varejo - Ganho Tributário Cross</v>
          </cell>
          <cell r="B120" t="str">
            <v>Plano Oi Completo 500</v>
          </cell>
          <cell r="C120" t="str">
            <v>Template de desconto percentual FLAT Móvel - Conta Total - Varejo - Ganho Tributário Cross</v>
          </cell>
          <cell r="D120">
            <v>0.73659999999999992</v>
          </cell>
          <cell r="E120" t="str">
            <v>MKT-1-9824983072</v>
          </cell>
          <cell r="F120" t="str">
            <v>0T3T_REJ17_PCS-4P8pi_FLAT_MÓVEL_GT_73.66%</v>
          </cell>
          <cell r="G120">
            <v>73.66</v>
          </cell>
        </row>
        <row r="121">
          <cell r="A121" t="str">
            <v>Oi Total Fixo + Pós 100 + Banda Larga0.5316Template de desconto percentual FLAT Móvel - Conta Total - Varejo - Ganho Tributário Cross</v>
          </cell>
          <cell r="B121" t="str">
            <v>Plano Oi Completo Small</v>
          </cell>
          <cell r="C121" t="str">
            <v>Template de desconto percentual FLAT Móvel - Conta Total - Varejo - Ganho Tributário Cross</v>
          </cell>
          <cell r="D121">
            <v>0.53159999999999996</v>
          </cell>
          <cell r="E121" t="str">
            <v>MKT-1-9825693273</v>
          </cell>
          <cell r="F121" t="str">
            <v>0T3T_REJ17_PCS-4P3pi_FLAT_MÓVEL_GT_53.16%</v>
          </cell>
          <cell r="G121">
            <v>53.16</v>
          </cell>
        </row>
        <row r="122">
          <cell r="A122" t="str">
            <v>Oi Total Fixo + Pós Conectado 1.000 + Banda Larga0.7864Template de desconto percentual FLAT Móvel - Conta Total - Varejo - Ganho Tributário Cross</v>
          </cell>
          <cell r="B122" t="str">
            <v>Plano Oi Completo 1.000</v>
          </cell>
          <cell r="C122" t="str">
            <v>Template de desconto percentual FLAT Móvel - Conta Total - Varejo - Ganho Tributário Cross</v>
          </cell>
          <cell r="D122">
            <v>0.78639999999999999</v>
          </cell>
          <cell r="E122" t="str">
            <v>MKT-1-9825693474</v>
          </cell>
          <cell r="F122" t="str">
            <v>0T3T_REJ17_PCS-4P10pi_FLAT_MÓVEL_GT_78.64%</v>
          </cell>
          <cell r="G122">
            <v>78.64</v>
          </cell>
        </row>
        <row r="123">
          <cell r="A123" t="str">
            <v>Oi Total Fixo + Pós Conectado Mais + Banda Larga0.7103Template de desconto percentual FLAT Móvel - Conta Total - Varejo - Ganho Tributário Cross</v>
          </cell>
          <cell r="B123" t="str">
            <v>Plano Oi Completo Mais</v>
          </cell>
          <cell r="C123" t="str">
            <v>Template de desconto percentual FLAT Móvel - Conta Total - Varejo - Ganho Tributário Cross</v>
          </cell>
          <cell r="D123">
            <v>0.71030000000000004</v>
          </cell>
          <cell r="E123" t="str">
            <v>MKT-1-9825693675</v>
          </cell>
          <cell r="F123" t="str">
            <v>0T3T_REJ17_PCS-4P9pi_FLAT_MÓVEL_GT_71.03%</v>
          </cell>
          <cell r="G123">
            <v>71.03</v>
          </cell>
        </row>
        <row r="124">
          <cell r="A124" t="str">
            <v>Oi Total Fixo + Pós 50 + Banda Larga0.1104Template de desconto percentual FLAT Móvel - Conta Total - Varejo - Ganho Tributário Cross</v>
          </cell>
          <cell r="B124" t="str">
            <v>Plano Oi Completo XSmall</v>
          </cell>
          <cell r="C124" t="str">
            <v>Template de desconto percentual FLAT Móvel - Conta Total - Varejo - Ganho Tributário Cross</v>
          </cell>
          <cell r="D124">
            <v>0.1104</v>
          </cell>
          <cell r="E124" t="str">
            <v>MKT-1-9825693876</v>
          </cell>
          <cell r="F124" t="str">
            <v>0T3T_REJ17_PCS-4P2pi_FLAT_MÓVEL_GT_11.04%</v>
          </cell>
          <cell r="G124">
            <v>11.04</v>
          </cell>
        </row>
        <row r="125">
          <cell r="A125" t="str">
            <v>Oi Total Fixo + Pós Conectado 500 + Banda Larga0.64Template de desconto percentual FLAT Móvel - Conta Total - Varejo - Ganho Tributário Cross</v>
          </cell>
          <cell r="B125" t="str">
            <v>Plano Oi Completo 500</v>
          </cell>
          <cell r="C125" t="str">
            <v>Template de desconto percentual FLAT Móvel - Conta Total - Varejo - Ganho Tributário Cross</v>
          </cell>
          <cell r="D125">
            <v>0.64</v>
          </cell>
          <cell r="E125" t="str">
            <v>MKT-1-9825694077</v>
          </cell>
          <cell r="F125" t="str">
            <v>0T3T_REJ17_PCS-4P8pi_FLAT_MÓVEL_GT_64.00%</v>
          </cell>
          <cell r="G125">
            <v>64</v>
          </cell>
        </row>
        <row r="126">
          <cell r="A126" t="str">
            <v>Oi Total Fixo + Pós 100 + Banda Larga0.3754Template de desconto percentual FLAT Móvel - Conta Total - Varejo - Ganho Tributário Cross</v>
          </cell>
          <cell r="B126" t="str">
            <v>Plano Oi Completo Small</v>
          </cell>
          <cell r="C126" t="str">
            <v>Template de desconto percentual FLAT Móvel - Conta Total - Varejo - Ganho Tributário Cross</v>
          </cell>
          <cell r="D126">
            <v>0.37540000000000001</v>
          </cell>
          <cell r="E126" t="str">
            <v>MKT-1-9825737278</v>
          </cell>
          <cell r="F126" t="str">
            <v>0T3T_REJ17_PCS-4P3pi_FLAT_MÓVEL_GT_37.54%</v>
          </cell>
          <cell r="G126">
            <v>37.54</v>
          </cell>
        </row>
        <row r="127">
          <cell r="A127" t="str">
            <v>Oi Total Fixo + Pós Conectado 1.000 + Banda Larga0.7151Template de desconto percentual FLAT Móvel - Conta Total - Varejo - Ganho Tributário Cross</v>
          </cell>
          <cell r="B127" t="str">
            <v>Plano Oi Completo 1.000</v>
          </cell>
          <cell r="C127" t="str">
            <v>Template de desconto percentual FLAT Móvel - Conta Total - Varejo - Ganho Tributário Cross</v>
          </cell>
          <cell r="D127">
            <v>0.71510000000000007</v>
          </cell>
          <cell r="E127" t="str">
            <v>MKT-1-9825737479</v>
          </cell>
          <cell r="F127" t="str">
            <v>0T3T_REJ17_PCS-4P10pi_FLAT_MÓVEL_GT_71.51%</v>
          </cell>
          <cell r="G127">
            <v>71.510000000000005</v>
          </cell>
        </row>
        <row r="128">
          <cell r="A128" t="str">
            <v>Oi Total Fixo + Pós Conectado Mais + Banda Larga0.5944Template de desconto percentual FLAT Móvel - Conta Total - Varejo - Ganho Tributário Cross</v>
          </cell>
          <cell r="B128" t="str">
            <v>Plano Oi Completo Mais</v>
          </cell>
          <cell r="C128" t="str">
            <v>Template de desconto percentual FLAT Móvel - Conta Total - Varejo - Ganho Tributário Cross</v>
          </cell>
          <cell r="D128">
            <v>0.59439999999999993</v>
          </cell>
          <cell r="E128" t="str">
            <v>MKT-1-9825737680</v>
          </cell>
          <cell r="F128" t="str">
            <v>0T3T_REJ17_PCS-4P9pi_FLAT_MÓVEL_GT_59.44%</v>
          </cell>
          <cell r="G128">
            <v>59.44</v>
          </cell>
        </row>
        <row r="129">
          <cell r="A129" t="str">
            <v>Oi Total Fixo + Pós 50 + Banda Larga0.4062Template de desconto percentual FLAT Móvel - Conta Total - Varejo - Ganho Tributário Cross</v>
          </cell>
          <cell r="B129" t="str">
            <v>Plano Oi Completo XSmall</v>
          </cell>
          <cell r="C129" t="str">
            <v>Template de desconto percentual FLAT Móvel - Conta Total - Varejo - Ganho Tributário Cross</v>
          </cell>
          <cell r="D129">
            <v>0.40619999999999995</v>
          </cell>
          <cell r="E129" t="str">
            <v>MKT-1-9825737881</v>
          </cell>
          <cell r="F129" t="str">
            <v>0T3T_REJ17_PCS-4P2pi_FLAT_MÓVEL_GT_40.62%</v>
          </cell>
          <cell r="G129">
            <v>40.619999999999997</v>
          </cell>
        </row>
        <row r="130">
          <cell r="A130" t="str">
            <v>Oi Total Fixo + Pós Conectado 500 + Banda Larga0.7597Template de desconto percentual FLAT Móvel - Conta Total - Varejo - Ganho Tributário Cross</v>
          </cell>
          <cell r="B130" t="str">
            <v>Plano Oi Completo 500</v>
          </cell>
          <cell r="C130" t="str">
            <v>Template de desconto percentual FLAT Móvel - Conta Total - Varejo - Ganho Tributário Cross</v>
          </cell>
          <cell r="D130">
            <v>0.75970000000000004</v>
          </cell>
          <cell r="E130" t="str">
            <v>MKT-1-9825738082</v>
          </cell>
          <cell r="F130" t="str">
            <v>0T3T_REJ17_PCS-4P8pi_FLAT_MÓVEL_GT_75.97%</v>
          </cell>
          <cell r="G130">
            <v>75.97</v>
          </cell>
        </row>
        <row r="131">
          <cell r="A131" t="str">
            <v>Oi Total Fixo + Pós 100 + Banda Larga0.5706Template de desconto percentual FLAT Móvel - Conta Total - Varejo - Ganho Tributário Cross</v>
          </cell>
          <cell r="B131" t="str">
            <v>Plano Oi Completo Small</v>
          </cell>
          <cell r="C131" t="str">
            <v>Template de desconto percentual FLAT Móvel - Conta Total - Varejo - Ganho Tributário Cross</v>
          </cell>
          <cell r="D131">
            <v>0.5706</v>
          </cell>
          <cell r="E131" t="str">
            <v>MKT-1-9825897283</v>
          </cell>
          <cell r="F131" t="str">
            <v>0T3T_REJ17_PCS-4P3pi_FLAT_MÓVEL_GT_57.06%</v>
          </cell>
          <cell r="G131">
            <v>57.06</v>
          </cell>
        </row>
        <row r="132">
          <cell r="A132" t="str">
            <v>Oi Total Fixo + Pós Conectado 1.000 + Banda Larga0.8042Template de desconto percentual FLAT Móvel - Conta Total - Varejo - Ganho Tributário Cross</v>
          </cell>
          <cell r="B132" t="str">
            <v>Plano Oi Completo 1.000</v>
          </cell>
          <cell r="C132" t="str">
            <v>Template de desconto percentual FLAT Móvel - Conta Total - Varejo - Ganho Tributário Cross</v>
          </cell>
          <cell r="D132">
            <v>0.80420000000000003</v>
          </cell>
          <cell r="E132" t="str">
            <v>MKT-1-9825897484</v>
          </cell>
          <cell r="F132" t="str">
            <v>0T3T_REJ17_PCS-4P10pi_FLAT_MÓVEL_GT_80.42%</v>
          </cell>
          <cell r="G132">
            <v>80.42</v>
          </cell>
        </row>
        <row r="133">
          <cell r="A133" t="str">
            <v>Oi Total Fixo + Pós Conectado Mais + Banda Larga0.7248Template de desconto percentual FLAT Móvel - Conta Total - Varejo - Ganho Tributário Cross</v>
          </cell>
          <cell r="B133" t="str">
            <v>Plano Oi Completo Mais</v>
          </cell>
          <cell r="C133" t="str">
            <v>Template de desconto percentual FLAT Móvel - Conta Total - Varejo - Ganho Tributário Cross</v>
          </cell>
          <cell r="D133">
            <v>0.7248</v>
          </cell>
          <cell r="E133" t="str">
            <v>MKT-1-9825897685</v>
          </cell>
          <cell r="F133" t="str">
            <v>0T3T_REJ17_PCS-4P9pi_FLAT_MÓVEL_GT_72.48%</v>
          </cell>
          <cell r="G133">
            <v>72.48</v>
          </cell>
        </row>
        <row r="134">
          <cell r="A134" t="str">
            <v>Oi Total Fixo + Pós 50 + Banda Larga0.1675Template de desconto percentual FLAT Móvel - Conta Total - Varejo - Ganho Tributário Cross</v>
          </cell>
          <cell r="B134" t="str">
            <v>Plano Oi Completo XSmall</v>
          </cell>
          <cell r="C134" t="str">
            <v>Template de desconto percentual FLAT Móvel - Conta Total - Varejo - Ganho Tributário Cross</v>
          </cell>
          <cell r="D134">
            <v>0.16750000000000001</v>
          </cell>
          <cell r="E134" t="str">
            <v>MKT-1-9825897886</v>
          </cell>
          <cell r="F134" t="str">
            <v>0T3T_REJ17_PCS-4P2pi_FLAT_MÓVEL_GT_16.75%</v>
          </cell>
          <cell r="G134">
            <v>16.75</v>
          </cell>
        </row>
        <row r="135">
          <cell r="A135" t="str">
            <v>Oi Total Fixo + Pós Conectado 500 + Banda Larga0.6631Template de desconto percentual FLAT Móvel - Conta Total - Varejo - Ganho Tributário Cross</v>
          </cell>
          <cell r="B135" t="str">
            <v>Plano Oi Completo 500</v>
          </cell>
          <cell r="C135" t="str">
            <v>Template de desconto percentual FLAT Móvel - Conta Total - Varejo - Ganho Tributário Cross</v>
          </cell>
          <cell r="D135">
            <v>0.66310000000000002</v>
          </cell>
          <cell r="E135" t="str">
            <v>MKT-1-9825898087</v>
          </cell>
          <cell r="F135" t="str">
            <v>0T3T_REJ17_PCS-4P8pi_FLAT_MÓVEL_GT_66.31%</v>
          </cell>
          <cell r="G135">
            <v>66.31</v>
          </cell>
        </row>
        <row r="136">
          <cell r="A136" t="str">
            <v>Oi Total Fixo + Pós 100 + Banda Larga0.4144Template de desconto percentual FLAT Móvel - Conta Total - Varejo - Ganho Tributário Cross</v>
          </cell>
          <cell r="B136" t="str">
            <v>Plano Oi Completo Small</v>
          </cell>
          <cell r="C136" t="str">
            <v>Template de desconto percentual FLAT Móvel - Conta Total - Varejo - Ganho Tributário Cross</v>
          </cell>
          <cell r="D136">
            <v>0.41439999999999999</v>
          </cell>
          <cell r="E136" t="str">
            <v>MKT-1-9825957298</v>
          </cell>
          <cell r="F136" t="str">
            <v>0T3T_REJ17_PCS-4P3pi_FLAT_MÓVEL_GT_41.44%</v>
          </cell>
          <cell r="G136">
            <v>41.44</v>
          </cell>
        </row>
        <row r="137">
          <cell r="A137" t="str">
            <v>Oi Total Fixo + Pós Conectado 1.000 + Banda Larga0.7329Template de desconto percentual FLAT Móvel - Conta Total - Varejo - Ganho Tributário Cross</v>
          </cell>
          <cell r="B137" t="str">
            <v>Plano Oi Completo 1.000</v>
          </cell>
          <cell r="C137" t="str">
            <v>Template de desconto percentual FLAT Móvel - Conta Total - Varejo - Ganho Tributário Cross</v>
          </cell>
          <cell r="D137">
            <v>0.73290000000000011</v>
          </cell>
          <cell r="E137" t="str">
            <v>MKT-1-9825957499</v>
          </cell>
          <cell r="F137" t="str">
            <v>0T3T_REJ17_PCS-4P10pi_FLAT_MÓVEL_GT_73.29%</v>
          </cell>
          <cell r="G137">
            <v>73.290000000000006</v>
          </cell>
        </row>
        <row r="138">
          <cell r="A138" t="str">
            <v>Oi Total Fixo + Pós Conectado Mais + Banda Larga0.6089Template de desconto percentual FLAT Móvel - Conta Total - Varejo - Ganho Tributário Cross</v>
          </cell>
          <cell r="B138" t="str">
            <v>Plano Oi Completo Mais</v>
          </cell>
          <cell r="C138" t="str">
            <v>Template de desconto percentual FLAT Móvel - Conta Total - Varejo - Ganho Tributário Cross</v>
          </cell>
          <cell r="D138">
            <v>0.6089</v>
          </cell>
          <cell r="E138" t="str">
            <v>MKT-1-9825957700</v>
          </cell>
          <cell r="F138" t="str">
            <v>0T3T_REJ17_PCS-4P9pi_FLAT_MÓVEL_GT_60.89%</v>
          </cell>
          <cell r="G138">
            <v>60.89</v>
          </cell>
        </row>
        <row r="139">
          <cell r="A139" t="str">
            <v>Oi Total Fixo + Pós 100 + Banda Larga0.594Template de desconto percentual FLAT Móvel - Conta Total - Varejo - Ganho Tributário Cross</v>
          </cell>
          <cell r="B139" t="str">
            <v>Plano Oi Completo Small</v>
          </cell>
          <cell r="C139" t="str">
            <v>Template de desconto percentual FLAT Móvel - Conta Total - Varejo - Ganho Tributário Cross</v>
          </cell>
          <cell r="D139">
            <v>0.59399999999999997</v>
          </cell>
          <cell r="E139" t="str">
            <v>MKT-1-9825957901</v>
          </cell>
          <cell r="F139" t="str">
            <v>0T3T_REJ17_PCS-4P3pi_FLAT_MÓVEL_GT_59.40%</v>
          </cell>
          <cell r="G139">
            <v>59.4</v>
          </cell>
        </row>
        <row r="140">
          <cell r="A140" t="str">
            <v>Oi Total Fixo + Pós 250 + Banda Larga0.7564Template de desconto percentual FLAT Móvel - Conta Total - Varejo - Ganho Tributário Cross</v>
          </cell>
          <cell r="B140" t="str">
            <v>Plano Oi Completo Medium</v>
          </cell>
          <cell r="C140" t="str">
            <v>Template de desconto percentual FLAT Móvel - Conta Total - Varejo - Ganho Tributário Cross</v>
          </cell>
          <cell r="D140">
            <v>0.75639999999999996</v>
          </cell>
          <cell r="E140" t="str">
            <v>MKT-1-9825970102</v>
          </cell>
          <cell r="F140" t="str">
            <v>0T3T_REJ17_PCS-4P4pi_FLAT_MÓVEL_GT_75.64%</v>
          </cell>
          <cell r="G140">
            <v>75.64</v>
          </cell>
        </row>
        <row r="141">
          <cell r="A141" t="str">
            <v>Oi Total Fixo + Pós Conectado 1.000 + Banda Larga0.8148Template de desconto percentual FLAT Móvel - Conta Total - Varejo - Ganho Tributário Cross</v>
          </cell>
          <cell r="B141" t="str">
            <v>Plano Oi Completo 1.000</v>
          </cell>
          <cell r="C141" t="str">
            <v>Template de desconto percentual FLAT Móvel - Conta Total - Varejo - Ganho Tributário Cross</v>
          </cell>
          <cell r="D141">
            <v>0.81480000000000008</v>
          </cell>
          <cell r="E141" t="str">
            <v>MKT-1-9825970303</v>
          </cell>
          <cell r="F141" t="str">
            <v>0T3T_REJ17_PCS-4P10pi_FLAT_MÓVEL_GT_81.48%</v>
          </cell>
          <cell r="G141">
            <v>81.48</v>
          </cell>
        </row>
        <row r="142">
          <cell r="A142" t="str">
            <v>Oi Total Fixo + Pós Conectado Mais + Banda Larga0.8494Template de desconto percentual FLAT Móvel - Conta Total - Varejo - Ganho Tributário Cross</v>
          </cell>
          <cell r="B142" t="str">
            <v>Plano Oi Completo Mais</v>
          </cell>
          <cell r="C142" t="str">
            <v>Template de desconto percentual FLAT Móvel - Conta Total - Varejo - Ganho Tributário Cross</v>
          </cell>
          <cell r="D142">
            <v>0.84939999999999993</v>
          </cell>
          <cell r="E142" t="str">
            <v>MKT-1-9825970504</v>
          </cell>
          <cell r="F142" t="str">
            <v>0T3T_REJ17_PCS-4P9pi_FLAT_MÓVEL_GT_84.94%</v>
          </cell>
          <cell r="G142">
            <v>84.94</v>
          </cell>
        </row>
        <row r="143">
          <cell r="A143" t="str">
            <v>Oi Total Fixo + Pós Conectado Mais + Banda Larga0.832Template de desconto percentual FLAT Móvel - Conta Total - Varejo - Ganho Tributário Cross</v>
          </cell>
          <cell r="B143" t="str">
            <v>Plano Oi Completo Mais</v>
          </cell>
          <cell r="C143" t="str">
            <v>Template de desconto percentual FLAT Móvel - Conta Total - Varejo - Ganho Tributário Cross</v>
          </cell>
          <cell r="D143">
            <v>0.83200000000000007</v>
          </cell>
          <cell r="E143" t="str">
            <v>MKT-1-9825970705</v>
          </cell>
          <cell r="F143" t="str">
            <v>0T3T_REJ17_PCS-4P9pi_FLAT_MÓVEL_GT_83.20%</v>
          </cell>
          <cell r="G143">
            <v>83.2</v>
          </cell>
        </row>
        <row r="144">
          <cell r="A144" t="str">
            <v>Oi Total Fixo + Pós 500 + Banda Larga0.8428Template de desconto percentual FLAT Móvel - Conta Total - Varejo - Ganho Tributário Cross</v>
          </cell>
          <cell r="B144" t="str">
            <v>Plano Oi Completo Large</v>
          </cell>
          <cell r="C144" t="str">
            <v>Template de desconto percentual FLAT Móvel - Conta Total - Varejo - Ganho Tributário Cross</v>
          </cell>
          <cell r="D144">
            <v>0.84279999999999999</v>
          </cell>
          <cell r="E144" t="str">
            <v>MKT-1-9825970906</v>
          </cell>
          <cell r="F144" t="str">
            <v>0T3T_REJ17_PCS-4P5pi_FLAT_MÓVEL_GT_84.28%</v>
          </cell>
          <cell r="G144">
            <v>84.28</v>
          </cell>
        </row>
        <row r="145">
          <cell r="A145" t="str">
            <v>Oi Internet pra Celular 3GB0.7667Template Flat Instância Dados</v>
          </cell>
          <cell r="B145" t="str">
            <v>Oi Internet pra Celular 3GB</v>
          </cell>
          <cell r="C145" t="str">
            <v>Template Flat Instância Dados</v>
          </cell>
          <cell r="D145">
            <v>0.76670000000000005</v>
          </cell>
          <cell r="E145" t="str">
            <v>MKT-1-9826002751</v>
          </cell>
          <cell r="F145" t="str">
            <v>0T3T_REJ17_INTCEL-3G_76.67%</v>
          </cell>
          <cell r="G145">
            <v>76.67</v>
          </cell>
        </row>
        <row r="146">
          <cell r="A146" t="str">
            <v>Oi Internet pra Celular 5GB0.7193Template Flat Instância Dados</v>
          </cell>
          <cell r="B146" t="str">
            <v>Oi Internet pra Celular 5GB</v>
          </cell>
          <cell r="C146" t="str">
            <v>Template Flat Instância Dados</v>
          </cell>
          <cell r="D146">
            <v>0.71930000000000005</v>
          </cell>
          <cell r="E146" t="str">
            <v>MKT-1-9826020123</v>
          </cell>
          <cell r="F146" t="str">
            <v>0T3T_REJ17_INTCEL-5G_71.93%</v>
          </cell>
          <cell r="G146">
            <v>71.930000000000007</v>
          </cell>
        </row>
        <row r="147">
          <cell r="A147" t="str">
            <v>Oi Internet pra Celular 10GB0.6439Template Flat Instância Dados</v>
          </cell>
          <cell r="B147" t="str">
            <v>Oi Internet pra Celular 10GB</v>
          </cell>
          <cell r="C147" t="str">
            <v>Template Flat Instância Dados</v>
          </cell>
          <cell r="D147">
            <v>0.64390000000000003</v>
          </cell>
          <cell r="E147" t="str">
            <v>MKT-1-9826020495</v>
          </cell>
          <cell r="F147" t="str">
            <v>0T3T_REJ17_INTCEL-10G_64.39%</v>
          </cell>
          <cell r="G147">
            <v>64.39</v>
          </cell>
        </row>
        <row r="148">
          <cell r="A148" t="str">
            <v>Oi Internet pra Celular 10GB0.5421Template Flat Instância Dados</v>
          </cell>
          <cell r="B148" t="str">
            <v>Oi Internet pra Celular 10GB</v>
          </cell>
          <cell r="C148" t="str">
            <v>Template Flat Instância Dados</v>
          </cell>
          <cell r="D148">
            <v>0.54210000000000003</v>
          </cell>
          <cell r="E148" t="str">
            <v>MKT-1-9826020867</v>
          </cell>
          <cell r="F148" t="str">
            <v>0T3T_REJ17_INTCEL-10G_54.21%</v>
          </cell>
          <cell r="G148">
            <v>54.21</v>
          </cell>
        </row>
        <row r="149">
          <cell r="A149" t="str">
            <v>Oi Internet pra Celular 10GB0.2874Template Flat Instância Dados</v>
          </cell>
          <cell r="B149" t="str">
            <v>Oi Internet pra Celular 10GB</v>
          </cell>
          <cell r="C149" t="str">
            <v>Template Flat Instância Dados</v>
          </cell>
          <cell r="D149">
            <v>0.28739999999999999</v>
          </cell>
          <cell r="E149" t="str">
            <v>MKT-1-9826037239</v>
          </cell>
          <cell r="F149" t="str">
            <v>0T3T_REJ17_INTCEL-10G_28.74%</v>
          </cell>
          <cell r="G149">
            <v>28.74</v>
          </cell>
        </row>
        <row r="150">
          <cell r="A150" t="str">
            <v>Oi Internet pra Celular 3GB0.8675Template Flat Instância Dados</v>
          </cell>
          <cell r="B150" t="str">
            <v>Oi Internet pra Celular 3GB</v>
          </cell>
          <cell r="C150" t="str">
            <v>Template Flat Instância Dados</v>
          </cell>
          <cell r="D150">
            <v>0.86750000000000005</v>
          </cell>
          <cell r="E150" t="str">
            <v>MKT-1-9826037631</v>
          </cell>
          <cell r="F150" t="str">
            <v>0T3T_REJ17_INTCEL-3G_86.75%</v>
          </cell>
          <cell r="G150">
            <v>86.75</v>
          </cell>
        </row>
        <row r="151">
          <cell r="A151" t="str">
            <v>Oi Internet pra Celular 5GB0.789Template Flat Instância Dados</v>
          </cell>
          <cell r="B151" t="str">
            <v>Oi Internet pra Celular 5GB</v>
          </cell>
          <cell r="C151" t="str">
            <v>Template Flat Instância Dados</v>
          </cell>
          <cell r="D151">
            <v>0.78900000000000003</v>
          </cell>
          <cell r="E151" t="str">
            <v>MKT-1-9826038003</v>
          </cell>
          <cell r="F151" t="str">
            <v>0T3T_REJ17_INTCEL-5G_78.90%</v>
          </cell>
          <cell r="G151">
            <v>78.900000000000006</v>
          </cell>
        </row>
        <row r="152">
          <cell r="A152" t="str">
            <v>Oi Internet pra Celular 10GB0.6944Template Flat Instância Dados</v>
          </cell>
          <cell r="B152" t="str">
            <v>Oi Internet pra Celular 10GB</v>
          </cell>
          <cell r="C152" t="str">
            <v>Template Flat Instância Dados</v>
          </cell>
          <cell r="D152">
            <v>0.69440000000000002</v>
          </cell>
          <cell r="E152" t="str">
            <v>MKT-1-9826044375</v>
          </cell>
          <cell r="F152" t="str">
            <v>0T3T_REJ17_INTCEL-10G_69.44%</v>
          </cell>
          <cell r="G152">
            <v>69.44</v>
          </cell>
        </row>
        <row r="153">
          <cell r="A153" t="str">
            <v>Oi Internet pra Celular 10GB0.5925Template Flat Instância Dados</v>
          </cell>
          <cell r="B153" t="str">
            <v>Oi Internet pra Celular 10GB</v>
          </cell>
          <cell r="C153" t="str">
            <v>Template Flat Instância Dados</v>
          </cell>
          <cell r="D153">
            <v>0.59250000000000003</v>
          </cell>
          <cell r="E153" t="str">
            <v>MKT-1-9826044747</v>
          </cell>
          <cell r="F153" t="str">
            <v>0T3T_REJ17_INTCEL-10G_59.25%</v>
          </cell>
          <cell r="G153">
            <v>59.25</v>
          </cell>
        </row>
        <row r="154">
          <cell r="A154" t="str">
            <v>Oi Internet pra Celular 10GB0.3383Template Flat Instância Dados</v>
          </cell>
          <cell r="B154" t="str">
            <v>Oi Internet pra Celular 10GB</v>
          </cell>
          <cell r="C154" t="str">
            <v>Template Flat Instância Dados</v>
          </cell>
          <cell r="D154">
            <v>0.33829999999999999</v>
          </cell>
          <cell r="E154" t="str">
            <v>MKT-1-9826048119</v>
          </cell>
          <cell r="F154" t="str">
            <v>0T3T_REJ17_INTCEL-10G_33.83%</v>
          </cell>
          <cell r="G154">
            <v>33.83</v>
          </cell>
        </row>
        <row r="155">
          <cell r="A155" t="str">
            <v>Oi Internet pra Celular 5GB0.7186Template Flat Instância Dados</v>
          </cell>
          <cell r="B155" t="str">
            <v>Oi Internet pra Celular 5GB</v>
          </cell>
          <cell r="C155" t="str">
            <v>Template Flat Instância Dados</v>
          </cell>
          <cell r="D155">
            <v>0.71860000000000002</v>
          </cell>
          <cell r="E155" t="str">
            <v>MKT-1-9826048491</v>
          </cell>
          <cell r="F155" t="str">
            <v>0T3T_REJ17_INTCEL-5G_71.86%</v>
          </cell>
          <cell r="G155">
            <v>71.86</v>
          </cell>
        </row>
        <row r="156">
          <cell r="A156" t="str">
            <v>Oi Internet pra Celular 5GB0.6834Template Flat Instância Dados</v>
          </cell>
          <cell r="B156" t="str">
            <v>Oi Internet pra Celular 5GB</v>
          </cell>
          <cell r="C156" t="str">
            <v>Template Flat Instância Dados</v>
          </cell>
          <cell r="D156">
            <v>0.68340000000000001</v>
          </cell>
          <cell r="E156" t="str">
            <v>MKT-1-9826048863</v>
          </cell>
          <cell r="F156" t="str">
            <v>0T3T_REJ17_INTCEL-5G_68.34%</v>
          </cell>
          <cell r="G156">
            <v>68.34</v>
          </cell>
        </row>
        <row r="157">
          <cell r="A157" t="str">
            <v>Oi Internet pra Celular 5GB0.6131Template Flat Instância Dados</v>
          </cell>
          <cell r="B157" t="str">
            <v>Oi Internet pra Celular 5GB</v>
          </cell>
          <cell r="C157" t="str">
            <v>Template Flat Instância Dados</v>
          </cell>
          <cell r="D157">
            <v>0.61309999999999998</v>
          </cell>
          <cell r="E157" t="str">
            <v>MKT-1-9826055235</v>
          </cell>
          <cell r="F157" t="str">
            <v>0T3T_REJ17_INTCEL-5G_61.31%</v>
          </cell>
          <cell r="G157">
            <v>61.31</v>
          </cell>
        </row>
        <row r="158">
          <cell r="A158" t="str">
            <v>Oi Internet pra Celular 3GB0.7453Template Flat Instância Dados</v>
          </cell>
          <cell r="B158" t="str">
            <v>Oi Internet pra Celular 3GB</v>
          </cell>
          <cell r="C158" t="str">
            <v>Template Flat Instância Dados</v>
          </cell>
          <cell r="D158">
            <v>0.74529999999999996</v>
          </cell>
          <cell r="E158" t="str">
            <v>MKT-1-9826055607</v>
          </cell>
          <cell r="F158" t="str">
            <v>0T3T_REJ17_INTCEL-3G_74.53%</v>
          </cell>
          <cell r="G158">
            <v>74.53</v>
          </cell>
        </row>
        <row r="159">
          <cell r="A159" t="str">
            <v>Oi Internet pra Celular 3GB0.6434Template Flat Instância Dados</v>
          </cell>
          <cell r="B159" t="str">
            <v>Oi Internet pra Celular 3GB</v>
          </cell>
          <cell r="C159" t="str">
            <v>Template Flat Instância Dados</v>
          </cell>
          <cell r="D159">
            <v>0.64340000000000008</v>
          </cell>
          <cell r="E159" t="str">
            <v>MKT-1-9826063159</v>
          </cell>
          <cell r="F159" t="str">
            <v>0T3T_REJ17_INTCEL-3G_64.34%</v>
          </cell>
          <cell r="G159">
            <v>64.34</v>
          </cell>
        </row>
        <row r="160">
          <cell r="A160" t="str">
            <v>Oi Internet pra Celular 5GB0.6483Template Flat Instância Dados</v>
          </cell>
          <cell r="B160" t="str">
            <v>Oi Internet pra Celular 5GB</v>
          </cell>
          <cell r="C160" t="str">
            <v>Template Flat Instância Dados</v>
          </cell>
          <cell r="D160">
            <v>0.64829999999999999</v>
          </cell>
          <cell r="E160" t="str">
            <v>MKT-1-9826063831</v>
          </cell>
          <cell r="F160" t="str">
            <v>0T3T_REJ17_INTCEL-5G_64.83%</v>
          </cell>
          <cell r="G160">
            <v>64.83</v>
          </cell>
        </row>
        <row r="161">
          <cell r="A161" t="str">
            <v>Oi Internet pra Celular 5GB0.5779Template Flat Instância Dados</v>
          </cell>
          <cell r="B161" t="str">
            <v>Oi Internet pra Celular 5GB</v>
          </cell>
          <cell r="C161" t="str">
            <v>Template Flat Instância Dados</v>
          </cell>
          <cell r="D161">
            <v>0.57789999999999997</v>
          </cell>
          <cell r="E161" t="str">
            <v>MKT-1-9826070493</v>
          </cell>
          <cell r="F161" t="str">
            <v>0T3T_REJ17_INTCEL-5G_57.79%</v>
          </cell>
          <cell r="G161">
            <v>57.79</v>
          </cell>
        </row>
        <row r="162">
          <cell r="A162" t="str">
            <v>Oi Internet pra Celular 5GB0.5076Template Flat Instância Dados</v>
          </cell>
          <cell r="B162" t="str">
            <v>Oi Internet pra Celular 5GB</v>
          </cell>
          <cell r="C162" t="str">
            <v>Template Flat Instância Dados</v>
          </cell>
          <cell r="D162">
            <v>0.50759999999999994</v>
          </cell>
          <cell r="E162" t="str">
            <v>MKT-1-9826077135</v>
          </cell>
          <cell r="F162" t="str">
            <v>0T3T_REJ17_INTCEL-5G_50.76%</v>
          </cell>
          <cell r="G162">
            <v>50.76</v>
          </cell>
        </row>
        <row r="163">
          <cell r="A163" t="str">
            <v>Oi Internet pra Celular 10GB0.567Template Flat Instância Dados</v>
          </cell>
          <cell r="B163" t="str">
            <v>Oi Internet pra Celular 10GB</v>
          </cell>
          <cell r="C163" t="str">
            <v>Template Flat Instância Dados</v>
          </cell>
          <cell r="D163">
            <v>0.56700000000000006</v>
          </cell>
          <cell r="E163" t="str">
            <v>MKT-1-9826077897</v>
          </cell>
          <cell r="F163" t="str">
            <v>0T3T_REJ17_INTCEL-10G_56.70%</v>
          </cell>
          <cell r="G163">
            <v>56.7</v>
          </cell>
        </row>
        <row r="164">
          <cell r="A164" t="str">
            <v>Oi Internet pra Celular 3GB0.134Template Flat Instância Dados</v>
          </cell>
          <cell r="B164" t="str">
            <v>Oi Internet pra Celular 3GB</v>
          </cell>
          <cell r="C164" t="str">
            <v>Template Flat Instância Dados</v>
          </cell>
          <cell r="D164">
            <v>0.13400000000000001</v>
          </cell>
          <cell r="E164" t="str">
            <v>MKT-1-9826082499</v>
          </cell>
          <cell r="F164" t="str">
            <v>0T3T_REJ17_INTCEL-3G_13.40%</v>
          </cell>
          <cell r="G164">
            <v>13.4</v>
          </cell>
        </row>
        <row r="165">
          <cell r="A165" t="str">
            <v>Oi Internet pra Celular 3GB0.0932Template Flat Instância Dados</v>
          </cell>
          <cell r="B165" t="str">
            <v>Oi Internet pra Celular 3GB</v>
          </cell>
          <cell r="C165" t="str">
            <v>Template Flat Instância Dados</v>
          </cell>
          <cell r="D165">
            <v>9.3200000000000005E-2</v>
          </cell>
          <cell r="E165" t="str">
            <v>MKT-1-9826090531</v>
          </cell>
          <cell r="F165" t="str">
            <v>0T3T_REJ17_INTCEL-3G_09.32%</v>
          </cell>
          <cell r="G165">
            <v>9.32</v>
          </cell>
        </row>
        <row r="166">
          <cell r="A166" t="str">
            <v>Oi Internet pra Celular 5GB0.191Template Flat Instância Dados</v>
          </cell>
          <cell r="B166" t="str">
            <v>Oi Internet pra Celular 5GB</v>
          </cell>
          <cell r="C166" t="str">
            <v>Template Flat Instância Dados</v>
          </cell>
          <cell r="D166">
            <v>0.191</v>
          </cell>
          <cell r="E166" t="str">
            <v>MKT-1-9826093103</v>
          </cell>
          <cell r="F166" t="str">
            <v>0T3T_REJ17_INTCEL-5G_19.10%</v>
          </cell>
          <cell r="G166">
            <v>19.100000000000001</v>
          </cell>
        </row>
        <row r="167">
          <cell r="A167" t="str">
            <v>Oi Internet pra Celular 10GB0.6434Template Flat Instância Dados</v>
          </cell>
          <cell r="B167" t="str">
            <v>Oi Internet pra Celular 10GB</v>
          </cell>
          <cell r="C167" t="str">
            <v>Template Flat Instância Dados</v>
          </cell>
          <cell r="D167">
            <v>0.64340000000000008</v>
          </cell>
          <cell r="E167" t="str">
            <v>MKT-1-9826093995</v>
          </cell>
          <cell r="F167" t="str">
            <v>0T3T_REJ17_INTCEL-10G_64.34%</v>
          </cell>
          <cell r="G167">
            <v>64.34</v>
          </cell>
        </row>
        <row r="168">
          <cell r="A168" t="str">
            <v>Oi Internet pra Celular 3GB0.3887Template Flat Instância Dados</v>
          </cell>
          <cell r="B168" t="str">
            <v>Oi Internet pra Celular 3GB</v>
          </cell>
          <cell r="C168" t="str">
            <v>Template Flat Instância Dados</v>
          </cell>
          <cell r="D168">
            <v>0.38869999999999999</v>
          </cell>
          <cell r="E168" t="str">
            <v>MKT-1-9826107341</v>
          </cell>
          <cell r="F168" t="str">
            <v>0T3T_REJ17_INTCEL-3G_38.87%</v>
          </cell>
          <cell r="G168">
            <v>38.869999999999997</v>
          </cell>
        </row>
        <row r="169">
          <cell r="A169" t="str">
            <v>Oi Internet pra Celular 3GB0.4906Template Flat Instância Dados</v>
          </cell>
          <cell r="B169" t="str">
            <v>Oi Internet pra Celular 3GB</v>
          </cell>
          <cell r="C169" t="str">
            <v>Template Flat Instância Dados</v>
          </cell>
          <cell r="D169">
            <v>0.49060000000000004</v>
          </cell>
          <cell r="E169" t="str">
            <v>MKT-1-9826107843</v>
          </cell>
          <cell r="F169" t="str">
            <v>0T3T_REJ17_INTCEL-3G_49.06%</v>
          </cell>
          <cell r="G169">
            <v>49.06</v>
          </cell>
        </row>
        <row r="170">
          <cell r="A170" t="str">
            <v>Oi Internet pra Celular 5GB0.4372Template Flat Instância Dados</v>
          </cell>
          <cell r="B170" t="str">
            <v>Oi Internet pra Celular 5GB</v>
          </cell>
          <cell r="C170" t="str">
            <v>Template Flat Instância Dados</v>
          </cell>
          <cell r="D170">
            <v>0.43719999999999998</v>
          </cell>
          <cell r="E170" t="str">
            <v>MKT-1-9826125633</v>
          </cell>
          <cell r="F170" t="str">
            <v>0T3T_REJ17_INTCEL-5G_43.72%</v>
          </cell>
          <cell r="G170">
            <v>43.72</v>
          </cell>
        </row>
        <row r="171">
          <cell r="A171" t="str">
            <v>Oi Total Fixo + TV 10.092Template desconto FLAT Plano Principal Oi TV nível conta</v>
          </cell>
          <cell r="B171" t="str">
            <v>Plano Oi Internet Total Low</v>
          </cell>
          <cell r="C171" t="str">
            <v>Template desconto FLAT Plano Principal Oi TV nível conta</v>
          </cell>
          <cell r="D171">
            <v>9.1999999999999998E-2</v>
          </cell>
          <cell r="E171" t="str">
            <v>MKT-1-9825999111</v>
          </cell>
          <cell r="F171" t="str">
            <v>0T3T_REJ17_CFG-2Plowpi_FLAT_TV_09.20%</v>
          </cell>
          <cell r="G171">
            <v>9.1999999999999993</v>
          </cell>
        </row>
        <row r="172">
          <cell r="A172" t="str">
            <v>Oi Total Fixo + TV 20.092Template desconto FLAT Plano Principal Oi TV nível conta</v>
          </cell>
          <cell r="B172" t="str">
            <v>Plano Oi Internet Total Medium</v>
          </cell>
          <cell r="C172" t="str">
            <v>Template desconto FLAT Plano Principal Oi TV nível conta</v>
          </cell>
          <cell r="D172">
            <v>9.1999999999999998E-2</v>
          </cell>
          <cell r="E172" t="str">
            <v>MKT-1-9825999366</v>
          </cell>
          <cell r="F172" t="str">
            <v>0T3T_REJ17_PCS-2PMepi_FLAT_TV_09.20%</v>
          </cell>
          <cell r="G172">
            <v>9.1999999999999993</v>
          </cell>
        </row>
        <row r="173">
          <cell r="A173" t="str">
            <v>Oi Total Fixo + TV 30.2478Template desconto FLAT Plano Principal Oi TV nível conta</v>
          </cell>
          <cell r="B173" t="str">
            <v>Plano Oi Internet Total High</v>
          </cell>
          <cell r="C173" t="str">
            <v>Template desconto FLAT Plano Principal Oi TV nível conta</v>
          </cell>
          <cell r="D173">
            <v>0.24780000000000002</v>
          </cell>
          <cell r="E173" t="str">
            <v>MKT-1-9825999621</v>
          </cell>
          <cell r="F173" t="str">
            <v>0T3T_REJ17_PCS-2PHipi_FLAT_TV_24.78%</v>
          </cell>
          <cell r="G173">
            <v>24.78</v>
          </cell>
        </row>
        <row r="174">
          <cell r="A174" t="str">
            <v>Oi Total Fixo + TV 30.2394Template desconto FLAT Plano Principal Oi TV nível conta</v>
          </cell>
          <cell r="B174" t="str">
            <v>Plano Oi Internet Total High</v>
          </cell>
          <cell r="C174" t="str">
            <v>Template desconto FLAT Plano Principal Oi TV nível conta</v>
          </cell>
          <cell r="D174">
            <v>0.2394</v>
          </cell>
          <cell r="E174" t="str">
            <v>MKT-1-9825999876</v>
          </cell>
          <cell r="F174" t="str">
            <v>0T3T_REJ17_PCS-2PHipi_FLAT_TV_23.94%</v>
          </cell>
          <cell r="G174">
            <v>23.94</v>
          </cell>
        </row>
        <row r="175">
          <cell r="A175" t="str">
            <v>Oi Total Fixo + TV 30.092Template desconto FLAT Plano Principal Oi TV nível conta</v>
          </cell>
          <cell r="B175" t="str">
            <v>Plano Oi Internet Total High</v>
          </cell>
          <cell r="C175" t="str">
            <v>Template desconto FLAT Plano Principal Oi TV nível conta</v>
          </cell>
          <cell r="D175">
            <v>9.1999999999999998E-2</v>
          </cell>
          <cell r="E175" t="str">
            <v>MKT-1-9826106131</v>
          </cell>
          <cell r="F175" t="str">
            <v>0T3T_REJ17_PCS-2PHipi_FLAT_TV_09.20%</v>
          </cell>
          <cell r="G175">
            <v>9.1999999999999993</v>
          </cell>
        </row>
        <row r="176">
          <cell r="A176" t="str">
            <v>Oi Total Fixo + TV 30.2115Template desconto FLAT Plano Principal Oi TV nível conta</v>
          </cell>
          <cell r="B176" t="str">
            <v>Plano Oi Internet Total High</v>
          </cell>
          <cell r="C176" t="str">
            <v>Template desconto FLAT Plano Principal Oi TV nível conta</v>
          </cell>
          <cell r="D176">
            <v>0.21149999999999999</v>
          </cell>
          <cell r="E176" t="str">
            <v>MKT-1-9826106386</v>
          </cell>
          <cell r="F176" t="str">
            <v>0T3T_REJ17_PCS-2PHipi_FLAT_TV_21.15%</v>
          </cell>
          <cell r="G176">
            <v>21.15</v>
          </cell>
        </row>
        <row r="177">
          <cell r="A177" t="str">
            <v>Oi Total Fixo + TV 30.2056Template desconto FLAT Plano Principal Oi TV nível conta</v>
          </cell>
          <cell r="B177" t="str">
            <v>Plano Oi Internet Total High</v>
          </cell>
          <cell r="C177" t="str">
            <v>Template desconto FLAT Plano Principal Oi TV nível conta</v>
          </cell>
          <cell r="D177">
            <v>0.20559999999999998</v>
          </cell>
          <cell r="E177" t="str">
            <v>MKT-1-9826106641</v>
          </cell>
          <cell r="F177" t="str">
            <v>0T3T_REJ17_PCS-2PHipi_FLAT_TV_20.56%</v>
          </cell>
          <cell r="G177">
            <v>20.56</v>
          </cell>
        </row>
        <row r="178">
          <cell r="A178" t="str">
            <v>Oi Total Fixo + Banda Larga + TV 30.4289Template desconto FLAT Plano Principal Oi TV nível conta</v>
          </cell>
          <cell r="B178" t="str">
            <v>Plano Oi Convergente High</v>
          </cell>
          <cell r="C178" t="str">
            <v>Template desconto FLAT Plano Principal Oi TV nível conta</v>
          </cell>
          <cell r="D178">
            <v>0.4289</v>
          </cell>
          <cell r="E178" t="str">
            <v>MKT-1-9826279250</v>
          </cell>
          <cell r="F178" t="str">
            <v>0T3T_REJ17_PCS-3PHipi_FLAT_TV_42.89%</v>
          </cell>
          <cell r="G178">
            <v>42.89</v>
          </cell>
        </row>
        <row r="179">
          <cell r="A179" t="str">
            <v>Oi Total Fixo + Pós Conectado Mais + Banda Larga0.5134Template desconto FLAT Plano Principal Oi TV nível conta</v>
          </cell>
          <cell r="B179" t="str">
            <v>Plano Oi Completo Mais</v>
          </cell>
          <cell r="C179" t="str">
            <v>Template desconto FLAT Plano Principal Oi TV nível conta</v>
          </cell>
          <cell r="D179">
            <v>0.51340000000000008</v>
          </cell>
          <cell r="E179" t="str">
            <v>MKT-1-9826851225</v>
          </cell>
          <cell r="F179" t="str">
            <v>0T3T_REJ17_PCS-4P9pi_FLAT_TV_51.34%</v>
          </cell>
          <cell r="G179">
            <v>51.34</v>
          </cell>
        </row>
        <row r="180">
          <cell r="A180" t="str">
            <v>Oi Total Fixo + Pós Conectado 1.000 + Banda Larga0.4485Template desconto FLAT Plano Principal Oi TV nível conta</v>
          </cell>
          <cell r="B180" t="str">
            <v>Plano Oi Completo 1.000</v>
          </cell>
          <cell r="C180" t="str">
            <v>Template desconto FLAT Plano Principal Oi TV nível conta</v>
          </cell>
          <cell r="D180">
            <v>0.44850000000000001</v>
          </cell>
          <cell r="E180" t="str">
            <v>MKT-1-9826877370</v>
          </cell>
          <cell r="F180" t="str">
            <v>0T3T_REJ17_PCS-4P10pi_FLAT_TV_44.85%</v>
          </cell>
          <cell r="G180">
            <v>44.85</v>
          </cell>
        </row>
        <row r="181">
          <cell r="A181" t="str">
            <v>Oi Total Fixo + Pós 500 + Banda Larga0.5134Template desconto FLAT Plano Principal Oi TV nível conta</v>
          </cell>
          <cell r="B181" t="str">
            <v>Plano Oi Completo Large</v>
          </cell>
          <cell r="C181" t="str">
            <v>Template desconto FLAT Plano Principal Oi TV nível conta</v>
          </cell>
          <cell r="D181">
            <v>0.51340000000000008</v>
          </cell>
          <cell r="E181" t="str">
            <v>MKT-1-9826877795</v>
          </cell>
          <cell r="F181" t="str">
            <v>0T3T_REJ17_PCS-4P5pi_FLAT_TV_51.34%</v>
          </cell>
          <cell r="G181">
            <v>51.34</v>
          </cell>
        </row>
        <row r="182">
          <cell r="A182" t="str">
            <v>Oi Total Fixo + TV 30.171Template desconto FLAT Plano Principal Oi TV nível conta</v>
          </cell>
          <cell r="B182" t="str">
            <v>Plano Oi Internet Total High</v>
          </cell>
          <cell r="C182" t="str">
            <v>Template desconto FLAT Plano Principal Oi TV nível conta</v>
          </cell>
          <cell r="D182">
            <v>0.17100000000000001</v>
          </cell>
          <cell r="E182" t="str">
            <v>MKT-1-9826893481</v>
          </cell>
          <cell r="F182" t="str">
            <v>0T3T_REJ17_PCS-2PHipi_FLAT_TV_17.10%</v>
          </cell>
          <cell r="G182">
            <v>17.100000000000001</v>
          </cell>
        </row>
        <row r="183">
          <cell r="A183" t="str">
            <v>Oi Total Fixo + TV 20.2283Template desconto FLAT Plano Principal Oi TV nível conta</v>
          </cell>
          <cell r="B183" t="str">
            <v>Plano Oi Internet Total Medium</v>
          </cell>
          <cell r="C183" t="str">
            <v>Template desconto FLAT Plano Principal Oi TV nível conta</v>
          </cell>
          <cell r="D183">
            <v>0.22829999999999998</v>
          </cell>
          <cell r="E183" t="str">
            <v>MKT-1-9826893826</v>
          </cell>
          <cell r="F183" t="str">
            <v>0T3T_REJ17_PCS-2PMepi_FLAT_TV_22.83%</v>
          </cell>
          <cell r="G183">
            <v>22.83</v>
          </cell>
        </row>
        <row r="184">
          <cell r="A184" t="str">
            <v>Oi Total Fixo + TV 30.208Template desconto FLAT Plano Principal Oi TV nível conta</v>
          </cell>
          <cell r="B184" t="str">
            <v>Plano Oi Internet Total High</v>
          </cell>
          <cell r="C184" t="str">
            <v>Template desconto FLAT Plano Principal Oi TV nível conta</v>
          </cell>
          <cell r="D184">
            <v>0.20800000000000002</v>
          </cell>
          <cell r="E184" t="str">
            <v>MKT-1-9827111851</v>
          </cell>
          <cell r="F184" t="str">
            <v>0T3T_REJ17_PCS-2PHipi_FLAT_TV_20.80%</v>
          </cell>
          <cell r="G184">
            <v>20.8</v>
          </cell>
        </row>
        <row r="185">
          <cell r="A185" t="str">
            <v>Oi Total Fixo + TV 30.2032Template desconto FLAT Plano Principal Oi TV nível conta</v>
          </cell>
          <cell r="B185" t="str">
            <v>Plano Oi Internet Total High</v>
          </cell>
          <cell r="C185" t="str">
            <v>Template desconto FLAT Plano Principal Oi TV nível conta</v>
          </cell>
          <cell r="D185">
            <v>0.20319999999999999</v>
          </cell>
          <cell r="E185" t="str">
            <v>MKT-1-9827117306</v>
          </cell>
          <cell r="F185" t="str">
            <v>0T3T_REJ17_PCS-2PHipi_FLAT_TV_20.32%</v>
          </cell>
          <cell r="G185">
            <v>20.32</v>
          </cell>
        </row>
        <row r="186">
          <cell r="A186" t="str">
            <v>Oi Total Fixo + TV 30.1893Template desconto FLAT Plano Principal Oi TV nível conta</v>
          </cell>
          <cell r="B186" t="str">
            <v>Plano Oi Internet Total High</v>
          </cell>
          <cell r="C186" t="str">
            <v>Template desconto FLAT Plano Principal Oi TV nível conta</v>
          </cell>
          <cell r="D186">
            <v>0.1893</v>
          </cell>
          <cell r="E186" t="str">
            <v>MKT-1-9827132901</v>
          </cell>
          <cell r="F186" t="str">
            <v>0T3T_REJ17_PCS-2PHipi_FLAT_TV_18.93%</v>
          </cell>
          <cell r="G186">
            <v>18.93</v>
          </cell>
        </row>
        <row r="187">
          <cell r="A187" t="str">
            <v>Oi Total Fixo + TV 10.1435Template desconto FLAT Plano Principal Oi TV nível conta</v>
          </cell>
          <cell r="B187" t="str">
            <v>Plano Oi Internet Total Low</v>
          </cell>
          <cell r="C187" t="str">
            <v>Template desconto FLAT Plano Principal Oi TV nível conta</v>
          </cell>
          <cell r="D187">
            <v>0.14349999999999999</v>
          </cell>
          <cell r="E187" t="str">
            <v>MKT-1-9827145196</v>
          </cell>
          <cell r="F187" t="str">
            <v>0T3T_REJ17_CFG-2Plowpi_FLAT_TV_14.35%</v>
          </cell>
          <cell r="G187">
            <v>14.35</v>
          </cell>
        </row>
        <row r="188">
          <cell r="A188" t="str">
            <v>Oi Total Fixo + TV 20.1341Template desconto FLAT Plano Principal Oi TV nível conta</v>
          </cell>
          <cell r="B188" t="str">
            <v>Plano Oi Internet Total Medium</v>
          </cell>
          <cell r="C188" t="str">
            <v>Template desconto FLAT Plano Principal Oi TV nível conta</v>
          </cell>
          <cell r="D188">
            <v>0.1341</v>
          </cell>
          <cell r="E188" t="str">
            <v>MKT-1-9827145451</v>
          </cell>
          <cell r="F188" t="str">
            <v>0T3T_REJ17_PCS-2PMepi_FLAT_TV_13.41%</v>
          </cell>
          <cell r="G188">
            <v>13.41</v>
          </cell>
        </row>
        <row r="189">
          <cell r="A189" t="str">
            <v>Oi Total Fixo + TV 30.2742Template desconto FLAT Plano Principal Oi TV nível conta</v>
          </cell>
          <cell r="B189" t="str">
            <v>Plano Oi Internet Total High</v>
          </cell>
          <cell r="C189" t="str">
            <v>Template desconto FLAT Plano Principal Oi TV nível conta</v>
          </cell>
          <cell r="D189">
            <v>0.2742</v>
          </cell>
          <cell r="E189" t="str">
            <v>MKT-1-9827187011</v>
          </cell>
          <cell r="F189" t="str">
            <v>0T3T_REJ17_PCS-2PHipi_FLAT_TV_27.42%</v>
          </cell>
          <cell r="G189">
            <v>27.42</v>
          </cell>
        </row>
        <row r="190">
          <cell r="A190" t="str">
            <v>Oi Total Fixo + TV 30.2644Template desconto FLAT Plano Principal Oi TV nível conta</v>
          </cell>
          <cell r="B190" t="str">
            <v>Plano Oi Internet Total High</v>
          </cell>
          <cell r="C190" t="str">
            <v>Template desconto FLAT Plano Principal Oi TV nível conta</v>
          </cell>
          <cell r="D190">
            <v>0.26440000000000002</v>
          </cell>
          <cell r="E190" t="str">
            <v>MKT-1-9827285266</v>
          </cell>
          <cell r="F190" t="str">
            <v>0T3T_REJ17_PCS-2PHipi_FLAT_TV_26.44%</v>
          </cell>
          <cell r="G190">
            <v>26.44</v>
          </cell>
        </row>
        <row r="191">
          <cell r="A191" t="str">
            <v>Oi Total Fixo + TV 30.1164Template desconto FLAT Plano Principal Oi TV nível conta</v>
          </cell>
          <cell r="B191" t="str">
            <v>Plano Oi Internet Total High</v>
          </cell>
          <cell r="C191" t="str">
            <v>Template desconto FLAT Plano Principal Oi TV nível conta</v>
          </cell>
          <cell r="D191">
            <v>0.1164</v>
          </cell>
          <cell r="E191" t="str">
            <v>MKT-1-9827309371</v>
          </cell>
          <cell r="F191" t="str">
            <v>0T3T_REJ17_PCS-2PHipi_FLAT_TV_11.64%</v>
          </cell>
          <cell r="G191">
            <v>11.64</v>
          </cell>
        </row>
        <row r="192">
          <cell r="A192" t="str">
            <v>Oi Total Fixo + TV 30.2359Template desconto FLAT Plano Principal Oi TV nível conta</v>
          </cell>
          <cell r="B192" t="str">
            <v>Plano Oi Internet Total High</v>
          </cell>
          <cell r="C192" t="str">
            <v>Template desconto FLAT Plano Principal Oi TV nível conta</v>
          </cell>
          <cell r="D192">
            <v>0.2359</v>
          </cell>
          <cell r="E192" t="str">
            <v>MKT-1-9827309716</v>
          </cell>
          <cell r="F192" t="str">
            <v>0T3T_REJ17_PCS-2PHipi_FLAT_TV_23.59%</v>
          </cell>
          <cell r="G192">
            <v>23.59</v>
          </cell>
        </row>
        <row r="193">
          <cell r="A193" t="str">
            <v>Oi Total Fixo + TV 30.2287Template desconto FLAT Plano Principal Oi TV nível conta</v>
          </cell>
          <cell r="B193" t="str">
            <v>Plano Oi Internet Total High</v>
          </cell>
          <cell r="C193" t="str">
            <v>Template desconto FLAT Plano Principal Oi TV nível conta</v>
          </cell>
          <cell r="D193">
            <v>0.22870000000000001</v>
          </cell>
          <cell r="E193" t="str">
            <v>MKT-1-9827310051</v>
          </cell>
          <cell r="F193" t="str">
            <v>0T3T_REJ17_PCS-2PHipi_FLAT_TV_22.87%</v>
          </cell>
          <cell r="G193">
            <v>22.87</v>
          </cell>
        </row>
        <row r="194">
          <cell r="A194" t="str">
            <v>Oi Total Fixo + TV 30.1911Template desconto FLAT Plano Principal Oi TV nível conta</v>
          </cell>
          <cell r="B194" t="str">
            <v>Plano Oi Internet Total High</v>
          </cell>
          <cell r="C194" t="str">
            <v>Template desconto FLAT Plano Principal Oi TV nível conta</v>
          </cell>
          <cell r="D194">
            <v>0.19109999999999999</v>
          </cell>
          <cell r="E194" t="str">
            <v>MKT-1-9827314306</v>
          </cell>
          <cell r="F194" t="str">
            <v>0T3T_REJ17_PCS-2PHipi_FLAT_TV_19.11%</v>
          </cell>
          <cell r="G194">
            <v>19.11</v>
          </cell>
        </row>
        <row r="195">
          <cell r="A195" t="str">
            <v>Oi Total Fixo + TV 20.1835Template desconto FLAT Plano Principal Oi TV nível conta</v>
          </cell>
          <cell r="B195" t="str">
            <v>Plano Oi Internet Total Medium</v>
          </cell>
          <cell r="C195" t="str">
            <v>Template desconto FLAT Plano Principal Oi TV nível conta</v>
          </cell>
          <cell r="D195">
            <v>0.18350000000000002</v>
          </cell>
          <cell r="E195" t="str">
            <v>MKT-1-9827315051</v>
          </cell>
          <cell r="F195" t="str">
            <v>0T3T_REJ17_PCS-2PMepi_FLAT_TV_18.35%</v>
          </cell>
          <cell r="G195">
            <v>18.350000000000001</v>
          </cell>
        </row>
        <row r="196">
          <cell r="A196" t="str">
            <v>Oi Total Fixo + TV 30.1662Template desconto FLAT Plano Principal Oi TV nível conta</v>
          </cell>
          <cell r="B196" t="str">
            <v>Plano Oi Internet Total High</v>
          </cell>
          <cell r="C196" t="str">
            <v>Template desconto FLAT Plano Principal Oi TV nível conta</v>
          </cell>
          <cell r="D196">
            <v>0.16620000000000001</v>
          </cell>
          <cell r="E196" t="str">
            <v>MKT-1-9827327376</v>
          </cell>
          <cell r="F196" t="str">
            <v>0T3T_REJ17_PCS-2PHipi_FLAT_TV_16.62%</v>
          </cell>
          <cell r="G196">
            <v>16.62</v>
          </cell>
        </row>
        <row r="197">
          <cell r="A197" t="str">
            <v>Oi Total Fixo + Pós Conectado 1.000 + Banda Larga0.481Template desconto FLAT Plano Principal Oi TV nível conta</v>
          </cell>
          <cell r="B197" t="str">
            <v>Plano Oi Completo 1.000</v>
          </cell>
          <cell r="C197" t="str">
            <v>Template desconto FLAT Plano Principal Oi TV nível conta</v>
          </cell>
          <cell r="D197">
            <v>0.48100000000000004</v>
          </cell>
          <cell r="E197" t="str">
            <v>MKT-1-9827314488</v>
          </cell>
          <cell r="F197" t="str">
            <v>0T3T_REJ17_PCS-4P10pi_FLAT_TV_48.10%</v>
          </cell>
          <cell r="G197">
            <v>48.1</v>
          </cell>
        </row>
        <row r="198">
          <cell r="A198" t="str">
            <v>Oi Total Fixo + TV 30.1624Template desconto FLAT Plano Principal Oi TV nível conta</v>
          </cell>
          <cell r="B198" t="str">
            <v>Plano Oi Internet Total High</v>
          </cell>
          <cell r="C198" t="str">
            <v>Template desconto FLAT Plano Principal Oi TV nível conta</v>
          </cell>
          <cell r="D198">
            <v>0.16239999999999999</v>
          </cell>
          <cell r="E198" t="str">
            <v>MKT-1-9827327741</v>
          </cell>
          <cell r="F198" t="str">
            <v>0T3T_REJ17_PCS-2PHipi_FLAT_TV_16.24%</v>
          </cell>
          <cell r="G198">
            <v>16.239999999999998</v>
          </cell>
        </row>
        <row r="199">
          <cell r="A199" t="str">
            <v>Oi Total Fixo + TV 30.2306Template desconto FLAT Plano Principal Oi TV nível conta</v>
          </cell>
          <cell r="B199" t="str">
            <v>Plano Oi Internet Total High</v>
          </cell>
          <cell r="C199" t="str">
            <v>Template desconto FLAT Plano Principal Oi TV nível conta</v>
          </cell>
          <cell r="D199">
            <v>0.2306</v>
          </cell>
          <cell r="E199" t="str">
            <v>MKT-1-9827329325</v>
          </cell>
          <cell r="F199" t="str">
            <v>0T3T_REJ17_PCS-2PHipi_FLAT_TV_23.06%</v>
          </cell>
          <cell r="G199">
            <v>23.06</v>
          </cell>
        </row>
        <row r="200">
          <cell r="A200" t="str">
            <v>Oi Total Fixo + TV 30.2969Template desconto FLAT Plano Principal Oi TV nível conta</v>
          </cell>
          <cell r="B200" t="str">
            <v>Plano Oi Internet Total High</v>
          </cell>
          <cell r="C200" t="str">
            <v>Template desconto FLAT Plano Principal Oi TV nível conta</v>
          </cell>
          <cell r="D200">
            <v>0.2969</v>
          </cell>
          <cell r="E200" t="str">
            <v>MKT-1-9827329580</v>
          </cell>
          <cell r="F200" t="str">
            <v>0T3T_REJ17_PCS-2PHipi_FLAT_TV_29.69%</v>
          </cell>
          <cell r="G200">
            <v>29.69</v>
          </cell>
        </row>
        <row r="201">
          <cell r="A201" t="str">
            <v>Oi Total Fixo + TV 30.2664Template desconto FLAT Plano Principal Oi TV nível conta</v>
          </cell>
          <cell r="B201" t="str">
            <v>Plano Oi Internet Total High</v>
          </cell>
          <cell r="C201" t="str">
            <v>Template desconto FLAT Plano Principal Oi TV nível conta</v>
          </cell>
          <cell r="D201">
            <v>0.26640000000000003</v>
          </cell>
          <cell r="E201" t="str">
            <v>MKT-1-9827329855</v>
          </cell>
          <cell r="F201" t="str">
            <v>0T3T_REJ17_PCS-2PHipi_FLAT_TV_26.64%</v>
          </cell>
          <cell r="G201">
            <v>26.64</v>
          </cell>
        </row>
        <row r="202">
          <cell r="A202" t="str">
            <v>Oi Total Fixo + TV 30.2592Template desconto FLAT Plano Principal Oi TV nível conta</v>
          </cell>
          <cell r="B202" t="str">
            <v>Plano Oi Internet Total High</v>
          </cell>
          <cell r="C202" t="str">
            <v>Template desconto FLAT Plano Principal Oi TV nível conta</v>
          </cell>
          <cell r="D202">
            <v>0.25920000000000004</v>
          </cell>
          <cell r="E202" t="str">
            <v>MKT-1-9827336220</v>
          </cell>
          <cell r="F202" t="str">
            <v>0T3T_REJ17_PCS-2PHipi_FLAT_TV_25.92%</v>
          </cell>
          <cell r="G202">
            <v>25.92</v>
          </cell>
        </row>
        <row r="203">
          <cell r="A203" t="str">
            <v>Oi Total Fixo + TV 30.3032Template desconto FLAT Plano Principal Oi TV nível conta</v>
          </cell>
          <cell r="B203" t="str">
            <v>Plano Oi Internet Total High</v>
          </cell>
          <cell r="C203" t="str">
            <v>Template desconto FLAT Plano Principal Oi TV nível conta</v>
          </cell>
          <cell r="D203">
            <v>0.30320000000000003</v>
          </cell>
          <cell r="E203" t="str">
            <v>MKT-1-9827336855</v>
          </cell>
          <cell r="F203" t="str">
            <v>0T3T_REJ17_PCS-2PHipi_FLAT_TV_30.32%</v>
          </cell>
          <cell r="G203">
            <v>30.32</v>
          </cell>
        </row>
        <row r="204">
          <cell r="A204" t="str">
            <v>Oi Total Fixo + Banda Larga + TV 20.1746Template desconto FLAT Plano Principal Oi TV nível conta</v>
          </cell>
          <cell r="B204" t="str">
            <v>Plano Oi Convergente Medium</v>
          </cell>
          <cell r="C204" t="str">
            <v>Template desconto FLAT Plano Principal Oi TV nível conta</v>
          </cell>
          <cell r="D204">
            <v>0.17460000000000001</v>
          </cell>
          <cell r="E204" t="str">
            <v>MKT-1-9827346410</v>
          </cell>
          <cell r="F204" t="str">
            <v>0T3T_REJ17_PCS-3PMepi_FLAT_TV_17.46%</v>
          </cell>
          <cell r="G204">
            <v>17.46</v>
          </cell>
        </row>
        <row r="205">
          <cell r="A205" t="str">
            <v>Oi Total Fixo + Banda Larga + TV 30.2997Template desconto FLAT Plano Principal Oi TV nível conta</v>
          </cell>
          <cell r="B205" t="str">
            <v>Plano Oi Convergente High</v>
          </cell>
          <cell r="C205" t="str">
            <v>Template desconto FLAT Plano Principal Oi TV nível conta</v>
          </cell>
          <cell r="D205">
            <v>0.29969999999999997</v>
          </cell>
          <cell r="E205" t="str">
            <v>MKT-1-9827358355</v>
          </cell>
          <cell r="F205" t="str">
            <v>0T3T_REJ17_PCS-3PHipi_FLAT_TV_29.97%</v>
          </cell>
          <cell r="G205">
            <v>29.97</v>
          </cell>
        </row>
        <row r="206">
          <cell r="A206" t="str">
            <v>Oi Total Fixo + Banda Larga + TV 30.2885Template desconto FLAT Plano Principal Oi TV nível conta</v>
          </cell>
          <cell r="B206" t="str">
            <v>Plano Oi Convergente High</v>
          </cell>
          <cell r="C206" t="str">
            <v>Template desconto FLAT Plano Principal Oi TV nível conta</v>
          </cell>
          <cell r="D206">
            <v>0.28850000000000003</v>
          </cell>
          <cell r="E206" t="str">
            <v>MKT-1-9827358670</v>
          </cell>
          <cell r="F206" t="str">
            <v>0T3T_REJ17_PCS-3PHipi_FLAT_TV_28.85%</v>
          </cell>
          <cell r="G206">
            <v>28.85</v>
          </cell>
        </row>
        <row r="207">
          <cell r="A207" t="str">
            <v>Oi Total Fixo + Banda Larga + TV 30.1398Template desconto FLAT Plano Principal Oi TV nível conta</v>
          </cell>
          <cell r="B207" t="str">
            <v>Plano Oi Convergente High</v>
          </cell>
          <cell r="C207" t="str">
            <v>Template desconto FLAT Plano Principal Oi TV nível conta</v>
          </cell>
          <cell r="D207">
            <v>0.13980000000000001</v>
          </cell>
          <cell r="E207" t="str">
            <v>MKT-1-9827358935</v>
          </cell>
          <cell r="F207" t="str">
            <v>0T3T_REJ17_PCS-3PHipi_FLAT_TV_13.98%</v>
          </cell>
          <cell r="G207">
            <v>13.98</v>
          </cell>
        </row>
        <row r="208">
          <cell r="A208" t="str">
            <v>Oi Total Fixo + Banda Larga + TV 30.2594Template desconto FLAT Plano Principal Oi TV nível conta</v>
          </cell>
          <cell r="B208" t="str">
            <v>Plano Oi Convergente High</v>
          </cell>
          <cell r="C208" t="str">
            <v>Template desconto FLAT Plano Principal Oi TV nível conta</v>
          </cell>
          <cell r="D208">
            <v>0.25940000000000002</v>
          </cell>
          <cell r="E208" t="str">
            <v>MKT-1-9827370190</v>
          </cell>
          <cell r="F208" t="str">
            <v>0T3T_REJ17_PCS-3PHipi_FLAT_TV_25.94%</v>
          </cell>
          <cell r="G208">
            <v>25.94</v>
          </cell>
        </row>
        <row r="209">
          <cell r="A209" t="str">
            <v>Oi Total Fixo + Pós 500 + Banda Larga0.5551Template desconto FLAT Plano Principal Oi TV nível conta</v>
          </cell>
          <cell r="B209" t="str">
            <v>Plano Oi Completo Large</v>
          </cell>
          <cell r="C209" t="str">
            <v>Template desconto FLAT Plano Principal Oi TV nível conta</v>
          </cell>
          <cell r="D209">
            <v>0.55509999999999993</v>
          </cell>
          <cell r="E209" t="str">
            <v>MKT-1-9827328063</v>
          </cell>
          <cell r="F209" t="str">
            <v>0T3T_REJ17_PCS-4P5pi_FLAT_TV_55.51%</v>
          </cell>
          <cell r="G209">
            <v>55.51</v>
          </cell>
        </row>
        <row r="210">
          <cell r="A210" t="str">
            <v>Oi Total Fixo + Pós Conectado 1.000 + Banda Larga0.4589Template desconto FLAT Plano Principal Oi TV nível conta</v>
          </cell>
          <cell r="B210" t="str">
            <v>Plano Oi Completo 1.000</v>
          </cell>
          <cell r="C210" t="str">
            <v>Template desconto FLAT Plano Principal Oi TV nível conta</v>
          </cell>
          <cell r="D210">
            <v>0.45890000000000003</v>
          </cell>
          <cell r="E210" t="str">
            <v>MKT-1-9827370768</v>
          </cell>
          <cell r="F210" t="str">
            <v>0T3T_REJ17_PCS-4P10pi_FLAT_TV_45.89%</v>
          </cell>
          <cell r="G210">
            <v>45.89</v>
          </cell>
        </row>
        <row r="211">
          <cell r="A211" t="str">
            <v>Oi Total Fixo + Banda Larga + TV 30.251Template desconto FLAT Plano Principal Oi TV nível conta</v>
          </cell>
          <cell r="B211" t="str">
            <v>Plano Oi Convergente High</v>
          </cell>
          <cell r="C211" t="str">
            <v>Template desconto FLAT Plano Principal Oi TV nível conta</v>
          </cell>
          <cell r="D211">
            <v>0.251</v>
          </cell>
          <cell r="E211" t="str">
            <v>MKT-1-9827370755</v>
          </cell>
          <cell r="F211" t="str">
            <v>0T3T_REJ17_PCS-3PHipi_FLAT_TV_25.10%</v>
          </cell>
          <cell r="G211">
            <v>25.1</v>
          </cell>
        </row>
        <row r="212">
          <cell r="A212" t="str">
            <v>Oi Total Fixo + Banda Larga + TV 30.2105Template desconto FLAT Plano Principal Oi TV nível conta</v>
          </cell>
          <cell r="B212" t="str">
            <v>Plano Oi Convergente High</v>
          </cell>
          <cell r="C212" t="str">
            <v>Template desconto FLAT Plano Principal Oi TV nível conta</v>
          </cell>
          <cell r="D212">
            <v>0.21050000000000002</v>
          </cell>
          <cell r="E212" t="str">
            <v>MKT-1-9827396510</v>
          </cell>
          <cell r="F212" t="str">
            <v>0T3T_REJ17_PCS-3PHipi_FLAT_TV_21.05%</v>
          </cell>
          <cell r="G212">
            <v>21.05</v>
          </cell>
        </row>
        <row r="213">
          <cell r="A213" t="str">
            <v>Oi Total Fixo + Banda Larga + TV 20.41Template desconto FLAT Plano Principal Oi TV nível conta</v>
          </cell>
          <cell r="B213" t="str">
            <v>Plano Oi Convergente Medium</v>
          </cell>
          <cell r="C213" t="str">
            <v>Template desconto FLAT Plano Principal Oi TV nível conta</v>
          </cell>
          <cell r="D213">
            <v>0.41</v>
          </cell>
          <cell r="E213" t="str">
            <v>MKT-1-9827396995</v>
          </cell>
          <cell r="F213" t="str">
            <v>0T3T_REJ17_PCS-3PMepi_FLAT_TV_41.00%</v>
          </cell>
          <cell r="G213">
            <v>41</v>
          </cell>
        </row>
        <row r="214">
          <cell r="A214" t="str">
            <v>Oi Total Fixo + Banda Larga + TV 30.3626Template desconto FLAT Plano Principal Oi TV nível conta</v>
          </cell>
          <cell r="B214" t="str">
            <v>Plano Oi Convergente High</v>
          </cell>
          <cell r="C214" t="str">
            <v>Template desconto FLAT Plano Principal Oi TV nível conta</v>
          </cell>
          <cell r="D214">
            <v>0.36259999999999998</v>
          </cell>
          <cell r="E214" t="str">
            <v>MKT-1-9827398432</v>
          </cell>
          <cell r="F214" t="str">
            <v>0T3T_REJ17_PCS-3PHipi_FLAT_TV_36.26%</v>
          </cell>
          <cell r="G214">
            <v>36.26</v>
          </cell>
        </row>
        <row r="215">
          <cell r="A215" t="str">
            <v>Oi Total Fixo + Banda Larga + TV 30.3516Template desconto FLAT Plano Principal Oi TV nível conta</v>
          </cell>
          <cell r="B215" t="str">
            <v>Plano Oi Convergente High</v>
          </cell>
          <cell r="C215" t="str">
            <v>Template desconto FLAT Plano Principal Oi TV nível conta</v>
          </cell>
          <cell r="D215">
            <v>0.35159999999999997</v>
          </cell>
          <cell r="E215" t="str">
            <v>MKT-1-9827398867</v>
          </cell>
          <cell r="F215" t="str">
            <v>0T3T_REJ17_PCS-3PHipi_FLAT_TV_35.16%</v>
          </cell>
          <cell r="G215">
            <v>35.159999999999997</v>
          </cell>
        </row>
        <row r="216">
          <cell r="A216" t="str">
            <v>Oi Total Fixo + Banda Larga + TV 10.092Template desconto FLAT Plano Principal Oi TV nível conta</v>
          </cell>
          <cell r="B216" t="str">
            <v>Plano Oi Convergente Low</v>
          </cell>
          <cell r="C216" t="str">
            <v>Template desconto FLAT Plano Principal Oi TV nível conta</v>
          </cell>
          <cell r="D216">
            <v>9.1999999999999998E-2</v>
          </cell>
          <cell r="E216" t="str">
            <v>MKT-1-9827406352</v>
          </cell>
          <cell r="F216" t="str">
            <v>0T3T_REJ17_PCS-3PLowpi_FLAT_TV_09.20%</v>
          </cell>
          <cell r="G216">
            <v>9.1999999999999993</v>
          </cell>
        </row>
        <row r="217">
          <cell r="A217" t="str">
            <v>Oi Total Fixo + Banda Larga + TV 20.092Template desconto FLAT Plano Principal Oi TV nível conta</v>
          </cell>
          <cell r="B217" t="str">
            <v>Plano Oi Convergente Medium</v>
          </cell>
          <cell r="C217" t="str">
            <v>Template desconto FLAT Plano Principal Oi TV nível conta</v>
          </cell>
          <cell r="D217">
            <v>9.1999999999999998E-2</v>
          </cell>
          <cell r="E217" t="str">
            <v>MKT-1-9827406857</v>
          </cell>
          <cell r="F217" t="str">
            <v>0T3T_REJ17_PCS-3PMepi_FLAT_TV_09.20%</v>
          </cell>
          <cell r="G217">
            <v>9.1999999999999993</v>
          </cell>
        </row>
        <row r="218">
          <cell r="A218" t="str">
            <v>Oi Total Fixo + Pós 500 + Banda Larga0.5362Template desconto FLAT Plano Principal Oi TV nível conta</v>
          </cell>
          <cell r="B218" t="str">
            <v>Plano Oi Completo Large</v>
          </cell>
          <cell r="C218" t="str">
            <v>Template desconto FLAT Plano Principal Oi TV nível conta</v>
          </cell>
          <cell r="D218">
            <v>0.53620000000000001</v>
          </cell>
          <cell r="E218" t="str">
            <v>MKT-1-9827396515</v>
          </cell>
          <cell r="F218" t="str">
            <v>0T3T_REJ17_PCS-4P5pi_FLAT_TV_53.62%</v>
          </cell>
          <cell r="G218">
            <v>53.62</v>
          </cell>
        </row>
        <row r="219">
          <cell r="A219" t="str">
            <v>Oi Total Fixo + Pós Conectado Mais + Banda Larga0.441Template desconto FLAT Plano Principal Oi TV nível conta</v>
          </cell>
          <cell r="B219" t="str">
            <v>Plano Oi Completo Mais</v>
          </cell>
          <cell r="C219" t="str">
            <v>Template desconto FLAT Plano Principal Oi TV nível conta</v>
          </cell>
          <cell r="D219">
            <v>0.441</v>
          </cell>
          <cell r="E219" t="str">
            <v>MKT-1-9827410860</v>
          </cell>
          <cell r="F219" t="str">
            <v>0T3T_REJ17_PCS-4P9pi_FLAT_TV_44.10%</v>
          </cell>
          <cell r="G219">
            <v>44.1</v>
          </cell>
        </row>
        <row r="220">
          <cell r="A220" t="str">
            <v>Oi Total Fixo + Pós Conectado Mais + Banda Larga0.4107Template desconto FLAT Plano Principal Oi TV nível conta</v>
          </cell>
          <cell r="B220" t="str">
            <v>Plano Oi Completo Mais</v>
          </cell>
          <cell r="C220" t="str">
            <v>Template desconto FLAT Plano Principal Oi TV nível conta</v>
          </cell>
          <cell r="D220">
            <v>0.41070000000000001</v>
          </cell>
          <cell r="E220" t="str">
            <v>MKT-1-9827419345</v>
          </cell>
          <cell r="F220" t="str">
            <v>0T3T_REJ17_PCS-4P9pi_FLAT_TV_41.07%</v>
          </cell>
          <cell r="G220">
            <v>41.07</v>
          </cell>
        </row>
        <row r="221">
          <cell r="A221" t="str">
            <v>Oi Total Fixo + Banda Larga + TV 30.2478Template desconto FLAT Plano Principal Oi TV nível conta</v>
          </cell>
          <cell r="B221" t="str">
            <v>Plano Oi Convergente High</v>
          </cell>
          <cell r="C221" t="str">
            <v>Template desconto FLAT Plano Principal Oi TV nível conta</v>
          </cell>
          <cell r="D221">
            <v>0.24780000000000002</v>
          </cell>
          <cell r="E221" t="str">
            <v>MKT-1-9827410282</v>
          </cell>
          <cell r="F221" t="str">
            <v>0T3T_REJ17_PCS-3PHipi_FLAT_TV_24.78%</v>
          </cell>
          <cell r="G221">
            <v>24.78</v>
          </cell>
        </row>
        <row r="222">
          <cell r="A222" t="str">
            <v>Oi Total Fixo + Banda Larga + TV 30.2394Template desconto FLAT Plano Principal Oi TV nível conta</v>
          </cell>
          <cell r="B222" t="str">
            <v>Plano Oi Convergente High</v>
          </cell>
          <cell r="C222" t="str">
            <v>Template desconto FLAT Plano Principal Oi TV nível conta</v>
          </cell>
          <cell r="D222">
            <v>0.2394</v>
          </cell>
          <cell r="E222" t="str">
            <v>MKT-1-9827430317</v>
          </cell>
          <cell r="F222" t="str">
            <v>0T3T_REJ17_PCS-3PHipi_FLAT_TV_23.94%</v>
          </cell>
          <cell r="G222">
            <v>23.94</v>
          </cell>
        </row>
        <row r="223">
          <cell r="A223" t="str">
            <v>Oi Total Fixo + Pós Conectado Mais + Banda Larga0.3306Template desconto FLAT Plano Principal Oi TV nível conta</v>
          </cell>
          <cell r="B223" t="str">
            <v>Plano Oi Completo Mais</v>
          </cell>
          <cell r="C223" t="str">
            <v>Template desconto FLAT Plano Principal Oi TV nível conta</v>
          </cell>
          <cell r="D223">
            <v>0.3306</v>
          </cell>
          <cell r="E223" t="str">
            <v>MKT-1-9827430330</v>
          </cell>
          <cell r="F223" t="str">
            <v>0T3T_REJ17_PCS-4P9pi_FLAT_TV_33.06%</v>
          </cell>
          <cell r="G223">
            <v>33.06</v>
          </cell>
        </row>
        <row r="224">
          <cell r="A224" t="str">
            <v>Oi Total Fixo + Banda Larga + TV 30.092Template desconto FLAT Plano Principal Oi TV nível conta</v>
          </cell>
          <cell r="B224" t="str">
            <v>Plano Oi Convergente High</v>
          </cell>
          <cell r="C224" t="str">
            <v>Template desconto FLAT Plano Principal Oi TV nível conta</v>
          </cell>
          <cell r="D224">
            <v>9.1999999999999998E-2</v>
          </cell>
          <cell r="E224" t="str">
            <v>MKT-1-9827443982</v>
          </cell>
          <cell r="F224" t="str">
            <v>0T3T_REJ17_PCS-3PHipi_FLAT_TV_09.20%</v>
          </cell>
          <cell r="G224">
            <v>9.1999999999999993</v>
          </cell>
        </row>
        <row r="225">
          <cell r="A225" t="str">
            <v>Oi Total Fixo + Banda Larga + TV 30.2115Template desconto FLAT Plano Principal Oi TV nível conta</v>
          </cell>
          <cell r="B225" t="str">
            <v>Plano Oi Convergente High</v>
          </cell>
          <cell r="C225" t="str">
            <v>Template desconto FLAT Plano Principal Oi TV nível conta</v>
          </cell>
          <cell r="D225">
            <v>0.21149999999999999</v>
          </cell>
          <cell r="E225" t="str">
            <v>MKT-1-9827447487</v>
          </cell>
          <cell r="F225" t="str">
            <v>0T3T_REJ17_PCS-3PHipi_FLAT_TV_21.15%</v>
          </cell>
          <cell r="G225">
            <v>21.15</v>
          </cell>
        </row>
        <row r="226">
          <cell r="A226" t="str">
            <v>Oi Total Fixo + Banda Larga + TV 30.2056Template desconto FLAT Plano Principal Oi TV nível conta</v>
          </cell>
          <cell r="B226" t="str">
            <v>Plano Oi Convergente High</v>
          </cell>
          <cell r="C226" t="str">
            <v>Template desconto FLAT Plano Principal Oi TV nível conta</v>
          </cell>
          <cell r="D226">
            <v>0.20559999999999998</v>
          </cell>
          <cell r="E226" t="str">
            <v>MKT-1-9827447892</v>
          </cell>
          <cell r="F226" t="str">
            <v>0T3T_REJ17_PCS-3PHipi_FLAT_TV_20.56%</v>
          </cell>
          <cell r="G226">
            <v>20.56</v>
          </cell>
        </row>
        <row r="227">
          <cell r="A227" t="str">
            <v>Oi Total Fixo + Banda Larga + TV 30.171Template desconto FLAT Plano Principal Oi TV nível conta</v>
          </cell>
          <cell r="B227" t="str">
            <v>Plano Oi Convergente High</v>
          </cell>
          <cell r="C227" t="str">
            <v>Template desconto FLAT Plano Principal Oi TV nível conta</v>
          </cell>
          <cell r="D227">
            <v>0.17100000000000001</v>
          </cell>
          <cell r="E227" t="str">
            <v>MKT-1-9827450477</v>
          </cell>
          <cell r="F227" t="str">
            <v>0T3T_REJ17_PCS-3PHipi_FLAT_TV_17.10%</v>
          </cell>
          <cell r="G227">
            <v>17.100000000000001</v>
          </cell>
        </row>
        <row r="228">
          <cell r="A228" t="str">
            <v>Oi Total Fixo + Pós Conectado 500 + Banda Larga0.3306Template desconto FLAT Plano Principal Oi TV nível conta</v>
          </cell>
          <cell r="B228" t="str">
            <v>Plano Oi Completo 500</v>
          </cell>
          <cell r="C228" t="str">
            <v>Template desconto FLAT Plano Principal Oi TV nível conta</v>
          </cell>
          <cell r="D228">
            <v>0.3306</v>
          </cell>
          <cell r="E228" t="str">
            <v>MKT-1-9827447237</v>
          </cell>
          <cell r="F228" t="str">
            <v>0T3T_REJ17_PCS-4P8pi_FLAT_TV_33.06%</v>
          </cell>
          <cell r="G228">
            <v>33.06</v>
          </cell>
        </row>
        <row r="229">
          <cell r="A229" t="str">
            <v>Oi Total Fixo + Banda Larga + TV 10.193Template desconto FLAT Plano Principal Oi TV nível conta</v>
          </cell>
          <cell r="B229" t="str">
            <v>Plano Oi Convergente Low</v>
          </cell>
          <cell r="C229" t="str">
            <v>Template desconto FLAT Plano Principal Oi TV nível conta</v>
          </cell>
          <cell r="D229">
            <v>0.193</v>
          </cell>
          <cell r="E229" t="str">
            <v>MKT-1-9827451002</v>
          </cell>
          <cell r="F229" t="str">
            <v>0T3T_REJ17_PCS-3PLowpi_FLAT_TV_19.30%</v>
          </cell>
          <cell r="G229">
            <v>19.3</v>
          </cell>
        </row>
        <row r="230">
          <cell r="A230" t="str">
            <v>Oi Total Fixo + Pós 250 + Banda Larga0.3306Template desconto FLAT Plano Principal Oi TV nível conta</v>
          </cell>
          <cell r="B230" t="str">
            <v>Plano Oi Completo Medium</v>
          </cell>
          <cell r="C230" t="str">
            <v>Template desconto FLAT Plano Principal Oi TV nível conta</v>
          </cell>
          <cell r="D230">
            <v>0.3306</v>
          </cell>
          <cell r="E230" t="str">
            <v>MKT-1-9827463662</v>
          </cell>
          <cell r="F230" t="str">
            <v>0T3T_REJ17_PCS-4P4pi_FLAT_TV_33.06%</v>
          </cell>
          <cell r="G230">
            <v>33.06</v>
          </cell>
        </row>
        <row r="231">
          <cell r="A231" t="str">
            <v>Oi Total Fixo + Banda Larga + TV 30.384Template desconto FLAT Plano Principal Oi TV nível conta</v>
          </cell>
          <cell r="B231" t="str">
            <v>Plano Oi Convergente High</v>
          </cell>
          <cell r="C231" t="str">
            <v>Template desconto FLAT Plano Principal Oi TV nível conta</v>
          </cell>
          <cell r="D231">
            <v>0.38400000000000001</v>
          </cell>
          <cell r="E231" t="str">
            <v>MKT-1-9827464097</v>
          </cell>
          <cell r="F231" t="str">
            <v>0T3T_REJ17_PCS-3PHipi_FLAT_TV_38.40%</v>
          </cell>
          <cell r="G231">
            <v>38.4</v>
          </cell>
        </row>
        <row r="232">
          <cell r="A232" t="str">
            <v>Oi Total Fixo + Pós 50 + Banda Larga0.3445Template desconto FLAT Plano Principal Oi TV nível conta</v>
          </cell>
          <cell r="B232" t="str">
            <v>Plano Oi Completo XSmall</v>
          </cell>
          <cell r="C232" t="str">
            <v>Template desconto FLAT Plano Principal Oi TV nível conta</v>
          </cell>
          <cell r="D232">
            <v>0.34450000000000003</v>
          </cell>
          <cell r="E232" t="str">
            <v>MKT-1-9827493102</v>
          </cell>
          <cell r="F232" t="str">
            <v>0T3T_REJ17_PCS-4P2pi_FLAT_TV_34.45%</v>
          </cell>
          <cell r="G232">
            <v>34.450000000000003</v>
          </cell>
        </row>
        <row r="233">
          <cell r="A233" t="str">
            <v>Oi Total Fixo + Pós Conectado 500 + Banda Larga0.3445Template desconto FLAT Plano Principal Oi TV nível conta</v>
          </cell>
          <cell r="B233" t="str">
            <v>Plano Oi Completo 500</v>
          </cell>
          <cell r="C233" t="str">
            <v>Template desconto FLAT Plano Principal Oi TV nível conta</v>
          </cell>
          <cell r="D233">
            <v>0.34450000000000003</v>
          </cell>
          <cell r="E233" t="str">
            <v>MKT-1-9827493417</v>
          </cell>
          <cell r="F233" t="str">
            <v>0T3T_REJ17_PCS-4P8pi_FLAT_TV_34.45%</v>
          </cell>
          <cell r="G233">
            <v>34.450000000000003</v>
          </cell>
        </row>
        <row r="234">
          <cell r="A234" t="str">
            <v>Oi Total Fixo + Pós 100 + Banda Larga0.2159Template desconto FLAT Plano Principal Oi TV nível conta</v>
          </cell>
          <cell r="B234" t="str">
            <v>Plano Oi Completo Small</v>
          </cell>
          <cell r="C234" t="str">
            <v>Template desconto FLAT Plano Principal Oi TV nível conta</v>
          </cell>
          <cell r="D234">
            <v>0.21590000000000001</v>
          </cell>
          <cell r="E234" t="str">
            <v>MKT-1-9827493752</v>
          </cell>
          <cell r="F234" t="str">
            <v>0T3T_REJ17_PCS-4P3pi_FLAT_TV_21.59%</v>
          </cell>
          <cell r="G234">
            <v>21.59</v>
          </cell>
        </row>
        <row r="235">
          <cell r="A235" t="str">
            <v>Oi Total Fixo + Pós Conectado 1.000 + Banda Larga0.2159Template desconto FLAT Plano Principal Oi TV nível conta</v>
          </cell>
          <cell r="B235" t="str">
            <v>Plano Oi Completo 1.000</v>
          </cell>
          <cell r="C235" t="str">
            <v>Template desconto FLAT Plano Principal Oi TV nível conta</v>
          </cell>
          <cell r="D235">
            <v>0.21590000000000001</v>
          </cell>
          <cell r="E235" t="str">
            <v>MKT-1-9827494067</v>
          </cell>
          <cell r="F235" t="str">
            <v>0T3T_REJ17_PCS-4P10pi_FLAT_TV_21.59%</v>
          </cell>
          <cell r="G235">
            <v>21.59</v>
          </cell>
        </row>
        <row r="236">
          <cell r="A236" t="str">
            <v>Oi Total Fixo + Pós 100 + Banda Larga0.3256Template desconto FLAT Plano Principal Oi TV nível conta</v>
          </cell>
          <cell r="B236" t="str">
            <v>Plano Oi Completo Small</v>
          </cell>
          <cell r="C236" t="str">
            <v>Template desconto FLAT Plano Principal Oi TV nível conta</v>
          </cell>
          <cell r="D236">
            <v>0.3256</v>
          </cell>
          <cell r="E236" t="str">
            <v>MKT-1-9827505702</v>
          </cell>
          <cell r="F236" t="str">
            <v>0T3T_REJ17_PCS-4P3pi_FLAT_TV_32.56%</v>
          </cell>
          <cell r="G236">
            <v>32.56</v>
          </cell>
        </row>
        <row r="237">
          <cell r="A237" t="str">
            <v>Oi Total Fixo + Pós Conectado 1.000 + Banda Larga0.3256Template desconto FLAT Plano Principal Oi TV nível conta</v>
          </cell>
          <cell r="B237" t="str">
            <v>Plano Oi Completo 1.000</v>
          </cell>
          <cell r="C237" t="str">
            <v>Template desconto FLAT Plano Principal Oi TV nível conta</v>
          </cell>
          <cell r="D237">
            <v>0.3256</v>
          </cell>
          <cell r="E237" t="str">
            <v>MKT-1-9827505987</v>
          </cell>
          <cell r="F237" t="str">
            <v>0T3T_REJ17_PCS-4P10pi_FLAT_TV_32.56%</v>
          </cell>
          <cell r="G237">
            <v>32.56</v>
          </cell>
        </row>
        <row r="238">
          <cell r="A238" t="str">
            <v>Oi Total Fixo + Pós 100 + Banda Larga0.313Template desconto FLAT Plano Principal Oi TV nível conta</v>
          </cell>
          <cell r="B238" t="str">
            <v>Plano Oi Completo Small</v>
          </cell>
          <cell r="C238" t="str">
            <v>Template desconto FLAT Plano Principal Oi TV nível conta</v>
          </cell>
          <cell r="D238">
            <v>0.313</v>
          </cell>
          <cell r="E238" t="str">
            <v>MKT-1-9827522302</v>
          </cell>
          <cell r="F238" t="str">
            <v>0T3T_REJ17_PCS-4P3pi_FLAT_TV_31.30%</v>
          </cell>
          <cell r="G238">
            <v>31.3</v>
          </cell>
        </row>
        <row r="239">
          <cell r="A239" t="str">
            <v>Oi Total Fixo + Pós Conectado 1.000 + Banda Larga0.313Template desconto FLAT Plano Principal Oi TV nível conta</v>
          </cell>
          <cell r="B239" t="str">
            <v>Plano Oi Completo 1.000</v>
          </cell>
          <cell r="C239" t="str">
            <v>Template desconto FLAT Plano Principal Oi TV nível conta</v>
          </cell>
          <cell r="D239">
            <v>0.313</v>
          </cell>
          <cell r="E239" t="str">
            <v>MKT-1-9827522587</v>
          </cell>
          <cell r="F239" t="str">
            <v>0T3T_REJ17_PCS-4P10pi_FLAT_TV_31.30%</v>
          </cell>
          <cell r="G239">
            <v>31.3</v>
          </cell>
        </row>
        <row r="240">
          <cell r="A240" t="str">
            <v>Oi Total Fixo + Pós 100 + Banda Larga0.1637Template desconto FLAT Plano Principal Oi TV nível conta</v>
          </cell>
          <cell r="B240" t="str">
            <v>Plano Oi Completo Small</v>
          </cell>
          <cell r="C240" t="str">
            <v>Template desconto FLAT Plano Principal Oi TV nível conta</v>
          </cell>
          <cell r="D240">
            <v>0.16370000000000001</v>
          </cell>
          <cell r="E240" t="str">
            <v>MKT-1-9827523012</v>
          </cell>
          <cell r="F240" t="str">
            <v>0T3T_REJ17_PCS-4P3pi_FLAT_TV_16.37%</v>
          </cell>
          <cell r="G240">
            <v>16.37</v>
          </cell>
        </row>
        <row r="241">
          <cell r="A241" t="str">
            <v>Oi Total Fixo + Pós Conectado 1.000 + Banda Larga0.1637Template desconto FLAT Plano Principal Oi TV nível conta</v>
          </cell>
          <cell r="B241" t="str">
            <v>Plano Oi Completo 1.000</v>
          </cell>
          <cell r="C241" t="str">
            <v>Template desconto FLAT Plano Principal Oi TV nível conta</v>
          </cell>
          <cell r="D241">
            <v>0.16370000000000001</v>
          </cell>
          <cell r="E241" t="str">
            <v>MKT-1-9827532307</v>
          </cell>
          <cell r="F241" t="str">
            <v>0T3T_REJ17_PCS-4P10pi_FLAT_TV_16.37%</v>
          </cell>
          <cell r="G241">
            <v>16.37</v>
          </cell>
        </row>
        <row r="242">
          <cell r="A242" t="str">
            <v>Oi Total Fixo + Pós 100 + Banda Larga0.2833Template desconto FLAT Plano Principal Oi TV nível conta</v>
          </cell>
          <cell r="B242" t="str">
            <v>Plano Oi Completo Small</v>
          </cell>
          <cell r="C242" t="str">
            <v>Template desconto FLAT Plano Principal Oi TV nível conta</v>
          </cell>
          <cell r="D242">
            <v>0.2833</v>
          </cell>
          <cell r="E242" t="str">
            <v>MKT-1-9827532652</v>
          </cell>
          <cell r="F242" t="str">
            <v>0T3T_REJ17_PCS-4P3pi_FLAT_TV_28.33%</v>
          </cell>
          <cell r="G242">
            <v>28.33</v>
          </cell>
        </row>
        <row r="243">
          <cell r="A243" t="str">
            <v>Oi Total Fixo + Pós Conectado 1.000 + Banda Larga0.2833Template desconto FLAT Plano Principal Oi TV nível conta</v>
          </cell>
          <cell r="B243" t="str">
            <v>Plano Oi Completo 1.000</v>
          </cell>
          <cell r="C243" t="str">
            <v>Template desconto FLAT Plano Principal Oi TV nível conta</v>
          </cell>
          <cell r="D243">
            <v>0.2833</v>
          </cell>
          <cell r="E243" t="str">
            <v>MKT-1-9827544157</v>
          </cell>
          <cell r="F243" t="str">
            <v>0T3T_REJ17_PCS-4P10pi_FLAT_TV_28.33%</v>
          </cell>
          <cell r="G243">
            <v>28.33</v>
          </cell>
        </row>
        <row r="244">
          <cell r="A244" t="str">
            <v>Oi Total Fixo + Pós 100 + Banda Larga0.2737Template desconto FLAT Plano Principal Oi TV nível conta</v>
          </cell>
          <cell r="B244" t="str">
            <v>Plano Oi Completo Small</v>
          </cell>
          <cell r="C244" t="str">
            <v>Template desconto FLAT Plano Principal Oi TV nível conta</v>
          </cell>
          <cell r="D244">
            <v>0.2737</v>
          </cell>
          <cell r="E244" t="str">
            <v>MKT-1-9827544492</v>
          </cell>
          <cell r="F244" t="str">
            <v>0T3T_REJ17_PCS-4P3pi_FLAT_TV_27.37%</v>
          </cell>
          <cell r="G244">
            <v>27.37</v>
          </cell>
        </row>
        <row r="245">
          <cell r="A245" t="str">
            <v>Oi Total Fixo + Pós Conectado 1.000 + Banda Larga0.2737Template desconto FLAT Plano Principal Oi TV nível conta</v>
          </cell>
          <cell r="B245" t="str">
            <v>Plano Oi Completo 1.000</v>
          </cell>
          <cell r="C245" t="str">
            <v>Template desconto FLAT Plano Principal Oi TV nível conta</v>
          </cell>
          <cell r="D245">
            <v>0.2737</v>
          </cell>
          <cell r="E245" t="str">
            <v>MKT-1-9827544807</v>
          </cell>
          <cell r="F245" t="str">
            <v>0T3T_REJ17_PCS-4P10pi_FLAT_TV_27.37%</v>
          </cell>
          <cell r="G245">
            <v>27.37</v>
          </cell>
        </row>
        <row r="246">
          <cell r="A246" t="str">
            <v>Oi Total Fixo + Pós 100 + Banda Larga0.2302Template desconto FLAT Plano Principal Oi TV nível conta</v>
          </cell>
          <cell r="B246" t="str">
            <v>Plano Oi Completo Small</v>
          </cell>
          <cell r="C246" t="str">
            <v>Template desconto FLAT Plano Principal Oi TV nível conta</v>
          </cell>
          <cell r="D246">
            <v>0.23019999999999999</v>
          </cell>
          <cell r="E246" t="str">
            <v>MKT-1-9827555122</v>
          </cell>
          <cell r="F246" t="str">
            <v>0T3T_REJ17_PCS-4P3pi_FLAT_TV_23.02%</v>
          </cell>
          <cell r="G246">
            <v>23.02</v>
          </cell>
        </row>
        <row r="247">
          <cell r="A247" t="str">
            <v>Oi Total Fixo + Pós Conectado 1.000 + Banda Larga0.2302Template desconto FLAT Plano Principal Oi TV nível conta</v>
          </cell>
          <cell r="B247" t="str">
            <v>Plano Oi Completo 1.000</v>
          </cell>
          <cell r="C247" t="str">
            <v>Template desconto FLAT Plano Principal Oi TV nível conta</v>
          </cell>
          <cell r="D247">
            <v>0.23019999999999999</v>
          </cell>
          <cell r="E247" t="str">
            <v>MKT-1-9827555457</v>
          </cell>
          <cell r="F247" t="str">
            <v>0T3T_REJ17_PCS-4P10pi_FLAT_TV_23.02%</v>
          </cell>
          <cell r="G247">
            <v>23.02</v>
          </cell>
        </row>
        <row r="248">
          <cell r="A248" t="str">
            <v>Oi Total Fixo + Pós 100 + Banda Larga0.4327Template desconto FLAT Plano Principal Oi TV nível conta</v>
          </cell>
          <cell r="B248" t="str">
            <v>Plano Oi Completo Small</v>
          </cell>
          <cell r="C248" t="str">
            <v>Template desconto FLAT Plano Principal Oi TV nível conta</v>
          </cell>
          <cell r="D248">
            <v>0.43270000000000003</v>
          </cell>
          <cell r="E248" t="str">
            <v>MKT-1-9827555792</v>
          </cell>
          <cell r="F248" t="str">
            <v>0T3T_REJ17_PCS-4P3pi_FLAT_TV_43.27%</v>
          </cell>
          <cell r="G248">
            <v>43.27</v>
          </cell>
        </row>
        <row r="249">
          <cell r="A249" t="str">
            <v>Oi Total Fixo + Pós Conectado 1.000 + Banda Larga0.4327Template desconto FLAT Plano Principal Oi TV nível conta</v>
          </cell>
          <cell r="B249" t="str">
            <v>Plano Oi Completo 1.000</v>
          </cell>
          <cell r="C249" t="str">
            <v>Template desconto FLAT Plano Principal Oi TV nível conta</v>
          </cell>
          <cell r="D249">
            <v>0.43270000000000003</v>
          </cell>
          <cell r="E249" t="str">
            <v>MKT-1-9827556047</v>
          </cell>
          <cell r="F249" t="str">
            <v>0T3T_REJ17_PCS-4P10pi_FLAT_TV_43.27%</v>
          </cell>
          <cell r="G249">
            <v>43.27</v>
          </cell>
        </row>
        <row r="250">
          <cell r="A250" t="str">
            <v>Oi Total Fixo + Pós 100 + Banda Larga0.3819Template desconto FLAT Plano Principal Oi TV nível conta</v>
          </cell>
          <cell r="B250" t="str">
            <v>Plano Oi Completo Small</v>
          </cell>
          <cell r="C250" t="str">
            <v>Template desconto FLAT Plano Principal Oi TV nível conta</v>
          </cell>
          <cell r="D250">
            <v>0.38189999999999996</v>
          </cell>
          <cell r="E250" t="str">
            <v>MKT-1-9827565302</v>
          </cell>
          <cell r="F250" t="str">
            <v>0T3T_REJ17_PCS-4P3pi_FLAT_TV_38.19%</v>
          </cell>
          <cell r="G250">
            <v>38.19</v>
          </cell>
        </row>
        <row r="251">
          <cell r="A251" t="str">
            <v>Oi Total Fixo + Pós Conectado 1.000 + Banda Larga0.3819Template desconto FLAT Plano Principal Oi TV nível conta</v>
          </cell>
          <cell r="B251" t="str">
            <v>Plano Oi Completo 1.000</v>
          </cell>
          <cell r="C251" t="str">
            <v>Template desconto FLAT Plano Principal Oi TV nível conta</v>
          </cell>
          <cell r="D251">
            <v>0.38189999999999996</v>
          </cell>
          <cell r="E251" t="str">
            <v>MKT-1-9827565977</v>
          </cell>
          <cell r="F251" t="str">
            <v>0T3T_REJ17_PCS-4P10pi_FLAT_TV_38.19%</v>
          </cell>
          <cell r="G251">
            <v>38.19</v>
          </cell>
        </row>
        <row r="252">
          <cell r="A252" t="str">
            <v>Oi Total Fixo + Pós 100 + Banda Larga0.3701Template desconto FLAT Plano Principal Oi TV nível conta</v>
          </cell>
          <cell r="B252" t="str">
            <v>Plano Oi Completo Small</v>
          </cell>
          <cell r="C252" t="str">
            <v>Template desconto FLAT Plano Principal Oi TV nível conta</v>
          </cell>
          <cell r="D252">
            <v>0.37009999999999998</v>
          </cell>
          <cell r="E252" t="str">
            <v>MKT-1-9827573412</v>
          </cell>
          <cell r="F252" t="str">
            <v>0T3T_REJ17_PCS-4P3pi_FLAT_TV_37.01%</v>
          </cell>
          <cell r="G252">
            <v>37.01</v>
          </cell>
        </row>
        <row r="253">
          <cell r="A253" t="str">
            <v>Oi Total Fixo + Pós Conectado 1.000 + Banda Larga0.3701Template desconto FLAT Plano Principal Oi TV nível conta</v>
          </cell>
          <cell r="B253" t="str">
            <v>Plano Oi Completo 1.000</v>
          </cell>
          <cell r="C253" t="str">
            <v>Template desconto FLAT Plano Principal Oi TV nível conta</v>
          </cell>
          <cell r="D253">
            <v>0.37009999999999998</v>
          </cell>
          <cell r="E253" t="str">
            <v>MKT-1-9827573727</v>
          </cell>
          <cell r="F253" t="str">
            <v>0T3T_REJ17_PCS-4P10pi_FLAT_TV_37.01%</v>
          </cell>
          <cell r="G253">
            <v>37.01</v>
          </cell>
        </row>
        <row r="254">
          <cell r="A254" t="str">
            <v>Oi Total Fixo + Pós 100 + Banda Larga0.3353Template desconto FLAT Plano Principal Oi TV nível conta</v>
          </cell>
          <cell r="B254" t="str">
            <v>Plano Oi Completo Small</v>
          </cell>
          <cell r="C254" t="str">
            <v>Template desconto FLAT Plano Principal Oi TV nível conta</v>
          </cell>
          <cell r="D254">
            <v>0.33529999999999999</v>
          </cell>
          <cell r="E254" t="str">
            <v>MKT-1-9827573982</v>
          </cell>
          <cell r="F254" t="str">
            <v>0T3T_REJ17_PCS-4P3pi_FLAT_TV_33.53%</v>
          </cell>
          <cell r="G254">
            <v>33.53</v>
          </cell>
        </row>
        <row r="255">
          <cell r="A255" t="str">
            <v>Oi Total Fixo + Pós Conectado 1.000 + Banda Larga0.3353Template desconto FLAT Plano Principal Oi TV nível conta</v>
          </cell>
          <cell r="B255" t="str">
            <v>Plano Oi Completo 1.000</v>
          </cell>
          <cell r="C255" t="str">
            <v>Template desconto FLAT Plano Principal Oi TV nível conta</v>
          </cell>
          <cell r="D255">
            <v>0.33529999999999999</v>
          </cell>
          <cell r="E255" t="str">
            <v>MKT-1-9827588237</v>
          </cell>
          <cell r="F255" t="str">
            <v>0T3T_REJ17_PCS-4P10pi_FLAT_TV_33.53%</v>
          </cell>
          <cell r="G255">
            <v>33.53</v>
          </cell>
        </row>
        <row r="256">
          <cell r="A256" t="str">
            <v>Oi Total Fixo + Pós Conectado Mais + Banda Larga0.4599Template desconto FLAT Plano Principal Oi TV nível conta</v>
          </cell>
          <cell r="B256" t="str">
            <v>Plano Oi Completo Mais</v>
          </cell>
          <cell r="C256" t="str">
            <v>Template desconto FLAT Plano Principal Oi TV nível conta</v>
          </cell>
          <cell r="D256">
            <v>0.45990000000000003</v>
          </cell>
          <cell r="E256" t="str">
            <v>MKT-1-9828147801</v>
          </cell>
          <cell r="F256" t="str">
            <v>0T3T_REJ17_PCS-4P9pi_FLAT_TV_45.99%</v>
          </cell>
          <cell r="G256">
            <v>45.99</v>
          </cell>
        </row>
        <row r="257">
          <cell r="A257" t="str">
            <v>Oi Total Fixo + Pós Conectado 500 + Banda Larga0.4599Template desconto FLAT Plano Principal Oi TV nível conta</v>
          </cell>
          <cell r="B257" t="str">
            <v>Plano Oi Completo 500</v>
          </cell>
          <cell r="C257" t="str">
            <v>Template desconto FLAT Plano Principal Oi TV nível conta</v>
          </cell>
          <cell r="D257">
            <v>0.45990000000000003</v>
          </cell>
          <cell r="E257" t="str">
            <v>MKT-1-9828148076</v>
          </cell>
          <cell r="F257" t="str">
            <v>0T3T_REJ17_PCS-4P8pi_FLAT_TV_45.99%</v>
          </cell>
          <cell r="G257">
            <v>45.99</v>
          </cell>
        </row>
        <row r="258">
          <cell r="A258" t="str">
            <v>Oi Total Fixo + Pós 250 + Banda Larga0.4599Template desconto FLAT Plano Principal Oi TV nível conta</v>
          </cell>
          <cell r="B258" t="str">
            <v>Plano Oi Completo Medium</v>
          </cell>
          <cell r="C258" t="str">
            <v>Template desconto FLAT Plano Principal Oi TV nível conta</v>
          </cell>
          <cell r="D258">
            <v>0.45990000000000003</v>
          </cell>
          <cell r="E258" t="str">
            <v>MKT-1-9828179503</v>
          </cell>
          <cell r="F258" t="str">
            <v>0T3T_REJ17_PCS-4P4pi_FLAT_TV_45.99%</v>
          </cell>
          <cell r="G258">
            <v>45.99</v>
          </cell>
        </row>
        <row r="259">
          <cell r="A259" t="str">
            <v>Oi Total Fixo + Pós Conectado Mais + Banda Larga0.4289Template desconto FLAT Plano Principal Oi TV nível conta</v>
          </cell>
          <cell r="B259" t="str">
            <v>Plano Oi Completo Mais</v>
          </cell>
          <cell r="C259" t="str">
            <v>Template desconto FLAT Plano Principal Oi TV nível conta</v>
          </cell>
          <cell r="D259">
            <v>0.4289</v>
          </cell>
          <cell r="E259" t="str">
            <v>MKT-1-9828179868</v>
          </cell>
          <cell r="F259" t="str">
            <v>0T3T_REJ17_PCS-4P9pi_FLAT_TV_42.89%</v>
          </cell>
          <cell r="G259">
            <v>42.89</v>
          </cell>
        </row>
        <row r="260">
          <cell r="A260" t="str">
            <v>Oi Total Fixo + Pós Conectado 500 + Banda Larga0.4289Template desconto FLAT Plano Principal Oi TV nível conta</v>
          </cell>
          <cell r="B260" t="str">
            <v>Plano Oi Completo 500</v>
          </cell>
          <cell r="C260" t="str">
            <v>Template desconto FLAT Plano Principal Oi TV nível conta</v>
          </cell>
          <cell r="D260">
            <v>0.4289</v>
          </cell>
          <cell r="E260" t="str">
            <v>MKT-1-9828191213</v>
          </cell>
          <cell r="F260" t="str">
            <v>0T3T_REJ17_PCS-4P8pi_FLAT_TV_42.89%</v>
          </cell>
          <cell r="G260">
            <v>42.89</v>
          </cell>
        </row>
        <row r="261">
          <cell r="A261" t="str">
            <v>Oi Total Fixo + Pós 250 + Banda Larga0.4289Template desconto FLAT Plano Principal Oi TV nível conta</v>
          </cell>
          <cell r="B261" t="str">
            <v>Plano Oi Completo Medium</v>
          </cell>
          <cell r="C261" t="str">
            <v>Template desconto FLAT Plano Principal Oi TV nível conta</v>
          </cell>
          <cell r="D261">
            <v>0.4289</v>
          </cell>
          <cell r="E261" t="str">
            <v>MKT-1-9828211378</v>
          </cell>
          <cell r="F261" t="str">
            <v>0T3T_REJ17_PCS-4P4pi_FLAT_TV_42.89%</v>
          </cell>
          <cell r="G261">
            <v>42.89</v>
          </cell>
        </row>
        <row r="262">
          <cell r="A262" t="str">
            <v>Oi Total Fixo + Pós Conectado Mais + Banda Larga0.4327Template desconto FLAT Plano Principal Oi TV nível conta</v>
          </cell>
          <cell r="B262" t="str">
            <v>Plano Oi Completo Mais</v>
          </cell>
          <cell r="C262" t="str">
            <v>Template desconto FLAT Plano Principal Oi TV nível conta</v>
          </cell>
          <cell r="D262">
            <v>0.43270000000000003</v>
          </cell>
          <cell r="E262" t="str">
            <v>MKT-1-9827617451</v>
          </cell>
          <cell r="F262" t="str">
            <v>0T3T_REJ17_PCS-4P9pi_FLAT_TV_43.27%</v>
          </cell>
          <cell r="G262">
            <v>43.27</v>
          </cell>
        </row>
        <row r="263">
          <cell r="A263" t="str">
            <v>Oi Total Fixo + Pós 50 + Banda Larga0.092Template desconto FLAT Plano Principal Oi TV nível conta</v>
          </cell>
          <cell r="B263" t="str">
            <v>Plano Oi Completo XSmall</v>
          </cell>
          <cell r="C263" t="str">
            <v>Template desconto FLAT Plano Principal Oi TV nível conta</v>
          </cell>
          <cell r="D263">
            <v>9.1999999999999998E-2</v>
          </cell>
          <cell r="E263" t="str">
            <v>MKT-1-9827617756</v>
          </cell>
          <cell r="F263" t="str">
            <v>0T3T_REJ17_PCS-4P2pi_FLAT_TV_09.20%</v>
          </cell>
          <cell r="G263">
            <v>9.1999999999999993</v>
          </cell>
        </row>
        <row r="264">
          <cell r="A264" t="str">
            <v>Oi Total Fixo + Pós Conectado 500 + Banda Larga0.092Template desconto FLAT Plano Principal Oi TV nível conta</v>
          </cell>
          <cell r="B264" t="str">
            <v>Plano Oi Completo 500</v>
          </cell>
          <cell r="C264" t="str">
            <v>Template desconto FLAT Plano Principal Oi TV nível conta</v>
          </cell>
          <cell r="D264">
            <v>9.1999999999999998E-2</v>
          </cell>
          <cell r="E264" t="str">
            <v>MKT-1-9828245791</v>
          </cell>
          <cell r="F264" t="str">
            <v>0T3T_REJ17_PCS-4P8pi_FLAT_TV_09.20%</v>
          </cell>
          <cell r="G264">
            <v>9.1999999999999993</v>
          </cell>
        </row>
        <row r="265">
          <cell r="A265" t="str">
            <v>Oi Total Fixo + Pós 100 + Banda Larga0.2478Template desconto FLAT Plano Principal Oi TV nível conta</v>
          </cell>
          <cell r="B265" t="str">
            <v>Plano Oi Completo Small</v>
          </cell>
          <cell r="C265" t="str">
            <v>Template desconto FLAT Plano Principal Oi TV nível conta</v>
          </cell>
          <cell r="D265">
            <v>0.24780000000000002</v>
          </cell>
          <cell r="E265" t="str">
            <v>MKT-1-9828264126</v>
          </cell>
          <cell r="F265" t="str">
            <v>0T3T_REJ17_PCS-4P3pi_FLAT_TV_24.78%</v>
          </cell>
          <cell r="G265">
            <v>24.78</v>
          </cell>
        </row>
        <row r="266">
          <cell r="A266" t="str">
            <v>Oi Total Fixo + Pós Conectado 1.000 + Banda Larga0.2478Template desconto FLAT Plano Principal Oi TV nível conta</v>
          </cell>
          <cell r="B266" t="str">
            <v>Plano Oi Completo 1.000</v>
          </cell>
          <cell r="C266" t="str">
            <v>Template desconto FLAT Plano Principal Oi TV nível conta</v>
          </cell>
          <cell r="D266">
            <v>0.24780000000000002</v>
          </cell>
          <cell r="E266" t="str">
            <v>MKT-1-9828264511</v>
          </cell>
          <cell r="F266" t="str">
            <v>0T3T_REJ17_PCS-4P10pi_FLAT_TV_24.78%</v>
          </cell>
          <cell r="G266">
            <v>24.78</v>
          </cell>
        </row>
        <row r="267">
          <cell r="A267" t="str">
            <v>Oi Total Fixo + Pós 100 + Banda Larga0.2394Template desconto FLAT Plano Principal Oi TV nível conta</v>
          </cell>
          <cell r="B267" t="str">
            <v>Plano Oi Completo Small</v>
          </cell>
          <cell r="C267" t="str">
            <v>Template desconto FLAT Plano Principal Oi TV nível conta</v>
          </cell>
          <cell r="D267">
            <v>0.2394</v>
          </cell>
          <cell r="E267" t="str">
            <v>MKT-1-9828264776</v>
          </cell>
          <cell r="F267" t="str">
            <v>0T3T_REJ17_PCS-4P3pi_FLAT_TV_23.94%</v>
          </cell>
          <cell r="G267">
            <v>23.94</v>
          </cell>
        </row>
        <row r="268">
          <cell r="A268" t="str">
            <v>Oi Total Fixo + Pós Conectado 1.000 + Banda Larga0.2394Template desconto FLAT Plano Principal Oi TV nível conta</v>
          </cell>
          <cell r="B268" t="str">
            <v>Plano Oi Completo 1.000</v>
          </cell>
          <cell r="C268" t="str">
            <v>Template desconto FLAT Plano Principal Oi TV nível conta</v>
          </cell>
          <cell r="D268">
            <v>0.2394</v>
          </cell>
          <cell r="E268" t="str">
            <v>MKT-1-9828267281</v>
          </cell>
          <cell r="F268" t="str">
            <v>0T3T_REJ17_PCS-4P10pi_FLAT_TV_23.94%</v>
          </cell>
          <cell r="G268">
            <v>23.94</v>
          </cell>
        </row>
        <row r="269">
          <cell r="A269" t="str">
            <v>Oi Total Fixo + Pós Conectado 500 + Banda Larga0.3391Template desconto FLAT Plano Principal Oi TV nível conta</v>
          </cell>
          <cell r="B269" t="str">
            <v>Plano Oi Completo 500</v>
          </cell>
          <cell r="C269" t="str">
            <v>Template desconto FLAT Plano Principal Oi TV nível conta</v>
          </cell>
          <cell r="D269">
            <v>0.33909999999999996</v>
          </cell>
          <cell r="E269" t="str">
            <v>MKT-1-9828218245</v>
          </cell>
          <cell r="F269" t="str">
            <v>0T3T_REJ17_PCS-4P8pi_FLAT_TV_33.91%</v>
          </cell>
          <cell r="G269">
            <v>33.909999999999997</v>
          </cell>
        </row>
        <row r="270">
          <cell r="A270" t="str">
            <v>Oi Total Fixo + Pós 100 + Banda Larga0.092Template desconto FLAT Plano Principal Oi TV nível conta</v>
          </cell>
          <cell r="B270" t="str">
            <v>Plano Oi Completo Small</v>
          </cell>
          <cell r="C270" t="str">
            <v>Template desconto FLAT Plano Principal Oi TV nível conta</v>
          </cell>
          <cell r="D270">
            <v>9.1999999999999998E-2</v>
          </cell>
          <cell r="E270" t="str">
            <v>MKT-1-9828267586</v>
          </cell>
          <cell r="F270" t="str">
            <v>0T3T_REJ17_PCS-4P3pi_FLAT_TV_09.20%</v>
          </cell>
          <cell r="G270">
            <v>9.1999999999999993</v>
          </cell>
        </row>
        <row r="271">
          <cell r="A271" t="str">
            <v>Oi Total Fixo + Pós Conectado 1.000 + Banda Larga0.092Template desconto FLAT Plano Principal Oi TV nível conta</v>
          </cell>
          <cell r="B271" t="str">
            <v>Plano Oi Completo 1.000</v>
          </cell>
          <cell r="C271" t="str">
            <v>Template desconto FLAT Plano Principal Oi TV nível conta</v>
          </cell>
          <cell r="D271">
            <v>9.1999999999999998E-2</v>
          </cell>
          <cell r="E271" t="str">
            <v>MKT-1-9828268091</v>
          </cell>
          <cell r="F271" t="str">
            <v>0T3T_REJ17_PCS-4P10pi_FLAT_TV_09.20%</v>
          </cell>
          <cell r="G271">
            <v>9.1999999999999993</v>
          </cell>
        </row>
        <row r="272">
          <cell r="A272" t="str">
            <v>Oi Total Fixo + Pós 100 + Banda Larga0.3391Template desconto FLAT Plano Principal Oi TV nível conta</v>
          </cell>
          <cell r="B272" t="str">
            <v>Plano Oi Completo Small</v>
          </cell>
          <cell r="C272" t="str">
            <v>Template desconto FLAT Plano Principal Oi TV nível conta</v>
          </cell>
          <cell r="D272">
            <v>0.33909999999999996</v>
          </cell>
          <cell r="E272" t="str">
            <v>MKT-1-9828272372</v>
          </cell>
          <cell r="F272" t="str">
            <v>0T3T_REJ17_PCS-4P3pi_FLAT_TV_33.91%</v>
          </cell>
          <cell r="G272">
            <v>33.909999999999997</v>
          </cell>
        </row>
        <row r="273">
          <cell r="A273" t="str">
            <v>Oi Total Fixo + Pós 100 + Banda Larga0.2115Template desconto FLAT Plano Principal Oi TV nível conta</v>
          </cell>
          <cell r="B273" t="str">
            <v>Plano Oi Completo Small</v>
          </cell>
          <cell r="C273" t="str">
            <v>Template desconto FLAT Plano Principal Oi TV nível conta</v>
          </cell>
          <cell r="D273">
            <v>0.21149999999999999</v>
          </cell>
          <cell r="E273" t="str">
            <v>MKT-1-9828276416</v>
          </cell>
          <cell r="F273" t="str">
            <v>0T3T_REJ17_PCS-4P3pi_FLAT_TV_21.15%</v>
          </cell>
          <cell r="G273">
            <v>21.15</v>
          </cell>
        </row>
        <row r="274">
          <cell r="A274" t="str">
            <v>Oi Total Fixo + Pós Conectado 1.000 + Banda Larga0.2115Template desconto FLAT Plano Principal Oi TV nível conta</v>
          </cell>
          <cell r="B274" t="str">
            <v>Plano Oi Completo 1.000</v>
          </cell>
          <cell r="C274" t="str">
            <v>Template desconto FLAT Plano Principal Oi TV nível conta</v>
          </cell>
          <cell r="D274">
            <v>0.21149999999999999</v>
          </cell>
          <cell r="E274" t="str">
            <v>MKT-1-9828276731</v>
          </cell>
          <cell r="F274" t="str">
            <v>0T3T_REJ17_PCS-4P10pi_FLAT_TV_21.15%</v>
          </cell>
          <cell r="G274">
            <v>21.15</v>
          </cell>
        </row>
        <row r="275">
          <cell r="A275" t="str">
            <v>Oi Total Fixo + Pós 100 + Banda Larga0.2056Template desconto FLAT Plano Principal Oi TV nível conta</v>
          </cell>
          <cell r="B275" t="str">
            <v>Plano Oi Completo Small</v>
          </cell>
          <cell r="C275" t="str">
            <v>Template desconto FLAT Plano Principal Oi TV nível conta</v>
          </cell>
          <cell r="D275">
            <v>0.20559999999999998</v>
          </cell>
          <cell r="E275" t="str">
            <v>MKT-1-9828285106</v>
          </cell>
          <cell r="F275" t="str">
            <v>0T3T_REJ17_PCS-4P3pi_FLAT_TV_20.56%</v>
          </cell>
          <cell r="G275">
            <v>20.56</v>
          </cell>
        </row>
        <row r="276">
          <cell r="A276" t="str">
            <v>Oi Total Fixo + Banda Larga + TV 30.4323Template desconto FLAT Plano Principal Oi TV nível conta</v>
          </cell>
          <cell r="B276" t="str">
            <v>Plano Oi Convergente High</v>
          </cell>
          <cell r="C276" t="str">
            <v>Template desconto FLAT Plano Principal Oi TV nível conta</v>
          </cell>
          <cell r="D276">
            <v>0.43229999999999996</v>
          </cell>
          <cell r="E276" t="str">
            <v>MKT-1-9828278347</v>
          </cell>
          <cell r="F276" t="str">
            <v>0T3T_REJ17_PCS-3PHipi_FLAT_TV_43.23%</v>
          </cell>
          <cell r="G276">
            <v>43.23</v>
          </cell>
        </row>
        <row r="277">
          <cell r="A277" t="str">
            <v>Oi Total Fixo + Pós Conectado 1.000 + Banda Larga0.2056Template desconto FLAT Plano Principal Oi TV nível conta</v>
          </cell>
          <cell r="B277" t="str">
            <v>Plano Oi Completo 1.000</v>
          </cell>
          <cell r="C277" t="str">
            <v>Template desconto FLAT Plano Principal Oi TV nível conta</v>
          </cell>
          <cell r="D277">
            <v>0.20559999999999998</v>
          </cell>
          <cell r="E277" t="str">
            <v>MKT-1-9828285491</v>
          </cell>
          <cell r="F277" t="str">
            <v>0T3T_REJ17_PCS-4P10pi_FLAT_TV_20.56%</v>
          </cell>
          <cell r="G277">
            <v>20.56</v>
          </cell>
        </row>
        <row r="278">
          <cell r="A278" t="str">
            <v>Oi Total Fixo + Banda Larga + TV 30.4624Template desconto FLAT Plano Principal Oi TV nível conta</v>
          </cell>
          <cell r="B278" t="str">
            <v>Plano Oi Convergente High</v>
          </cell>
          <cell r="C278" t="str">
            <v>Template desconto FLAT Plano Principal Oi TV nível conta</v>
          </cell>
          <cell r="D278">
            <v>0.46240000000000003</v>
          </cell>
          <cell r="E278" t="str">
            <v>MKT-1-9828290242</v>
          </cell>
          <cell r="F278" t="str">
            <v>0T3T_REJ17_PCS-3PHipi_FLAT_TV_46.24%</v>
          </cell>
          <cell r="G278">
            <v>46.24</v>
          </cell>
        </row>
        <row r="279">
          <cell r="A279" t="str">
            <v>Oi Total Fixo + Pós 100 + Banda Larga0.171Template desconto FLAT Plano Principal Oi TV nível conta</v>
          </cell>
          <cell r="B279" t="str">
            <v>Plano Oi Completo Small</v>
          </cell>
          <cell r="C279" t="str">
            <v>Template desconto FLAT Plano Principal Oi TV nível conta</v>
          </cell>
          <cell r="D279">
            <v>0.17100000000000001</v>
          </cell>
          <cell r="E279" t="str">
            <v>MKT-1-9828285876</v>
          </cell>
          <cell r="F279" t="str">
            <v>0T3T_REJ17_PCS-4P3pi_FLAT_TV_17.10%</v>
          </cell>
          <cell r="G279">
            <v>17.100000000000001</v>
          </cell>
        </row>
        <row r="280">
          <cell r="A280" t="str">
            <v>Oi Total Fixo + Pós Conectado 1.000 + Banda Larga0.171Template desconto FLAT Plano Principal Oi TV nível conta</v>
          </cell>
          <cell r="B280" t="str">
            <v>Plano Oi Completo 1.000</v>
          </cell>
          <cell r="C280" t="str">
            <v>Template desconto FLAT Plano Principal Oi TV nível conta</v>
          </cell>
          <cell r="D280">
            <v>0.17100000000000001</v>
          </cell>
          <cell r="E280" t="str">
            <v>MKT-1-9828296171</v>
          </cell>
          <cell r="F280" t="str">
            <v>0T3T_REJ17_PCS-4P10pi_FLAT_TV_17.10%</v>
          </cell>
          <cell r="G280">
            <v>17.100000000000001</v>
          </cell>
        </row>
        <row r="281">
          <cell r="A281" t="str">
            <v>Oi Total Fixo + Pós Conectado Mais + Banda Larga0.1569Template desconto FLAT Plano Principal Oi TV nível conta</v>
          </cell>
          <cell r="B281" t="str">
            <v>Plano Oi Completo Mais</v>
          </cell>
          <cell r="C281" t="str">
            <v>Template desconto FLAT Plano Principal Oi TV nível conta</v>
          </cell>
          <cell r="D281">
            <v>0.15689999999999998</v>
          </cell>
          <cell r="E281" t="str">
            <v>MKT-1-9828296436</v>
          </cell>
          <cell r="F281" t="str">
            <v>0T3T_REJ17_PCS-4P9pi_FLAT_TV_15.69%</v>
          </cell>
          <cell r="G281">
            <v>15.69</v>
          </cell>
        </row>
        <row r="282">
          <cell r="A282" t="str">
            <v>Oi Total Fixo + Banda Larga + TV 30.4395Template desconto FLAT Plano Principal Oi TV nível conta</v>
          </cell>
          <cell r="B282" t="str">
            <v>Plano Oi Convergente High</v>
          </cell>
          <cell r="C282" t="str">
            <v>Template desconto FLAT Plano Principal Oi TV nível conta</v>
          </cell>
          <cell r="D282">
            <v>0.4395</v>
          </cell>
          <cell r="E282" t="str">
            <v>MKT-1-9828290859</v>
          </cell>
          <cell r="F282" t="str">
            <v>0T3T_REJ17_PCS-3PHipi_FLAT_TV_43.95%</v>
          </cell>
          <cell r="G282">
            <v>43.95</v>
          </cell>
        </row>
        <row r="283">
          <cell r="A283" t="str">
            <v>Oi Total Fixo + TV 10.2435Template desconto FLAT Plano Principal Oi TV nível conta</v>
          </cell>
          <cell r="B283" t="str">
            <v>Plano Oi Internet Total Low</v>
          </cell>
          <cell r="C283" t="str">
            <v>Template desconto FLAT Plano Principal Oi TV nível conta</v>
          </cell>
          <cell r="D283">
            <v>0.24350000000000002</v>
          </cell>
          <cell r="E283" t="str">
            <v>MKT-1-9828296901</v>
          </cell>
          <cell r="F283" t="str">
            <v>0T3T_REJ17_CFG-2Plowpi_FLAT_TV_24.35%</v>
          </cell>
          <cell r="G283">
            <v>24.35</v>
          </cell>
        </row>
        <row r="284">
          <cell r="A284" t="str">
            <v>Oi Total Fixo + Banda Larga + TV 20.5004Template desconto FLAT Plano Principal Oi TV nível conta</v>
          </cell>
          <cell r="B284" t="str">
            <v>Plano Oi Convergente Medium</v>
          </cell>
          <cell r="C284" t="str">
            <v>Template desconto FLAT Plano Principal Oi TV nível conta</v>
          </cell>
          <cell r="D284">
            <v>0.50039999999999996</v>
          </cell>
          <cell r="E284" t="str">
            <v>MKT-1-9828308164</v>
          </cell>
          <cell r="F284" t="str">
            <v>0T3T_REJ17_PCS-3PMepi_FLAT_TV_50.04%</v>
          </cell>
          <cell r="G284">
            <v>50.04</v>
          </cell>
        </row>
        <row r="285">
          <cell r="A285" t="str">
            <v>Oi Total Fixo + TV 20.2159Template desconto FLAT Plano Principal Oi TV nível conta</v>
          </cell>
          <cell r="B285" t="str">
            <v>Plano Oi Internet Total Medium</v>
          </cell>
          <cell r="C285" t="str">
            <v>Template desconto FLAT Plano Principal Oi TV nível conta</v>
          </cell>
          <cell r="D285">
            <v>0.21590000000000001</v>
          </cell>
          <cell r="E285" t="str">
            <v>MKT-1-9828314176</v>
          </cell>
          <cell r="F285" t="str">
            <v>0T3T_REJ17_PCS-2PMepi_FLAT_TV_21.59%</v>
          </cell>
          <cell r="G285">
            <v>21.59</v>
          </cell>
        </row>
        <row r="286">
          <cell r="A286" t="str">
            <v>Oi Total Fixo + TV 20.2573Template desconto FLAT Plano Principal Oi TV nível conta</v>
          </cell>
          <cell r="B286" t="str">
            <v>Plano Oi Internet Total Medium</v>
          </cell>
          <cell r="C286" t="str">
            <v>Template desconto FLAT Plano Principal Oi TV nível conta</v>
          </cell>
          <cell r="D286">
            <v>0.25730000000000003</v>
          </cell>
          <cell r="E286" t="str">
            <v>MKT-1-9828314891</v>
          </cell>
          <cell r="F286" t="str">
            <v>0T3T_REJ17_PCS-2PMepi_FLAT_TV_25.73%</v>
          </cell>
          <cell r="G286">
            <v>25.73</v>
          </cell>
        </row>
        <row r="287">
          <cell r="A287" t="str">
            <v>Oi Total Fixo + Banda Larga + TV 20.4777Template desconto FLAT Plano Principal Oi TV nível conta</v>
          </cell>
          <cell r="B287" t="str">
            <v>Plano Oi Convergente Medium</v>
          </cell>
          <cell r="C287" t="str">
            <v>Template desconto FLAT Plano Principal Oi TV nível conta</v>
          </cell>
          <cell r="D287">
            <v>0.47770000000000001</v>
          </cell>
          <cell r="E287" t="str">
            <v>MKT-1-9828309059</v>
          </cell>
          <cell r="F287" t="str">
            <v>0T3T_REJ17_PCS-3PMepi_FLAT_TV_47.77%</v>
          </cell>
          <cell r="G287">
            <v>47.77</v>
          </cell>
        </row>
        <row r="288">
          <cell r="A288" t="str">
            <v>Oi Total Fixo + TV 20.3399Template desconto FLAT Plano Principal Oi TV nível conta</v>
          </cell>
          <cell r="B288" t="str">
            <v>Plano Oi Internet Total Medium</v>
          </cell>
          <cell r="C288" t="str">
            <v>Template desconto FLAT Plano Principal Oi TV nível conta</v>
          </cell>
          <cell r="D288">
            <v>0.33990000000000004</v>
          </cell>
          <cell r="E288" t="str">
            <v>MKT-1-9828325326</v>
          </cell>
          <cell r="F288" t="str">
            <v>0T3T_REJ17_PCS-2PMepi_FLAT_TV_33.99%</v>
          </cell>
          <cell r="G288">
            <v>33.99</v>
          </cell>
        </row>
        <row r="289">
          <cell r="A289" t="str">
            <v>Oi Total Fixo + TV 30.3516Template desconto FLAT Plano Principal Oi TV nível conta</v>
          </cell>
          <cell r="B289" t="str">
            <v>Plano Oi Internet Total High</v>
          </cell>
          <cell r="C289" t="str">
            <v>Template desconto FLAT Plano Principal Oi TV nível conta</v>
          </cell>
          <cell r="D289">
            <v>0.35159999999999997</v>
          </cell>
          <cell r="E289" t="str">
            <v>MKT-1-9828326011</v>
          </cell>
          <cell r="F289" t="str">
            <v>0T3T_REJ17_PCS-2PHipi_FLAT_TV_35.16%</v>
          </cell>
          <cell r="G289">
            <v>35.159999999999997</v>
          </cell>
        </row>
        <row r="290">
          <cell r="A290" t="str">
            <v>Oi Total Fixo + TV 30.3775Template desconto FLAT Plano Principal Oi TV nível conta</v>
          </cell>
          <cell r="B290" t="str">
            <v>Plano Oi Internet Total High</v>
          </cell>
          <cell r="C290" t="str">
            <v>Template desconto FLAT Plano Principal Oi TV nível conta</v>
          </cell>
          <cell r="D290">
            <v>0.3775</v>
          </cell>
          <cell r="E290" t="str">
            <v>MKT-1-9828337616</v>
          </cell>
          <cell r="F290" t="str">
            <v>0T3T_REJ17_PCS-2PHipi_FLAT_TV_37.75%</v>
          </cell>
          <cell r="G290">
            <v>37.75</v>
          </cell>
        </row>
        <row r="291">
          <cell r="A291" t="str">
            <v>Oi Total Fixo + TV 30.4295Template desconto FLAT Plano Principal Oi TV nível conta</v>
          </cell>
          <cell r="B291" t="str">
            <v>Plano Oi Internet Total High</v>
          </cell>
          <cell r="C291" t="str">
            <v>Template desconto FLAT Plano Principal Oi TV nível conta</v>
          </cell>
          <cell r="D291">
            <v>0.42950000000000005</v>
          </cell>
          <cell r="E291" t="str">
            <v>MKT-1-9828337901</v>
          </cell>
          <cell r="F291" t="str">
            <v>0T3T_REJ17_PCS-2PHipi_FLAT_TV_42.95%</v>
          </cell>
          <cell r="G291">
            <v>42.95</v>
          </cell>
        </row>
        <row r="292">
          <cell r="A292" t="str">
            <v>Oi Total Fixo + Banda Larga + TV 30.4076Template desconto FLAT Plano Principal Oi TV nível conta</v>
          </cell>
          <cell r="B292" t="str">
            <v>Plano Oi Convergente High</v>
          </cell>
          <cell r="C292" t="str">
            <v>Template desconto FLAT Plano Principal Oi TV nível conta</v>
          </cell>
          <cell r="D292">
            <v>0.40759999999999996</v>
          </cell>
          <cell r="E292" t="str">
            <v>MKT-1-9828317974</v>
          </cell>
          <cell r="F292" t="str">
            <v>0T3T_REJ17_PCS-3PHipi_FLAT_TV_40.76%</v>
          </cell>
          <cell r="G292">
            <v>40.76</v>
          </cell>
        </row>
        <row r="293">
          <cell r="A293" t="str">
            <v>Oi Total Fixo + Banda Larga + TV 30.3878Template desconto FLAT Plano Principal Oi TV nível conta</v>
          </cell>
          <cell r="B293" t="str">
            <v>Plano Oi Convergente High</v>
          </cell>
          <cell r="C293" t="str">
            <v>Template desconto FLAT Plano Principal Oi TV nível conta</v>
          </cell>
          <cell r="D293">
            <v>0.38780000000000003</v>
          </cell>
          <cell r="E293" t="str">
            <v>MKT-1-9828342229</v>
          </cell>
          <cell r="F293" t="str">
            <v>0T3T_REJ17_PCS-3PHipi_FLAT_TV_38.78%</v>
          </cell>
          <cell r="G293">
            <v>38.78</v>
          </cell>
        </row>
        <row r="294">
          <cell r="A294" t="str">
            <v>Oi Total Fixo + Banda Larga + TV 30.441Template desconto FLAT Plano Principal Oi TV nível conta</v>
          </cell>
          <cell r="B294" t="str">
            <v>Plano Oi Convergente High</v>
          </cell>
          <cell r="C294" t="str">
            <v>Template desconto FLAT Plano Principal Oi TV nível conta</v>
          </cell>
          <cell r="D294">
            <v>0.441</v>
          </cell>
          <cell r="E294" t="str">
            <v>MKT-1-9828342484</v>
          </cell>
          <cell r="F294" t="str">
            <v>0T3T_REJ17_PCS-3PHipi_FLAT_TV_44.10%</v>
          </cell>
          <cell r="G294">
            <v>44.1</v>
          </cell>
        </row>
        <row r="295">
          <cell r="A295" t="str">
            <v>Oi Total Fixo + Banda Larga + TV 30.4177Template desconto FLAT Plano Principal Oi TV nível conta</v>
          </cell>
          <cell r="B295" t="str">
            <v>Plano Oi Convergente High</v>
          </cell>
          <cell r="C295" t="str">
            <v>Template desconto FLAT Plano Principal Oi TV nível conta</v>
          </cell>
          <cell r="D295">
            <v>0.41770000000000002</v>
          </cell>
          <cell r="E295" t="str">
            <v>MKT-1-9828342739</v>
          </cell>
          <cell r="F295" t="str">
            <v>0T3T_REJ17_PCS-3PHipi_FLAT_TV_41.77%</v>
          </cell>
          <cell r="G295">
            <v>41.77</v>
          </cell>
        </row>
        <row r="296">
          <cell r="A296" t="str">
            <v>Oi Total Fixo + Banda Larga + TV 30.4107Template desconto FLAT Plano Principal Oi TV nível conta</v>
          </cell>
          <cell r="B296" t="str">
            <v>Plano Oi Convergente High</v>
          </cell>
          <cell r="C296" t="str">
            <v>Template desconto FLAT Plano Principal Oi TV nível conta</v>
          </cell>
          <cell r="D296">
            <v>0.41070000000000001</v>
          </cell>
          <cell r="E296" t="str">
            <v>MKT-1-9828342994</v>
          </cell>
          <cell r="F296" t="str">
            <v>0T3T_REJ17_PCS-3PHipi_FLAT_TV_41.07%</v>
          </cell>
          <cell r="G296">
            <v>41.07</v>
          </cell>
        </row>
        <row r="297">
          <cell r="A297" t="str">
            <v>Oi Total Fixo + Banda Larga + TV 30.3862Template desconto FLAT Plano Principal Oi TV nível conta</v>
          </cell>
          <cell r="B297" t="str">
            <v>Plano Oi Convergente High</v>
          </cell>
          <cell r="C297" t="str">
            <v>Template desconto FLAT Plano Principal Oi TV nível conta</v>
          </cell>
          <cell r="D297">
            <v>0.38619999999999999</v>
          </cell>
          <cell r="E297" t="str">
            <v>MKT-1-9828366249</v>
          </cell>
          <cell r="F297" t="str">
            <v>0T3T_REJ17_PCS-3PHipi_FLAT_TV_38.62%</v>
          </cell>
          <cell r="G297">
            <v>38.619999999999997</v>
          </cell>
        </row>
        <row r="298">
          <cell r="A298" t="str">
            <v>Oi Total Fixo + TV 30.3867Template desconto FLAT Plano Principal Oi TV nível conta</v>
          </cell>
          <cell r="B298" t="str">
            <v>Plano Oi Internet Total High</v>
          </cell>
          <cell r="C298" t="str">
            <v>Template desconto FLAT Plano Principal Oi TV nível conta</v>
          </cell>
          <cell r="D298">
            <v>0.38670000000000004</v>
          </cell>
          <cell r="E298" t="str">
            <v>MKT-1-9828340256</v>
          </cell>
          <cell r="F298" t="str">
            <v>0T3T_REJ17_PCS-2PHipi_FLAT_TV_38.67%</v>
          </cell>
          <cell r="G298">
            <v>38.67</v>
          </cell>
        </row>
        <row r="299">
          <cell r="A299" t="str">
            <v>Oi Total Fixo + TV 30.4112Template desconto FLAT Plano Principal Oi TV nível conta</v>
          </cell>
          <cell r="B299" t="str">
            <v>Plano Oi Internet Total High</v>
          </cell>
          <cell r="C299" t="str">
            <v>Template desconto FLAT Plano Principal Oi TV nível conta</v>
          </cell>
          <cell r="D299">
            <v>0.41119999999999995</v>
          </cell>
          <cell r="E299" t="str">
            <v>MKT-1-9828366541</v>
          </cell>
          <cell r="F299" t="str">
            <v>0T3T_REJ17_PCS-2PHipi_FLAT_TV_41.12%</v>
          </cell>
          <cell r="G299">
            <v>41.12</v>
          </cell>
        </row>
        <row r="300">
          <cell r="A300" t="str">
            <v>Oi Total Fixo + TV 30.4603Template desconto FLAT Plano Principal Oi TV nível conta</v>
          </cell>
          <cell r="B300" t="str">
            <v>Plano Oi Internet Total High</v>
          </cell>
          <cell r="C300" t="str">
            <v>Template desconto FLAT Plano Principal Oi TV nível conta</v>
          </cell>
          <cell r="D300">
            <v>0.46029999999999999</v>
          </cell>
          <cell r="E300" t="str">
            <v>MKT-1-9828366796</v>
          </cell>
          <cell r="F300" t="str">
            <v>0T3T_REJ17_PCS-2PHipi_FLAT_TV_46.03%</v>
          </cell>
          <cell r="G300">
            <v>46.03</v>
          </cell>
        </row>
        <row r="301">
          <cell r="A301" t="str">
            <v>Oi Total Fixo + TV 30.2594Template desconto FLAT Plano Principal Oi TV nível conta</v>
          </cell>
          <cell r="B301" t="str">
            <v>Plano Oi Internet Total High</v>
          </cell>
          <cell r="C301" t="str">
            <v>Template desconto FLAT Plano Principal Oi TV nível conta</v>
          </cell>
          <cell r="D301">
            <v>0.25940000000000002</v>
          </cell>
          <cell r="E301" t="str">
            <v>MKT-1-9828367081</v>
          </cell>
          <cell r="F301" t="str">
            <v>0T3T_REJ17_PCS-2PHipi_FLAT_TV_25.94%</v>
          </cell>
          <cell r="G301">
            <v>25.94</v>
          </cell>
        </row>
        <row r="302">
          <cell r="A302" t="str">
            <v>Oi Total Fixo + TV 30.2833Template desconto FLAT Plano Principal Oi TV nível conta</v>
          </cell>
          <cell r="B302" t="str">
            <v>Plano Oi Internet Total High</v>
          </cell>
          <cell r="C302" t="str">
            <v>Template desconto FLAT Plano Principal Oi TV nível conta</v>
          </cell>
          <cell r="D302">
            <v>0.2833</v>
          </cell>
          <cell r="E302" t="str">
            <v>MKT-1-9828688336</v>
          </cell>
          <cell r="F302" t="str">
            <v>0T3T_REJ17_PCS-2PHipi_FLAT_TV_28.33%</v>
          </cell>
          <cell r="G302">
            <v>28.33</v>
          </cell>
        </row>
        <row r="303">
          <cell r="A303" t="str">
            <v>Oi Total Fixo + TV 30.3311Template desconto FLAT Plano Principal Oi TV nível conta</v>
          </cell>
          <cell r="B303" t="str">
            <v>Plano Oi Internet Total High</v>
          </cell>
          <cell r="C303" t="str">
            <v>Template desconto FLAT Plano Principal Oi TV nível conta</v>
          </cell>
          <cell r="D303">
            <v>0.33110000000000001</v>
          </cell>
          <cell r="E303" t="str">
            <v>MKT-1-9828688591</v>
          </cell>
          <cell r="F303" t="str">
            <v>0T3T_REJ17_PCS-2PHipi_FLAT_TV_33.11%</v>
          </cell>
          <cell r="G303">
            <v>33.11</v>
          </cell>
        </row>
        <row r="304">
          <cell r="A304" t="str">
            <v>Oi Total Fixo + TV 20.3646Template desconto FLAT Plano Principal Oi TV nível conta</v>
          </cell>
          <cell r="B304" t="str">
            <v>Plano Oi Internet Total Medium</v>
          </cell>
          <cell r="C304" t="str">
            <v>Template desconto FLAT Plano Principal Oi TV nível conta</v>
          </cell>
          <cell r="D304">
            <v>0.36460000000000004</v>
          </cell>
          <cell r="E304" t="str">
            <v>MKT-1-9828688876</v>
          </cell>
          <cell r="F304" t="str">
            <v>0T3T_REJ17_PCS-2PMepi_FLAT_TV_36.46%</v>
          </cell>
          <cell r="G304">
            <v>36.46</v>
          </cell>
        </row>
        <row r="305">
          <cell r="A305" t="str">
            <v>Oi Total Fixo + TV 20.3949Template desconto FLAT Plano Principal Oi TV nível conta</v>
          </cell>
          <cell r="B305" t="str">
            <v>Plano Oi Internet Total Medium</v>
          </cell>
          <cell r="C305" t="str">
            <v>Template desconto FLAT Plano Principal Oi TV nível conta</v>
          </cell>
          <cell r="D305">
            <v>0.39490000000000003</v>
          </cell>
          <cell r="E305" t="str">
            <v>MKT-1-9828699741</v>
          </cell>
          <cell r="F305" t="str">
            <v>0T3T_REJ17_PCS-2PMepi_FLAT_TV_39.49%</v>
          </cell>
          <cell r="G305">
            <v>39.49</v>
          </cell>
        </row>
        <row r="306">
          <cell r="A306" t="str">
            <v>Oi Total Fixo + TV 20.4555Template desconto FLAT Plano Principal Oi TV nível conta</v>
          </cell>
          <cell r="B306" t="str">
            <v>Plano Oi Internet Total Medium</v>
          </cell>
          <cell r="C306" t="str">
            <v>Template desconto FLAT Plano Principal Oi TV nível conta</v>
          </cell>
          <cell r="D306">
            <v>0.45549999999999996</v>
          </cell>
          <cell r="E306" t="str">
            <v>MKT-1-9828700036</v>
          </cell>
          <cell r="F306" t="str">
            <v>0T3T_REJ17_PCS-2PMepi_FLAT_TV_45.55%</v>
          </cell>
          <cell r="G306">
            <v>45.55</v>
          </cell>
        </row>
        <row r="307">
          <cell r="A307" t="str">
            <v>Oi Total Fixo + TV 30.3376Template desconto FLAT Plano Principal Oi TV nível conta</v>
          </cell>
          <cell r="B307" t="str">
            <v>Plano Oi Internet Total High</v>
          </cell>
          <cell r="C307" t="str">
            <v>Template desconto FLAT Plano Principal Oi TV nível conta</v>
          </cell>
          <cell r="D307">
            <v>0.33759999999999996</v>
          </cell>
          <cell r="E307" t="str">
            <v>MKT-1-9828719711</v>
          </cell>
          <cell r="F307" t="str">
            <v>0T3T_REJ17_PCS-2PHipi_FLAT_TV_33.76%</v>
          </cell>
          <cell r="G307">
            <v>33.76</v>
          </cell>
        </row>
        <row r="308">
          <cell r="A308" t="str">
            <v>Oi Total Fixo + Banda Larga + TV 20.4549Template desconto FLAT Plano Principal Oi TV nível conta</v>
          </cell>
          <cell r="B308" t="str">
            <v>Plano Oi Convergente Medium</v>
          </cell>
          <cell r="C308" t="str">
            <v>Template desconto FLAT Plano Principal Oi TV nível conta</v>
          </cell>
          <cell r="D308">
            <v>0.45490000000000003</v>
          </cell>
          <cell r="E308" t="str">
            <v>MKT-1-9828367075</v>
          </cell>
          <cell r="F308" t="str">
            <v>0T3T_REJ17_PCS-3PMepi_FLAT_TV_45.49%</v>
          </cell>
          <cell r="G308">
            <v>45.49</v>
          </cell>
        </row>
        <row r="309">
          <cell r="A309" t="str">
            <v>Oi Total Fixo + Banda Larga + TV 20.4246Template desconto FLAT Plano Principal Oi TV nível conta</v>
          </cell>
          <cell r="B309" t="str">
            <v>Plano Oi Convergente Medium</v>
          </cell>
          <cell r="C309" t="str">
            <v>Template desconto FLAT Plano Principal Oi TV nível conta</v>
          </cell>
          <cell r="D309">
            <v>0.42460000000000003</v>
          </cell>
          <cell r="E309" t="str">
            <v>MKT-1-9828725690</v>
          </cell>
          <cell r="F309" t="str">
            <v>0T3T_REJ17_PCS-3PMepi_FLAT_TV_42.46%</v>
          </cell>
          <cell r="G309">
            <v>42.46</v>
          </cell>
        </row>
        <row r="310">
          <cell r="A310" t="str">
            <v>Oi Total Fixo + TV 30.3621Template desconto FLAT Plano Principal Oi TV nível conta</v>
          </cell>
          <cell r="B310" t="str">
            <v>Plano Oi Internet Total High</v>
          </cell>
          <cell r="C310" t="str">
            <v>Template desconto FLAT Plano Principal Oi TV nível conta</v>
          </cell>
          <cell r="D310">
            <v>0.36210000000000003</v>
          </cell>
          <cell r="E310" t="str">
            <v>MKT-1-9828720086</v>
          </cell>
          <cell r="F310" t="str">
            <v>0T3T_REJ17_PCS-2PHipi_FLAT_TV_36.21%</v>
          </cell>
          <cell r="G310">
            <v>36.21</v>
          </cell>
        </row>
        <row r="311">
          <cell r="A311" t="str">
            <v>Oi Total Fixo + TV 30.3716Template desconto FLAT Plano Principal Oi TV nível conta</v>
          </cell>
          <cell r="B311" t="str">
            <v>Plano Oi Internet Total High</v>
          </cell>
          <cell r="C311" t="str">
            <v>Template desconto FLAT Plano Principal Oi TV nível conta</v>
          </cell>
          <cell r="D311">
            <v>0.37159999999999999</v>
          </cell>
          <cell r="E311" t="str">
            <v>MKT-1-9828752271</v>
          </cell>
          <cell r="F311" t="str">
            <v>0T3T_REJ17_PCS-2PHipi_FLAT_TV_37.16%</v>
          </cell>
          <cell r="G311">
            <v>37.159999999999997</v>
          </cell>
        </row>
        <row r="312">
          <cell r="A312" t="str">
            <v>Oi Total Fixo + TV 30.3949Template desconto FLAT Plano Principal Oi TV nível conta</v>
          </cell>
          <cell r="B312" t="str">
            <v>Plano Oi Internet Total High</v>
          </cell>
          <cell r="C312" t="str">
            <v>Template desconto FLAT Plano Principal Oi TV nível conta</v>
          </cell>
          <cell r="D312">
            <v>0.39490000000000003</v>
          </cell>
          <cell r="E312" t="str">
            <v>MKT-1-9828752526</v>
          </cell>
          <cell r="F312" t="str">
            <v>0T3T_REJ17_PCS-2PHipi_FLAT_TV_39.49%</v>
          </cell>
          <cell r="G312">
            <v>39.49</v>
          </cell>
        </row>
        <row r="313">
          <cell r="A313" t="str">
            <v>Oi Total Fixo + Banda Larga + TV 30.3784Template desconto FLAT Plano Principal Oi TV nível conta</v>
          </cell>
          <cell r="B313" t="str">
            <v>Plano Oi Convergente High</v>
          </cell>
          <cell r="C313" t="str">
            <v>Template desconto FLAT Plano Principal Oi TV nível conta</v>
          </cell>
          <cell r="D313">
            <v>0.37840000000000001</v>
          </cell>
          <cell r="E313" t="str">
            <v>MKT-1-9828735015</v>
          </cell>
          <cell r="F313" t="str">
            <v>0T3T_REJ17_PCS-3PHipi_FLAT_TV_37.84%</v>
          </cell>
          <cell r="G313">
            <v>37.840000000000003</v>
          </cell>
        </row>
        <row r="314">
          <cell r="A314" t="str">
            <v>Oi Total Fixo + TV 30.4414Template desconto FLAT Plano Principal Oi TV nível conta</v>
          </cell>
          <cell r="B314" t="str">
            <v>Plano Oi Internet Total High</v>
          </cell>
          <cell r="C314" t="str">
            <v>Template desconto FLAT Plano Principal Oi TV nível conta</v>
          </cell>
          <cell r="D314">
            <v>0.44140000000000001</v>
          </cell>
          <cell r="E314" t="str">
            <v>MKT-1-9828766101</v>
          </cell>
          <cell r="F314" t="str">
            <v>0T3T_REJ17_PCS-2PHipi_FLAT_TV_44.14%</v>
          </cell>
          <cell r="G314">
            <v>44.14</v>
          </cell>
        </row>
        <row r="315">
          <cell r="A315" t="str">
            <v>Oi Total Fixo + TV 30.3487Template desconto FLAT Plano Principal Oi TV nível conta</v>
          </cell>
          <cell r="B315" t="str">
            <v>Plano Oi Internet Total High</v>
          </cell>
          <cell r="C315" t="str">
            <v>Template desconto FLAT Plano Principal Oi TV nível conta</v>
          </cell>
          <cell r="D315">
            <v>0.34869999999999995</v>
          </cell>
          <cell r="E315" t="str">
            <v>MKT-1-9828766546</v>
          </cell>
          <cell r="F315" t="str">
            <v>0T3T_REJ17_PCS-2PHipi_FLAT_TV_34.87%</v>
          </cell>
          <cell r="G315">
            <v>34.869999999999997</v>
          </cell>
        </row>
        <row r="316">
          <cell r="A316" t="str">
            <v>Oi Total Fixo + TV 30.3685Template desconto FLAT Plano Principal Oi TV nível conta</v>
          </cell>
          <cell r="B316" t="str">
            <v>Plano Oi Internet Total High</v>
          </cell>
          <cell r="C316" t="str">
            <v>Template desconto FLAT Plano Principal Oi TV nível conta</v>
          </cell>
          <cell r="D316">
            <v>0.36849999999999999</v>
          </cell>
          <cell r="E316" t="str">
            <v>MKT-1-9828767001</v>
          </cell>
          <cell r="F316" t="str">
            <v>0T3T_REJ17_PCS-2PHipi_FLAT_TV_36.85%</v>
          </cell>
          <cell r="G316">
            <v>36.85</v>
          </cell>
        </row>
        <row r="317">
          <cell r="A317" t="str">
            <v>Oi Total Fixo + Banda Larga + TV 30.3306Template desconto FLAT Plano Principal Oi TV nível conta</v>
          </cell>
          <cell r="B317" t="str">
            <v>Plano Oi Convergente High</v>
          </cell>
          <cell r="C317" t="str">
            <v>Template desconto FLAT Plano Principal Oi TV nível conta</v>
          </cell>
          <cell r="D317">
            <v>0.3306</v>
          </cell>
          <cell r="E317" t="str">
            <v>MKT-1-9828753052</v>
          </cell>
          <cell r="F317" t="str">
            <v>0T3T_REJ17_PCS-3PHipi_FLAT_TV_33.06%</v>
          </cell>
          <cell r="G317">
            <v>33.06</v>
          </cell>
        </row>
        <row r="318">
          <cell r="A318" t="str">
            <v>Oi Total Fixo + TV 30.408Template desconto FLAT Plano Principal Oi TV nível conta</v>
          </cell>
          <cell r="B318" t="str">
            <v>Plano Oi Internet Total High</v>
          </cell>
          <cell r="C318" t="str">
            <v>Template desconto FLAT Plano Principal Oi TV nível conta</v>
          </cell>
          <cell r="D318">
            <v>0.40799999999999997</v>
          </cell>
          <cell r="E318" t="str">
            <v>MKT-1-9828773306</v>
          </cell>
          <cell r="F318" t="str">
            <v>0T3T_REJ17_PCS-2PHipi_FLAT_TV_40.80%</v>
          </cell>
          <cell r="G318">
            <v>40.799999999999997</v>
          </cell>
        </row>
        <row r="319">
          <cell r="A319" t="str">
            <v>Oi Total Fixo + TV 20.4327Template desconto FLAT Plano Principal Oi TV nível conta</v>
          </cell>
          <cell r="B319" t="str">
            <v>Plano Oi Internet Total Medium</v>
          </cell>
          <cell r="C319" t="str">
            <v>Template desconto FLAT Plano Principal Oi TV nível conta</v>
          </cell>
          <cell r="D319">
            <v>0.43270000000000003</v>
          </cell>
          <cell r="E319" t="str">
            <v>MKT-1-9828782801</v>
          </cell>
          <cell r="F319" t="str">
            <v>0T3T_REJ17_PCS-2PMepi_FLAT_TV_43.27%</v>
          </cell>
          <cell r="G319">
            <v>43.27</v>
          </cell>
        </row>
        <row r="320">
          <cell r="A320" t="str">
            <v>Oi Total Fixo + Banda Larga + TV 30.3067Template desconto FLAT Plano Principal Oi TV nível conta</v>
          </cell>
          <cell r="B320" t="str">
            <v>Plano Oi Convergente High</v>
          </cell>
          <cell r="C320" t="str">
            <v>Template desconto FLAT Plano Principal Oi TV nível conta</v>
          </cell>
          <cell r="D320">
            <v>0.30670000000000003</v>
          </cell>
          <cell r="E320" t="str">
            <v>MKT-1-9828773777</v>
          </cell>
          <cell r="F320" t="str">
            <v>0T3T_REJ17_PCS-3PHipi_FLAT_TV_30.67%</v>
          </cell>
          <cell r="G320">
            <v>30.67</v>
          </cell>
        </row>
        <row r="321">
          <cell r="A321" t="str">
            <v>Oi Total Fixo + TV 20.4554Template desconto FLAT Plano Principal Oi TV nível conta</v>
          </cell>
          <cell r="B321" t="str">
            <v>Plano Oi Internet Total Medium</v>
          </cell>
          <cell r="C321" t="str">
            <v>Template desconto FLAT Plano Principal Oi TV nível conta</v>
          </cell>
          <cell r="D321">
            <v>0.45539999999999997</v>
          </cell>
          <cell r="E321" t="str">
            <v>MKT-1-9828788166</v>
          </cell>
          <cell r="F321" t="str">
            <v>0T3T_REJ17_PCS-2PMepi_FLAT_TV_45.54%</v>
          </cell>
          <cell r="G321">
            <v>45.54</v>
          </cell>
        </row>
        <row r="322">
          <cell r="A322" t="str">
            <v>Oi Total Fixo + Banda Larga + TV 30.509Template desconto FLAT Plano Principal Oi TV nível conta</v>
          </cell>
          <cell r="B322" t="str">
            <v>Plano Oi Convergente High</v>
          </cell>
          <cell r="C322" t="str">
            <v>Template desconto FLAT Plano Principal Oi TV nível conta</v>
          </cell>
          <cell r="D322">
            <v>0.50900000000000001</v>
          </cell>
          <cell r="E322" t="str">
            <v>MKT-1-9828788872</v>
          </cell>
          <cell r="F322" t="str">
            <v>0T3T_REJ17_PCS-3PHipi_FLAT_TV_50.90%</v>
          </cell>
          <cell r="G322">
            <v>50.9</v>
          </cell>
        </row>
        <row r="323">
          <cell r="A323" t="str">
            <v>Oi Total Fixo + TV 20.5008Template desconto FLAT Plano Principal Oi TV nível conta</v>
          </cell>
          <cell r="B323" t="str">
            <v>Plano Oi Internet Total Medium</v>
          </cell>
          <cell r="C323" t="str">
            <v>Template desconto FLAT Plano Principal Oi TV nível conta</v>
          </cell>
          <cell r="D323">
            <v>0.50080000000000002</v>
          </cell>
          <cell r="E323" t="str">
            <v>MKT-1-9828794731</v>
          </cell>
          <cell r="F323" t="str">
            <v>0T3T_REJ17_PCS-2PMepi_FLAT_TV_50.08%</v>
          </cell>
          <cell r="G323">
            <v>50.08</v>
          </cell>
        </row>
        <row r="324">
          <cell r="A324" t="str">
            <v>Oi Total Fixo + TV 30.4013Template desconto FLAT Plano Principal Oi TV nível conta</v>
          </cell>
          <cell r="B324" t="str">
            <v>Plano Oi Internet Total High</v>
          </cell>
          <cell r="C324" t="str">
            <v>Template desconto FLAT Plano Principal Oi TV nível conta</v>
          </cell>
          <cell r="D324">
            <v>0.40130000000000005</v>
          </cell>
          <cell r="E324" t="str">
            <v>MKT-1-9828802266</v>
          </cell>
          <cell r="F324" t="str">
            <v>0T3T_REJ17_PCS-2PHipi_FLAT_TV_40.13%</v>
          </cell>
          <cell r="G324">
            <v>40.130000000000003</v>
          </cell>
        </row>
        <row r="325">
          <cell r="A325" t="str">
            <v>Oi Total Fixo + Banda Larga + TV 30.4599Template desconto FLAT Plano Principal Oi TV nível conta</v>
          </cell>
          <cell r="B325" t="str">
            <v>Plano Oi Convergente High</v>
          </cell>
          <cell r="C325" t="str">
            <v>Template desconto FLAT Plano Principal Oi TV nível conta</v>
          </cell>
          <cell r="D325">
            <v>0.45990000000000003</v>
          </cell>
          <cell r="E325" t="str">
            <v>MKT-1-9828802275</v>
          </cell>
          <cell r="F325" t="str">
            <v>0T3T_REJ17_PCS-3PHipi_FLAT_TV_45.99%</v>
          </cell>
          <cell r="G325">
            <v>45.99</v>
          </cell>
        </row>
        <row r="326">
          <cell r="A326" t="str">
            <v>Oi Total Fixo + Banda Larga + TV 30.4353Template desconto FLAT Plano Principal Oi TV nível conta</v>
          </cell>
          <cell r="B326" t="str">
            <v>Plano Oi Convergente High</v>
          </cell>
          <cell r="C326" t="str">
            <v>Template desconto FLAT Plano Principal Oi TV nível conta</v>
          </cell>
          <cell r="D326">
            <v>0.43530000000000002</v>
          </cell>
          <cell r="E326" t="str">
            <v>MKT-1-9828802790</v>
          </cell>
          <cell r="F326" t="str">
            <v>0T3T_REJ17_PCS-3PHipi_FLAT_TV_43.53%</v>
          </cell>
          <cell r="G326">
            <v>43.53</v>
          </cell>
        </row>
        <row r="327">
          <cell r="A327" t="str">
            <v>Oi Total Fixo + Banda Larga + TV 30.4809Template desconto FLAT Plano Principal Oi TV nível conta</v>
          </cell>
          <cell r="B327" t="str">
            <v>Plano Oi Convergente High</v>
          </cell>
          <cell r="C327" t="str">
            <v>Template desconto FLAT Plano Principal Oi TV nível conta</v>
          </cell>
          <cell r="D327">
            <v>0.48090000000000005</v>
          </cell>
          <cell r="E327" t="str">
            <v>MKT-1-9828803045</v>
          </cell>
          <cell r="F327" t="str">
            <v>0T3T_REJ17_PCS-3PHipi_FLAT_TV_48.09%</v>
          </cell>
          <cell r="G327">
            <v>48.09</v>
          </cell>
        </row>
        <row r="328">
          <cell r="A328" t="str">
            <v>Oi Total Fixo + Banda Larga + TV 30.403Template desconto FLAT Plano Principal Oi TV nível conta</v>
          </cell>
          <cell r="B328" t="str">
            <v>Plano Oi Convergente High</v>
          </cell>
          <cell r="C328" t="str">
            <v>Template desconto FLAT Plano Principal Oi TV nível conta</v>
          </cell>
          <cell r="D328">
            <v>0.40299999999999997</v>
          </cell>
          <cell r="E328" t="str">
            <v>MKT-1-9828828470</v>
          </cell>
          <cell r="F328" t="str">
            <v>0T3T_REJ17_PCS-3PHipi_FLAT_TV_40.30%</v>
          </cell>
          <cell r="G328">
            <v>40.299999999999997</v>
          </cell>
        </row>
        <row r="329">
          <cell r="A329" t="str">
            <v>Oi Total Fixo + TV 30.4257Template desconto FLAT Plano Principal Oi TV nível conta</v>
          </cell>
          <cell r="B329" t="str">
            <v>Plano Oi Internet Total High</v>
          </cell>
          <cell r="C329" t="str">
            <v>Template desconto FLAT Plano Principal Oi TV nível conta</v>
          </cell>
          <cell r="D329">
            <v>0.42570000000000002</v>
          </cell>
          <cell r="E329" t="str">
            <v>MKT-1-9828836801</v>
          </cell>
          <cell r="F329" t="str">
            <v>0T3T_REJ17_PCS-2PHipi_FLAT_TV_42.57%</v>
          </cell>
          <cell r="G329">
            <v>42.57</v>
          </cell>
        </row>
        <row r="330">
          <cell r="A330" t="str">
            <v>Oi Total Fixo + Banda Larga + TV 20.4217Template desconto FLAT Plano Principal Oi TV nível conta</v>
          </cell>
          <cell r="B330" t="str">
            <v>Plano Oi Convergente Medium</v>
          </cell>
          <cell r="C330" t="str">
            <v>Template desconto FLAT Plano Principal Oi TV nível conta</v>
          </cell>
          <cell r="D330">
            <v>0.42170000000000002</v>
          </cell>
          <cell r="E330" t="str">
            <v>MKT-1-9828829085</v>
          </cell>
          <cell r="F330" t="str">
            <v>0T3T_REJ17_PCS-3PMepi_FLAT_TV_42.17%</v>
          </cell>
          <cell r="G330">
            <v>42.17</v>
          </cell>
        </row>
        <row r="331">
          <cell r="A331" t="str">
            <v>Oi Total Fixo + TV 30.4002Template desconto FLAT Plano Principal Oi TV nível conta</v>
          </cell>
          <cell r="B331" t="str">
            <v>Plano Oi Internet Total High</v>
          </cell>
          <cell r="C331" t="str">
            <v>Template desconto FLAT Plano Principal Oi TV nível conta</v>
          </cell>
          <cell r="D331">
            <v>0.40020000000000006</v>
          </cell>
          <cell r="E331" t="str">
            <v>MKT-1-9828848476</v>
          </cell>
          <cell r="F331" t="str">
            <v>0T3T_REJ17_PCS-2PHipi_FLAT_TV_40.02%</v>
          </cell>
          <cell r="G331">
            <v>40.020000000000003</v>
          </cell>
        </row>
        <row r="332">
          <cell r="A332" t="str">
            <v>Oi Total Fixo + Banda Larga + TV 10.2425Template desconto FLAT Plano Principal Oi TV nível conta</v>
          </cell>
          <cell r="B332" t="str">
            <v>Plano Oi Convergente Low</v>
          </cell>
          <cell r="C332" t="str">
            <v>Template desconto FLAT Plano Principal Oi TV nível conta</v>
          </cell>
          <cell r="D332">
            <v>0.24249999999999999</v>
          </cell>
          <cell r="E332" t="str">
            <v>MKT-1-9828849011</v>
          </cell>
          <cell r="F332" t="str">
            <v>0T3T_REJ17_PCS-3PLowpi_FLAT_TV_24.25%</v>
          </cell>
          <cell r="G332">
            <v>24.25</v>
          </cell>
        </row>
        <row r="333">
          <cell r="A333" t="str">
            <v>Oi Total Fixo + Banda Larga + TV 20.2977Template desconto FLAT Plano Principal Oi TV nível conta</v>
          </cell>
          <cell r="B333" t="str">
            <v>Plano Oi Convergente Medium</v>
          </cell>
          <cell r="C333" t="str">
            <v>Template desconto FLAT Plano Principal Oi TV nível conta</v>
          </cell>
          <cell r="D333">
            <v>0.29770000000000002</v>
          </cell>
          <cell r="E333" t="str">
            <v>MKT-1-9828851506</v>
          </cell>
          <cell r="F333" t="str">
            <v>0T3T_REJ17_PCS-3PMepi_FLAT_TV_29.77%</v>
          </cell>
          <cell r="G333">
            <v>29.77</v>
          </cell>
        </row>
        <row r="334">
          <cell r="A334" t="str">
            <v>Oi Total Fixo + Banda Larga + TV 20.3391Template desconto FLAT Plano Principal Oi TV nível conta</v>
          </cell>
          <cell r="B334" t="str">
            <v>Plano Oi Convergente Medium</v>
          </cell>
          <cell r="C334" t="str">
            <v>Template desconto FLAT Plano Principal Oi TV nível conta</v>
          </cell>
          <cell r="D334">
            <v>0.33909999999999996</v>
          </cell>
          <cell r="E334" t="str">
            <v>MKT-1-9828852051</v>
          </cell>
          <cell r="F334" t="str">
            <v>0T3T_REJ17_PCS-3PMepi_FLAT_TV_33.91%</v>
          </cell>
          <cell r="G334">
            <v>33.909999999999997</v>
          </cell>
        </row>
        <row r="335">
          <cell r="A335" t="e">
            <v>#N/A</v>
          </cell>
          <cell r="B335" t="str">
            <v>DIVERSOS</v>
          </cell>
          <cell r="C335" t="str">
            <v>Template desconto % Ponto adicional nível conta</v>
          </cell>
          <cell r="D335">
            <v>0.50170000000000003</v>
          </cell>
          <cell r="E335" t="str">
            <v>MKT-1-9828860031</v>
          </cell>
          <cell r="F335" t="str">
            <v>0T0T_REJ17_TV_PONTO_ADICIONAL_50.17%</v>
          </cell>
          <cell r="G335">
            <v>50.17</v>
          </cell>
        </row>
        <row r="336">
          <cell r="A336" t="str">
            <v>Oi Conta Total Plug 10GB Downgrade0.7272Template de desconto percentual BL Móvel - Internet Total - Varejo</v>
          </cell>
          <cell r="B336" t="str">
            <v>OCT Plug 10GB Downgrade</v>
          </cell>
          <cell r="C336" t="str">
            <v>Template de desconto percentual BL Móvel - Internet Total - Varejo</v>
          </cell>
          <cell r="D336">
            <v>0.72719999999999996</v>
          </cell>
          <cell r="E336" t="str">
            <v>MKT-1-9828877582</v>
          </cell>
          <cell r="F336" t="str">
            <v>0T0T_REJ17_INTSUB-10G_72.72%</v>
          </cell>
          <cell r="G336">
            <v>72.72</v>
          </cell>
        </row>
        <row r="337">
          <cell r="A337" t="str">
            <v>Oi Total Fixo + TV 10.395Template desconto FLAT Plano Principal Oi TV nível conta</v>
          </cell>
          <cell r="B337" t="str">
            <v>Plano Oi Internet Total Low</v>
          </cell>
          <cell r="C337" t="str">
            <v>Template desconto FLAT Plano Principal Oi TV nível conta</v>
          </cell>
          <cell r="D337">
            <v>0.39500000000000002</v>
          </cell>
          <cell r="E337" t="str">
            <v>MKT-1-9828921311</v>
          </cell>
          <cell r="F337" t="str">
            <v>0T3T_REJ17_CFG-2Plowpi_FLAT_TV_39.50%</v>
          </cell>
          <cell r="G337">
            <v>39.5</v>
          </cell>
        </row>
        <row r="338">
          <cell r="A338" t="str">
            <v>Oi Total Fixo + TV 10.193Template desconto FLAT Plano Principal Oi TV nível conta</v>
          </cell>
          <cell r="B338" t="str">
            <v>Plano Oi Internet Total Low</v>
          </cell>
          <cell r="C338" t="str">
            <v>Template desconto FLAT Plano Principal Oi TV nível conta</v>
          </cell>
          <cell r="D338">
            <v>0.193</v>
          </cell>
          <cell r="E338" t="str">
            <v>MKT-1-9828921566</v>
          </cell>
          <cell r="F338" t="str">
            <v>0T3T_REJ17_CFG-2Plowpi_FLAT_TV_19.30%</v>
          </cell>
          <cell r="G338">
            <v>19.3</v>
          </cell>
        </row>
        <row r="339">
          <cell r="A339" t="str">
            <v>Oi Total Fixo + TV 20.1746Template desconto FLAT Plano Principal Oi TV nível conta</v>
          </cell>
          <cell r="B339" t="str">
            <v>Plano Oi Internet Total Medium</v>
          </cell>
          <cell r="C339" t="str">
            <v>Template desconto FLAT Plano Principal Oi TV nível conta</v>
          </cell>
          <cell r="D339">
            <v>0.17460000000000001</v>
          </cell>
          <cell r="E339" t="str">
            <v>MKT-1-9828921871</v>
          </cell>
          <cell r="F339" t="str">
            <v>0T3T_REJ17_PCS-2PMepi_FLAT_TV_17.46%</v>
          </cell>
          <cell r="G339">
            <v>17.46</v>
          </cell>
        </row>
        <row r="340">
          <cell r="A340" t="str">
            <v>Oi Total Fixo + TV 30.4035Template desconto FLAT Plano Principal Oi TV nível conta</v>
          </cell>
          <cell r="B340" t="str">
            <v>Plano Oi Internet Total High</v>
          </cell>
          <cell r="C340" t="str">
            <v>Template desconto FLAT Plano Principal Oi TV nível conta</v>
          </cell>
          <cell r="D340">
            <v>0.40350000000000003</v>
          </cell>
          <cell r="E340" t="str">
            <v>MKT-1-9828935146</v>
          </cell>
          <cell r="F340" t="str">
            <v>0T3T_REJ17_PCS-2PHipi_FLAT_TV_40.35%</v>
          </cell>
          <cell r="G340">
            <v>40.35</v>
          </cell>
        </row>
        <row r="341">
          <cell r="A341" t="str">
            <v>Oi Total Fixo + TV 30.2997Template desconto FLAT Plano Principal Oi TV nível conta</v>
          </cell>
          <cell r="B341" t="str">
            <v>Plano Oi Internet Total High</v>
          </cell>
          <cell r="C341" t="str">
            <v>Template desconto FLAT Plano Principal Oi TV nível conta</v>
          </cell>
          <cell r="D341">
            <v>0.29969999999999997</v>
          </cell>
          <cell r="E341" t="str">
            <v>MKT-1-9828935571</v>
          </cell>
          <cell r="F341" t="str">
            <v>0T3T_REJ17_PCS-2PHipi_FLAT_TV_29.97%</v>
          </cell>
          <cell r="G341">
            <v>29.97</v>
          </cell>
        </row>
        <row r="342">
          <cell r="A342" t="str">
            <v>Oi Total Fixo + TV 30.2885Template desconto FLAT Plano Principal Oi TV nível conta</v>
          </cell>
          <cell r="B342" t="str">
            <v>Plano Oi Internet Total High</v>
          </cell>
          <cell r="C342" t="str">
            <v>Template desconto FLAT Plano Principal Oi TV nível conta</v>
          </cell>
          <cell r="D342">
            <v>0.28850000000000003</v>
          </cell>
          <cell r="E342" t="str">
            <v>MKT-1-9828935856</v>
          </cell>
          <cell r="F342" t="str">
            <v>0T3T_REJ17_PCS-2PHipi_FLAT_TV_28.85%</v>
          </cell>
          <cell r="G342">
            <v>28.85</v>
          </cell>
        </row>
        <row r="343">
          <cell r="A343" t="str">
            <v>Oi Total Fixo + TV 30.2355Template desconto FLAT Plano Principal Oi TV nível conta</v>
          </cell>
          <cell r="B343" t="str">
            <v>Plano Oi Internet Total High</v>
          </cell>
          <cell r="C343" t="str">
            <v>Template desconto FLAT Plano Principal Oi TV nível conta</v>
          </cell>
          <cell r="D343">
            <v>0.23550000000000001</v>
          </cell>
          <cell r="E343" t="str">
            <v>MKT-1-9828947281</v>
          </cell>
          <cell r="F343" t="str">
            <v>0T3T_REJ17_PCS-2PHipi_FLAT_TV_23.55%</v>
          </cell>
          <cell r="G343">
            <v>23.55</v>
          </cell>
        </row>
        <row r="344">
          <cell r="A344" t="str">
            <v>Oi Total Fixo + TV 30.1398Template desconto FLAT Plano Principal Oi TV nível conta</v>
          </cell>
          <cell r="B344" t="str">
            <v>Plano Oi Internet Total High</v>
          </cell>
          <cell r="C344" t="str">
            <v>Template desconto FLAT Plano Principal Oi TV nível conta</v>
          </cell>
          <cell r="D344">
            <v>0.13980000000000001</v>
          </cell>
          <cell r="E344" t="str">
            <v>MKT-1-9828947606</v>
          </cell>
          <cell r="F344" t="str">
            <v>0T3T_REJ17_PCS-2PHipi_FLAT_TV_13.98%</v>
          </cell>
          <cell r="G344">
            <v>13.98</v>
          </cell>
        </row>
        <row r="345">
          <cell r="A345" t="str">
            <v>Oi Total Fixo + TV 30.355Template desconto FLAT Plano Principal Oi TV nível conta</v>
          </cell>
          <cell r="B345" t="str">
            <v>Plano Oi Internet Total High</v>
          </cell>
          <cell r="C345" t="str">
            <v>Template desconto FLAT Plano Principal Oi TV nível conta</v>
          </cell>
          <cell r="D345">
            <v>0.35499999999999998</v>
          </cell>
          <cell r="E345" t="str">
            <v>MKT-1-9828961321</v>
          </cell>
          <cell r="F345" t="str">
            <v>0T3T_REJ17_PCS-2PHipi_FLAT_TV_35.50%</v>
          </cell>
          <cell r="G345">
            <v>35.5</v>
          </cell>
        </row>
        <row r="346">
          <cell r="A346" t="str">
            <v>Oi Total Fixo + TV 30.3418Template desconto FLAT Plano Principal Oi TV nível conta</v>
          </cell>
          <cell r="B346" t="str">
            <v>Plano Oi Internet Total High</v>
          </cell>
          <cell r="C346" t="str">
            <v>Template desconto FLAT Plano Principal Oi TV nível conta</v>
          </cell>
          <cell r="D346">
            <v>0.34179999999999999</v>
          </cell>
          <cell r="E346" t="str">
            <v>MKT-1-9828961646</v>
          </cell>
          <cell r="F346" t="str">
            <v>0T3T_REJ17_PCS-2PHipi_FLAT_TV_34.18%</v>
          </cell>
          <cell r="G346">
            <v>34.18</v>
          </cell>
        </row>
        <row r="347">
          <cell r="A347" t="str">
            <v>Oi Total Fixo + TV 30.251Template desconto FLAT Plano Principal Oi TV nível conta</v>
          </cell>
          <cell r="B347" t="str">
            <v>Plano Oi Internet Total High</v>
          </cell>
          <cell r="C347" t="str">
            <v>Template desconto FLAT Plano Principal Oi TV nível conta</v>
          </cell>
          <cell r="D347">
            <v>0.251</v>
          </cell>
          <cell r="E347" t="str">
            <v>MKT-1-9828962031</v>
          </cell>
          <cell r="F347" t="str">
            <v>0T3T_REJ17_PCS-2PHipi_FLAT_TV_25.10%</v>
          </cell>
          <cell r="G347">
            <v>25.1</v>
          </cell>
        </row>
        <row r="348">
          <cell r="A348" t="str">
            <v>Oi Total Fixo + TV 30.2895Template desconto FLAT Plano Principal Oi TV nível conta</v>
          </cell>
          <cell r="B348" t="str">
            <v>Plano Oi Internet Total High</v>
          </cell>
          <cell r="C348" t="str">
            <v>Template desconto FLAT Plano Principal Oi TV nível conta</v>
          </cell>
          <cell r="D348">
            <v>0.28949999999999998</v>
          </cell>
          <cell r="E348" t="str">
            <v>MKT-1-9828972296</v>
          </cell>
          <cell r="F348" t="str">
            <v>0T3T_REJ17_PCS-2PHipi_FLAT_TV_28.95%</v>
          </cell>
          <cell r="G348">
            <v>28.95</v>
          </cell>
        </row>
        <row r="349">
          <cell r="A349" t="str">
            <v>Oi Total Fixo + TV 30.2105Template desconto FLAT Plano Principal Oi TV nível conta</v>
          </cell>
          <cell r="B349" t="str">
            <v>Plano Oi Internet Total High</v>
          </cell>
          <cell r="C349" t="str">
            <v>Template desconto FLAT Plano Principal Oi TV nível conta</v>
          </cell>
          <cell r="D349">
            <v>0.21050000000000002</v>
          </cell>
          <cell r="E349" t="str">
            <v>MKT-1-9829002081</v>
          </cell>
          <cell r="F349" t="str">
            <v>0T3T_REJ17_PCS-2PHipi_FLAT_TV_21.05%</v>
          </cell>
          <cell r="G349">
            <v>21.05</v>
          </cell>
        </row>
        <row r="350">
          <cell r="A350" t="str">
            <v>Oi Total Fixo + TV 20.2737Template desconto FLAT Plano Principal Oi TV nível conta</v>
          </cell>
          <cell r="B350" t="str">
            <v>Plano Oi Internet Total Medium</v>
          </cell>
          <cell r="C350" t="str">
            <v>Template desconto FLAT Plano Principal Oi TV nível conta</v>
          </cell>
          <cell r="D350">
            <v>0.2737</v>
          </cell>
          <cell r="E350" t="str">
            <v>MKT-1-9829486336</v>
          </cell>
          <cell r="F350" t="str">
            <v>0T3T_REJ17_PCS-2PMepi_FLAT_TV_27.37%</v>
          </cell>
          <cell r="G350">
            <v>27.37</v>
          </cell>
        </row>
        <row r="351">
          <cell r="A351" t="str">
            <v>Oi Total Fixo + TV 30.325Template desconto FLAT Plano Principal Oi TV nível conta</v>
          </cell>
          <cell r="B351" t="str">
            <v>Plano Oi Internet Total High</v>
          </cell>
          <cell r="C351" t="str">
            <v>Template desconto FLAT Plano Principal Oi TV nível conta</v>
          </cell>
          <cell r="D351">
            <v>0.32500000000000001</v>
          </cell>
          <cell r="E351" t="str">
            <v>MKT-1-9829486595</v>
          </cell>
          <cell r="F351" t="str">
            <v>0T3T_REJ17_PCS-2PHipi_FLAT_TV_32.50%</v>
          </cell>
          <cell r="G351">
            <v>32.5</v>
          </cell>
        </row>
        <row r="352">
          <cell r="A352" t="str">
            <v>Oi Total Fixo + TV 30.2318Template desconto FLAT Plano Principal Oi TV nível conta</v>
          </cell>
          <cell r="B352" t="str">
            <v>Plano Oi Internet Total High</v>
          </cell>
          <cell r="C352" t="str">
            <v>Template desconto FLAT Plano Principal Oi TV nível conta</v>
          </cell>
          <cell r="D352">
            <v>0.23180000000000001</v>
          </cell>
          <cell r="E352" t="str">
            <v>MKT-1-9829486850</v>
          </cell>
          <cell r="F352" t="str">
            <v>0T3T_REJ17_PCS-2PHipi_FLAT_TV_23.18%</v>
          </cell>
          <cell r="G352">
            <v>23.18</v>
          </cell>
        </row>
        <row r="353">
          <cell r="A353" t="str">
            <v>Oi Total Fixo + TV 20.41Template desconto FLAT Plano Principal Oi TV nível conta</v>
          </cell>
          <cell r="B353" t="str">
            <v>Plano Oi Internet Total Medium</v>
          </cell>
          <cell r="C353" t="str">
            <v>Template desconto FLAT Plano Principal Oi TV nível conta</v>
          </cell>
          <cell r="D353">
            <v>0.41</v>
          </cell>
          <cell r="E353" t="str">
            <v>MKT-1-9829500222</v>
          </cell>
          <cell r="F353" t="str">
            <v>0T3T_REJ17_PCS-2PMepi_FLAT_TV_41.00%</v>
          </cell>
          <cell r="G353">
            <v>41</v>
          </cell>
        </row>
        <row r="354">
          <cell r="A354" t="str">
            <v>Oi Total Fixo + TV 20.2969Template desconto FLAT Plano Principal Oi TV nível conta</v>
          </cell>
          <cell r="B354" t="str">
            <v>Plano Oi Internet Total Medium</v>
          </cell>
          <cell r="C354" t="str">
            <v>Template desconto FLAT Plano Principal Oi TV nível conta</v>
          </cell>
          <cell r="D354">
            <v>0.2969</v>
          </cell>
          <cell r="E354" t="str">
            <v>MKT-1-9829500497</v>
          </cell>
          <cell r="F354" t="str">
            <v>0T3T_REJ17_PCS-2PMepi_FLAT_TV_29.69%</v>
          </cell>
          <cell r="G354">
            <v>29.69</v>
          </cell>
        </row>
        <row r="355">
          <cell r="A355" t="str">
            <v>Oi Total Fixo + TV 30.4399Template desconto FLAT Plano Principal Oi TV nível conta</v>
          </cell>
          <cell r="B355" t="str">
            <v>Plano Oi Internet Total High</v>
          </cell>
          <cell r="C355" t="str">
            <v>Template desconto FLAT Plano Principal Oi TV nível conta</v>
          </cell>
          <cell r="D355">
            <v>0.43990000000000001</v>
          </cell>
          <cell r="E355" t="str">
            <v>MKT-1-9829500802</v>
          </cell>
          <cell r="F355" t="str">
            <v>0T3T_REJ17_PCS-2PHipi_FLAT_TV_43.99%</v>
          </cell>
          <cell r="G355">
            <v>43.99</v>
          </cell>
        </row>
        <row r="356">
          <cell r="A356" t="str">
            <v>Oi Total Fixo + TV 30.3626Template desconto FLAT Plano Principal Oi TV nível conta</v>
          </cell>
          <cell r="B356" t="str">
            <v>Plano Oi Internet Total High</v>
          </cell>
          <cell r="C356" t="str">
            <v>Template desconto FLAT Plano Principal Oi TV nível conta</v>
          </cell>
          <cell r="D356">
            <v>0.36259999999999998</v>
          </cell>
          <cell r="E356" t="str">
            <v>MKT-1-9829513297</v>
          </cell>
          <cell r="F356" t="str">
            <v>0T3T_REJ17_PCS-2PHipi_FLAT_TV_36.26%</v>
          </cell>
          <cell r="G356">
            <v>36.26</v>
          </cell>
        </row>
        <row r="357">
          <cell r="A357" t="str">
            <v>Oi Total Fixo + TV 30.4489Template desconto FLAT Plano Principal Oi TV nível conta</v>
          </cell>
          <cell r="B357" t="str">
            <v>Plano Oi Internet Total High</v>
          </cell>
          <cell r="C357" t="str">
            <v>Template desconto FLAT Plano Principal Oi TV nível conta</v>
          </cell>
          <cell r="D357">
            <v>0.44890000000000002</v>
          </cell>
          <cell r="E357" t="str">
            <v>MKT-1-9829513682</v>
          </cell>
          <cell r="F357" t="str">
            <v>0T3T_REJ17_PCS-2PHipi_FLAT_TV_44.89%</v>
          </cell>
          <cell r="G357">
            <v>44.89</v>
          </cell>
        </row>
        <row r="358">
          <cell r="A358" t="str">
            <v>Oi Total Fixo + TV 30.384Template desconto FLAT Plano Principal Oi TV nível conta</v>
          </cell>
          <cell r="B358" t="str">
            <v>Plano Oi Internet Total High</v>
          </cell>
          <cell r="C358" t="str">
            <v>Template desconto FLAT Plano Principal Oi TV nível conta</v>
          </cell>
          <cell r="D358">
            <v>0.38400000000000001</v>
          </cell>
          <cell r="E358" t="str">
            <v>MKT-1-9829514077</v>
          </cell>
          <cell r="F358" t="str">
            <v>0T3T_REJ17_PCS-2PHipi_FLAT_TV_38.40%</v>
          </cell>
          <cell r="G358">
            <v>38.4</v>
          </cell>
        </row>
        <row r="359">
          <cell r="A359" t="str">
            <v>Oi Total Fixo + Banda Larga + TV 10.395Template desconto FLAT Plano Principal Oi TV nível conta</v>
          </cell>
          <cell r="B359" t="str">
            <v>Plano Oi Convergente Low</v>
          </cell>
          <cell r="C359" t="str">
            <v>Template desconto FLAT Plano Principal Oi TV nível conta</v>
          </cell>
          <cell r="D359">
            <v>0.39500000000000002</v>
          </cell>
          <cell r="E359" t="str">
            <v>MKT-1-9829525600</v>
          </cell>
          <cell r="F359" t="str">
            <v>0T3T_REJ17_PCS-3PLowpi_FLAT_TV_39.50%</v>
          </cell>
          <cell r="G359">
            <v>39.5</v>
          </cell>
        </row>
        <row r="360">
          <cell r="A360" t="str">
            <v>Oi Total Fixo + Banda Larga + TV 20.3399Template desconto FLAT Plano Principal Oi TV nível conta</v>
          </cell>
          <cell r="B360" t="str">
            <v>Plano Oi Convergente Medium</v>
          </cell>
          <cell r="C360" t="str">
            <v>Template desconto FLAT Plano Principal Oi TV nível conta</v>
          </cell>
          <cell r="D360">
            <v>0.33990000000000004</v>
          </cell>
          <cell r="E360" t="str">
            <v>MKT-1-9829525985</v>
          </cell>
          <cell r="F360" t="str">
            <v>0T3T_REJ17_PCS-3PMepi_FLAT_TV_33.99%</v>
          </cell>
          <cell r="G360">
            <v>33.99</v>
          </cell>
        </row>
        <row r="361">
          <cell r="A361" t="str">
            <v>Oi Total Fixo + Banda Larga + TV 30.4035Template desconto FLAT Plano Principal Oi TV nível conta</v>
          </cell>
          <cell r="B361" t="str">
            <v>Plano Oi Convergente High</v>
          </cell>
          <cell r="C361" t="str">
            <v>Template desconto FLAT Plano Principal Oi TV nível conta</v>
          </cell>
          <cell r="D361">
            <v>0.40350000000000003</v>
          </cell>
          <cell r="E361" t="str">
            <v>MKT-1-9829538530</v>
          </cell>
          <cell r="F361" t="str">
            <v>0T3T_REJ17_PCS-3PHipi_FLAT_TV_40.35%</v>
          </cell>
          <cell r="G361">
            <v>40.35</v>
          </cell>
        </row>
        <row r="362">
          <cell r="A362" t="str">
            <v>Oi Total Fixo + Banda Larga + TV 30.3867Template desconto FLAT Plano Principal Oi TV nível conta</v>
          </cell>
          <cell r="B362" t="str">
            <v>Plano Oi Convergente High</v>
          </cell>
          <cell r="C362" t="str">
            <v>Template desconto FLAT Plano Principal Oi TV nível conta</v>
          </cell>
          <cell r="D362">
            <v>0.38670000000000004</v>
          </cell>
          <cell r="E362" t="str">
            <v>MKT-1-9829549373</v>
          </cell>
          <cell r="F362" t="str">
            <v>0T3T_REJ17_PCS-3PHipi_FLAT_TV_38.67%</v>
          </cell>
          <cell r="G362">
            <v>38.67</v>
          </cell>
        </row>
        <row r="363">
          <cell r="A363" t="str">
            <v>Oi Total Fixo + Banda Larga + TV 30.2355Template desconto FLAT Plano Principal Oi TV nível conta</v>
          </cell>
          <cell r="B363" t="str">
            <v>Plano Oi Convergente High</v>
          </cell>
          <cell r="C363" t="str">
            <v>Template desconto FLAT Plano Principal Oi TV nível conta</v>
          </cell>
          <cell r="D363">
            <v>0.23550000000000001</v>
          </cell>
          <cell r="E363" t="str">
            <v>MKT-1-9829549668</v>
          </cell>
          <cell r="F363" t="str">
            <v>0T3T_REJ17_PCS-3PHipi_FLAT_TV_23.55%</v>
          </cell>
          <cell r="G363">
            <v>23.55</v>
          </cell>
        </row>
        <row r="364">
          <cell r="A364" t="str">
            <v>Oi Total Fixo + Banda Larga + TV 30.355Template desconto FLAT Plano Principal Oi TV nível conta</v>
          </cell>
          <cell r="B364" t="str">
            <v>Plano Oi Convergente High</v>
          </cell>
          <cell r="C364" t="str">
            <v>Template desconto FLAT Plano Principal Oi TV nível conta</v>
          </cell>
          <cell r="D364">
            <v>0.35499999999999998</v>
          </cell>
          <cell r="E364" t="str">
            <v>MKT-1-9829575433</v>
          </cell>
          <cell r="F364" t="str">
            <v>0T3T_REJ17_PCS-3PHipi_FLAT_TV_35.50%</v>
          </cell>
          <cell r="G364">
            <v>35.5</v>
          </cell>
        </row>
        <row r="365">
          <cell r="A365" t="str">
            <v>Oi Total Fixo + Banda Larga + TV 30.3418Template desconto FLAT Plano Principal Oi TV nível conta</v>
          </cell>
          <cell r="B365" t="str">
            <v>Plano Oi Convergente High</v>
          </cell>
          <cell r="C365" t="str">
            <v>Template desconto FLAT Plano Principal Oi TV nível conta</v>
          </cell>
          <cell r="D365">
            <v>0.34179999999999999</v>
          </cell>
          <cell r="E365" t="str">
            <v>MKT-1-9829575828</v>
          </cell>
          <cell r="F365" t="str">
            <v>0T3T_REJ17_PCS-3PHipi_FLAT_TV_34.18%</v>
          </cell>
          <cell r="G365">
            <v>34.18</v>
          </cell>
        </row>
        <row r="366">
          <cell r="A366" t="str">
            <v>Oi Total Fixo + Banda Larga + TV 30.2895Template desconto FLAT Plano Principal Oi TV nível conta</v>
          </cell>
          <cell r="B366" t="str">
            <v>Plano Oi Convergente High</v>
          </cell>
          <cell r="C366" t="str">
            <v>Template desconto FLAT Plano Principal Oi TV nível conta</v>
          </cell>
          <cell r="D366">
            <v>0.28949999999999998</v>
          </cell>
          <cell r="E366" t="str">
            <v>MKT-1-9829601723</v>
          </cell>
          <cell r="F366" t="str">
            <v>0T3T_REJ17_PCS-3PHipi_FLAT_TV_28.95%</v>
          </cell>
          <cell r="G366">
            <v>28.95</v>
          </cell>
        </row>
        <row r="367">
          <cell r="A367" t="str">
            <v>Oi Total Fixo + Banda Larga + TV 20.3949Template desconto FLAT Plano Principal Oi TV nível conta</v>
          </cell>
          <cell r="B367" t="str">
            <v>Plano Oi Convergente Medium</v>
          </cell>
          <cell r="C367" t="str">
            <v>Template desconto FLAT Plano Principal Oi TV nível conta</v>
          </cell>
          <cell r="D367">
            <v>0.39490000000000003</v>
          </cell>
          <cell r="E367" t="str">
            <v>MKT-1-9829609108</v>
          </cell>
          <cell r="F367" t="str">
            <v>0T3T_REJ17_PCS-3PMepi_FLAT_TV_39.49%</v>
          </cell>
          <cell r="G367">
            <v>39.49</v>
          </cell>
        </row>
        <row r="368">
          <cell r="A368" t="str">
            <v>Oi Total Fixo + Banda Larga + TV 20.2737Template desconto FLAT Plano Principal Oi TV nível conta</v>
          </cell>
          <cell r="B368" t="str">
            <v>Plano Oi Convergente Medium</v>
          </cell>
          <cell r="C368" t="str">
            <v>Template desconto FLAT Plano Principal Oi TV nível conta</v>
          </cell>
          <cell r="D368">
            <v>0.2737</v>
          </cell>
          <cell r="E368" t="str">
            <v>MKT-1-9829609593</v>
          </cell>
          <cell r="F368" t="str">
            <v>0T3T_REJ17_PCS-3PMepi_FLAT_TV_27.37%</v>
          </cell>
          <cell r="G368">
            <v>27.37</v>
          </cell>
        </row>
        <row r="369">
          <cell r="A369" t="str">
            <v>Oi Total Fixo + Banda Larga + TV 30.3376Template desconto FLAT Plano Principal Oi TV nível conta</v>
          </cell>
          <cell r="B369" t="str">
            <v>Plano Oi Convergente High</v>
          </cell>
          <cell r="C369" t="str">
            <v>Template desconto FLAT Plano Principal Oi TV nível conta</v>
          </cell>
          <cell r="D369">
            <v>0.33759999999999996</v>
          </cell>
          <cell r="E369" t="str">
            <v>MKT-1-9829610038</v>
          </cell>
          <cell r="F369" t="str">
            <v>0T3T_REJ17_PCS-3PHipi_FLAT_TV_33.76%</v>
          </cell>
          <cell r="G369">
            <v>33.76</v>
          </cell>
        </row>
        <row r="370">
          <cell r="A370" t="str">
            <v>Oi Total Fixo + Banda Larga + TV 30.325Template desconto FLAT Plano Principal Oi TV nível conta</v>
          </cell>
          <cell r="B370" t="str">
            <v>Plano Oi Convergente High</v>
          </cell>
          <cell r="C370" t="str">
            <v>Template desconto FLAT Plano Principal Oi TV nível conta</v>
          </cell>
          <cell r="D370">
            <v>0.32500000000000001</v>
          </cell>
          <cell r="E370" t="str">
            <v>MKT-1-9829649393</v>
          </cell>
          <cell r="F370" t="str">
            <v>0T3T_REJ17_PCS-3PHipi_FLAT_TV_32.50%</v>
          </cell>
          <cell r="G370">
            <v>32.5</v>
          </cell>
        </row>
        <row r="371">
          <cell r="A371" t="str">
            <v>Oi Total Fixo + Banda Larga + TV 30.2318Template desconto FLAT Plano Principal Oi TV nível conta</v>
          </cell>
          <cell r="B371" t="str">
            <v>Plano Oi Convergente High</v>
          </cell>
          <cell r="C371" t="str">
            <v>Template desconto FLAT Plano Principal Oi TV nível conta</v>
          </cell>
          <cell r="D371">
            <v>0.23180000000000001</v>
          </cell>
          <cell r="E371" t="str">
            <v>MKT-1-9829649648</v>
          </cell>
          <cell r="F371" t="str">
            <v>0T3T_REJ17_PCS-3PHipi_FLAT_TV_23.18%</v>
          </cell>
          <cell r="G371">
            <v>23.18</v>
          </cell>
        </row>
        <row r="372">
          <cell r="A372" t="str">
            <v>Oi Total Fixo + Banda Larga + TV 30.3685Template desconto FLAT Plano Principal Oi TV nível conta</v>
          </cell>
          <cell r="B372" t="str">
            <v>Plano Oi Convergente High</v>
          </cell>
          <cell r="C372" t="str">
            <v>Template desconto FLAT Plano Principal Oi TV nível conta</v>
          </cell>
          <cell r="D372">
            <v>0.36849999999999999</v>
          </cell>
          <cell r="E372" t="str">
            <v>MKT-1-9829649903</v>
          </cell>
          <cell r="F372" t="str">
            <v>0T3T_REJ17_PCS-3PHipi_FLAT_TV_36.85%</v>
          </cell>
          <cell r="G372">
            <v>36.85</v>
          </cell>
        </row>
        <row r="373">
          <cell r="A373" t="str">
            <v>Oi Total Fixo + Banda Larga + TV 20.5008Template desconto FLAT Plano Principal Oi TV nível conta</v>
          </cell>
          <cell r="B373" t="str">
            <v>Plano Oi Convergente Medium</v>
          </cell>
          <cell r="C373" t="str">
            <v>Template desconto FLAT Plano Principal Oi TV nível conta</v>
          </cell>
          <cell r="D373">
            <v>0.50080000000000002</v>
          </cell>
          <cell r="E373" t="str">
            <v>MKT-1-9829679158</v>
          </cell>
          <cell r="F373" t="str">
            <v>0T3T_REJ17_PCS-3PMepi_FLAT_TV_50.08%</v>
          </cell>
          <cell r="G373">
            <v>50.08</v>
          </cell>
        </row>
        <row r="374">
          <cell r="A374" t="str">
            <v>Oi Total Fixo + Banda Larga + TV 30.4399Template desconto FLAT Plano Principal Oi TV nível conta</v>
          </cell>
          <cell r="B374" t="str">
            <v>Plano Oi Convergente High</v>
          </cell>
          <cell r="C374" t="str">
            <v>Template desconto FLAT Plano Principal Oi TV nível conta</v>
          </cell>
          <cell r="D374">
            <v>0.43990000000000001</v>
          </cell>
          <cell r="E374" t="str">
            <v>MKT-1-9829679623</v>
          </cell>
          <cell r="F374" t="str">
            <v>0T3T_REJ17_PCS-3PHipi_FLAT_TV_43.99%</v>
          </cell>
          <cell r="G374">
            <v>43.99</v>
          </cell>
        </row>
        <row r="375">
          <cell r="A375" t="str">
            <v>Oi Total Fixo + Banda Larga + TV 30.4257Template desconto FLAT Plano Principal Oi TV nível conta</v>
          </cell>
          <cell r="B375" t="str">
            <v>Plano Oi Convergente High</v>
          </cell>
          <cell r="C375" t="str">
            <v>Template desconto FLAT Plano Principal Oi TV nível conta</v>
          </cell>
          <cell r="D375">
            <v>0.42570000000000002</v>
          </cell>
          <cell r="E375" t="str">
            <v>MKT-1-9829701189</v>
          </cell>
          <cell r="F375" t="str">
            <v>0T3T_REJ17_PCS-3PHipi_FLAT_TV_42.57%</v>
          </cell>
          <cell r="G375">
            <v>42.57</v>
          </cell>
        </row>
        <row r="376">
          <cell r="A376" t="str">
            <v>Oi Total Fixo + Banda Larga + TV 30.4489Template desconto FLAT Plano Principal Oi TV nível conta</v>
          </cell>
          <cell r="B376" t="str">
            <v>Plano Oi Convergente High</v>
          </cell>
          <cell r="C376" t="str">
            <v>Template desconto FLAT Plano Principal Oi TV nível conta</v>
          </cell>
          <cell r="D376">
            <v>0.44890000000000002</v>
          </cell>
          <cell r="E376" t="str">
            <v>MKT-1-9829701994</v>
          </cell>
          <cell r="F376" t="str">
            <v>0T3T_REJ17_PCS-3PHipi_FLAT_TV_44.89%</v>
          </cell>
          <cell r="G376">
            <v>44.89</v>
          </cell>
        </row>
        <row r="377">
          <cell r="A377" t="str">
            <v>Oi Total Fixo + Banda Larga 10.3821Template de desconto FLAT bundle - Velox XDSL - Varejo</v>
          </cell>
          <cell r="B377" t="str">
            <v>Oi Total Fixo + Banda Larga 1</v>
          </cell>
          <cell r="C377" t="str">
            <v>Template de desconto FLAT bundle - Velox XDSL - Varejo</v>
          </cell>
          <cell r="D377">
            <v>0.3821</v>
          </cell>
          <cell r="E377" t="str">
            <v>MKT-1-9826247846</v>
          </cell>
          <cell r="F377" t="str">
            <v>0T3T_REJ17_PCS-2PFBL1_FLAT_BL_38.21%</v>
          </cell>
          <cell r="G377">
            <v>38.21</v>
          </cell>
        </row>
        <row r="378">
          <cell r="A378" t="str">
            <v>Oi Total Fixo + Banda Larga 20.3821Template de desconto FLAT bundle - Velox XDSL - Varejo</v>
          </cell>
          <cell r="B378" t="str">
            <v>Oi Total Fixo + Banda Larga 2</v>
          </cell>
          <cell r="C378" t="str">
            <v>Template de desconto FLAT bundle - Velox XDSL - Varejo</v>
          </cell>
          <cell r="D378">
            <v>0.3821</v>
          </cell>
          <cell r="E378" t="str">
            <v>MKT-1-9826247939</v>
          </cell>
          <cell r="F378" t="str">
            <v>0T3T_REJ17_PCS-2PFBL2_FLAT_BL_38.21%</v>
          </cell>
          <cell r="G378">
            <v>38.21</v>
          </cell>
        </row>
        <row r="379">
          <cell r="A379" t="str">
            <v>Oi Total Fixo + Banda Larga 30.3821Template de desconto FLAT bundle - Velox XDSL - Varejo</v>
          </cell>
          <cell r="B379" t="str">
            <v>Oi Total Fixo + Banda Larga 3</v>
          </cell>
          <cell r="C379" t="str">
            <v>Template de desconto FLAT bundle - Velox XDSL - Varejo</v>
          </cell>
          <cell r="D379">
            <v>0.3821</v>
          </cell>
          <cell r="E379" t="str">
            <v>MKT-1-9826248032</v>
          </cell>
          <cell r="F379" t="str">
            <v>0T3T_REJ17_PCS-2PFBL3_FLAT_BL_38.21%</v>
          </cell>
          <cell r="G379">
            <v>38.21</v>
          </cell>
        </row>
        <row r="380">
          <cell r="A380" t="str">
            <v>Oi Total Fixo + Banda Larga 10.3904Template de desconto FLAT bundle - Velox XDSL - Varejo</v>
          </cell>
          <cell r="B380" t="str">
            <v>Oi Total Fixo + Banda Larga 1</v>
          </cell>
          <cell r="C380" t="str">
            <v>Template de desconto FLAT bundle - Velox XDSL - Varejo</v>
          </cell>
          <cell r="D380">
            <v>0.39039999999999997</v>
          </cell>
          <cell r="E380" t="str">
            <v>MKT-1-9826759125</v>
          </cell>
          <cell r="F380" t="str">
            <v>0T3T_REJ17_PCS-2PFBL1_FLAT_BL_39.04%</v>
          </cell>
          <cell r="G380">
            <v>39.04</v>
          </cell>
        </row>
        <row r="381">
          <cell r="A381" t="str">
            <v>Oi Total Fixo + Banda Larga 20.3904Template de desconto FLAT bundle - Velox XDSL - Varejo</v>
          </cell>
          <cell r="B381" t="str">
            <v>Oi Total Fixo + Banda Larga 2</v>
          </cell>
          <cell r="C381" t="str">
            <v>Template de desconto FLAT bundle - Velox XDSL - Varejo</v>
          </cell>
          <cell r="D381">
            <v>0.39039999999999997</v>
          </cell>
          <cell r="E381" t="str">
            <v>MKT-1-9826759228</v>
          </cell>
          <cell r="F381" t="str">
            <v>0T3T_REJ17_PCS-2PFBL2_FLAT_BL_39.04%</v>
          </cell>
          <cell r="G381">
            <v>39.04</v>
          </cell>
        </row>
        <row r="382">
          <cell r="A382" t="str">
            <v>Oi Total Fixo + Banda Larga 30.3904Template de desconto FLAT bundle - Velox XDSL - Varejo</v>
          </cell>
          <cell r="B382" t="str">
            <v>Oi Total Fixo + Banda Larga 3</v>
          </cell>
          <cell r="C382" t="str">
            <v>Template de desconto FLAT bundle - Velox XDSL - Varejo</v>
          </cell>
          <cell r="D382">
            <v>0.39039999999999997</v>
          </cell>
          <cell r="E382" t="str">
            <v>MKT-1-9826759821</v>
          </cell>
          <cell r="F382" t="str">
            <v>0T3T_REJ17_PCS-2PFBL3_FLAT_BL_39.04%</v>
          </cell>
          <cell r="G382">
            <v>39.04</v>
          </cell>
        </row>
        <row r="383">
          <cell r="A383" t="str">
            <v>Oi Total Fixo + Banda Larga 10.4222Template de desconto FLAT bundle - Velox XDSL - Varejo</v>
          </cell>
          <cell r="B383" t="str">
            <v>Oi Total Fixo + Banda Larga 1</v>
          </cell>
          <cell r="C383" t="str">
            <v>Template de desconto FLAT bundle - Velox XDSL - Varejo</v>
          </cell>
          <cell r="D383">
            <v>0.42219999999999996</v>
          </cell>
          <cell r="E383" t="str">
            <v>MKT-1-9826760014</v>
          </cell>
          <cell r="F383" t="str">
            <v>0T3T_REJ17_PCS-2PFBL1_FLAT_BL_42.22%</v>
          </cell>
          <cell r="G383">
            <v>42.22</v>
          </cell>
        </row>
        <row r="384">
          <cell r="A384" t="str">
            <v>Oi Total Fixo + Banda Larga 20.4222Template de desconto FLAT bundle - Velox XDSL - Varejo</v>
          </cell>
          <cell r="B384" t="str">
            <v>Oi Total Fixo + Banda Larga 2</v>
          </cell>
          <cell r="C384" t="str">
            <v>Template de desconto FLAT bundle - Velox XDSL - Varejo</v>
          </cell>
          <cell r="D384">
            <v>0.42219999999999996</v>
          </cell>
          <cell r="E384" t="str">
            <v>MKT-1-9826766317</v>
          </cell>
          <cell r="F384" t="str">
            <v>0T3T_REJ17_PCS-2PFBL2_FLAT_BL_42.22%</v>
          </cell>
          <cell r="G384">
            <v>42.22</v>
          </cell>
        </row>
        <row r="385">
          <cell r="A385" t="str">
            <v>Oi Total Fixo + Banda Larga 30.4222Template de desconto FLAT bundle - Velox XDSL - Varejo</v>
          </cell>
          <cell r="B385" t="str">
            <v>Oi Total Fixo + Banda Larga 3</v>
          </cell>
          <cell r="C385" t="str">
            <v>Template de desconto FLAT bundle - Velox XDSL - Varejo</v>
          </cell>
          <cell r="D385">
            <v>0.42219999999999996</v>
          </cell>
          <cell r="E385" t="str">
            <v>MKT-1-9826766510</v>
          </cell>
          <cell r="F385" t="str">
            <v>0T3T_REJ17_PCS-2PFBL3_FLAT_BL_42.22%</v>
          </cell>
          <cell r="G385">
            <v>42.22</v>
          </cell>
        </row>
        <row r="386">
          <cell r="A386" t="str">
            <v>Oi Total Fixo + Banda Larga 10.4864Template de desconto FLAT bundle - Velox XDSL - Varejo</v>
          </cell>
          <cell r="B386" t="str">
            <v>Oi Total Fixo + Banda Larga 1</v>
          </cell>
          <cell r="C386" t="str">
            <v>Template de desconto FLAT bundle - Velox XDSL - Varejo</v>
          </cell>
          <cell r="D386">
            <v>0.4864</v>
          </cell>
          <cell r="E386" t="str">
            <v>MKT-1-9826766713</v>
          </cell>
          <cell r="F386" t="str">
            <v>0T3T_REJ17_PCS-2PFBL1_FLAT_BL_48.64%</v>
          </cell>
          <cell r="G386">
            <v>48.64</v>
          </cell>
        </row>
        <row r="387">
          <cell r="A387" t="str">
            <v>Oi Total Fixo + Banda Larga 20.4864Template de desconto FLAT bundle - Velox XDSL - Varejo</v>
          </cell>
          <cell r="B387" t="str">
            <v>Oi Total Fixo + Banda Larga 2</v>
          </cell>
          <cell r="C387" t="str">
            <v>Template de desconto FLAT bundle - Velox XDSL - Varejo</v>
          </cell>
          <cell r="D387">
            <v>0.4864</v>
          </cell>
          <cell r="E387" t="str">
            <v>MKT-1-9826766916</v>
          </cell>
          <cell r="F387" t="str">
            <v>0T3T_REJ17_PCS-2PFBL2_FLAT_BL_48.64%</v>
          </cell>
          <cell r="G387">
            <v>48.64</v>
          </cell>
        </row>
        <row r="388">
          <cell r="A388" t="str">
            <v>Oi Total Fixo + Banda Larga 30.4864Template de desconto FLAT bundle - Velox XDSL - Varejo</v>
          </cell>
          <cell r="B388" t="str">
            <v>Oi Total Fixo + Banda Larga 3</v>
          </cell>
          <cell r="C388" t="str">
            <v>Template de desconto FLAT bundle - Velox XDSL - Varejo</v>
          </cell>
          <cell r="D388">
            <v>0.4864</v>
          </cell>
          <cell r="E388" t="str">
            <v>MKT-1-9826774939</v>
          </cell>
          <cell r="F388" t="str">
            <v>0T3T_REJ17_PCS-2PFBL3_FLAT_BL_48.64%</v>
          </cell>
          <cell r="G388">
            <v>48.64</v>
          </cell>
        </row>
        <row r="389">
          <cell r="A389" t="str">
            <v>Oi Total Fixo + Banda Larga 10.5377Template de desconto FLAT bundle - Velox XDSL - Varejo</v>
          </cell>
          <cell r="B389" t="str">
            <v>Oi Total Fixo + Banda Larga 1</v>
          </cell>
          <cell r="C389" t="str">
            <v>Template de desconto FLAT bundle - Velox XDSL - Varejo</v>
          </cell>
          <cell r="D389">
            <v>0.53770000000000007</v>
          </cell>
          <cell r="E389" t="str">
            <v>MKT-1-9826775032</v>
          </cell>
          <cell r="F389" t="str">
            <v>0T3T_REJ17_PCS-2PFBL1_FLAT_BL_53.77%</v>
          </cell>
          <cell r="G389">
            <v>53.77</v>
          </cell>
        </row>
        <row r="390">
          <cell r="A390" t="str">
            <v>Oi Total Fixo + Banda Larga 20.5377Template de desconto FLAT bundle - Velox XDSL - Varejo</v>
          </cell>
          <cell r="B390" t="str">
            <v>Oi Total Fixo + Banda Larga 2</v>
          </cell>
          <cell r="C390" t="str">
            <v>Template de desconto FLAT bundle - Velox XDSL - Varejo</v>
          </cell>
          <cell r="D390">
            <v>0.53770000000000007</v>
          </cell>
          <cell r="E390" t="str">
            <v>MKT-1-9826792125</v>
          </cell>
          <cell r="F390" t="str">
            <v>0T3T_REJ17_PCS-2PFBL2_FLAT_BL_53.77%</v>
          </cell>
          <cell r="G390">
            <v>53.77</v>
          </cell>
        </row>
        <row r="391">
          <cell r="A391" t="str">
            <v>Oi Total Fixo + Banda Larga 30.5377Template de desconto FLAT bundle - Velox XDSL - Varejo</v>
          </cell>
          <cell r="B391" t="str">
            <v>Oi Total Fixo + Banda Larga 3</v>
          </cell>
          <cell r="C391" t="str">
            <v>Template de desconto FLAT bundle - Velox XDSL - Varejo</v>
          </cell>
          <cell r="D391">
            <v>0.53770000000000007</v>
          </cell>
          <cell r="E391" t="str">
            <v>MKT-1-9826792818</v>
          </cell>
          <cell r="F391" t="str">
            <v>0T3T_REJ17_PCS-2PFBL3_FLAT_BL_53.77%</v>
          </cell>
          <cell r="G391">
            <v>53.77</v>
          </cell>
        </row>
        <row r="392">
          <cell r="A392" t="str">
            <v>Oi Total Fixo + Banda Larga 10.6444Template de desconto FLAT bundle - Velox XDSL - Varejo</v>
          </cell>
          <cell r="B392" t="str">
            <v>Oi Total Fixo + Banda Larga 1</v>
          </cell>
          <cell r="C392" t="str">
            <v>Template de desconto FLAT bundle - Velox XDSL - Varejo</v>
          </cell>
          <cell r="D392">
            <v>0.64439999999999997</v>
          </cell>
          <cell r="E392" t="str">
            <v>MKT-1-9826799341</v>
          </cell>
          <cell r="F392" t="str">
            <v>0T3T_REJ17_PCS-2PFBL1_FLAT_BL_64.44%</v>
          </cell>
          <cell r="G392">
            <v>64.44</v>
          </cell>
        </row>
        <row r="393">
          <cell r="A393" t="str">
            <v>Oi Total Fixo + Banda Larga 20.6444Template de desconto FLAT bundle - Velox XDSL - Varejo</v>
          </cell>
          <cell r="B393" t="str">
            <v>Oi Total Fixo + Banda Larga 2</v>
          </cell>
          <cell r="C393" t="str">
            <v>Template de desconto FLAT bundle - Velox XDSL - Varejo</v>
          </cell>
          <cell r="D393">
            <v>0.64439999999999997</v>
          </cell>
          <cell r="E393" t="str">
            <v>MKT-1-9826799974</v>
          </cell>
          <cell r="F393" t="str">
            <v>0T3T_REJ17_PCS-2PFBL2_FLAT_BL_64.44%</v>
          </cell>
          <cell r="G393">
            <v>64.44</v>
          </cell>
        </row>
        <row r="394">
          <cell r="A394" t="str">
            <v>Oi Total Fixo + Banda Larga 30.6444Template de desconto FLAT bundle - Velox XDSL - Varejo</v>
          </cell>
          <cell r="B394" t="str">
            <v>Oi Total Fixo + Banda Larga 3</v>
          </cell>
          <cell r="C394" t="str">
            <v>Template de desconto FLAT bundle - Velox XDSL - Varejo</v>
          </cell>
          <cell r="D394">
            <v>0.64439999999999997</v>
          </cell>
          <cell r="E394" t="str">
            <v>MKT-1-9826806377</v>
          </cell>
          <cell r="F394" t="str">
            <v>0T3T_REJ17_PCS-2PFBL3_FLAT_BL_64.44%</v>
          </cell>
          <cell r="G394">
            <v>64.44</v>
          </cell>
        </row>
        <row r="395">
          <cell r="A395" t="str">
            <v>Oi Total Fixo + Banda Larga 10.7333Template de desconto FLAT bundle - Velox XDSL - Varejo</v>
          </cell>
          <cell r="B395" t="str">
            <v>Oi Total Fixo + Banda Larga 1</v>
          </cell>
          <cell r="C395" t="str">
            <v>Template de desconto FLAT bundle - Velox XDSL - Varejo</v>
          </cell>
          <cell r="D395">
            <v>0.73329999999999995</v>
          </cell>
          <cell r="E395" t="str">
            <v>MKT-1-9826806750</v>
          </cell>
          <cell r="F395" t="str">
            <v>0T3T_REJ17_PCS-2PFBL1_FLAT_BL_73.33%</v>
          </cell>
          <cell r="G395">
            <v>73.33</v>
          </cell>
        </row>
        <row r="396">
          <cell r="A396" t="str">
            <v>Oi Total Fixo + Banda Larga 20.7333Template de desconto FLAT bundle - Velox XDSL - Varejo</v>
          </cell>
          <cell r="B396" t="str">
            <v>Oi Total Fixo + Banda Larga 2</v>
          </cell>
          <cell r="C396" t="str">
            <v>Template de desconto FLAT bundle - Velox XDSL - Varejo</v>
          </cell>
          <cell r="D396">
            <v>0.73329999999999995</v>
          </cell>
          <cell r="E396" t="str">
            <v>MKT-1-9826807093</v>
          </cell>
          <cell r="F396" t="str">
            <v>0T3T_REJ17_PCS-2PFBL2_FLAT_BL_73.33%</v>
          </cell>
          <cell r="G396">
            <v>73.33</v>
          </cell>
        </row>
        <row r="397">
          <cell r="A397" t="str">
            <v>Oi Total Fixo + Banda Larga 30.7333Template de desconto FLAT bundle - Velox XDSL - Varejo</v>
          </cell>
          <cell r="B397" t="str">
            <v>Oi Total Fixo + Banda Larga 3</v>
          </cell>
          <cell r="C397" t="str">
            <v>Template de desconto FLAT bundle - Velox XDSL - Varejo</v>
          </cell>
          <cell r="D397">
            <v>0.73329999999999995</v>
          </cell>
          <cell r="E397" t="str">
            <v>MKT-1-9826814746</v>
          </cell>
          <cell r="F397" t="str">
            <v>0T3T_REJ17_PCS-2PFBL3_FLAT_BL_73.33%</v>
          </cell>
          <cell r="G397">
            <v>73.33</v>
          </cell>
        </row>
        <row r="398">
          <cell r="A398" t="str">
            <v>Oi Total Fixo + Banda Larga 10.6977Template de desconto FLAT bundle - Velox XDSL - Varejo</v>
          </cell>
          <cell r="B398" t="str">
            <v>Oi Total Fixo + Banda Larga 1</v>
          </cell>
          <cell r="C398" t="str">
            <v>Template de desconto FLAT bundle - Velox XDSL - Varejo</v>
          </cell>
          <cell r="D398">
            <v>0.69769999999999999</v>
          </cell>
          <cell r="E398" t="str">
            <v>MKT-1-9826815099</v>
          </cell>
          <cell r="F398" t="str">
            <v>0T3T_REJ17_PCS-2PFBL1_FLAT_BL_69.77%</v>
          </cell>
          <cell r="G398">
            <v>69.77</v>
          </cell>
        </row>
        <row r="399">
          <cell r="A399" t="str">
            <v>Oi Total Fixo + Banda Larga 20.6977Template de desconto FLAT bundle - Velox XDSL - Varejo</v>
          </cell>
          <cell r="B399" t="str">
            <v>Oi Total Fixo + Banda Larga 2</v>
          </cell>
          <cell r="C399" t="str">
            <v>Template de desconto FLAT bundle - Velox XDSL - Varejo</v>
          </cell>
          <cell r="D399">
            <v>0.69769999999999999</v>
          </cell>
          <cell r="E399" t="str">
            <v>MKT-1-9826827982</v>
          </cell>
          <cell r="F399" t="str">
            <v>0T3T_REJ17_PCS-2PFBL2_FLAT_BL_69.77%</v>
          </cell>
          <cell r="G399">
            <v>69.77</v>
          </cell>
        </row>
        <row r="400">
          <cell r="A400" t="str">
            <v>Oi Total Fixo + Banda Larga 30.6977Template de desconto FLAT bundle - Velox XDSL - Varejo</v>
          </cell>
          <cell r="B400" t="str">
            <v>Oi Total Fixo + Banda Larga 3</v>
          </cell>
          <cell r="C400" t="str">
            <v>Template de desconto FLAT bundle - Velox XDSL - Varejo</v>
          </cell>
          <cell r="D400">
            <v>0.69769999999999999</v>
          </cell>
          <cell r="E400" t="str">
            <v>MKT-1-9826829555</v>
          </cell>
          <cell r="F400" t="str">
            <v>0T3T_REJ17_PCS-2PFBL3_FLAT_BL_69.77%</v>
          </cell>
          <cell r="G400">
            <v>69.77</v>
          </cell>
        </row>
        <row r="401">
          <cell r="A401" t="str">
            <v>Oi Total Fixo + Banda Larga 10.1242Template de desconto FLAT bundle - Velox XDSL - Varejo</v>
          </cell>
          <cell r="B401" t="str">
            <v>Oi Total Fixo + Banda Larga 1</v>
          </cell>
          <cell r="C401" t="str">
            <v>Template de desconto FLAT bundle - Velox XDSL - Varejo</v>
          </cell>
          <cell r="D401">
            <v>0.1242</v>
          </cell>
          <cell r="E401" t="str">
            <v>MKT-1-9826829888</v>
          </cell>
          <cell r="F401" t="str">
            <v>0T3T_REJ17_PCS-2PFBL1_FLAT_BL_12.42%</v>
          </cell>
          <cell r="G401">
            <v>12.42</v>
          </cell>
        </row>
        <row r="402">
          <cell r="A402" t="str">
            <v>Oi Total Fixo + Banda Larga 20.1242Template de desconto FLAT bundle - Velox XDSL - Varejo</v>
          </cell>
          <cell r="B402" t="str">
            <v>Oi Total Fixo + Banda Larga 2</v>
          </cell>
          <cell r="C402" t="str">
            <v>Template de desconto FLAT bundle - Velox XDSL - Varejo</v>
          </cell>
          <cell r="D402">
            <v>0.1242</v>
          </cell>
          <cell r="E402" t="str">
            <v>MKT-1-9826842331</v>
          </cell>
          <cell r="F402" t="str">
            <v>0T3T_REJ17_PCS-2PFBL2_FLAT_BL_12.42%</v>
          </cell>
          <cell r="G402">
            <v>12.42</v>
          </cell>
        </row>
        <row r="403">
          <cell r="A403" t="str">
            <v>Oi Total Fixo + Banda Larga 30.1242Template de desconto FLAT bundle - Velox XDSL - Varejo</v>
          </cell>
          <cell r="B403" t="str">
            <v>Oi Total Fixo + Banda Larga 3</v>
          </cell>
          <cell r="C403" t="str">
            <v>Template de desconto FLAT bundle - Velox XDSL - Varejo</v>
          </cell>
          <cell r="D403">
            <v>0.1242</v>
          </cell>
          <cell r="E403" t="str">
            <v>MKT-1-9826842664</v>
          </cell>
          <cell r="F403" t="str">
            <v>0T3T_REJ17_PCS-2PFBL3_FLAT_BL_12.42%</v>
          </cell>
          <cell r="G403">
            <v>12.42</v>
          </cell>
        </row>
        <row r="404">
          <cell r="A404" t="str">
            <v>Oi Total Fixo + Banda Larga 10.136Template de desconto FLAT bundle - Velox XDSL - Varejo</v>
          </cell>
          <cell r="B404" t="str">
            <v>Oi Total Fixo + Banda Larga 1</v>
          </cell>
          <cell r="C404" t="str">
            <v>Template de desconto FLAT bundle - Velox XDSL - Varejo</v>
          </cell>
          <cell r="D404">
            <v>0.13600000000000001</v>
          </cell>
          <cell r="E404" t="str">
            <v>MKT-1-9826843037</v>
          </cell>
          <cell r="F404" t="str">
            <v>0T3T_REJ17_PCS-2PFBL1_FLAT_BL_13.60%</v>
          </cell>
          <cell r="G404">
            <v>13.6</v>
          </cell>
        </row>
        <row r="405">
          <cell r="A405" t="str">
            <v>Oi Total Fixo + Banda Larga 20.136Template de desconto FLAT bundle - Velox XDSL - Varejo</v>
          </cell>
          <cell r="B405" t="str">
            <v>Oi Total Fixo + Banda Larga 2</v>
          </cell>
          <cell r="C405" t="str">
            <v>Template de desconto FLAT bundle - Velox XDSL - Varejo</v>
          </cell>
          <cell r="D405">
            <v>0.13600000000000001</v>
          </cell>
          <cell r="E405" t="str">
            <v>MKT-1-9826853630</v>
          </cell>
          <cell r="F405" t="str">
            <v>0T3T_REJ17_PCS-2PFBL2_FLAT_BL_13.60%</v>
          </cell>
          <cell r="G405">
            <v>13.6</v>
          </cell>
        </row>
        <row r="406">
          <cell r="A406" t="str">
            <v>Oi Total Fixo + Banda Larga 30.136Template de desconto FLAT bundle - Velox XDSL - Varejo</v>
          </cell>
          <cell r="B406" t="str">
            <v>Oi Total Fixo + Banda Larga 3</v>
          </cell>
          <cell r="C406" t="str">
            <v>Template de desconto FLAT bundle - Velox XDSL - Varejo</v>
          </cell>
          <cell r="D406">
            <v>0.13600000000000001</v>
          </cell>
          <cell r="E406" t="str">
            <v>MKT-1-9826859033</v>
          </cell>
          <cell r="F406" t="str">
            <v>0T3T_REJ17_PCS-2PFBL3_FLAT_BL_13.60%</v>
          </cell>
          <cell r="G406">
            <v>13.6</v>
          </cell>
        </row>
        <row r="407">
          <cell r="A407" t="str">
            <v>Oi Total Fixo + Banda Larga 10.1996Template de desconto FLAT bundle - Velox XDSL - Varejo</v>
          </cell>
          <cell r="B407" t="str">
            <v>Oi Total Fixo + Banda Larga 1</v>
          </cell>
          <cell r="C407" t="str">
            <v>Template de desconto FLAT bundle - Velox XDSL - Varejo</v>
          </cell>
          <cell r="D407">
            <v>0.1996</v>
          </cell>
          <cell r="E407" t="str">
            <v>MKT-1-9826865346</v>
          </cell>
          <cell r="F407" t="str">
            <v>0T3T_REJ17_PCS-2PFBL1_FLAT_BL_19.96%</v>
          </cell>
          <cell r="G407">
            <v>19.96</v>
          </cell>
        </row>
        <row r="408">
          <cell r="A408" t="str">
            <v>Oi Total Fixo + Banda Larga 20.1996Template de desconto FLAT bundle - Velox XDSL - Varejo</v>
          </cell>
          <cell r="B408" t="str">
            <v>Oi Total Fixo + Banda Larga 2</v>
          </cell>
          <cell r="C408" t="str">
            <v>Template de desconto FLAT bundle - Velox XDSL - Varejo</v>
          </cell>
          <cell r="D408">
            <v>0.1996</v>
          </cell>
          <cell r="E408" t="str">
            <v>MKT-1-9826896189</v>
          </cell>
          <cell r="F408" t="str">
            <v>0T3T_REJ17_PCS-2PFBL2_FLAT_BL_19.96%</v>
          </cell>
          <cell r="G408">
            <v>19.96</v>
          </cell>
        </row>
        <row r="409">
          <cell r="A409" t="str">
            <v>Oi Total Fixo + Banda Larga 30.1996Template de desconto FLAT bundle - Velox XDSL - Varejo</v>
          </cell>
          <cell r="B409" t="str">
            <v>Oi Total Fixo + Banda Larga 3</v>
          </cell>
          <cell r="C409" t="str">
            <v>Template de desconto FLAT bundle - Velox XDSL - Varejo</v>
          </cell>
          <cell r="D409">
            <v>0.1996</v>
          </cell>
          <cell r="E409" t="str">
            <v>MKT-1-9826902222</v>
          </cell>
          <cell r="F409" t="str">
            <v>0T3T_REJ17_PCS-2PFBL3_FLAT_BL_19.96%</v>
          </cell>
          <cell r="G409">
            <v>19.96</v>
          </cell>
        </row>
        <row r="410">
          <cell r="A410" t="str">
            <v>Oi Total Fixo + Banda Larga 10.2885Template de desconto FLAT bundle - Velox XDSL - Varejo</v>
          </cell>
          <cell r="B410" t="str">
            <v>Oi Total Fixo + Banda Larga 1</v>
          </cell>
          <cell r="C410" t="str">
            <v>Template de desconto FLAT bundle - Velox XDSL - Varejo</v>
          </cell>
          <cell r="D410">
            <v>0.28850000000000003</v>
          </cell>
          <cell r="E410" t="str">
            <v>MKT-1-9826902915</v>
          </cell>
          <cell r="F410" t="str">
            <v>0T3T_REJ17_PCS-2PFBL1_FLAT_BL_28.85%</v>
          </cell>
          <cell r="G410">
            <v>28.85</v>
          </cell>
        </row>
        <row r="411">
          <cell r="A411" t="str">
            <v>Oi Total Fixo + Banda Larga 20.2885Template de desconto FLAT bundle - Velox XDSL - Varejo</v>
          </cell>
          <cell r="B411" t="str">
            <v>Oi Total Fixo + Banda Larga 2</v>
          </cell>
          <cell r="C411" t="str">
            <v>Template de desconto FLAT bundle - Velox XDSL - Varejo</v>
          </cell>
          <cell r="D411">
            <v>0.28850000000000003</v>
          </cell>
          <cell r="E411" t="str">
            <v>MKT-1-9826909268</v>
          </cell>
          <cell r="F411" t="str">
            <v>0T3T_REJ17_PCS-2PFBL2_FLAT_BL_28.85%</v>
          </cell>
          <cell r="G411">
            <v>28.85</v>
          </cell>
        </row>
        <row r="412">
          <cell r="A412" t="str">
            <v>Oi Total Fixo + Banda Larga 30.2885Template de desconto FLAT bundle - Velox XDSL - Varejo</v>
          </cell>
          <cell r="B412" t="str">
            <v>Oi Total Fixo + Banda Larga 3</v>
          </cell>
          <cell r="C412" t="str">
            <v>Template de desconto FLAT bundle - Velox XDSL - Varejo</v>
          </cell>
          <cell r="D412">
            <v>0.28850000000000003</v>
          </cell>
          <cell r="E412" t="str">
            <v>MKT-1-9827102511</v>
          </cell>
          <cell r="F412" t="str">
            <v>0T3T_REJ17_PCS-2PFBL3_FLAT_BL_28.85%</v>
          </cell>
          <cell r="G412">
            <v>28.85</v>
          </cell>
        </row>
        <row r="413">
          <cell r="A413" t="str">
            <v>Oi Total Fixo + Banda Larga 10.3596Template de desconto FLAT bundle - Velox XDSL - Varejo</v>
          </cell>
          <cell r="B413" t="str">
            <v>Oi Total Fixo + Banda Larga 1</v>
          </cell>
          <cell r="C413" t="str">
            <v>Template de desconto FLAT bundle - Velox XDSL - Varejo</v>
          </cell>
          <cell r="D413">
            <v>0.35960000000000003</v>
          </cell>
          <cell r="E413" t="str">
            <v>MKT-1-9827102654</v>
          </cell>
          <cell r="F413" t="str">
            <v>0T3T_REJ17_PCS-2PFBL1_FLAT_BL_35.96%</v>
          </cell>
          <cell r="G413">
            <v>35.96</v>
          </cell>
        </row>
        <row r="414">
          <cell r="A414" t="str">
            <v>Oi Total Fixo + Banda Larga 20.3596Template de desconto FLAT bundle - Velox XDSL - Varejo</v>
          </cell>
          <cell r="B414" t="str">
            <v>Oi Total Fixo + Banda Larga 2</v>
          </cell>
          <cell r="C414" t="str">
            <v>Template de desconto FLAT bundle - Velox XDSL - Varejo</v>
          </cell>
          <cell r="D414">
            <v>0.35960000000000003</v>
          </cell>
          <cell r="E414" t="str">
            <v>MKT-1-9827102967</v>
          </cell>
          <cell r="F414" t="str">
            <v>0T3T_REJ17_PCS-2PFBL2_FLAT_BL_35.96%</v>
          </cell>
          <cell r="G414">
            <v>35.96</v>
          </cell>
        </row>
        <row r="415">
          <cell r="A415" t="str">
            <v>Oi Total Fixo + Banda Larga 30.3596Template de desconto FLAT bundle - Velox XDSL - Varejo</v>
          </cell>
          <cell r="B415" t="str">
            <v>Oi Total Fixo + Banda Larga 3</v>
          </cell>
          <cell r="C415" t="str">
            <v>Template de desconto FLAT bundle - Velox XDSL - Varejo</v>
          </cell>
          <cell r="D415">
            <v>0.35960000000000003</v>
          </cell>
          <cell r="E415" t="str">
            <v>MKT-1-9827113320</v>
          </cell>
          <cell r="F415" t="str">
            <v>0T3T_REJ17_PCS-2PFBL3_FLAT_BL_35.96%</v>
          </cell>
          <cell r="G415">
            <v>35.96</v>
          </cell>
        </row>
        <row r="416">
          <cell r="A416" t="str">
            <v>Oi Total Fixo + Banda Larga 10.5256Template de desconto FLAT bundle - Velox XDSL - Varejo</v>
          </cell>
          <cell r="B416" t="str">
            <v>Oi Total Fixo + Banda Larga 1</v>
          </cell>
          <cell r="C416" t="str">
            <v>Template de desconto FLAT bundle - Velox XDSL - Varejo</v>
          </cell>
          <cell r="D416">
            <v>0.52560000000000007</v>
          </cell>
          <cell r="E416" t="str">
            <v>MKT-1-9827128103</v>
          </cell>
          <cell r="F416" t="str">
            <v>0T3T_REJ17_PCS-2PFBL1_FLAT_BL_52.56%</v>
          </cell>
          <cell r="G416">
            <v>52.56</v>
          </cell>
        </row>
        <row r="417">
          <cell r="A417" t="str">
            <v>Oi Total Fixo + Banda Larga 20.5256Template de desconto FLAT bundle - Velox XDSL - Varejo</v>
          </cell>
          <cell r="B417" t="str">
            <v>Oi Total Fixo + Banda Larga 2</v>
          </cell>
          <cell r="C417" t="str">
            <v>Template de desconto FLAT bundle - Velox XDSL - Varejo</v>
          </cell>
          <cell r="D417">
            <v>0.52560000000000007</v>
          </cell>
          <cell r="E417" t="str">
            <v>MKT-1-9827128286</v>
          </cell>
          <cell r="F417" t="str">
            <v>0T3T_REJ17_PCS-2PFBL2_FLAT_BL_52.56%</v>
          </cell>
          <cell r="G417">
            <v>52.56</v>
          </cell>
        </row>
        <row r="418">
          <cell r="A418" t="str">
            <v>Oi Total Fixo + Banda Larga 30.5256Template de desconto FLAT bundle - Velox XDSL - Varejo</v>
          </cell>
          <cell r="B418" t="str">
            <v>Oi Total Fixo + Banda Larga 3</v>
          </cell>
          <cell r="C418" t="str">
            <v>Template de desconto FLAT bundle - Velox XDSL - Varejo</v>
          </cell>
          <cell r="D418">
            <v>0.52560000000000007</v>
          </cell>
          <cell r="E418" t="str">
            <v>MKT-1-9827128579</v>
          </cell>
          <cell r="F418" t="str">
            <v>0T3T_REJ17_PCS-2PFBL3_FLAT_BL_52.56%</v>
          </cell>
          <cell r="G418">
            <v>52.56</v>
          </cell>
        </row>
        <row r="419">
          <cell r="A419" t="str">
            <v>Oi Total Fixo + Banda Larga 10.6442Template de desconto FLAT bundle - Velox XDSL - Varejo</v>
          </cell>
          <cell r="B419" t="str">
            <v>Oi Total Fixo + Banda Larga 1</v>
          </cell>
          <cell r="C419" t="str">
            <v>Template de desconto FLAT bundle - Velox XDSL - Varejo</v>
          </cell>
          <cell r="D419">
            <v>0.64419999999999999</v>
          </cell>
          <cell r="E419" t="str">
            <v>MKT-1-9827128812</v>
          </cell>
          <cell r="F419" t="str">
            <v>0T3T_REJ17_PCS-2PFBL1_FLAT_BL_64.42%</v>
          </cell>
          <cell r="G419">
            <v>64.42</v>
          </cell>
        </row>
        <row r="420">
          <cell r="A420" t="str">
            <v>Oi Total Fixo + Banda Larga 20.6442Template de desconto FLAT bundle - Velox XDSL - Varejo</v>
          </cell>
          <cell r="B420" t="str">
            <v>Oi Total Fixo + Banda Larga 2</v>
          </cell>
          <cell r="C420" t="str">
            <v>Template de desconto FLAT bundle - Velox XDSL - Varejo</v>
          </cell>
          <cell r="D420">
            <v>0.64419999999999999</v>
          </cell>
          <cell r="E420" t="str">
            <v>MKT-1-9827128985</v>
          </cell>
          <cell r="F420" t="str">
            <v>0T3T_REJ17_PCS-2PFBL2_FLAT_BL_64.42%</v>
          </cell>
          <cell r="G420">
            <v>64.42</v>
          </cell>
        </row>
        <row r="421">
          <cell r="A421" t="str">
            <v>Oi Total Fixo + Banda Larga 30.6442Template de desconto FLAT bundle - Velox XDSL - Varejo</v>
          </cell>
          <cell r="B421" t="str">
            <v>Oi Total Fixo + Banda Larga 3</v>
          </cell>
          <cell r="C421" t="str">
            <v>Template de desconto FLAT bundle - Velox XDSL - Varejo</v>
          </cell>
          <cell r="D421">
            <v>0.64419999999999999</v>
          </cell>
          <cell r="E421" t="str">
            <v>MKT-1-9827142188</v>
          </cell>
          <cell r="F421" t="str">
            <v>0T3T_REJ17_PCS-2PFBL3_FLAT_BL_64.42%</v>
          </cell>
          <cell r="G421">
            <v>64.42</v>
          </cell>
        </row>
        <row r="422">
          <cell r="A422" t="str">
            <v>Oi Total Fixo + Banda Larga 10.6086Template de desconto FLAT bundle - Velox XDSL - Varejo</v>
          </cell>
          <cell r="B422" t="str">
            <v>Oi Total Fixo + Banda Larga 1</v>
          </cell>
          <cell r="C422" t="str">
            <v>Template de desconto FLAT bundle - Velox XDSL - Varejo</v>
          </cell>
          <cell r="D422">
            <v>0.60860000000000003</v>
          </cell>
          <cell r="E422" t="str">
            <v>MKT-1-9827142281</v>
          </cell>
          <cell r="F422" t="str">
            <v>0T3T_REJ17_PCS-2PFBL1_FLAT_BL_60.86%</v>
          </cell>
          <cell r="G422">
            <v>60.86</v>
          </cell>
        </row>
        <row r="423">
          <cell r="A423" t="str">
            <v>Oi Total Fixo + Banda Larga 20.6086Template de desconto FLAT bundle - Velox XDSL - Varejo</v>
          </cell>
          <cell r="B423" t="str">
            <v>Oi Total Fixo + Banda Larga 2</v>
          </cell>
          <cell r="C423" t="str">
            <v>Template de desconto FLAT bundle - Velox XDSL - Varejo</v>
          </cell>
          <cell r="D423">
            <v>0.60860000000000003</v>
          </cell>
          <cell r="E423" t="str">
            <v>MKT-1-9827142374</v>
          </cell>
          <cell r="F423" t="str">
            <v>0T3T_REJ17_PCS-2PFBL2_FLAT_BL_60.86%</v>
          </cell>
          <cell r="G423">
            <v>60.86</v>
          </cell>
        </row>
        <row r="424">
          <cell r="A424" t="str">
            <v>Oi Total Fixo + Banda Larga 30.6086Template de desconto FLAT bundle - Velox XDSL - Varejo</v>
          </cell>
          <cell r="B424" t="str">
            <v>Oi Total Fixo + Banda Larga 3</v>
          </cell>
          <cell r="C424" t="str">
            <v>Template de desconto FLAT bundle - Velox XDSL - Varejo</v>
          </cell>
          <cell r="D424">
            <v>0.60860000000000003</v>
          </cell>
          <cell r="E424" t="str">
            <v>MKT-1-9827142467</v>
          </cell>
          <cell r="F424" t="str">
            <v>0T3T_REJ17_PCS-2PFBL3_FLAT_BL_60.86%</v>
          </cell>
          <cell r="G424">
            <v>60.86</v>
          </cell>
        </row>
        <row r="425">
          <cell r="A425" t="str">
            <v>Oi Total Fixo + Pós 50 + Banda Larga0.5368Template de desconto FLAT bundle - Velox XDSL - Varejo</v>
          </cell>
          <cell r="B425" t="str">
            <v>Plano Oi Completo XSmall</v>
          </cell>
          <cell r="C425" t="str">
            <v>Template de desconto FLAT bundle - Velox XDSL - Varejo</v>
          </cell>
          <cell r="D425">
            <v>0.53679999999999994</v>
          </cell>
          <cell r="E425" t="str">
            <v>MKT-1-9827142560</v>
          </cell>
          <cell r="F425" t="str">
            <v>0T3T_REJ17_PCS-4P2pi_FLAT_BL_53.68%</v>
          </cell>
          <cell r="G425">
            <v>53.68</v>
          </cell>
        </row>
        <row r="426">
          <cell r="A426" t="str">
            <v>Oi Total Fixo + Pós Conectado 500 + Banda Larga0.5368Template de desconto FLAT bundle - Velox XDSL - Varejo</v>
          </cell>
          <cell r="B426" t="str">
            <v>Plano Oi Completo 500</v>
          </cell>
          <cell r="C426" t="str">
            <v>Template de desconto FLAT bundle - Velox XDSL - Varejo</v>
          </cell>
          <cell r="D426">
            <v>0.53679999999999994</v>
          </cell>
          <cell r="E426" t="str">
            <v>MKT-1-9827142653</v>
          </cell>
          <cell r="F426" t="str">
            <v>0T3T_REJ17_PCS-4P8pi_FLAT_BL_53.68%</v>
          </cell>
          <cell r="G426">
            <v>53.68</v>
          </cell>
        </row>
        <row r="427">
          <cell r="A427" t="str">
            <v>Oi Total Fixo + Pós 100 + Banda Larga0.5368Template de desconto FLAT bundle - Velox XDSL - Varejo</v>
          </cell>
          <cell r="B427" t="str">
            <v>Plano Oi Completo Small</v>
          </cell>
          <cell r="C427" t="str">
            <v>Template de desconto FLAT bundle - Velox XDSL - Varejo</v>
          </cell>
          <cell r="D427">
            <v>0.53679999999999994</v>
          </cell>
          <cell r="E427" t="str">
            <v>MKT-1-9827142746</v>
          </cell>
          <cell r="F427" t="str">
            <v>0T3T_REJ17_PCS-4P3pi_FLAT_BL_53.68%</v>
          </cell>
          <cell r="G427">
            <v>53.68</v>
          </cell>
        </row>
        <row r="428">
          <cell r="A428" t="str">
            <v>Oi Total Fixo + Pós Conectado 1.000 + Banda Larga0.5368Template de desconto FLAT bundle - Velox XDSL - Varejo</v>
          </cell>
          <cell r="B428" t="str">
            <v>Plano Oi Completo 1.000</v>
          </cell>
          <cell r="C428" t="str">
            <v>Template de desconto FLAT bundle - Velox XDSL - Varejo</v>
          </cell>
          <cell r="D428">
            <v>0.53679999999999994</v>
          </cell>
          <cell r="E428" t="str">
            <v>MKT-1-9827142839</v>
          </cell>
          <cell r="F428" t="str">
            <v>0T3T_REJ17_PCS-4P10pi_FLAT_BL_53.68%</v>
          </cell>
          <cell r="G428">
            <v>53.68</v>
          </cell>
        </row>
        <row r="429">
          <cell r="A429" t="str">
            <v>Oi Total Fixo + Pós Conectado Mais + Banda Larga0.5368Template de desconto FLAT bundle - Velox XDSL - Varejo</v>
          </cell>
          <cell r="B429" t="str">
            <v>Plano Oi Completo Mais</v>
          </cell>
          <cell r="C429" t="str">
            <v>Template de desconto FLAT bundle - Velox XDSL - Varejo</v>
          </cell>
          <cell r="D429">
            <v>0.53679999999999994</v>
          </cell>
          <cell r="E429" t="str">
            <v>MKT-1-9827142932</v>
          </cell>
          <cell r="F429" t="str">
            <v>0T3T_REJ17_PCS-4P9pi_FLAT_BL_53.68%</v>
          </cell>
          <cell r="G429">
            <v>53.68</v>
          </cell>
        </row>
        <row r="430">
          <cell r="A430" t="str">
            <v>Oi Total Fixo + Pós 50 + Banda Larga0.5431Template de desconto FLAT bundle - Velox XDSL - Varejo</v>
          </cell>
          <cell r="B430" t="str">
            <v>Plano Oi Completo XSmall</v>
          </cell>
          <cell r="C430" t="str">
            <v>Template de desconto FLAT bundle - Velox XDSL - Varejo</v>
          </cell>
          <cell r="D430">
            <v>0.54310000000000003</v>
          </cell>
          <cell r="E430" t="str">
            <v>MKT-1-9827143025</v>
          </cell>
          <cell r="F430" t="str">
            <v>0T3T_REJ17_PCS-4P2pi_FLAT_BL_54.31%</v>
          </cell>
          <cell r="G430">
            <v>54.31</v>
          </cell>
        </row>
        <row r="431">
          <cell r="A431" t="str">
            <v>Oi Total Fixo + Pós Conectado 500 + Banda Larga0.5431Template de desconto FLAT bundle - Velox XDSL - Varejo</v>
          </cell>
          <cell r="B431" t="str">
            <v>Plano Oi Completo 500</v>
          </cell>
          <cell r="C431" t="str">
            <v>Template de desconto FLAT bundle - Velox XDSL - Varejo</v>
          </cell>
          <cell r="D431">
            <v>0.54310000000000003</v>
          </cell>
          <cell r="E431" t="str">
            <v>MKT-1-9827176118</v>
          </cell>
          <cell r="F431" t="str">
            <v>0T3T_REJ17_PCS-4P8pi_FLAT_BL_54.31%</v>
          </cell>
          <cell r="G431">
            <v>54.31</v>
          </cell>
        </row>
        <row r="432">
          <cell r="A432" t="str">
            <v>Oi Total Fixo + Pós 100 + Banda Larga0.5431Template de desconto FLAT bundle - Velox XDSL - Varejo</v>
          </cell>
          <cell r="B432" t="str">
            <v>Plano Oi Completo Small</v>
          </cell>
          <cell r="C432" t="str">
            <v>Template de desconto FLAT bundle - Velox XDSL - Varejo</v>
          </cell>
          <cell r="D432">
            <v>0.54310000000000003</v>
          </cell>
          <cell r="E432" t="str">
            <v>MKT-1-9827176271</v>
          </cell>
          <cell r="F432" t="str">
            <v>0T3T_REJ17_PCS-4P3pi_FLAT_BL_54.31%</v>
          </cell>
          <cell r="G432">
            <v>54.31</v>
          </cell>
        </row>
        <row r="433">
          <cell r="A433" t="str">
            <v>Oi Total Fixo + Pós Conectado 1.000 + Banda Larga0.5431Template de desconto FLAT bundle - Velox XDSL - Varejo</v>
          </cell>
          <cell r="B433" t="str">
            <v>Plano Oi Completo 1.000</v>
          </cell>
          <cell r="C433" t="str">
            <v>Template de desconto FLAT bundle - Velox XDSL - Varejo</v>
          </cell>
          <cell r="D433">
            <v>0.54310000000000003</v>
          </cell>
          <cell r="E433" t="str">
            <v>MKT-1-9827176364</v>
          </cell>
          <cell r="F433" t="str">
            <v>0T3T_REJ17_PCS-4P10pi_FLAT_BL_54.31%</v>
          </cell>
          <cell r="G433">
            <v>54.31</v>
          </cell>
        </row>
        <row r="434">
          <cell r="A434" t="str">
            <v>Oi Total Fixo + Pós Conectado Mais + Banda Larga0.5431Template de desconto FLAT bundle - Velox XDSL - Varejo</v>
          </cell>
          <cell r="B434" t="str">
            <v>Plano Oi Completo Mais</v>
          </cell>
          <cell r="C434" t="str">
            <v>Template de desconto FLAT bundle - Velox XDSL - Varejo</v>
          </cell>
          <cell r="D434">
            <v>0.54310000000000003</v>
          </cell>
          <cell r="E434" t="str">
            <v>MKT-1-9827176467</v>
          </cell>
          <cell r="F434" t="str">
            <v>0T3T_REJ17_PCS-4P9pi_FLAT_BL_54.31%</v>
          </cell>
          <cell r="G434">
            <v>54.31</v>
          </cell>
        </row>
        <row r="435">
          <cell r="A435" t="str">
            <v>Oi Total Fixo + Pós 50 + Banda Larga0.5557Template de desconto FLAT bundle - Velox XDSL - Varejo</v>
          </cell>
          <cell r="B435" t="str">
            <v>Plano Oi Completo XSmall</v>
          </cell>
          <cell r="C435" t="str">
            <v>Template de desconto FLAT bundle - Velox XDSL - Varejo</v>
          </cell>
          <cell r="D435">
            <v>0.55569999999999997</v>
          </cell>
          <cell r="E435" t="str">
            <v>MKT-1-9827176730</v>
          </cell>
          <cell r="F435" t="str">
            <v>0T3T_REJ17_PCS-4P2pi_FLAT_BL_55.57%</v>
          </cell>
          <cell r="G435">
            <v>55.57</v>
          </cell>
        </row>
        <row r="436">
          <cell r="A436" t="str">
            <v>Oi Total Fixo + Pós Conectado 500 + Banda Larga0.5557Template de desconto FLAT bundle - Velox XDSL - Varejo</v>
          </cell>
          <cell r="B436" t="str">
            <v>Plano Oi Completo 500</v>
          </cell>
          <cell r="C436" t="str">
            <v>Template de desconto FLAT bundle - Velox XDSL - Varejo</v>
          </cell>
          <cell r="D436">
            <v>0.55569999999999997</v>
          </cell>
          <cell r="E436" t="str">
            <v>MKT-1-9827176943</v>
          </cell>
          <cell r="F436" t="str">
            <v>0T3T_REJ17_PCS-4P8pi_FLAT_BL_55.57%</v>
          </cell>
          <cell r="G436">
            <v>55.57</v>
          </cell>
        </row>
        <row r="437">
          <cell r="A437" t="str">
            <v>Oi Total Fixo + Pós 100 + Banda Larga0.5557Template de desconto FLAT bundle - Velox XDSL - Varejo</v>
          </cell>
          <cell r="B437" t="str">
            <v>Plano Oi Completo Small</v>
          </cell>
          <cell r="C437" t="str">
            <v>Template de desconto FLAT bundle - Velox XDSL - Varejo</v>
          </cell>
          <cell r="D437">
            <v>0.55569999999999997</v>
          </cell>
          <cell r="E437" t="str">
            <v>MKT-1-9827177096</v>
          </cell>
          <cell r="F437" t="str">
            <v>0T3T_REJ17_PCS-4P3pi_FLAT_BL_55.57%</v>
          </cell>
          <cell r="G437">
            <v>55.57</v>
          </cell>
        </row>
        <row r="438">
          <cell r="A438" t="str">
            <v>Oi Total Fixo + Pós Conectado 1.000 + Banda Larga0.5557Template de desconto FLAT bundle - Velox XDSL - Varejo</v>
          </cell>
          <cell r="B438" t="str">
            <v>Plano Oi Completo 1.000</v>
          </cell>
          <cell r="C438" t="str">
            <v>Template de desconto FLAT bundle - Velox XDSL - Varejo</v>
          </cell>
          <cell r="D438">
            <v>0.55569999999999997</v>
          </cell>
          <cell r="E438" t="str">
            <v>MKT-1-9827193479</v>
          </cell>
          <cell r="F438" t="str">
            <v>0T3T_REJ17_PCS-4P10pi_FLAT_BL_55.57%</v>
          </cell>
          <cell r="G438">
            <v>55.57</v>
          </cell>
        </row>
        <row r="439">
          <cell r="A439" t="str">
            <v>Oi Total Fixo + Pós Conectado Mais + Banda Larga0.5557Template de desconto FLAT bundle - Velox XDSL - Varejo</v>
          </cell>
          <cell r="B439" t="str">
            <v>Plano Oi Completo Mais</v>
          </cell>
          <cell r="C439" t="str">
            <v>Template de desconto FLAT bundle - Velox XDSL - Varejo</v>
          </cell>
          <cell r="D439">
            <v>0.55569999999999997</v>
          </cell>
          <cell r="E439" t="str">
            <v>MKT-1-9827193732</v>
          </cell>
          <cell r="F439" t="str">
            <v>0T3T_REJ17_PCS-4P9pi_FLAT_BL_55.57%</v>
          </cell>
          <cell r="G439">
            <v>55.57</v>
          </cell>
        </row>
        <row r="440">
          <cell r="A440" t="str">
            <v>Oi Total Fixo + Pós 50 + Banda Larga0.6051Template de desconto FLAT bundle - Velox XDSL - Varejo</v>
          </cell>
          <cell r="B440" t="str">
            <v>Plano Oi Completo XSmall</v>
          </cell>
          <cell r="C440" t="str">
            <v>Template de desconto FLAT bundle - Velox XDSL - Varejo</v>
          </cell>
          <cell r="D440">
            <v>0.60509999999999997</v>
          </cell>
          <cell r="E440" t="str">
            <v>MKT-1-9827193885</v>
          </cell>
          <cell r="F440" t="str">
            <v>0T3T_REJ17_PCS-4P2pi_FLAT_BL_60.51%</v>
          </cell>
          <cell r="G440">
            <v>60.51</v>
          </cell>
        </row>
        <row r="441">
          <cell r="A441" t="str">
            <v>Oi Total Fixo + Pós Conectado 500 + Banda Larga0.6051Template de desconto FLAT bundle - Velox XDSL - Varejo</v>
          </cell>
          <cell r="B441" t="str">
            <v>Plano Oi Completo 500</v>
          </cell>
          <cell r="C441" t="str">
            <v>Template de desconto FLAT bundle - Velox XDSL - Varejo</v>
          </cell>
          <cell r="D441">
            <v>0.60509999999999997</v>
          </cell>
          <cell r="E441" t="str">
            <v>MKT-1-9827193978</v>
          </cell>
          <cell r="F441" t="str">
            <v>0T3T_REJ17_PCS-4P8pi_FLAT_BL_60.51%</v>
          </cell>
          <cell r="G441">
            <v>60.51</v>
          </cell>
        </row>
        <row r="442">
          <cell r="A442" t="str">
            <v>Oi Total Fixo + Pós 100 + Banda Larga0.6051Template de desconto FLAT bundle - Velox XDSL - Varejo</v>
          </cell>
          <cell r="B442" t="str">
            <v>Plano Oi Completo Small</v>
          </cell>
          <cell r="C442" t="str">
            <v>Template de desconto FLAT bundle - Velox XDSL - Varejo</v>
          </cell>
          <cell r="D442">
            <v>0.60509999999999997</v>
          </cell>
          <cell r="E442" t="str">
            <v>MKT-1-9827194071</v>
          </cell>
          <cell r="F442" t="str">
            <v>0T3T_REJ17_PCS-4P3pi_FLAT_BL_60.51%</v>
          </cell>
          <cell r="G442">
            <v>60.51</v>
          </cell>
        </row>
        <row r="443">
          <cell r="A443" t="str">
            <v>Oi Total Fixo + Pós Conectado 1.000 + Banda Larga0.6051Template de desconto FLAT bundle - Velox XDSL - Varejo</v>
          </cell>
          <cell r="B443" t="str">
            <v>Plano Oi Completo 1.000</v>
          </cell>
          <cell r="C443" t="str">
            <v>Template de desconto FLAT bundle - Velox XDSL - Varejo</v>
          </cell>
          <cell r="D443">
            <v>0.60509999999999997</v>
          </cell>
          <cell r="E443" t="str">
            <v>MKT-1-9827209164</v>
          </cell>
          <cell r="F443" t="str">
            <v>0T3T_REJ17_PCS-4P10pi_FLAT_BL_60.51%</v>
          </cell>
          <cell r="G443">
            <v>60.51</v>
          </cell>
        </row>
        <row r="444">
          <cell r="A444" t="str">
            <v>Oi Total Fixo + Pós Conectado Mais + Banda Larga0.6051Template de desconto FLAT bundle - Velox XDSL - Varejo</v>
          </cell>
          <cell r="B444" t="str">
            <v>Plano Oi Completo Mais</v>
          </cell>
          <cell r="C444" t="str">
            <v>Template de desconto FLAT bundle - Velox XDSL - Varejo</v>
          </cell>
          <cell r="D444">
            <v>0.60509999999999997</v>
          </cell>
          <cell r="E444" t="str">
            <v>MKT-1-9827209257</v>
          </cell>
          <cell r="F444" t="str">
            <v>0T3T_REJ17_PCS-4P9pi_FLAT_BL_60.51%</v>
          </cell>
          <cell r="G444">
            <v>60.51</v>
          </cell>
        </row>
        <row r="445">
          <cell r="A445" t="str">
            <v>Oi Total Fixo + Pós 50 + Banda Larga0.6446Template de desconto FLAT bundle - Velox XDSL - Varejo</v>
          </cell>
          <cell r="B445" t="str">
            <v>Plano Oi Completo XSmall</v>
          </cell>
          <cell r="C445" t="str">
            <v>Template de desconto FLAT bundle - Velox XDSL - Varejo</v>
          </cell>
          <cell r="D445">
            <v>0.64459999999999995</v>
          </cell>
          <cell r="E445" t="str">
            <v>MKT-1-9827303890</v>
          </cell>
          <cell r="F445" t="str">
            <v>0T3T_REJ17_PCS-4P2pi_FLAT_BL_64.46%</v>
          </cell>
          <cell r="G445">
            <v>64.459999999999994</v>
          </cell>
        </row>
        <row r="446">
          <cell r="A446" t="str">
            <v>Oi Total Fixo + Pós Conectado 500 + Banda Larga0.6446Template de desconto FLAT bundle - Velox XDSL - Varejo</v>
          </cell>
          <cell r="B446" t="str">
            <v>Plano Oi Completo 500</v>
          </cell>
          <cell r="C446" t="str">
            <v>Template de desconto FLAT bundle - Velox XDSL - Varejo</v>
          </cell>
          <cell r="D446">
            <v>0.64459999999999995</v>
          </cell>
          <cell r="E446" t="str">
            <v>MKT-1-9827313213</v>
          </cell>
          <cell r="F446" t="str">
            <v>0T3T_REJ17_PCS-4P8pi_FLAT_BL_64.46%</v>
          </cell>
          <cell r="G446">
            <v>64.459999999999994</v>
          </cell>
        </row>
        <row r="447">
          <cell r="A447" t="str">
            <v>Oi Total Fixo + Pós 100 + Banda Larga0.6446Template de desconto FLAT bundle - Velox XDSL - Varejo</v>
          </cell>
          <cell r="B447" t="str">
            <v>Plano Oi Completo Small</v>
          </cell>
          <cell r="C447" t="str">
            <v>Template de desconto FLAT bundle - Velox XDSL - Varejo</v>
          </cell>
          <cell r="D447">
            <v>0.64459999999999995</v>
          </cell>
          <cell r="E447" t="str">
            <v>MKT-1-9827313566</v>
          </cell>
          <cell r="F447" t="str">
            <v>0T3T_REJ17_PCS-4P3pi_FLAT_BL_64.46%</v>
          </cell>
          <cell r="G447">
            <v>64.459999999999994</v>
          </cell>
        </row>
        <row r="448">
          <cell r="A448" t="str">
            <v>Oi Total Fixo + Pós Conectado 1.000 + Banda Larga0.6446Template de desconto FLAT bundle - Velox XDSL - Varejo</v>
          </cell>
          <cell r="B448" t="str">
            <v>Plano Oi Completo 1.000</v>
          </cell>
          <cell r="C448" t="str">
            <v>Template de desconto FLAT bundle - Velox XDSL - Varejo</v>
          </cell>
          <cell r="D448">
            <v>0.64459999999999995</v>
          </cell>
          <cell r="E448" t="str">
            <v>MKT-1-9827313849</v>
          </cell>
          <cell r="F448" t="str">
            <v>0T3T_REJ17_PCS-4P10pi_FLAT_BL_64.46%</v>
          </cell>
          <cell r="G448">
            <v>64.459999999999994</v>
          </cell>
        </row>
        <row r="449">
          <cell r="A449" t="str">
            <v>Oi Total Fixo + Pós Conectado Mais + Banda Larga0.6446Template de desconto FLAT bundle - Velox XDSL - Varejo</v>
          </cell>
          <cell r="B449" t="str">
            <v>Plano Oi Completo Mais</v>
          </cell>
          <cell r="C449" t="str">
            <v>Template de desconto FLAT bundle - Velox XDSL - Varejo</v>
          </cell>
          <cell r="D449">
            <v>0.64459999999999995</v>
          </cell>
          <cell r="E449" t="str">
            <v>MKT-1-9827320152</v>
          </cell>
          <cell r="F449" t="str">
            <v>0T3T_REJ17_PCS-4P9pi_FLAT_BL_64.46%</v>
          </cell>
          <cell r="G449">
            <v>64.459999999999994</v>
          </cell>
        </row>
        <row r="450">
          <cell r="A450" t="str">
            <v>Oi Total Fixo + Pós 50 + Banda Larga0.7156Template de desconto FLAT bundle - Velox XDSL - Varejo</v>
          </cell>
          <cell r="B450" t="str">
            <v>Plano Oi Completo XSmall</v>
          </cell>
          <cell r="C450" t="str">
            <v>Template de desconto FLAT bundle - Velox XDSL - Varejo</v>
          </cell>
          <cell r="D450">
            <v>0.71560000000000001</v>
          </cell>
          <cell r="E450" t="str">
            <v>MKT-1-9827320445</v>
          </cell>
          <cell r="F450" t="str">
            <v>0T3T_REJ17_PCS-4P2pi_FLAT_BL_71.56%</v>
          </cell>
          <cell r="G450">
            <v>71.56</v>
          </cell>
        </row>
        <row r="451">
          <cell r="A451" t="str">
            <v>Oi Total Fixo + Pós Conectado 500 + Banda Larga0.7156Template de desconto FLAT bundle - Velox XDSL - Varejo</v>
          </cell>
          <cell r="B451" t="str">
            <v>Plano Oi Completo 500</v>
          </cell>
          <cell r="C451" t="str">
            <v>Template de desconto FLAT bundle - Velox XDSL - Varejo</v>
          </cell>
          <cell r="D451">
            <v>0.71560000000000001</v>
          </cell>
          <cell r="E451" t="str">
            <v>MKT-1-9827320838</v>
          </cell>
          <cell r="F451" t="str">
            <v>0T3T_REJ17_PCS-4P8pi_FLAT_BL_71.56%</v>
          </cell>
          <cell r="G451">
            <v>71.56</v>
          </cell>
        </row>
        <row r="452">
          <cell r="A452" t="str">
            <v>Oi Total Fixo + Pós 100 + Banda Larga0.7156Template de desconto FLAT bundle - Velox XDSL - Varejo</v>
          </cell>
          <cell r="B452" t="str">
            <v>Plano Oi Completo Small</v>
          </cell>
          <cell r="C452" t="str">
            <v>Template de desconto FLAT bundle - Velox XDSL - Varejo</v>
          </cell>
          <cell r="D452">
            <v>0.71560000000000001</v>
          </cell>
          <cell r="E452" t="str">
            <v>MKT-1-9827328111</v>
          </cell>
          <cell r="F452" t="str">
            <v>0T3T_REJ17_PCS-4P3pi_FLAT_BL_71.56%</v>
          </cell>
          <cell r="G452">
            <v>71.56</v>
          </cell>
        </row>
        <row r="453">
          <cell r="A453" t="str">
            <v>Oi Total Fixo + Pós Conectado 1.000 + Banda Larga0.7156Template de desconto FLAT bundle - Velox XDSL - Varejo</v>
          </cell>
          <cell r="B453" t="str">
            <v>Plano Oi Completo 1.000</v>
          </cell>
          <cell r="C453" t="str">
            <v>Template de desconto FLAT bundle - Velox XDSL - Varejo</v>
          </cell>
          <cell r="D453">
            <v>0.71560000000000001</v>
          </cell>
          <cell r="E453" t="str">
            <v>MKT-1-9827328334</v>
          </cell>
          <cell r="F453" t="str">
            <v>0T3T_REJ17_PCS-4P10pi_FLAT_BL_71.56%</v>
          </cell>
          <cell r="G453">
            <v>71.56</v>
          </cell>
        </row>
        <row r="454">
          <cell r="A454" t="str">
            <v>Oi Total Fixo + Pós Conectado Mais + Banda Larga0.7156Template de desconto FLAT bundle - Velox XDSL - Varejo</v>
          </cell>
          <cell r="B454" t="str">
            <v>Plano Oi Completo Mais</v>
          </cell>
          <cell r="C454" t="str">
            <v>Template de desconto FLAT bundle - Velox XDSL - Varejo</v>
          </cell>
          <cell r="D454">
            <v>0.71560000000000001</v>
          </cell>
          <cell r="E454" t="str">
            <v>MKT-1-9827328527</v>
          </cell>
          <cell r="F454" t="str">
            <v>0T3T_REJ17_PCS-4P9pi_FLAT_BL_71.56%</v>
          </cell>
          <cell r="G454">
            <v>71.56</v>
          </cell>
        </row>
        <row r="455">
          <cell r="A455" t="str">
            <v>Oi Total Fixo + Pós 50 + Banda Larga0.7867Template de desconto FLAT bundle - Velox XDSL - Varejo</v>
          </cell>
          <cell r="B455" t="str">
            <v>Plano Oi Completo XSmall</v>
          </cell>
          <cell r="C455" t="str">
            <v>Template de desconto FLAT bundle - Velox XDSL - Varejo</v>
          </cell>
          <cell r="D455">
            <v>0.78670000000000007</v>
          </cell>
          <cell r="E455" t="str">
            <v>MKT-1-9827328680</v>
          </cell>
          <cell r="F455" t="str">
            <v>0T3T_REJ17_PCS-4P2pi_FLAT_BL_78.67%</v>
          </cell>
          <cell r="G455">
            <v>78.67</v>
          </cell>
        </row>
        <row r="456">
          <cell r="A456" t="str">
            <v>Oi Total Fixo + Pós Conectado 500 + Banda Larga0.7867Template de desconto FLAT bundle - Velox XDSL - Varejo</v>
          </cell>
          <cell r="B456" t="str">
            <v>Plano Oi Completo 500</v>
          </cell>
          <cell r="C456" t="str">
            <v>Template de desconto FLAT bundle - Velox XDSL - Varejo</v>
          </cell>
          <cell r="D456">
            <v>0.78670000000000007</v>
          </cell>
          <cell r="E456" t="str">
            <v>MKT-1-9827328943</v>
          </cell>
          <cell r="F456" t="str">
            <v>0T3T_REJ17_PCS-4P8pi_FLAT_BL_78.67%</v>
          </cell>
          <cell r="G456">
            <v>78.67</v>
          </cell>
        </row>
        <row r="457">
          <cell r="A457" t="str">
            <v>Oi Total Fixo + Pós 100 + Banda Larga0.7867Template de desconto FLAT bundle - Velox XDSL - Varejo</v>
          </cell>
          <cell r="B457" t="str">
            <v>Plano Oi Completo Small</v>
          </cell>
          <cell r="C457" t="str">
            <v>Template de desconto FLAT bundle - Velox XDSL - Varejo</v>
          </cell>
          <cell r="D457">
            <v>0.78670000000000007</v>
          </cell>
          <cell r="E457" t="str">
            <v>MKT-1-9827338146</v>
          </cell>
          <cell r="F457" t="str">
            <v>0T3T_REJ17_PCS-4P3pi_FLAT_BL_78.67%</v>
          </cell>
          <cell r="G457">
            <v>78.67</v>
          </cell>
        </row>
        <row r="458">
          <cell r="A458" t="str">
            <v>Oi Total Fixo + Pós Conectado 1.000 + Banda Larga0.7867Template de desconto FLAT bundle - Velox XDSL - Varejo</v>
          </cell>
          <cell r="B458" t="str">
            <v>Plano Oi Completo 1.000</v>
          </cell>
          <cell r="C458" t="str">
            <v>Template de desconto FLAT bundle - Velox XDSL - Varejo</v>
          </cell>
          <cell r="D458">
            <v>0.78670000000000007</v>
          </cell>
          <cell r="E458" t="str">
            <v>MKT-1-9827338809</v>
          </cell>
          <cell r="F458" t="str">
            <v>0T3T_REJ17_PCS-4P10pi_FLAT_BL_78.67%</v>
          </cell>
          <cell r="G458">
            <v>78.67</v>
          </cell>
        </row>
        <row r="459">
          <cell r="A459" t="str">
            <v>Oi Total Fixo + Pós Conectado Mais + Banda Larga0.7867Template de desconto FLAT bundle - Velox XDSL - Varejo</v>
          </cell>
          <cell r="B459" t="str">
            <v>Plano Oi Completo Mais</v>
          </cell>
          <cell r="C459" t="str">
            <v>Template de desconto FLAT bundle - Velox XDSL - Varejo</v>
          </cell>
          <cell r="D459">
            <v>0.78670000000000007</v>
          </cell>
          <cell r="E459" t="str">
            <v>MKT-1-9827339012</v>
          </cell>
          <cell r="F459" t="str">
            <v>0T3T_REJ17_PCS-4P9pi_FLAT_BL_78.67%</v>
          </cell>
          <cell r="G459">
            <v>78.67</v>
          </cell>
        </row>
        <row r="460">
          <cell r="A460" t="str">
            <v>Oi Total Fixo + Pós 50 + Banda Larga0.7511Template de desconto FLAT bundle - Velox XDSL - Varejo</v>
          </cell>
          <cell r="B460" t="str">
            <v>Plano Oi Completo XSmall</v>
          </cell>
          <cell r="C460" t="str">
            <v>Template de desconto FLAT bundle - Velox XDSL - Varejo</v>
          </cell>
          <cell r="D460">
            <v>0.75109999999999999</v>
          </cell>
          <cell r="E460" t="str">
            <v>MKT-1-9827357215</v>
          </cell>
          <cell r="F460" t="str">
            <v>0T3T_REJ17_PCS-4P2pi_FLAT_BL_75.11%</v>
          </cell>
          <cell r="G460">
            <v>75.11</v>
          </cell>
        </row>
        <row r="461">
          <cell r="A461" t="str">
            <v>Oi Total Fixo + Pós Conectado 500 + Banda Larga0.7511Template de desconto FLAT bundle - Velox XDSL - Varejo</v>
          </cell>
          <cell r="B461" t="str">
            <v>Plano Oi Completo 500</v>
          </cell>
          <cell r="C461" t="str">
            <v>Template de desconto FLAT bundle - Velox XDSL - Varejo</v>
          </cell>
          <cell r="D461">
            <v>0.75109999999999999</v>
          </cell>
          <cell r="E461" t="str">
            <v>MKT-1-9827357438</v>
          </cell>
          <cell r="F461" t="str">
            <v>0T3T_REJ17_PCS-4P8pi_FLAT_BL_75.11%</v>
          </cell>
          <cell r="G461">
            <v>75.11</v>
          </cell>
        </row>
        <row r="462">
          <cell r="A462" t="str">
            <v>Oi Total Fixo + Pós 100 + Banda Larga0.7511Template de desconto FLAT bundle - Velox XDSL - Varejo</v>
          </cell>
          <cell r="B462" t="str">
            <v>Plano Oi Completo Small</v>
          </cell>
          <cell r="C462" t="str">
            <v>Template de desconto FLAT bundle - Velox XDSL - Varejo</v>
          </cell>
          <cell r="D462">
            <v>0.75109999999999999</v>
          </cell>
          <cell r="E462" t="str">
            <v>MKT-1-9827357631</v>
          </cell>
          <cell r="F462" t="str">
            <v>0T3T_REJ17_PCS-4P3pi_FLAT_BL_75.11%</v>
          </cell>
          <cell r="G462">
            <v>75.11</v>
          </cell>
        </row>
        <row r="463">
          <cell r="A463" t="str">
            <v>Oi Total Fixo + Pós Conectado 1.000 + Banda Larga0.7511Template de desconto FLAT bundle - Velox XDSL - Varejo</v>
          </cell>
          <cell r="B463" t="str">
            <v>Plano Oi Completo 1.000</v>
          </cell>
          <cell r="C463" t="str">
            <v>Template de desconto FLAT bundle - Velox XDSL - Varejo</v>
          </cell>
          <cell r="D463">
            <v>0.75109999999999999</v>
          </cell>
          <cell r="E463" t="str">
            <v>MKT-1-9827357744</v>
          </cell>
          <cell r="F463" t="str">
            <v>0T3T_REJ17_PCS-4P10pi_FLAT_BL_75.11%</v>
          </cell>
          <cell r="G463">
            <v>75.11</v>
          </cell>
        </row>
        <row r="464">
          <cell r="A464" t="str">
            <v>Oi Total Fixo + Pós Conectado Mais + Banda Larga0.7511Template de desconto FLAT bundle - Velox XDSL - Varejo</v>
          </cell>
          <cell r="B464" t="str">
            <v>Plano Oi Completo Mais</v>
          </cell>
          <cell r="C464" t="str">
            <v>Template de desconto FLAT bundle - Velox XDSL - Varejo</v>
          </cell>
          <cell r="D464">
            <v>0.75109999999999999</v>
          </cell>
          <cell r="E464" t="str">
            <v>MKT-1-9827358067</v>
          </cell>
          <cell r="F464" t="str">
            <v>0T3T_REJ17_PCS-4P9pi_FLAT_BL_75.11%</v>
          </cell>
          <cell r="G464">
            <v>75.11</v>
          </cell>
        </row>
        <row r="465">
          <cell r="A465" t="str">
            <v>Oi Total Fixo + Pós 50 + Banda Larga0.1757Template de desconto FLAT bundle - Velox XDSL - Varejo</v>
          </cell>
          <cell r="B465" t="str">
            <v>Plano Oi Completo XSmall</v>
          </cell>
          <cell r="C465" t="str">
            <v>Template de desconto FLAT bundle - Velox XDSL - Varejo</v>
          </cell>
          <cell r="D465">
            <v>0.1757</v>
          </cell>
          <cell r="E465" t="str">
            <v>MKT-1-9827381810</v>
          </cell>
          <cell r="F465" t="str">
            <v>0T3T_REJ17_PCS-4P2pi_FLAT_BL_17.57%</v>
          </cell>
          <cell r="G465">
            <v>17.57</v>
          </cell>
        </row>
        <row r="466">
          <cell r="A466" t="str">
            <v>Oi Total Fixo + Pós Conectado 500 + Banda Larga0.1757Template de desconto FLAT bundle - Velox XDSL - Varejo</v>
          </cell>
          <cell r="B466" t="str">
            <v>Plano Oi Completo 500</v>
          </cell>
          <cell r="C466" t="str">
            <v>Template de desconto FLAT bundle - Velox XDSL - Varejo</v>
          </cell>
          <cell r="D466">
            <v>0.1757</v>
          </cell>
          <cell r="E466" t="str">
            <v>MKT-1-9827382003</v>
          </cell>
          <cell r="F466" t="str">
            <v>0T3T_REJ17_PCS-4P8pi_FLAT_BL_17.57%</v>
          </cell>
          <cell r="G466">
            <v>17.57</v>
          </cell>
        </row>
        <row r="467">
          <cell r="A467" t="str">
            <v>Oi Total Fixo + Pós 100 + Banda Larga0.1757Template de desconto FLAT bundle - Velox XDSL - Varejo</v>
          </cell>
          <cell r="B467" t="str">
            <v>Plano Oi Completo Small</v>
          </cell>
          <cell r="C467" t="str">
            <v>Template de desconto FLAT bundle - Velox XDSL - Varejo</v>
          </cell>
          <cell r="D467">
            <v>0.1757</v>
          </cell>
          <cell r="E467" t="str">
            <v>MKT-1-9827422216</v>
          </cell>
          <cell r="F467" t="str">
            <v>0T3T_REJ17_PCS-4P3pi_FLAT_BL_17.57%</v>
          </cell>
          <cell r="G467">
            <v>17.57</v>
          </cell>
        </row>
        <row r="468">
          <cell r="A468" t="str">
            <v>Oi Total Fixo + Pós Conectado 1.000 + Banda Larga0.1757Template de desconto FLAT bundle - Velox XDSL - Varejo</v>
          </cell>
          <cell r="B468" t="str">
            <v>Plano Oi Completo 1.000</v>
          </cell>
          <cell r="C468" t="str">
            <v>Template de desconto FLAT bundle - Velox XDSL - Varejo</v>
          </cell>
          <cell r="D468">
            <v>0.1757</v>
          </cell>
          <cell r="E468" t="str">
            <v>MKT-1-9827422419</v>
          </cell>
          <cell r="F468" t="str">
            <v>0T3T_REJ17_PCS-4P10pi_FLAT_BL_17.57%</v>
          </cell>
          <cell r="G468">
            <v>17.57</v>
          </cell>
        </row>
        <row r="469">
          <cell r="A469" t="str">
            <v>Oi Total Fixo + Pós Conectado Mais + Banda Larga0.1757Template de desconto FLAT bundle - Velox XDSL - Varejo</v>
          </cell>
          <cell r="B469" t="str">
            <v>Plano Oi Completo Mais</v>
          </cell>
          <cell r="C469" t="str">
            <v>Template de desconto FLAT bundle - Velox XDSL - Varejo</v>
          </cell>
          <cell r="D469">
            <v>0.1757</v>
          </cell>
          <cell r="E469" t="str">
            <v>MKT-1-9827422702</v>
          </cell>
          <cell r="F469" t="str">
            <v>0T3T_REJ17_PCS-4P9pi_FLAT_BL_17.57%</v>
          </cell>
          <cell r="G469">
            <v>17.57</v>
          </cell>
        </row>
        <row r="470">
          <cell r="A470" t="str">
            <v>Oi Total Fixo + Pós 50 + Banda Larga0.1869Template de desconto FLAT bundle - Velox XDSL - Varejo</v>
          </cell>
          <cell r="B470" t="str">
            <v>Plano Oi Completo XSmall</v>
          </cell>
          <cell r="C470" t="str">
            <v>Template de desconto FLAT bundle - Velox XDSL - Varejo</v>
          </cell>
          <cell r="D470">
            <v>0.18690000000000001</v>
          </cell>
          <cell r="E470" t="str">
            <v>MKT-1-9827437205</v>
          </cell>
          <cell r="F470" t="str">
            <v>0T3T_REJ17_PCS-4P2pi_FLAT_BL_18.69%</v>
          </cell>
          <cell r="G470">
            <v>18.690000000000001</v>
          </cell>
        </row>
        <row r="471">
          <cell r="A471" t="str">
            <v>Oi Total Fixo + Pós Conectado 500 + Banda Larga0.1869Template de desconto FLAT bundle - Velox XDSL - Varejo</v>
          </cell>
          <cell r="B471" t="str">
            <v>Plano Oi Completo 500</v>
          </cell>
          <cell r="C471" t="str">
            <v>Template de desconto FLAT bundle - Velox XDSL - Varejo</v>
          </cell>
          <cell r="D471">
            <v>0.18690000000000001</v>
          </cell>
          <cell r="E471" t="str">
            <v>MKT-1-9827437768</v>
          </cell>
          <cell r="F471" t="str">
            <v>0T3T_REJ17_PCS-4P8pi_FLAT_BL_18.69%</v>
          </cell>
          <cell r="G471">
            <v>18.690000000000001</v>
          </cell>
        </row>
        <row r="472">
          <cell r="A472" t="str">
            <v>Oi Total Fixo + Pós 100 + Banda Larga0.1869Template de desconto FLAT bundle - Velox XDSL - Varejo</v>
          </cell>
          <cell r="B472" t="str">
            <v>Plano Oi Completo Small</v>
          </cell>
          <cell r="C472" t="str">
            <v>Template de desconto FLAT bundle - Velox XDSL - Varejo</v>
          </cell>
          <cell r="D472">
            <v>0.18690000000000001</v>
          </cell>
          <cell r="E472" t="str">
            <v>MKT-1-9827444791</v>
          </cell>
          <cell r="F472" t="str">
            <v>0T3T_REJ17_PCS-4P3pi_FLAT_BL_18.69%</v>
          </cell>
          <cell r="G472">
            <v>18.690000000000001</v>
          </cell>
        </row>
        <row r="473">
          <cell r="A473" t="str">
            <v>Oi Total Fixo + Pós Conectado 1.000 + Banda Larga0.1869Template de desconto FLAT bundle - Velox XDSL - Varejo</v>
          </cell>
          <cell r="B473" t="str">
            <v>Plano Oi Completo 1.000</v>
          </cell>
          <cell r="C473" t="str">
            <v>Template de desconto FLAT bundle - Velox XDSL - Varejo</v>
          </cell>
          <cell r="D473">
            <v>0.18690000000000001</v>
          </cell>
          <cell r="E473" t="str">
            <v>MKT-1-9827445084</v>
          </cell>
          <cell r="F473" t="str">
            <v>0T3T_REJ17_PCS-4P10pi_FLAT_BL_18.69%</v>
          </cell>
          <cell r="G473">
            <v>18.690000000000001</v>
          </cell>
        </row>
        <row r="474">
          <cell r="A474" t="str">
            <v>Oi Total Fixo + Pós Conectado Mais + Banda Larga0.1869Template de desconto FLAT bundle - Velox XDSL - Varejo</v>
          </cell>
          <cell r="B474" t="str">
            <v>Plano Oi Completo Mais</v>
          </cell>
          <cell r="C474" t="str">
            <v>Template de desconto FLAT bundle - Velox XDSL - Varejo</v>
          </cell>
          <cell r="D474">
            <v>0.18690000000000001</v>
          </cell>
          <cell r="E474" t="str">
            <v>MKT-1-9827452427</v>
          </cell>
          <cell r="F474" t="str">
            <v>0T3T_REJ17_PCS-4P9pi_FLAT_BL_18.69%</v>
          </cell>
          <cell r="G474">
            <v>18.690000000000001</v>
          </cell>
        </row>
        <row r="475">
          <cell r="A475" t="str">
            <v>Oi Total Fixo + Pós 50 + Banda Larga0.2441Template de desconto FLAT bundle - Velox XDSL - Varejo</v>
          </cell>
          <cell r="B475" t="str">
            <v>Plano Oi Completo XSmall</v>
          </cell>
          <cell r="C475" t="str">
            <v>Template de desconto FLAT bundle - Velox XDSL - Varejo</v>
          </cell>
          <cell r="D475">
            <v>0.24410000000000001</v>
          </cell>
          <cell r="E475" t="str">
            <v>MKT-1-9827452740</v>
          </cell>
          <cell r="F475" t="str">
            <v>0T3T_REJ17_PCS-4P2pi_FLAT_BL_24.41%</v>
          </cell>
          <cell r="G475">
            <v>24.41</v>
          </cell>
        </row>
        <row r="476">
          <cell r="A476" t="str">
            <v>Oi Total Fixo + Pós Conectado 500 + Banda Larga0.2441Template de desconto FLAT bundle - Velox XDSL - Varejo</v>
          </cell>
          <cell r="B476" t="str">
            <v>Plano Oi Completo 500</v>
          </cell>
          <cell r="C476" t="str">
            <v>Template de desconto FLAT bundle - Velox XDSL - Varejo</v>
          </cell>
          <cell r="D476">
            <v>0.24410000000000001</v>
          </cell>
          <cell r="E476" t="str">
            <v>MKT-1-9827453023</v>
          </cell>
          <cell r="F476" t="str">
            <v>0T3T_REJ17_PCS-4P8pi_FLAT_BL_24.41%</v>
          </cell>
          <cell r="G476">
            <v>24.41</v>
          </cell>
        </row>
        <row r="477">
          <cell r="A477" t="str">
            <v>Oi Total Fixo + Pós 100 + Banda Larga0.2441Template de desconto FLAT bundle - Velox XDSL - Varejo</v>
          </cell>
          <cell r="B477" t="str">
            <v>Plano Oi Completo Small</v>
          </cell>
          <cell r="C477" t="str">
            <v>Template de desconto FLAT bundle - Velox XDSL - Varejo</v>
          </cell>
          <cell r="D477">
            <v>0.24410000000000001</v>
          </cell>
          <cell r="E477" t="str">
            <v>MKT-1-9827468456</v>
          </cell>
          <cell r="F477" t="str">
            <v>0T3T_REJ17_PCS-4P3pi_FLAT_BL_24.41%</v>
          </cell>
          <cell r="G477">
            <v>24.41</v>
          </cell>
        </row>
        <row r="478">
          <cell r="A478" t="str">
            <v>Oi Total Fixo + Pós Conectado 1.000 + Banda Larga0.2441Template de desconto FLAT bundle - Velox XDSL - Varejo</v>
          </cell>
          <cell r="B478" t="str">
            <v>Plano Oi Completo 1.000</v>
          </cell>
          <cell r="C478" t="str">
            <v>Template de desconto FLAT bundle - Velox XDSL - Varejo</v>
          </cell>
          <cell r="D478">
            <v>0.24410000000000001</v>
          </cell>
          <cell r="E478" t="str">
            <v>MKT-1-9827472909</v>
          </cell>
          <cell r="F478" t="str">
            <v>0T3T_REJ17_PCS-4P10pi_FLAT_BL_24.41%</v>
          </cell>
          <cell r="G478">
            <v>24.41</v>
          </cell>
        </row>
        <row r="479">
          <cell r="A479" t="str">
            <v>Oi Total Fixo + Pós Conectado Mais + Banda Larga0.2441Template de desconto FLAT bundle - Velox XDSL - Varejo</v>
          </cell>
          <cell r="B479" t="str">
            <v>Plano Oi Completo Mais</v>
          </cell>
          <cell r="C479" t="str">
            <v>Template de desconto FLAT bundle - Velox XDSL - Varejo</v>
          </cell>
          <cell r="D479">
            <v>0.24410000000000001</v>
          </cell>
          <cell r="E479" t="str">
            <v>MKT-1-9827425231</v>
          </cell>
          <cell r="F479" t="str">
            <v>0T3T_REJ17_PCS-4P9pi_FLAT_BL_24.41%</v>
          </cell>
          <cell r="G479">
            <v>24.41</v>
          </cell>
        </row>
        <row r="480">
          <cell r="A480" t="str">
            <v>Oi Total Fixo + Pós 50 + Banda Larga0.3281Template de desconto FLAT bundle - Velox XDSL - Varejo</v>
          </cell>
          <cell r="B480" t="str">
            <v>Plano Oi Completo XSmall</v>
          </cell>
          <cell r="C480" t="str">
            <v>Template de desconto FLAT bundle - Velox XDSL - Varejo</v>
          </cell>
          <cell r="D480">
            <v>0.3281</v>
          </cell>
          <cell r="E480" t="str">
            <v>MKT-1-9827425324</v>
          </cell>
          <cell r="F480" t="str">
            <v>0T3T_REJ17_PCS-4P2pi_FLAT_BL_32.81%</v>
          </cell>
          <cell r="G480">
            <v>32.81</v>
          </cell>
        </row>
        <row r="481">
          <cell r="A481" t="str">
            <v>Oi Total Fixo + Pós Conectado 500 + Banda Larga0.3281Template de desconto FLAT bundle - Velox XDSL - Varejo</v>
          </cell>
          <cell r="B481" t="str">
            <v>Plano Oi Completo 500</v>
          </cell>
          <cell r="C481" t="str">
            <v>Template de desconto FLAT bundle - Velox XDSL - Varejo</v>
          </cell>
          <cell r="D481">
            <v>0.3281</v>
          </cell>
          <cell r="E481" t="str">
            <v>MKT-1-9827425417</v>
          </cell>
          <cell r="F481" t="str">
            <v>0T3T_REJ17_PCS-4P8pi_FLAT_BL_32.81%</v>
          </cell>
          <cell r="G481">
            <v>32.81</v>
          </cell>
        </row>
        <row r="482">
          <cell r="A482" t="str">
            <v>Oi Total Fixo + Pós 100 + Banda Larga0.3281Template de desconto FLAT bundle - Velox XDSL - Varejo</v>
          </cell>
          <cell r="B482" t="str">
            <v>Plano Oi Completo Small</v>
          </cell>
          <cell r="C482" t="str">
            <v>Template de desconto FLAT bundle - Velox XDSL - Varejo</v>
          </cell>
          <cell r="D482">
            <v>0.3281</v>
          </cell>
          <cell r="E482" t="str">
            <v>MKT-1-9827425510</v>
          </cell>
          <cell r="F482" t="str">
            <v>0T3T_REJ17_PCS-4P3pi_FLAT_BL_32.81%</v>
          </cell>
          <cell r="G482">
            <v>32.81</v>
          </cell>
        </row>
        <row r="483">
          <cell r="A483" t="str">
            <v>Oi Total Fixo + Pós Conectado 1.000 + Banda Larga0.3281Template de desconto FLAT bundle - Velox XDSL - Varejo</v>
          </cell>
          <cell r="B483" t="str">
            <v>Plano Oi Completo 1.000</v>
          </cell>
          <cell r="C483" t="str">
            <v>Template de desconto FLAT bundle - Velox XDSL - Varejo</v>
          </cell>
          <cell r="D483">
            <v>0.3281</v>
          </cell>
          <cell r="E483" t="str">
            <v>MKT-1-9827425603</v>
          </cell>
          <cell r="F483" t="str">
            <v>0T3T_REJ17_PCS-4P10pi_FLAT_BL_32.81%</v>
          </cell>
          <cell r="G483">
            <v>32.81</v>
          </cell>
        </row>
        <row r="484">
          <cell r="A484" t="str">
            <v>Oi Total Fixo + Pós Conectado Mais + Banda Larga0.3281Template de desconto FLAT bundle - Velox XDSL - Varejo</v>
          </cell>
          <cell r="B484" t="str">
            <v>Plano Oi Completo Mais</v>
          </cell>
          <cell r="C484" t="str">
            <v>Template de desconto FLAT bundle - Velox XDSL - Varejo</v>
          </cell>
          <cell r="D484">
            <v>0.3281</v>
          </cell>
          <cell r="E484" t="str">
            <v>MKT-1-9827425696</v>
          </cell>
          <cell r="F484" t="str">
            <v>0T3T_REJ17_PCS-4P9pi_FLAT_BL_32.81%</v>
          </cell>
          <cell r="G484">
            <v>32.81</v>
          </cell>
        </row>
        <row r="485">
          <cell r="A485" t="str">
            <v>Oi Total Fixo + Pós 100 + Banda Larga0.3953Template de desconto FLAT bundle - Velox XDSL - Varejo</v>
          </cell>
          <cell r="B485" t="str">
            <v>Plano Oi Completo Small</v>
          </cell>
          <cell r="C485" t="str">
            <v>Template de desconto FLAT bundle - Velox XDSL - Varejo</v>
          </cell>
          <cell r="D485">
            <v>0.39529999999999998</v>
          </cell>
          <cell r="E485" t="str">
            <v>MKT-1-9827425789</v>
          </cell>
          <cell r="F485" t="str">
            <v>0T3T_REJ17_PCS-4P3pi_FLAT_BL_39.53%</v>
          </cell>
          <cell r="G485">
            <v>39.53</v>
          </cell>
        </row>
        <row r="486">
          <cell r="A486" t="str">
            <v>Oi Total Fixo + Pós Conectado 1.000 + Banda Larga0.3953Template de desconto FLAT bundle - Velox XDSL - Varejo</v>
          </cell>
          <cell r="B486" t="str">
            <v>Plano Oi Completo 1.000</v>
          </cell>
          <cell r="C486" t="str">
            <v>Template de desconto FLAT bundle - Velox XDSL - Varejo</v>
          </cell>
          <cell r="D486">
            <v>0.39529999999999998</v>
          </cell>
          <cell r="E486" t="str">
            <v>MKT-1-9827425882</v>
          </cell>
          <cell r="F486" t="str">
            <v>0T3T_REJ17_PCS-4P10pi_FLAT_BL_39.53%</v>
          </cell>
          <cell r="G486">
            <v>39.53</v>
          </cell>
        </row>
        <row r="487">
          <cell r="A487" t="str">
            <v>Oi Total Fixo + Pós Conectado Mais + Banda Larga0.3953Template de desconto FLAT bundle - Velox XDSL - Varejo</v>
          </cell>
          <cell r="B487" t="str">
            <v>Plano Oi Completo Mais</v>
          </cell>
          <cell r="C487" t="str">
            <v>Template de desconto FLAT bundle - Velox XDSL - Varejo</v>
          </cell>
          <cell r="D487">
            <v>0.39529999999999998</v>
          </cell>
          <cell r="E487" t="str">
            <v>MKT-1-9827425975</v>
          </cell>
          <cell r="F487" t="str">
            <v>0T3T_REJ17_PCS-4P9pi_FLAT_BL_39.53%</v>
          </cell>
          <cell r="G487">
            <v>39.53</v>
          </cell>
        </row>
        <row r="488">
          <cell r="A488" t="str">
            <v>Oi Total Fixo + Pós 100 + Banda Larga0.5494Template de desconto FLAT bundle - Velox XDSL - Varejo</v>
          </cell>
          <cell r="B488" t="str">
            <v>Plano Oi Completo Small</v>
          </cell>
          <cell r="C488" t="str">
            <v>Template de desconto FLAT bundle - Velox XDSL - Varejo</v>
          </cell>
          <cell r="D488">
            <v>0.5494</v>
          </cell>
          <cell r="E488" t="str">
            <v>MKT-1-9827426068</v>
          </cell>
          <cell r="F488" t="str">
            <v>0T3T_REJ17_PCS-4P3pi_FLAT_BL_54.94%</v>
          </cell>
          <cell r="G488">
            <v>54.94</v>
          </cell>
        </row>
        <row r="489">
          <cell r="A489" t="str">
            <v>Oi Total Fixo + Pós Conectado 1.000 + Banda Larga0.5494Template de desconto FLAT bundle - Velox XDSL - Varejo</v>
          </cell>
          <cell r="B489" t="str">
            <v>Plano Oi Completo 1.000</v>
          </cell>
          <cell r="C489" t="str">
            <v>Template de desconto FLAT bundle - Velox XDSL - Varejo</v>
          </cell>
          <cell r="D489">
            <v>0.5494</v>
          </cell>
          <cell r="E489" t="str">
            <v>MKT-1-9828147161</v>
          </cell>
          <cell r="F489" t="str">
            <v>0T3T_REJ17_PCS-4P10pi_FLAT_BL_54.94%</v>
          </cell>
          <cell r="G489">
            <v>54.94</v>
          </cell>
        </row>
        <row r="490">
          <cell r="A490" t="str">
            <v>Oi Total Fixo + Pós Conectado Mais + Banda Larga0.5494Template de desconto FLAT bundle - Velox XDSL - Varejo</v>
          </cell>
          <cell r="B490" t="str">
            <v>Plano Oi Completo Mais</v>
          </cell>
          <cell r="C490" t="str">
            <v>Template de desconto FLAT bundle - Velox XDSL - Varejo</v>
          </cell>
          <cell r="D490">
            <v>0.5494</v>
          </cell>
          <cell r="E490" t="str">
            <v>MKT-1-9828147254</v>
          </cell>
          <cell r="F490" t="str">
            <v>0T3T_REJ17_PCS-4P9pi_FLAT_BL_54.94%</v>
          </cell>
          <cell r="G490">
            <v>54.94</v>
          </cell>
        </row>
        <row r="491">
          <cell r="A491" t="str">
            <v>Oi Total Fixo + Pós 100 + Banda Larga0.6621Template de desconto FLAT bundle - Velox XDSL - Varejo</v>
          </cell>
          <cell r="B491" t="str">
            <v>Plano Oi Completo Small</v>
          </cell>
          <cell r="C491" t="str">
            <v>Template de desconto FLAT bundle - Velox XDSL - Varejo</v>
          </cell>
          <cell r="D491">
            <v>0.66209999999999991</v>
          </cell>
          <cell r="E491" t="str">
            <v>MKT-1-9828147347</v>
          </cell>
          <cell r="F491" t="str">
            <v>0T3T_REJ17_PCS-4P3pi_FLAT_BL_66.21%</v>
          </cell>
          <cell r="G491">
            <v>66.209999999999994</v>
          </cell>
        </row>
        <row r="492">
          <cell r="A492" t="str">
            <v>Oi Total Fixo + Pós Conectado 1.000 + Banda Larga0.6621Template de desconto FLAT bundle - Velox XDSL - Varejo</v>
          </cell>
          <cell r="B492" t="str">
            <v>Plano Oi Completo 1.000</v>
          </cell>
          <cell r="C492" t="str">
            <v>Template de desconto FLAT bundle - Velox XDSL - Varejo</v>
          </cell>
          <cell r="D492">
            <v>0.66209999999999991</v>
          </cell>
          <cell r="E492" t="str">
            <v>MKT-1-9828147440</v>
          </cell>
          <cell r="F492" t="str">
            <v>0T3T_REJ17_PCS-4P10pi_FLAT_BL_66.21%</v>
          </cell>
          <cell r="G492">
            <v>66.209999999999994</v>
          </cell>
        </row>
        <row r="493">
          <cell r="A493" t="str">
            <v>Oi Total Fixo + Pós Conectado Mais + Banda Larga0.6621Template de desconto FLAT bundle - Velox XDSL - Varejo</v>
          </cell>
          <cell r="B493" t="str">
            <v>Plano Oi Completo Mais</v>
          </cell>
          <cell r="C493" t="str">
            <v>Template de desconto FLAT bundle - Velox XDSL - Varejo</v>
          </cell>
          <cell r="D493">
            <v>0.66209999999999991</v>
          </cell>
          <cell r="E493" t="str">
            <v>MKT-1-9828147533</v>
          </cell>
          <cell r="F493" t="str">
            <v>0T3T_REJ17_PCS-4P9pi_FLAT_BL_66.21%</v>
          </cell>
          <cell r="G493">
            <v>66.209999999999994</v>
          </cell>
        </row>
        <row r="494">
          <cell r="A494" t="str">
            <v>Oi Total Fixo + Pós 100 + Banda Larga0.6264Template de desconto FLAT bundle - Velox XDSL - Varejo</v>
          </cell>
          <cell r="B494" t="str">
            <v>Plano Oi Completo Small</v>
          </cell>
          <cell r="C494" t="str">
            <v>Template de desconto FLAT bundle - Velox XDSL - Varejo</v>
          </cell>
          <cell r="D494">
            <v>0.62639999999999996</v>
          </cell>
          <cell r="E494" t="str">
            <v>MKT-1-9828147626</v>
          </cell>
          <cell r="F494" t="str">
            <v>0T3T_REJ17_PCS-4P3pi_FLAT_BL_62.64%</v>
          </cell>
          <cell r="G494">
            <v>62.64</v>
          </cell>
        </row>
        <row r="495">
          <cell r="A495" t="str">
            <v>Oi Total Fixo + Pós Conectado 1.000 + Banda Larga0.6264Template de desconto FLAT bundle - Velox XDSL - Varejo</v>
          </cell>
          <cell r="B495" t="str">
            <v>Plano Oi Completo 1.000</v>
          </cell>
          <cell r="C495" t="str">
            <v>Template de desconto FLAT bundle - Velox XDSL - Varejo</v>
          </cell>
          <cell r="D495">
            <v>0.62639999999999996</v>
          </cell>
          <cell r="E495" t="str">
            <v>MKT-1-9828147719</v>
          </cell>
          <cell r="F495" t="str">
            <v>0T3T_REJ17_PCS-4P10pi_FLAT_BL_62.64%</v>
          </cell>
          <cell r="G495">
            <v>62.64</v>
          </cell>
        </row>
        <row r="496">
          <cell r="A496" t="str">
            <v>Oi Total Fixo + Pós Conectado Mais + Banda Larga0.6264Template de desconto FLAT bundle - Velox XDSL - Varejo</v>
          </cell>
          <cell r="B496" t="str">
            <v>Plano Oi Completo Mais</v>
          </cell>
          <cell r="C496" t="str">
            <v>Template de desconto FLAT bundle - Velox XDSL - Varejo</v>
          </cell>
          <cell r="D496">
            <v>0.62639999999999996</v>
          </cell>
          <cell r="E496" t="str">
            <v>MKT-1-9828147822</v>
          </cell>
          <cell r="F496" t="str">
            <v>0T3T_REJ17_PCS-4P9pi_FLAT_BL_62.64%</v>
          </cell>
          <cell r="G496">
            <v>62.64</v>
          </cell>
        </row>
        <row r="497">
          <cell r="A497" t="str">
            <v>Oi Total Fixo + Pós 100 + Banda Larga0.947Template de desconto FLAT bundle - Velox XDSL - Varejo</v>
          </cell>
          <cell r="B497" t="str">
            <v>Plano Oi Completo Small</v>
          </cell>
          <cell r="C497" t="str">
            <v>Template de desconto FLAT bundle - Velox XDSL - Varejo</v>
          </cell>
          <cell r="D497">
            <v>0.94700000000000006</v>
          </cell>
          <cell r="E497" t="str">
            <v>MKT-1-9828179165</v>
          </cell>
          <cell r="F497" t="str">
            <v>0T3T_REJ17_PCS-4P3pi_FLAT_BL_94.70%</v>
          </cell>
          <cell r="G497">
            <v>94.7</v>
          </cell>
        </row>
        <row r="498">
          <cell r="A498" t="str">
            <v>Oi Total Fixo + Pós Conectado 1.000 + Banda Larga0.947Template de desconto FLAT bundle - Velox XDSL - Varejo</v>
          </cell>
          <cell r="B498" t="str">
            <v>Plano Oi Completo 1.000</v>
          </cell>
          <cell r="C498" t="str">
            <v>Template de desconto FLAT bundle - Velox XDSL - Varejo</v>
          </cell>
          <cell r="D498">
            <v>0.94700000000000006</v>
          </cell>
          <cell r="E498" t="str">
            <v>MKT-1-9828179518</v>
          </cell>
          <cell r="F498" t="str">
            <v>0T3T_REJ17_PCS-4P10pi_FLAT_BL_94.70%</v>
          </cell>
          <cell r="G498">
            <v>94.7</v>
          </cell>
        </row>
        <row r="499">
          <cell r="A499" t="str">
            <v>Oi Total Fixo + Pós Conectado Mais + Banda Larga0.947Template de desconto FLAT bundle - Velox XDSL - Varejo</v>
          </cell>
          <cell r="B499" t="str">
            <v>Plano Oi Completo Mais</v>
          </cell>
          <cell r="C499" t="str">
            <v>Template de desconto FLAT bundle - Velox XDSL - Varejo</v>
          </cell>
          <cell r="D499">
            <v>0.94700000000000006</v>
          </cell>
          <cell r="E499" t="str">
            <v>MKT-1-9828179611</v>
          </cell>
          <cell r="F499" t="str">
            <v>0T3T_REJ17_PCS-4P9pi_FLAT_BL_94.70%</v>
          </cell>
          <cell r="G499">
            <v>94.7</v>
          </cell>
        </row>
        <row r="500">
          <cell r="A500" t="str">
            <v>Oi Total Fixo + Banda Larga + TV 10.467Template de desconto FLAT bundle - Velox XDSL - Varejo</v>
          </cell>
          <cell r="B500" t="str">
            <v>Plano Oi Convergente Low</v>
          </cell>
          <cell r="C500" t="str">
            <v>Template de desconto FLAT bundle - Velox XDSL - Varejo</v>
          </cell>
          <cell r="D500">
            <v>0.46700000000000003</v>
          </cell>
          <cell r="E500" t="str">
            <v>MKT-1-9828179954</v>
          </cell>
          <cell r="F500" t="str">
            <v>0T3T_REJ17_PCS-3PLowpi_FLAT_BL_46.70%</v>
          </cell>
          <cell r="G500">
            <v>46.7</v>
          </cell>
        </row>
        <row r="501">
          <cell r="A501" t="str">
            <v>Oi Total Fixo + Banda Larga + TV 20.467Template de desconto FLAT bundle - Velox XDSL - Varejo</v>
          </cell>
          <cell r="B501" t="str">
            <v>Plano Oi Convergente Medium</v>
          </cell>
          <cell r="C501" t="str">
            <v>Template de desconto FLAT bundle - Velox XDSL - Varejo</v>
          </cell>
          <cell r="D501">
            <v>0.46700000000000003</v>
          </cell>
          <cell r="E501" t="str">
            <v>MKT-1-9828191307</v>
          </cell>
          <cell r="F501" t="str">
            <v>0T3T_REJ17_PCS-3PMepi_FLAT_BL_46.70%</v>
          </cell>
          <cell r="G501">
            <v>46.7</v>
          </cell>
        </row>
        <row r="502">
          <cell r="A502" t="str">
            <v>Oi Total Fixo + Banda Larga + TV 30.467Template de desconto FLAT bundle - Velox XDSL - Varejo</v>
          </cell>
          <cell r="B502" t="str">
            <v>Plano Oi Convergente High</v>
          </cell>
          <cell r="C502" t="str">
            <v>Template de desconto FLAT bundle - Velox XDSL - Varejo</v>
          </cell>
          <cell r="D502">
            <v>0.46700000000000003</v>
          </cell>
          <cell r="E502" t="str">
            <v>MKT-1-9828191400</v>
          </cell>
          <cell r="F502" t="str">
            <v>0T3T_REJ17_PCS-3PHipi_FLAT_BL_46.70%</v>
          </cell>
          <cell r="G502">
            <v>46.7</v>
          </cell>
        </row>
        <row r="503">
          <cell r="A503" t="str">
            <v>Oi Total Fixo + Banda Larga + TV 10.5431Template de desconto FLAT bundle - Velox XDSL - Varejo</v>
          </cell>
          <cell r="B503" t="str">
            <v>Plano Oi Convergente Low</v>
          </cell>
          <cell r="C503" t="str">
            <v>Template de desconto FLAT bundle - Velox XDSL - Varejo</v>
          </cell>
          <cell r="D503">
            <v>0.54310000000000003</v>
          </cell>
          <cell r="E503" t="str">
            <v>MKT-1-9828191673</v>
          </cell>
          <cell r="F503" t="str">
            <v>0T3T_REJ17_PCS-3PLowpi_FLAT_BL_54.31%</v>
          </cell>
          <cell r="G503">
            <v>54.31</v>
          </cell>
        </row>
        <row r="504">
          <cell r="A504" t="str">
            <v>Oi Total Fixo + Banda Larga + TV 20.5431Template de desconto FLAT bundle - Velox XDSL - Varejo</v>
          </cell>
          <cell r="B504" t="str">
            <v>Plano Oi Convergente Medium</v>
          </cell>
          <cell r="C504" t="str">
            <v>Template de desconto FLAT bundle - Velox XDSL - Varejo</v>
          </cell>
          <cell r="D504">
            <v>0.54310000000000003</v>
          </cell>
          <cell r="E504" t="str">
            <v>MKT-1-9828191916</v>
          </cell>
          <cell r="F504" t="str">
            <v>0T3T_REJ17_PCS-3PMepi_FLAT_BL_54.31%</v>
          </cell>
          <cell r="G504">
            <v>54.31</v>
          </cell>
        </row>
        <row r="505">
          <cell r="A505" t="str">
            <v>Oi Total Fixo + Banda Larga + TV 30.5431Template de desconto FLAT bundle - Velox XDSL - Varejo</v>
          </cell>
          <cell r="B505" t="str">
            <v>Plano Oi Convergente High</v>
          </cell>
          <cell r="C505" t="str">
            <v>Template de desconto FLAT bundle - Velox XDSL - Varejo</v>
          </cell>
          <cell r="D505">
            <v>0.54310000000000003</v>
          </cell>
          <cell r="E505" t="str">
            <v>MKT-1-9828219079</v>
          </cell>
          <cell r="F505" t="str">
            <v>0T3T_REJ17_PCS-3PHipi_FLAT_BL_54.31%</v>
          </cell>
          <cell r="G505">
            <v>54.31</v>
          </cell>
        </row>
        <row r="506">
          <cell r="A506" t="str">
            <v>Oi Total Fixo + Banda Larga + TV 10.5557Template de desconto FLAT bundle - Velox XDSL - Varejo</v>
          </cell>
          <cell r="B506" t="str">
            <v>Plano Oi Convergente Low</v>
          </cell>
          <cell r="C506" t="str">
            <v>Template de desconto FLAT bundle - Velox XDSL - Varejo</v>
          </cell>
          <cell r="D506">
            <v>0.55569999999999997</v>
          </cell>
          <cell r="E506" t="str">
            <v>MKT-1-9828234782</v>
          </cell>
          <cell r="F506" t="str">
            <v>0T3T_REJ17_PCS-3PLowpi_FLAT_BL_55.57%</v>
          </cell>
          <cell r="G506">
            <v>55.57</v>
          </cell>
        </row>
        <row r="507">
          <cell r="A507" t="str">
            <v>Oi Total Fixo + Banda Larga + TV 20.5557Template de desconto FLAT bundle - Velox XDSL - Varejo</v>
          </cell>
          <cell r="B507" t="str">
            <v>Plano Oi Convergente Medium</v>
          </cell>
          <cell r="C507" t="str">
            <v>Template de desconto FLAT bundle - Velox XDSL - Varejo</v>
          </cell>
          <cell r="D507">
            <v>0.55569999999999997</v>
          </cell>
          <cell r="E507" t="str">
            <v>MKT-1-9828235005</v>
          </cell>
          <cell r="F507" t="str">
            <v>0T3T_REJ17_PCS-3PMepi_FLAT_BL_55.57%</v>
          </cell>
          <cell r="G507">
            <v>55.57</v>
          </cell>
        </row>
        <row r="508">
          <cell r="A508" t="str">
            <v>Oi Total Fixo + Banda Larga + TV 30.5557Template de desconto FLAT bundle - Velox XDSL - Varejo</v>
          </cell>
          <cell r="B508" t="str">
            <v>Plano Oi Convergente High</v>
          </cell>
          <cell r="C508" t="str">
            <v>Template de desconto FLAT bundle - Velox XDSL - Varejo</v>
          </cell>
          <cell r="D508">
            <v>0.55569999999999997</v>
          </cell>
          <cell r="E508" t="str">
            <v>MKT-1-9828243608</v>
          </cell>
          <cell r="F508" t="str">
            <v>0T3T_REJ17_PCS-3PHipi_FLAT_BL_55.57%</v>
          </cell>
          <cell r="G508">
            <v>55.57</v>
          </cell>
        </row>
        <row r="509">
          <cell r="A509" t="str">
            <v>Oi Total Fixo + Banda Larga + TV 10.6051Template de desconto FLAT bundle - Velox XDSL - Varejo</v>
          </cell>
          <cell r="B509" t="str">
            <v>Plano Oi Convergente Low</v>
          </cell>
          <cell r="C509" t="str">
            <v>Template de desconto FLAT bundle - Velox XDSL - Varejo</v>
          </cell>
          <cell r="D509">
            <v>0.60509999999999997</v>
          </cell>
          <cell r="E509" t="str">
            <v>MKT-1-9828243951</v>
          </cell>
          <cell r="F509" t="str">
            <v>0T3T_REJ17_PCS-3PLowpi_FLAT_BL_60.51%</v>
          </cell>
          <cell r="G509">
            <v>60.51</v>
          </cell>
        </row>
        <row r="510">
          <cell r="A510" t="str">
            <v>Oi Total Fixo + Banda Larga + TV 20.6051Template de desconto FLAT bundle - Velox XDSL - Varejo</v>
          </cell>
          <cell r="B510" t="str">
            <v>Plano Oi Convergente Medium</v>
          </cell>
          <cell r="C510" t="str">
            <v>Template de desconto FLAT bundle - Velox XDSL - Varejo</v>
          </cell>
          <cell r="D510">
            <v>0.60509999999999997</v>
          </cell>
          <cell r="E510" t="str">
            <v>MKT-1-9828260224</v>
          </cell>
          <cell r="F510" t="str">
            <v>0T3T_REJ17_PCS-3PMepi_FLAT_BL_60.51%</v>
          </cell>
          <cell r="G510">
            <v>60.51</v>
          </cell>
        </row>
        <row r="511">
          <cell r="A511" t="str">
            <v>Oi Total Fixo + Banda Larga + TV 30.6051Template de desconto FLAT bundle - Velox XDSL - Varejo</v>
          </cell>
          <cell r="B511" t="str">
            <v>Plano Oi Convergente High</v>
          </cell>
          <cell r="C511" t="str">
            <v>Template de desconto FLAT bundle - Velox XDSL - Varejo</v>
          </cell>
          <cell r="D511">
            <v>0.60509999999999997</v>
          </cell>
          <cell r="E511" t="str">
            <v>MKT-1-9828260647</v>
          </cell>
          <cell r="F511" t="str">
            <v>0T3T_REJ17_PCS-3PHipi_FLAT_BL_60.51%</v>
          </cell>
          <cell r="G511">
            <v>60.51</v>
          </cell>
        </row>
        <row r="512">
          <cell r="A512" t="str">
            <v>Oi Total Fixo + Banda Larga + TV 10.6446Template de desconto FLAT bundle - Velox XDSL - Varejo</v>
          </cell>
          <cell r="B512" t="str">
            <v>Plano Oi Convergente Low</v>
          </cell>
          <cell r="C512" t="str">
            <v>Template de desconto FLAT bundle - Velox XDSL - Varejo</v>
          </cell>
          <cell r="D512">
            <v>0.64459999999999995</v>
          </cell>
          <cell r="E512" t="str">
            <v>MKT-1-9828260740</v>
          </cell>
          <cell r="F512" t="str">
            <v>0T3T_REJ17_PCS-3PLowpi_FLAT_BL_64.46%</v>
          </cell>
          <cell r="G512">
            <v>64.459999999999994</v>
          </cell>
        </row>
        <row r="513">
          <cell r="A513" t="str">
            <v>Oi Total Fixo + Banda Larga + TV 20.6446Template de desconto FLAT bundle - Velox XDSL - Varejo</v>
          </cell>
          <cell r="B513" t="str">
            <v>Plano Oi Convergente Medium</v>
          </cell>
          <cell r="C513" t="str">
            <v>Template de desconto FLAT bundle - Velox XDSL - Varejo</v>
          </cell>
          <cell r="D513">
            <v>0.64459999999999995</v>
          </cell>
          <cell r="E513" t="str">
            <v>MKT-1-9828260833</v>
          </cell>
          <cell r="F513" t="str">
            <v>0T3T_REJ17_PCS-3PMepi_FLAT_BL_64.46%</v>
          </cell>
          <cell r="G513">
            <v>64.459999999999994</v>
          </cell>
        </row>
        <row r="514">
          <cell r="A514" t="str">
            <v>Oi Total Fixo + Banda Larga + TV 30.6446Template de desconto FLAT bundle - Velox XDSL - Varejo</v>
          </cell>
          <cell r="B514" t="str">
            <v>Plano Oi Convergente High</v>
          </cell>
          <cell r="C514" t="str">
            <v>Template de desconto FLAT bundle - Velox XDSL - Varejo</v>
          </cell>
          <cell r="D514">
            <v>0.64459999999999995</v>
          </cell>
          <cell r="E514" t="str">
            <v>MKT-1-9828260926</v>
          </cell>
          <cell r="F514" t="str">
            <v>0T3T_REJ17_PCS-3PHipi_FLAT_BL_64.46%</v>
          </cell>
          <cell r="G514">
            <v>64.459999999999994</v>
          </cell>
        </row>
        <row r="515">
          <cell r="A515" t="str">
            <v>Oi Total Fixo + Banda Larga + TV 10.7156Template de desconto FLAT bundle - Velox XDSL - Varejo</v>
          </cell>
          <cell r="B515" t="str">
            <v>Plano Oi Convergente Low</v>
          </cell>
          <cell r="C515" t="str">
            <v>Template de desconto FLAT bundle - Velox XDSL - Varejo</v>
          </cell>
          <cell r="D515">
            <v>0.71560000000000001</v>
          </cell>
          <cell r="E515" t="str">
            <v>MKT-1-9828261019</v>
          </cell>
          <cell r="F515" t="str">
            <v>0T3T_REJ17_PCS-3PLowpi_FLAT_BL_71.56%</v>
          </cell>
          <cell r="G515">
            <v>71.56</v>
          </cell>
        </row>
        <row r="516">
          <cell r="A516" t="str">
            <v>Oi Total Fixo + Banda Larga + TV 20.7156Template de desconto FLAT bundle - Velox XDSL - Varejo</v>
          </cell>
          <cell r="B516" t="str">
            <v>Plano Oi Convergente Medium</v>
          </cell>
          <cell r="C516" t="str">
            <v>Template de desconto FLAT bundle - Velox XDSL - Varejo</v>
          </cell>
          <cell r="D516">
            <v>0.71560000000000001</v>
          </cell>
          <cell r="E516" t="str">
            <v>MKT-1-9828272112</v>
          </cell>
          <cell r="F516" t="str">
            <v>0T3T_REJ17_PCS-3PMepi_FLAT_BL_71.56%</v>
          </cell>
          <cell r="G516">
            <v>71.56</v>
          </cell>
        </row>
        <row r="517">
          <cell r="A517" t="str">
            <v>Oi Total Fixo + Banda Larga + TV 30.7156Template de desconto FLAT bundle - Velox XDSL - Varejo</v>
          </cell>
          <cell r="B517" t="str">
            <v>Plano Oi Convergente High</v>
          </cell>
          <cell r="C517" t="str">
            <v>Template de desconto FLAT bundle - Velox XDSL - Varejo</v>
          </cell>
          <cell r="D517">
            <v>0.71560000000000001</v>
          </cell>
          <cell r="E517" t="str">
            <v>MKT-1-9828272465</v>
          </cell>
          <cell r="F517" t="str">
            <v>0T3T_REJ17_PCS-3PHipi_FLAT_BL_71.56%</v>
          </cell>
          <cell r="G517">
            <v>71.56</v>
          </cell>
        </row>
        <row r="518">
          <cell r="A518" t="str">
            <v>Oi Total Fixo + Banda Larga + TV 10.7867Template de desconto FLAT bundle - Velox XDSL - Varejo</v>
          </cell>
          <cell r="B518" t="str">
            <v>Plano Oi Convergente Low</v>
          </cell>
          <cell r="C518" t="str">
            <v>Template de desconto FLAT bundle - Velox XDSL - Varejo</v>
          </cell>
          <cell r="D518">
            <v>0.78670000000000007</v>
          </cell>
          <cell r="E518" t="str">
            <v>MKT-1-9828278258</v>
          </cell>
          <cell r="F518" t="str">
            <v>0T3T_REJ17_PCS-3PLowpi_FLAT_BL_78.67%</v>
          </cell>
          <cell r="G518">
            <v>78.67</v>
          </cell>
        </row>
        <row r="519">
          <cell r="A519" t="str">
            <v>Oi Total Fixo + Banda Larga + TV 20.7867Template de desconto FLAT bundle - Velox XDSL - Varejo</v>
          </cell>
          <cell r="B519" t="str">
            <v>Plano Oi Convergente Medium</v>
          </cell>
          <cell r="C519" t="str">
            <v>Template de desconto FLAT bundle - Velox XDSL - Varejo</v>
          </cell>
          <cell r="D519">
            <v>0.78670000000000007</v>
          </cell>
          <cell r="E519" t="str">
            <v>MKT-1-9828278651</v>
          </cell>
          <cell r="F519" t="str">
            <v>0T3T_REJ17_PCS-3PMepi_FLAT_BL_78.67%</v>
          </cell>
          <cell r="G519">
            <v>78.67</v>
          </cell>
        </row>
        <row r="520">
          <cell r="A520" t="str">
            <v>Oi Total Fixo + Banda Larga + TV 30.7867Template de desconto FLAT bundle - Velox XDSL - Varejo</v>
          </cell>
          <cell r="B520" t="str">
            <v>Plano Oi Convergente High</v>
          </cell>
          <cell r="C520" t="str">
            <v>Template de desconto FLAT bundle - Velox XDSL - Varejo</v>
          </cell>
          <cell r="D520">
            <v>0.78670000000000007</v>
          </cell>
          <cell r="E520" t="str">
            <v>MKT-1-9828285890</v>
          </cell>
          <cell r="F520" t="str">
            <v>0T3T_REJ17_PCS-3PHipi_FLAT_BL_78.67%</v>
          </cell>
          <cell r="G520">
            <v>78.67</v>
          </cell>
        </row>
        <row r="521">
          <cell r="A521" t="str">
            <v>Oi Total Fixo + Banda Larga + TV 10.7511Template de desconto FLAT bundle - Velox XDSL - Varejo</v>
          </cell>
          <cell r="B521" t="str">
            <v>Plano Oi Convergente Low</v>
          </cell>
          <cell r="C521" t="str">
            <v>Template de desconto FLAT bundle - Velox XDSL - Varejo</v>
          </cell>
          <cell r="D521">
            <v>0.75109999999999999</v>
          </cell>
          <cell r="E521" t="str">
            <v>MKT-1-9828296793</v>
          </cell>
          <cell r="F521" t="str">
            <v>0T3T_REJ17_PCS-3PLowpi_FLAT_BL_75.11%</v>
          </cell>
          <cell r="G521">
            <v>75.11</v>
          </cell>
        </row>
        <row r="522">
          <cell r="A522" t="str">
            <v>Oi Total Fixo + Banda Larga + TV 20.7511Template de desconto FLAT bundle - Velox XDSL - Varejo</v>
          </cell>
          <cell r="B522" t="str">
            <v>Plano Oi Convergente Medium</v>
          </cell>
          <cell r="C522" t="str">
            <v>Template de desconto FLAT bundle - Velox XDSL - Varejo</v>
          </cell>
          <cell r="D522">
            <v>0.75109999999999999</v>
          </cell>
          <cell r="E522" t="str">
            <v>MKT-1-9828296896</v>
          </cell>
          <cell r="F522" t="str">
            <v>0T3T_REJ17_PCS-3PMepi_FLAT_BL_75.11%</v>
          </cell>
          <cell r="G522">
            <v>75.11</v>
          </cell>
        </row>
        <row r="523">
          <cell r="A523" t="str">
            <v>Oi Total Fixo + Banda Larga + TV 30.7511Template de desconto FLAT bundle - Velox XDSL - Varejo</v>
          </cell>
          <cell r="B523" t="str">
            <v>Plano Oi Convergente High</v>
          </cell>
          <cell r="C523" t="str">
            <v>Template de desconto FLAT bundle - Velox XDSL - Varejo</v>
          </cell>
          <cell r="D523">
            <v>0.75109999999999999</v>
          </cell>
          <cell r="E523" t="str">
            <v>MKT-1-9828314259</v>
          </cell>
          <cell r="F523" t="str">
            <v>0T3T_REJ17_PCS-3PHipi_FLAT_BL_75.11%</v>
          </cell>
          <cell r="G523">
            <v>75.11</v>
          </cell>
        </row>
        <row r="524">
          <cell r="A524" t="str">
            <v>Oi Total Fixo + Banda Larga + TV 10.1757Template de desconto FLAT bundle - Velox XDSL - Varejo</v>
          </cell>
          <cell r="B524" t="str">
            <v>Plano Oi Convergente Low</v>
          </cell>
          <cell r="C524" t="str">
            <v>Template de desconto FLAT bundle - Velox XDSL - Varejo</v>
          </cell>
          <cell r="D524">
            <v>0.1757</v>
          </cell>
          <cell r="E524" t="str">
            <v>MKT-1-9828314372</v>
          </cell>
          <cell r="F524" t="str">
            <v>0T3T_REJ17_PCS-3PLowpi_FLAT_BL_17.57%</v>
          </cell>
          <cell r="G524">
            <v>17.57</v>
          </cell>
        </row>
        <row r="525">
          <cell r="A525" t="str">
            <v>Oi Total Fixo + Banda Larga + TV 20.1757Template de desconto FLAT bundle - Velox XDSL - Varejo</v>
          </cell>
          <cell r="B525" t="str">
            <v>Plano Oi Convergente Medium</v>
          </cell>
          <cell r="C525" t="str">
            <v>Template de desconto FLAT bundle - Velox XDSL - Varejo</v>
          </cell>
          <cell r="D525">
            <v>0.1757</v>
          </cell>
          <cell r="E525" t="str">
            <v>MKT-1-9828325585</v>
          </cell>
          <cell r="F525" t="str">
            <v>0T3T_REJ17_PCS-3PMepi_FLAT_BL_17.57%</v>
          </cell>
          <cell r="G525">
            <v>17.57</v>
          </cell>
        </row>
        <row r="526">
          <cell r="A526" t="str">
            <v>Oi Total Fixo + Banda Larga + TV 30.1757Template de desconto FLAT bundle - Velox XDSL - Varejo</v>
          </cell>
          <cell r="B526" t="str">
            <v>Plano Oi Convergente High</v>
          </cell>
          <cell r="C526" t="str">
            <v>Template de desconto FLAT bundle - Velox XDSL - Varejo</v>
          </cell>
          <cell r="D526">
            <v>0.1757</v>
          </cell>
          <cell r="E526" t="str">
            <v>MKT-1-9828337178</v>
          </cell>
          <cell r="F526" t="str">
            <v>0T3T_REJ17_PCS-3PHipi_FLAT_BL_17.57%</v>
          </cell>
          <cell r="G526">
            <v>17.57</v>
          </cell>
        </row>
        <row r="527">
          <cell r="A527" t="str">
            <v>Oi Total Fixo + Banda Larga + TV 10.1869Template de desconto FLAT bundle - Velox XDSL - Varejo</v>
          </cell>
          <cell r="B527" t="str">
            <v>Plano Oi Convergente Low</v>
          </cell>
          <cell r="C527" t="str">
            <v>Template de desconto FLAT bundle - Velox XDSL - Varejo</v>
          </cell>
          <cell r="D527">
            <v>0.18690000000000001</v>
          </cell>
          <cell r="E527" t="str">
            <v>MKT-1-9828337641</v>
          </cell>
          <cell r="F527" t="str">
            <v>0T3T_REJ17_PCS-3PLowpi_FLAT_BL_18.69%</v>
          </cell>
          <cell r="G527">
            <v>18.690000000000001</v>
          </cell>
        </row>
        <row r="528">
          <cell r="A528" t="str">
            <v>Oi Total Fixo + Banda Larga + TV 20.1869Template de desconto FLAT bundle - Velox XDSL - Varejo</v>
          </cell>
          <cell r="B528" t="str">
            <v>Plano Oi Convergente Medium</v>
          </cell>
          <cell r="C528" t="str">
            <v>Template de desconto FLAT bundle - Velox XDSL - Varejo</v>
          </cell>
          <cell r="D528">
            <v>0.18690000000000001</v>
          </cell>
          <cell r="E528" t="str">
            <v>MKT-1-9828338024</v>
          </cell>
          <cell r="F528" t="str">
            <v>0T3T_REJ17_PCS-3PMepi_FLAT_BL_18.69%</v>
          </cell>
          <cell r="G528">
            <v>18.690000000000001</v>
          </cell>
        </row>
        <row r="529">
          <cell r="A529" t="str">
            <v>Oi Total Fixo + Banda Larga + TV 30.1869Template de desconto FLAT bundle - Velox XDSL - Varejo</v>
          </cell>
          <cell r="B529" t="str">
            <v>Plano Oi Convergente High</v>
          </cell>
          <cell r="C529" t="str">
            <v>Template de desconto FLAT bundle - Velox XDSL - Varejo</v>
          </cell>
          <cell r="D529">
            <v>0.18690000000000001</v>
          </cell>
          <cell r="E529" t="str">
            <v>MKT-1-9828340357</v>
          </cell>
          <cell r="F529" t="str">
            <v>0T3T_REJ17_PCS-3PHipi_FLAT_BL_18.69%</v>
          </cell>
          <cell r="G529">
            <v>18.690000000000001</v>
          </cell>
        </row>
        <row r="530">
          <cell r="A530" t="str">
            <v>Oi Total Fixo + Banda Larga + TV 10.2441Template de desconto FLAT bundle - Velox XDSL - Varejo</v>
          </cell>
          <cell r="B530" t="str">
            <v>Plano Oi Convergente Low</v>
          </cell>
          <cell r="C530" t="str">
            <v>Template de desconto FLAT bundle - Velox XDSL - Varejo</v>
          </cell>
          <cell r="D530">
            <v>0.24410000000000001</v>
          </cell>
          <cell r="E530" t="str">
            <v>MKT-1-9828340530</v>
          </cell>
          <cell r="F530" t="str">
            <v>0T3T_REJ17_PCS-3PLowpi_FLAT_BL_24.41%</v>
          </cell>
          <cell r="G530">
            <v>24.41</v>
          </cell>
        </row>
        <row r="531">
          <cell r="A531" t="str">
            <v>Oi Total Fixo + Banda Larga + TV 20.2441Template de desconto FLAT bundle - Velox XDSL - Varejo</v>
          </cell>
          <cell r="B531" t="str">
            <v>Plano Oi Convergente Medium</v>
          </cell>
          <cell r="C531" t="str">
            <v>Template de desconto FLAT bundle - Velox XDSL - Varejo</v>
          </cell>
          <cell r="D531">
            <v>0.24410000000000001</v>
          </cell>
          <cell r="E531" t="str">
            <v>MKT-1-9828340743</v>
          </cell>
          <cell r="F531" t="str">
            <v>0T3T_REJ17_PCS-3PMepi_FLAT_BL_24.41%</v>
          </cell>
          <cell r="G531">
            <v>24.41</v>
          </cell>
        </row>
        <row r="532">
          <cell r="A532" t="str">
            <v>Oi Total Fixo + Banda Larga + TV 30.2441Template de desconto FLAT bundle - Velox XDSL - Varejo</v>
          </cell>
          <cell r="B532" t="str">
            <v>Plano Oi Convergente High</v>
          </cell>
          <cell r="C532" t="str">
            <v>Template de desconto FLAT bundle - Velox XDSL - Varejo</v>
          </cell>
          <cell r="D532">
            <v>0.24410000000000001</v>
          </cell>
          <cell r="E532" t="str">
            <v>MKT-1-9828340956</v>
          </cell>
          <cell r="F532" t="str">
            <v>0T3T_REJ17_PCS-3PHipi_FLAT_BL_24.41%</v>
          </cell>
          <cell r="G532">
            <v>24.41</v>
          </cell>
        </row>
        <row r="533">
          <cell r="A533" t="str">
            <v>Oi Total Fixo + Banda Larga + TV 10.3281Template de desconto FLAT bundle - Velox XDSL - Varejo</v>
          </cell>
          <cell r="B533" t="str">
            <v>Plano Oi Convergente Low</v>
          </cell>
          <cell r="C533" t="str">
            <v>Template de desconto FLAT bundle - Velox XDSL - Varejo</v>
          </cell>
          <cell r="D533">
            <v>0.3281</v>
          </cell>
          <cell r="E533" t="str">
            <v>MKT-1-9828352159</v>
          </cell>
          <cell r="F533" t="str">
            <v>0T3T_REJ17_PCS-3PLowpi_FLAT_BL_32.81%</v>
          </cell>
          <cell r="G533">
            <v>32.81</v>
          </cell>
        </row>
        <row r="534">
          <cell r="A534" t="str">
            <v>Oi Total Fixo + Banda Larga + TV 20.3281Template de desconto FLAT bundle - Velox XDSL - Varejo</v>
          </cell>
          <cell r="B534" t="str">
            <v>Plano Oi Convergente Medium</v>
          </cell>
          <cell r="C534" t="str">
            <v>Template de desconto FLAT bundle - Velox XDSL - Varejo</v>
          </cell>
          <cell r="D534">
            <v>0.3281</v>
          </cell>
          <cell r="E534" t="str">
            <v>MKT-1-9828352432</v>
          </cell>
          <cell r="F534" t="str">
            <v>0T3T_REJ17_PCS-3PMepi_FLAT_BL_32.81%</v>
          </cell>
          <cell r="G534">
            <v>32.81</v>
          </cell>
        </row>
        <row r="535">
          <cell r="A535" t="str">
            <v>Oi Total Fixo + Banda Larga + TV 30.3281Template de desconto FLAT bundle - Velox XDSL - Varejo</v>
          </cell>
          <cell r="B535" t="str">
            <v>Plano Oi Convergente High</v>
          </cell>
          <cell r="C535" t="str">
            <v>Template de desconto FLAT bundle - Velox XDSL - Varejo</v>
          </cell>
          <cell r="D535">
            <v>0.3281</v>
          </cell>
          <cell r="E535" t="str">
            <v>MKT-1-9828352635</v>
          </cell>
          <cell r="F535" t="str">
            <v>0T3T_REJ17_PCS-3PHipi_FLAT_BL_32.81%</v>
          </cell>
          <cell r="G535">
            <v>32.81</v>
          </cell>
        </row>
        <row r="536">
          <cell r="A536" t="str">
            <v>Oi Total Fixo + Banda Larga + TV 20.3953Template de desconto FLAT bundle - Velox XDSL - Varejo</v>
          </cell>
          <cell r="B536" t="str">
            <v>Plano Oi Convergente Medium</v>
          </cell>
          <cell r="C536" t="str">
            <v>Template de desconto FLAT bundle - Velox XDSL - Varejo</v>
          </cell>
          <cell r="D536">
            <v>0.39529999999999998</v>
          </cell>
          <cell r="E536" t="str">
            <v>MKT-1-9828352778</v>
          </cell>
          <cell r="F536" t="str">
            <v>0T3T_REJ17_PCS-3PMepi_FLAT_BL_39.53%</v>
          </cell>
          <cell r="G536">
            <v>39.53</v>
          </cell>
        </row>
        <row r="537">
          <cell r="A537" t="str">
            <v>Oi Total Fixo + Banda Larga + TV 30.3953Template de desconto FLAT bundle - Velox XDSL - Varejo</v>
          </cell>
          <cell r="B537" t="str">
            <v>Plano Oi Convergente High</v>
          </cell>
          <cell r="C537" t="str">
            <v>Template de desconto FLAT bundle - Velox XDSL - Varejo</v>
          </cell>
          <cell r="D537">
            <v>0.39529999999999998</v>
          </cell>
          <cell r="E537" t="str">
            <v>MKT-1-9828708011</v>
          </cell>
          <cell r="F537" t="str">
            <v>0T3T_REJ17_PCS-3PHipi_FLAT_BL_39.53%</v>
          </cell>
          <cell r="G537">
            <v>39.53</v>
          </cell>
        </row>
        <row r="538">
          <cell r="A538" t="str">
            <v>Oi Total Fixo + Banda Larga + TV 20.5494Template de desconto FLAT bundle - Velox XDSL - Varejo</v>
          </cell>
          <cell r="B538" t="str">
            <v>Plano Oi Convergente Medium</v>
          </cell>
          <cell r="C538" t="str">
            <v>Template de desconto FLAT bundle - Velox XDSL - Varejo</v>
          </cell>
          <cell r="D538">
            <v>0.5494</v>
          </cell>
          <cell r="E538" t="str">
            <v>MKT-1-9828832194</v>
          </cell>
          <cell r="F538" t="str">
            <v>0T3T_REJ17_PCS-3PMepi_FLAT_BL_54.94%</v>
          </cell>
          <cell r="G538">
            <v>54.94</v>
          </cell>
        </row>
        <row r="539">
          <cell r="A539" t="str">
            <v>Oi Total Fixo + Banda Larga + TV 30.6621Template de desconto FLAT bundle - Velox XDSL - Varejo</v>
          </cell>
          <cell r="B539" t="str">
            <v>Plano Oi Convergente High</v>
          </cell>
          <cell r="C539" t="str">
            <v>Template de desconto FLAT bundle - Velox XDSL - Varejo</v>
          </cell>
          <cell r="D539">
            <v>0.66209999999999991</v>
          </cell>
          <cell r="E539" t="str">
            <v>MKT-1-9828832377</v>
          </cell>
          <cell r="F539" t="str">
            <v>0T3T_REJ17_PCS-3PHipi_FLAT_BL_66.21%</v>
          </cell>
          <cell r="G539">
            <v>66.209999999999994</v>
          </cell>
        </row>
        <row r="540">
          <cell r="A540" t="str">
            <v>Oi Total Fixo + Banda Larga + TV 20.6621Template de desconto FLAT bundle - Velox XDSL - Varejo</v>
          </cell>
          <cell r="B540" t="str">
            <v>Plano Oi Convergente Medium</v>
          </cell>
          <cell r="C540" t="str">
            <v>Template de desconto FLAT bundle - Velox XDSL - Varejo</v>
          </cell>
          <cell r="D540">
            <v>0.66209999999999991</v>
          </cell>
          <cell r="E540" t="str">
            <v>MKT-1-9828832700</v>
          </cell>
          <cell r="F540" t="str">
            <v>0T3T_REJ17_PCS-3PMepi_FLAT_BL_66.21%</v>
          </cell>
          <cell r="G540">
            <v>66.209999999999994</v>
          </cell>
        </row>
        <row r="541">
          <cell r="A541" t="str">
            <v>Oi Total Fixo + Banda Larga + TV 20.6264Template de desconto FLAT bundle - Velox XDSL - Varejo</v>
          </cell>
          <cell r="B541" t="str">
            <v>Plano Oi Convergente Medium</v>
          </cell>
          <cell r="C541" t="str">
            <v>Template de desconto FLAT bundle - Velox XDSL - Varejo</v>
          </cell>
          <cell r="D541">
            <v>0.62639999999999996</v>
          </cell>
          <cell r="E541" t="str">
            <v>MKT-1-9828832863</v>
          </cell>
          <cell r="F541" t="str">
            <v>0T3T_REJ17_PCS-3PMepi_FLAT_BL_62.64%</v>
          </cell>
          <cell r="G541">
            <v>62.64</v>
          </cell>
        </row>
        <row r="542">
          <cell r="A542" t="str">
            <v>Oi Total Fixo + Banda Larga + TV 30.6264Template de desconto FLAT bundle - Velox XDSL - Varejo</v>
          </cell>
          <cell r="B542" t="str">
            <v>Plano Oi Convergente High</v>
          </cell>
          <cell r="C542" t="str">
            <v>Template de desconto FLAT bundle - Velox XDSL - Varejo</v>
          </cell>
          <cell r="D542">
            <v>0.62639999999999996</v>
          </cell>
          <cell r="E542" t="str">
            <v>MKT-1-9828833096</v>
          </cell>
          <cell r="F542" t="str">
            <v>0T3T_REJ17_PCS-3PHipi_FLAT_BL_62.64%</v>
          </cell>
          <cell r="G542">
            <v>62.64</v>
          </cell>
        </row>
        <row r="543">
          <cell r="A543" t="str">
            <v>Oi Total Fixo + Banda Larga + TV 10.4852Template de desconto FLAT bundle - Velox XDSL - Varejo</v>
          </cell>
          <cell r="B543" t="str">
            <v>Plano Oi Convergente Low</v>
          </cell>
          <cell r="C543" t="str">
            <v>Template de desconto FLAT bundle - Velox XDSL - Varejo</v>
          </cell>
          <cell r="D543">
            <v>0.48520000000000002</v>
          </cell>
          <cell r="E543" t="str">
            <v>MKT-1-9828849279</v>
          </cell>
          <cell r="F543" t="str">
            <v>0T3T_REJ17_PCS-3PLowpi_FLAT_BL_48.52%</v>
          </cell>
          <cell r="G543">
            <v>48.52</v>
          </cell>
        </row>
        <row r="544">
          <cell r="A544" t="str">
            <v>Oi Total Fixo + Banda Larga + TV 20.4852Template de desconto FLAT bundle - Velox XDSL - Varejo</v>
          </cell>
          <cell r="B544" t="str">
            <v>Plano Oi Convergente Medium</v>
          </cell>
          <cell r="C544" t="str">
            <v>Template de desconto FLAT bundle - Velox XDSL - Varejo</v>
          </cell>
          <cell r="D544">
            <v>0.48520000000000002</v>
          </cell>
          <cell r="E544" t="str">
            <v>MKT-1-9828849472</v>
          </cell>
          <cell r="F544" t="str">
            <v>0T3T_REJ17_PCS-3PMepi_FLAT_BL_48.52%</v>
          </cell>
          <cell r="G544">
            <v>48.52</v>
          </cell>
        </row>
        <row r="545">
          <cell r="A545" t="str">
            <v>Oi Total Fixo + Banda Larga + TV 30.4852Template de desconto FLAT bundle - Velox XDSL - Varejo</v>
          </cell>
          <cell r="B545" t="str">
            <v>Plano Oi Convergente High</v>
          </cell>
          <cell r="C545" t="str">
            <v>Template de desconto FLAT bundle - Velox XDSL - Varejo</v>
          </cell>
          <cell r="D545">
            <v>0.48520000000000002</v>
          </cell>
          <cell r="E545" t="str">
            <v>MKT-1-9828849635</v>
          </cell>
          <cell r="F545" t="str">
            <v>0T3T_REJ17_PCS-3PHipi_FLAT_BL_48.52%</v>
          </cell>
          <cell r="G545">
            <v>48.52</v>
          </cell>
        </row>
        <row r="546">
          <cell r="A546" t="str">
            <v>Oi Total Fixo + Banda Larga + TV 20.5368Template de desconto FLAT bundle - Velox XDSL - Varejo</v>
          </cell>
          <cell r="B546" t="str">
            <v>Plano Oi Convergente Medium</v>
          </cell>
          <cell r="C546" t="str">
            <v>Template de desconto FLAT bundle - Velox XDSL - Varejo</v>
          </cell>
          <cell r="D546">
            <v>0.53679999999999994</v>
          </cell>
          <cell r="E546" t="str">
            <v>MKT-1-9828849818</v>
          </cell>
          <cell r="F546" t="str">
            <v>0T3T_REJ17_PCS-3PMepi_FLAT_BL_53.68%</v>
          </cell>
          <cell r="G546">
            <v>53.68</v>
          </cell>
        </row>
        <row r="547">
          <cell r="A547" t="str">
            <v>Oi Total Fixo + Banda Larga + TV 30.5368Template de desconto FLAT bundle - Velox XDSL - Varejo</v>
          </cell>
          <cell r="B547" t="str">
            <v>Plano Oi Convergente High</v>
          </cell>
          <cell r="C547" t="str">
            <v>Template de desconto FLAT bundle - Velox XDSL - Varejo</v>
          </cell>
          <cell r="D547">
            <v>0.53679999999999994</v>
          </cell>
          <cell r="E547" t="str">
            <v>MKT-1-9829477373</v>
          </cell>
          <cell r="F547" t="str">
            <v>0T3T_REJ17_PCS-3PHipi_FLAT_BL_53.68%</v>
          </cell>
          <cell r="G547">
            <v>53.68</v>
          </cell>
        </row>
        <row r="548">
          <cell r="A548" t="str">
            <v>Oi Total Fixo + Banda Larga + TV 20.5884Template de desconto FLAT bundle - Velox XDSL - Varejo</v>
          </cell>
          <cell r="B548" t="str">
            <v>Plano Oi Convergente Medium</v>
          </cell>
          <cell r="C548" t="str">
            <v>Template de desconto FLAT bundle - Velox XDSL - Varejo</v>
          </cell>
          <cell r="D548">
            <v>0.58840000000000003</v>
          </cell>
          <cell r="E548" t="str">
            <v>MKT-1-9829477736</v>
          </cell>
          <cell r="F548" t="str">
            <v>0T3T_REJ17_PCS-3PMepi_FLAT_BL_58.84%</v>
          </cell>
          <cell r="G548">
            <v>58.84</v>
          </cell>
        </row>
        <row r="549">
          <cell r="A549" t="str">
            <v>Oi Total Fixo + Banda Larga + TV 30.5884Template de desconto FLAT bundle - Velox XDSL - Varejo</v>
          </cell>
          <cell r="B549" t="str">
            <v>Plano Oi Convergente High</v>
          </cell>
          <cell r="C549" t="str">
            <v>Template de desconto FLAT bundle - Velox XDSL - Varejo</v>
          </cell>
          <cell r="D549">
            <v>0.58840000000000003</v>
          </cell>
          <cell r="E549" t="str">
            <v>MKT-1-9829477839</v>
          </cell>
          <cell r="F549" t="str">
            <v>0T3T_REJ17_PCS-3PHipi_FLAT_BL_58.84%</v>
          </cell>
          <cell r="G549">
            <v>58.84</v>
          </cell>
        </row>
        <row r="550">
          <cell r="A550" t="str">
            <v>Oi Total Fixo + Banda Larga + TV 10.4922Template de desconto FLAT bundle - Velox XDSL - Varejo</v>
          </cell>
          <cell r="B550" t="str">
            <v>Plano Oi Convergente Low</v>
          </cell>
          <cell r="C550" t="str">
            <v>Template de desconto FLAT bundle - Velox XDSL - Varejo</v>
          </cell>
          <cell r="D550">
            <v>0.49219999999999997</v>
          </cell>
          <cell r="E550" t="str">
            <v>MKT-1-9829500982</v>
          </cell>
          <cell r="F550" t="str">
            <v>0T3T_REJ17_PCS-3PLowpi_FLAT_BL_49.22%</v>
          </cell>
          <cell r="G550">
            <v>49.22</v>
          </cell>
        </row>
        <row r="551">
          <cell r="A551" t="str">
            <v>Oi Total Fixo + Banda Larga + TV 20.4922Template de desconto FLAT bundle - Velox XDSL - Varejo</v>
          </cell>
          <cell r="B551" t="str">
            <v>Plano Oi Convergente Medium</v>
          </cell>
          <cell r="C551" t="str">
            <v>Template de desconto FLAT bundle - Velox XDSL - Varejo</v>
          </cell>
          <cell r="D551">
            <v>0.49219999999999997</v>
          </cell>
          <cell r="E551" t="str">
            <v>MKT-1-9829513385</v>
          </cell>
          <cell r="F551" t="str">
            <v>0T3T_REJ17_PCS-3PMepi_FLAT_BL_49.22%</v>
          </cell>
          <cell r="G551">
            <v>49.22</v>
          </cell>
        </row>
        <row r="552">
          <cell r="A552" t="str">
            <v>Oi Total Fixo + Banda Larga + TV 30.4922Template de desconto FLAT bundle - Velox XDSL - Varejo</v>
          </cell>
          <cell r="B552" t="str">
            <v>Plano Oi Convergente High</v>
          </cell>
          <cell r="C552" t="str">
            <v>Template de desconto FLAT bundle - Velox XDSL - Varejo</v>
          </cell>
          <cell r="D552">
            <v>0.49219999999999997</v>
          </cell>
          <cell r="E552" t="str">
            <v>MKT-1-9829513818</v>
          </cell>
          <cell r="F552" t="str">
            <v>0T3T_REJ17_PCS-3PHipi_FLAT_BL_49.22%</v>
          </cell>
          <cell r="G552">
            <v>49.22</v>
          </cell>
        </row>
        <row r="553">
          <cell r="A553" t="str">
            <v>Oi Total Fixo + Banda Larga + TV 20.594Template de desconto FLAT bundle - Velox XDSL - Varejo</v>
          </cell>
          <cell r="B553" t="str">
            <v>Plano Oi Convergente Medium</v>
          </cell>
          <cell r="C553" t="str">
            <v>Template de desconto FLAT bundle - Velox XDSL - Varejo</v>
          </cell>
          <cell r="D553">
            <v>0.59399999999999997</v>
          </cell>
          <cell r="E553" t="str">
            <v>MKT-1-9829525261</v>
          </cell>
          <cell r="F553" t="str">
            <v>0T3T_REJ17_PCS-3PMepi_FLAT_BL_59.40%</v>
          </cell>
          <cell r="G553">
            <v>59.4</v>
          </cell>
        </row>
        <row r="554">
          <cell r="A554" t="str">
            <v>Oi Total Fixo + Banda Larga + TV 30.594Template de desconto FLAT bundle - Velox XDSL - Varejo</v>
          </cell>
          <cell r="B554" t="str">
            <v>Plano Oi Convergente High</v>
          </cell>
          <cell r="C554" t="str">
            <v>Template de desconto FLAT bundle - Velox XDSL - Varejo</v>
          </cell>
          <cell r="D554">
            <v>0.59399999999999997</v>
          </cell>
          <cell r="E554" t="str">
            <v>MKT-1-9829525614</v>
          </cell>
          <cell r="F554" t="str">
            <v>0T3T_REJ17_PCS-3PHipi_FLAT_BL_59.40%</v>
          </cell>
          <cell r="G554">
            <v>59.4</v>
          </cell>
        </row>
        <row r="555">
          <cell r="A555" t="str">
            <v>Oi Total Fixo + Banda Larga + TV 10.4667Template de desconto FLAT bundle - Velox XDSL - Varejo</v>
          </cell>
          <cell r="B555" t="str">
            <v>Plano Oi Convergente Low</v>
          </cell>
          <cell r="C555" t="str">
            <v>Template de desconto FLAT bundle - Velox XDSL - Varejo</v>
          </cell>
          <cell r="D555">
            <v>0.4667</v>
          </cell>
          <cell r="E555" t="str">
            <v>MKT-1-9829525977</v>
          </cell>
          <cell r="F555" t="str">
            <v>0T3T_REJ17_PCS-3PLowpi_FLAT_BL_46.67%</v>
          </cell>
          <cell r="G555">
            <v>46.67</v>
          </cell>
        </row>
        <row r="556">
          <cell r="A556" t="str">
            <v>Oi Total Fixo + Banda Larga + TV 20.4667Template de desconto FLAT bundle - Velox XDSL - Varejo</v>
          </cell>
          <cell r="B556" t="str">
            <v>Plano Oi Convergente Medium</v>
          </cell>
          <cell r="C556" t="str">
            <v>Template de desconto FLAT bundle - Velox XDSL - Varejo</v>
          </cell>
          <cell r="D556">
            <v>0.4667</v>
          </cell>
          <cell r="E556" t="str">
            <v>MKT-1-9829526100</v>
          </cell>
          <cell r="F556" t="str">
            <v>0T3T_REJ17_PCS-3PMepi_FLAT_BL_46.67%</v>
          </cell>
          <cell r="G556">
            <v>46.67</v>
          </cell>
        </row>
        <row r="557">
          <cell r="A557" t="str">
            <v>Oi Total Fixo + Banda Larga + TV 30.4667Template de desconto FLAT bundle - Velox XDSL - Varejo</v>
          </cell>
          <cell r="B557" t="str">
            <v>Plano Oi Convergente High</v>
          </cell>
          <cell r="C557" t="str">
            <v>Template de desconto FLAT bundle - Velox XDSL - Varejo</v>
          </cell>
          <cell r="D557">
            <v>0.4667</v>
          </cell>
          <cell r="E557" t="str">
            <v>MKT-1-9829538543</v>
          </cell>
          <cell r="F557" t="str">
            <v>0T3T_REJ17_PCS-3PHipi_FLAT_BL_46.67%</v>
          </cell>
          <cell r="G557">
            <v>46.67</v>
          </cell>
        </row>
        <row r="558">
          <cell r="A558" t="str">
            <v>Oi Total Fixo + Banda Larga + TV 20.5112Template de desconto FLAT bundle - Velox XDSL - Varejo</v>
          </cell>
          <cell r="B558" t="str">
            <v>Plano Oi Convergente Medium</v>
          </cell>
          <cell r="C558" t="str">
            <v>Template de desconto FLAT bundle - Velox XDSL - Varejo</v>
          </cell>
          <cell r="D558">
            <v>0.51119999999999999</v>
          </cell>
          <cell r="E558" t="str">
            <v>MKT-1-9829538636</v>
          </cell>
          <cell r="F558" t="str">
            <v>0T3T_REJ17_PCS-3PMepi_FLAT_BL_51.12%</v>
          </cell>
          <cell r="G558">
            <v>51.12</v>
          </cell>
        </row>
        <row r="559">
          <cell r="A559" t="str">
            <v>Oi Total Fixo + Banda Larga + TV 30.5112Template de desconto FLAT bundle - Velox XDSL - Varejo</v>
          </cell>
          <cell r="B559" t="str">
            <v>Plano Oi Convergente High</v>
          </cell>
          <cell r="C559" t="str">
            <v>Template de desconto FLAT bundle - Velox XDSL - Varejo</v>
          </cell>
          <cell r="D559">
            <v>0.51119999999999999</v>
          </cell>
          <cell r="E559" t="str">
            <v>MKT-1-9829538737</v>
          </cell>
          <cell r="F559" t="str">
            <v>0T3T_REJ17_PCS-3PHipi_FLAT_BL_51.12%</v>
          </cell>
          <cell r="G559">
            <v>51.12</v>
          </cell>
        </row>
        <row r="560">
          <cell r="A560" t="str">
            <v>Oi Total Fixo + Banda Larga + TV 10.5259Template de desconto FLAT bundle - Velox XDSL - Varejo</v>
          </cell>
          <cell r="B560" t="str">
            <v>Plano Oi Convergente Low</v>
          </cell>
          <cell r="C560" t="str">
            <v>Template de desconto FLAT bundle - Velox XDSL - Varejo</v>
          </cell>
          <cell r="D560">
            <v>0.52590000000000003</v>
          </cell>
          <cell r="E560" t="str">
            <v>MKT-1-9829549150</v>
          </cell>
          <cell r="F560" t="str">
            <v>0T3T_REJ17_PCS-3PLowpi_FLAT_BL_52.59%</v>
          </cell>
          <cell r="G560">
            <v>52.59</v>
          </cell>
        </row>
        <row r="561">
          <cell r="A561" t="str">
            <v>Oi Total Fixo + Banda Larga + TV 20.5259Template de desconto FLAT bundle - Velox XDSL - Varejo</v>
          </cell>
          <cell r="B561" t="str">
            <v>Plano Oi Convergente Medium</v>
          </cell>
          <cell r="C561" t="str">
            <v>Template de desconto FLAT bundle - Velox XDSL - Varejo</v>
          </cell>
          <cell r="D561">
            <v>0.52590000000000003</v>
          </cell>
          <cell r="E561" t="str">
            <v>MKT-1-9829549303</v>
          </cell>
          <cell r="F561" t="str">
            <v>0T3T_REJ17_PCS-3PMepi_FLAT_BL_52.59%</v>
          </cell>
          <cell r="G561">
            <v>52.59</v>
          </cell>
        </row>
        <row r="562">
          <cell r="A562" t="str">
            <v>Oi Total Fixo + Banda Larga + TV 30.5259Template de desconto FLAT bundle - Velox XDSL - Varejo</v>
          </cell>
          <cell r="B562" t="str">
            <v>Plano Oi Convergente High</v>
          </cell>
          <cell r="C562" t="str">
            <v>Template de desconto FLAT bundle - Velox XDSL - Varejo</v>
          </cell>
          <cell r="D562">
            <v>0.52590000000000003</v>
          </cell>
          <cell r="E562" t="str">
            <v>MKT-1-9829549786</v>
          </cell>
          <cell r="F562" t="str">
            <v>0T3T_REJ17_PCS-3PHipi_FLAT_BL_52.59%</v>
          </cell>
          <cell r="G562">
            <v>52.59</v>
          </cell>
        </row>
        <row r="563">
          <cell r="A563" t="str">
            <v>Oi Total Fixo + Banda Larga + TV 20.5655Template de desconto FLAT bundle - Velox XDSL - Varejo</v>
          </cell>
          <cell r="B563" t="str">
            <v>Plano Oi Convergente Medium</v>
          </cell>
          <cell r="C563" t="str">
            <v>Template de desconto FLAT bundle - Velox XDSL - Varejo</v>
          </cell>
          <cell r="D563">
            <v>0.5655</v>
          </cell>
          <cell r="E563" t="str">
            <v>MKT-1-9829549929</v>
          </cell>
          <cell r="F563" t="str">
            <v>0T3T_REJ17_PCS-3PMepi_FLAT_BL_56.55%</v>
          </cell>
          <cell r="G563">
            <v>56.55</v>
          </cell>
        </row>
        <row r="564">
          <cell r="A564" t="str">
            <v>Oi Total Fixo + Banda Larga + TV 30.5655Template de desconto FLAT bundle - Velox XDSL - Varejo</v>
          </cell>
          <cell r="B564" t="str">
            <v>Plano Oi Convergente High</v>
          </cell>
          <cell r="C564" t="str">
            <v>Template de desconto FLAT bundle - Velox XDSL - Varejo</v>
          </cell>
          <cell r="D564">
            <v>0.5655</v>
          </cell>
          <cell r="E564" t="str">
            <v>MKT-1-9829575102</v>
          </cell>
          <cell r="F564" t="str">
            <v>0T3T_REJ17_PCS-3PHipi_FLAT_BL_56.55%</v>
          </cell>
          <cell r="G564">
            <v>56.55</v>
          </cell>
        </row>
        <row r="565">
          <cell r="A565" t="str">
            <v>Oi Total Fixo + Banda Larga + TV 10.5734Template de desconto FLAT bundle - Velox XDSL - Varejo</v>
          </cell>
          <cell r="B565" t="str">
            <v>Plano Oi Convergente Low</v>
          </cell>
          <cell r="C565" t="str">
            <v>Template de desconto FLAT bundle - Velox XDSL - Varejo</v>
          </cell>
          <cell r="D565">
            <v>0.57340000000000002</v>
          </cell>
          <cell r="E565" t="str">
            <v>MKT-1-9829575575</v>
          </cell>
          <cell r="F565" t="str">
            <v>0T3T_REJ17_PCS-3PLowpi_FLAT_BL_57.34%</v>
          </cell>
          <cell r="G565">
            <v>57.34</v>
          </cell>
        </row>
        <row r="566">
          <cell r="A566" t="str">
            <v>Oi Total Fixo + Banda Larga + TV 20.5734Template de desconto FLAT bundle - Velox XDSL - Varejo</v>
          </cell>
          <cell r="B566" t="str">
            <v>Plano Oi Convergente Medium</v>
          </cell>
          <cell r="C566" t="str">
            <v>Template de desconto FLAT bundle - Velox XDSL - Varejo</v>
          </cell>
          <cell r="D566">
            <v>0.57340000000000002</v>
          </cell>
          <cell r="E566" t="str">
            <v>MKT-1-9829575928</v>
          </cell>
          <cell r="F566" t="str">
            <v>0T3T_REJ17_PCS-3PMepi_FLAT_BL_57.34%</v>
          </cell>
          <cell r="G566">
            <v>57.34</v>
          </cell>
        </row>
        <row r="567">
          <cell r="A567" t="str">
            <v>Oi Total Fixo + Banda Larga + TV 30.5734Template de desconto FLAT bundle - Velox XDSL - Varejo</v>
          </cell>
          <cell r="B567" t="str">
            <v>Plano Oi Convergente High</v>
          </cell>
          <cell r="C567" t="str">
            <v>Template de desconto FLAT bundle - Velox XDSL - Varejo</v>
          </cell>
          <cell r="D567">
            <v>0.57340000000000002</v>
          </cell>
          <cell r="E567" t="str">
            <v>MKT-1-9829601281</v>
          </cell>
          <cell r="F567" t="str">
            <v>0T3T_REJ17_PCS-3PHipi_FLAT_BL_57.34%</v>
          </cell>
          <cell r="G567">
            <v>57.34</v>
          </cell>
        </row>
        <row r="568">
          <cell r="A568" t="str">
            <v>Oi Total Fixo + Banda Larga + TV 20.609Template de desconto FLAT bundle - Velox XDSL - Varejo</v>
          </cell>
          <cell r="B568" t="str">
            <v>Plano Oi Convergente Medium</v>
          </cell>
          <cell r="C568" t="str">
            <v>Template de desconto FLAT bundle - Velox XDSL - Varejo</v>
          </cell>
          <cell r="D568">
            <v>0.60899999999999999</v>
          </cell>
          <cell r="E568" t="str">
            <v>MKT-1-9829601374</v>
          </cell>
          <cell r="F568" t="str">
            <v>0T3T_REJ17_PCS-3PMepi_FLAT_BL_60.90%</v>
          </cell>
          <cell r="G568">
            <v>60.9</v>
          </cell>
        </row>
        <row r="569">
          <cell r="A569" t="str">
            <v>Oi Total Fixo + Banda Larga + TV 30.609Template de desconto FLAT bundle - Velox XDSL - Varejo</v>
          </cell>
          <cell r="B569" t="str">
            <v>Plano Oi Convergente High</v>
          </cell>
          <cell r="C569" t="str">
            <v>Template de desconto FLAT bundle - Velox XDSL - Varejo</v>
          </cell>
          <cell r="D569">
            <v>0.60899999999999999</v>
          </cell>
          <cell r="E569" t="str">
            <v>MKT-1-9829601707</v>
          </cell>
          <cell r="F569" t="str">
            <v>0T3T_REJ17_PCS-3PHipi_FLAT_BL_60.90%</v>
          </cell>
          <cell r="G569">
            <v>60.9</v>
          </cell>
        </row>
        <row r="570">
          <cell r="A570" t="str">
            <v>Oi Total Fixo + Banda Larga + TV 10.6681Template de desconto FLAT bundle - Velox XDSL - Varejo</v>
          </cell>
          <cell r="B570" t="str">
            <v>Plano Oi Convergente Low</v>
          </cell>
          <cell r="C570" t="str">
            <v>Template de desconto FLAT bundle - Velox XDSL - Varejo</v>
          </cell>
          <cell r="D570">
            <v>0.66810000000000003</v>
          </cell>
          <cell r="E570" t="str">
            <v>MKT-1-9829601820</v>
          </cell>
          <cell r="F570" t="str">
            <v>0T3T_REJ17_PCS-3PLowpi_FLAT_BL_66.81%</v>
          </cell>
          <cell r="G570">
            <v>66.81</v>
          </cell>
        </row>
        <row r="571">
          <cell r="A571" t="str">
            <v>Oi Total Fixo + Banda Larga + TV 20.6681Template de desconto FLAT bundle - Velox XDSL - Varejo</v>
          </cell>
          <cell r="B571" t="str">
            <v>Plano Oi Convergente Medium</v>
          </cell>
          <cell r="C571" t="str">
            <v>Template de desconto FLAT bundle - Velox XDSL - Varejo</v>
          </cell>
          <cell r="D571">
            <v>0.66810000000000003</v>
          </cell>
          <cell r="E571" t="str">
            <v>MKT-1-9829609693</v>
          </cell>
          <cell r="F571" t="str">
            <v>0T3T_REJ17_PCS-3PMepi_FLAT_BL_66.81%</v>
          </cell>
          <cell r="G571">
            <v>66.81</v>
          </cell>
        </row>
        <row r="572">
          <cell r="A572" t="str">
            <v>Oi Total Fixo + Banda Larga + TV 30.6681Template de desconto FLAT bundle - Velox XDSL - Varejo</v>
          </cell>
          <cell r="B572" t="str">
            <v>Plano Oi Convergente High</v>
          </cell>
          <cell r="C572" t="str">
            <v>Template de desconto FLAT bundle - Velox XDSL - Varejo</v>
          </cell>
          <cell r="D572">
            <v>0.66810000000000003</v>
          </cell>
          <cell r="E572" t="str">
            <v>MKT-1-9829609786</v>
          </cell>
          <cell r="F572" t="str">
            <v>0T3T_REJ17_PCS-3PHipi_FLAT_BL_66.81%</v>
          </cell>
          <cell r="G572">
            <v>66.81</v>
          </cell>
        </row>
        <row r="573">
          <cell r="A573" t="str">
            <v>Oi Total Fixo + Banda Larga + TV 20.6919Template de desconto FLAT bundle - Velox XDSL - Varejo</v>
          </cell>
          <cell r="B573" t="str">
            <v>Plano Oi Convergente Medium</v>
          </cell>
          <cell r="C573" t="str">
            <v>Template de desconto FLAT bundle - Velox XDSL - Varejo</v>
          </cell>
          <cell r="D573">
            <v>0.69189999999999996</v>
          </cell>
          <cell r="E573" t="str">
            <v>MKT-1-9829649129</v>
          </cell>
          <cell r="F573" t="str">
            <v>0T3T_REJ17_PCS-3PMepi_FLAT_BL_69.19%</v>
          </cell>
          <cell r="G573">
            <v>69.19</v>
          </cell>
        </row>
        <row r="574">
          <cell r="A574" t="str">
            <v>Oi Total Fixo + Banda Larga + TV 30.6919Template de desconto FLAT bundle - Velox XDSL - Varejo</v>
          </cell>
          <cell r="B574" t="str">
            <v>Plano Oi Convergente High</v>
          </cell>
          <cell r="C574" t="str">
            <v>Template de desconto FLAT bundle - Velox XDSL - Varejo</v>
          </cell>
          <cell r="D574">
            <v>0.69189999999999996</v>
          </cell>
          <cell r="E574" t="str">
            <v>MKT-1-9829702012</v>
          </cell>
          <cell r="F574" t="str">
            <v>0T3T_REJ17_PCS-3PHipi_FLAT_BL_69.19%</v>
          </cell>
          <cell r="G574">
            <v>69.19</v>
          </cell>
        </row>
        <row r="575">
          <cell r="A575" t="str">
            <v>Oi Total Fixo + Banda Larga + TV 20.7689Template de desconto FLAT bundle - Velox XDSL - Varejo</v>
          </cell>
          <cell r="B575" t="str">
            <v>Plano Oi Convergente Medium</v>
          </cell>
          <cell r="C575" t="str">
            <v>Template de desconto FLAT bundle - Velox XDSL - Varejo</v>
          </cell>
          <cell r="D575">
            <v>0.76890000000000003</v>
          </cell>
          <cell r="E575" t="str">
            <v>MKT-1-9829739301</v>
          </cell>
          <cell r="F575" t="str">
            <v>0T3T_REJ17_PCS-3PMepi_FLAT_BL_76.89%</v>
          </cell>
          <cell r="G575">
            <v>76.89</v>
          </cell>
        </row>
        <row r="576">
          <cell r="A576" t="str">
            <v>Oi Total Fixo + Banda Larga + TV 30.7689Template de desconto FLAT bundle - Velox XDSL - Varejo</v>
          </cell>
          <cell r="B576" t="str">
            <v>Plano Oi Convergente High</v>
          </cell>
          <cell r="C576" t="str">
            <v>Template de desconto FLAT bundle - Velox XDSL - Varejo</v>
          </cell>
          <cell r="D576">
            <v>0.76890000000000003</v>
          </cell>
          <cell r="E576" t="str">
            <v>MKT-1-9829739394</v>
          </cell>
          <cell r="F576" t="str">
            <v>0T3T_REJ17_PCS-3PHipi_FLAT_BL_76.89%</v>
          </cell>
          <cell r="G576">
            <v>76.89</v>
          </cell>
        </row>
        <row r="577">
          <cell r="A577" t="str">
            <v>Oi Total Fixo + Banda Larga + TV 10.7155Template de desconto FLAT bundle - Velox XDSL - Varejo</v>
          </cell>
          <cell r="B577" t="str">
            <v>Plano Oi Convergente Low</v>
          </cell>
          <cell r="C577" t="str">
            <v>Template de desconto FLAT bundle - Velox XDSL - Varejo</v>
          </cell>
          <cell r="D577">
            <v>0.71550000000000002</v>
          </cell>
          <cell r="E577" t="str">
            <v>MKT-1-9829739487</v>
          </cell>
          <cell r="F577" t="str">
            <v>0T3T_REJ17_PCS-3PLowpi_FLAT_BL_71.55%</v>
          </cell>
          <cell r="G577">
            <v>71.55</v>
          </cell>
        </row>
        <row r="578">
          <cell r="A578" t="str">
            <v>Oi Total Fixo + Banda Larga + TV 20.7155Template de desconto FLAT bundle - Velox XDSL - Varejo</v>
          </cell>
          <cell r="B578" t="str">
            <v>Plano Oi Convergente Medium</v>
          </cell>
          <cell r="C578" t="str">
            <v>Template de desconto FLAT bundle - Velox XDSL - Varejo</v>
          </cell>
          <cell r="D578">
            <v>0.71550000000000002</v>
          </cell>
          <cell r="E578" t="str">
            <v>MKT-1-9829739580</v>
          </cell>
          <cell r="F578" t="str">
            <v>0T3T_REJ17_PCS-3PMepi_FLAT_BL_71.55%</v>
          </cell>
          <cell r="G578">
            <v>71.55</v>
          </cell>
        </row>
        <row r="579">
          <cell r="A579" t="str">
            <v>Oi Total Fixo + Banda Larga + TV 30.7155Template de desconto FLAT bundle - Velox XDSL - Varejo</v>
          </cell>
          <cell r="B579" t="str">
            <v>Plano Oi Convergente High</v>
          </cell>
          <cell r="C579" t="str">
            <v>Template de desconto FLAT bundle - Velox XDSL - Varejo</v>
          </cell>
          <cell r="D579">
            <v>0.71550000000000002</v>
          </cell>
          <cell r="E579" t="str">
            <v>MKT-1-9829739673</v>
          </cell>
          <cell r="F579" t="str">
            <v>0T3T_REJ17_PCS-3PHipi_FLAT_BL_71.55%</v>
          </cell>
          <cell r="G579">
            <v>71.55</v>
          </cell>
        </row>
        <row r="580">
          <cell r="A580" t="str">
            <v>Oi Total Fixo + Banda Larga + TV 20.7333Template de desconto FLAT bundle - Velox XDSL - Varejo</v>
          </cell>
          <cell r="B580" t="str">
            <v>Plano Oi Convergente Medium</v>
          </cell>
          <cell r="C580" t="str">
            <v>Template de desconto FLAT bundle - Velox XDSL - Varejo</v>
          </cell>
          <cell r="D580">
            <v>0.73329999999999995</v>
          </cell>
          <cell r="E580" t="str">
            <v>MKT-1-9829739766</v>
          </cell>
          <cell r="F580" t="str">
            <v>0T3T_REJ17_PCS-3PMepi_FLAT_BL_73.33%</v>
          </cell>
          <cell r="G580">
            <v>73.33</v>
          </cell>
        </row>
        <row r="581">
          <cell r="A581" t="str">
            <v>Oi Total Fixo + Banda Larga + TV 30.7333Template de desconto FLAT bundle - Velox XDSL - Varejo</v>
          </cell>
          <cell r="B581" t="str">
            <v>Plano Oi Convergente High</v>
          </cell>
          <cell r="C581" t="str">
            <v>Template de desconto FLAT bundle - Velox XDSL - Varejo</v>
          </cell>
          <cell r="D581">
            <v>0.73329999999999995</v>
          </cell>
          <cell r="E581" t="str">
            <v>MKT-1-9829739859</v>
          </cell>
          <cell r="F581" t="str">
            <v>0T3T_REJ17_PCS-3PHipi_FLAT_BL_73.33%</v>
          </cell>
          <cell r="G581">
            <v>73.33</v>
          </cell>
        </row>
        <row r="582">
          <cell r="A582" t="str">
            <v>Oi Total Fixo + Pós 100 + Banda Larga0.4852Template de desconto FLAT bundle - Velox XDSL - Varejo</v>
          </cell>
          <cell r="B582" t="str">
            <v>Plano Oi Completo Small</v>
          </cell>
          <cell r="C582" t="str">
            <v>Template de desconto FLAT bundle - Velox XDSL - Varejo</v>
          </cell>
          <cell r="D582">
            <v>0.48520000000000002</v>
          </cell>
          <cell r="E582" t="str">
            <v>MKT-1-9829739952</v>
          </cell>
          <cell r="F582" t="str">
            <v>0T3T_REJ17_PCS-4P3pi_FLAT_BL_48.52%</v>
          </cell>
          <cell r="G582">
            <v>48.52</v>
          </cell>
        </row>
        <row r="583">
          <cell r="A583" t="str">
            <v>Oi Total Fixo + Pós 250 + Banda Larga0.4852Template de desconto FLAT bundle - Velox XDSL - Varejo</v>
          </cell>
          <cell r="B583" t="str">
            <v>Plano Oi Completo Medium</v>
          </cell>
          <cell r="C583" t="str">
            <v>Template de desconto FLAT bundle - Velox XDSL - Varejo</v>
          </cell>
          <cell r="D583">
            <v>0.48520000000000002</v>
          </cell>
          <cell r="E583" t="str">
            <v>MKT-1-9829740045</v>
          </cell>
          <cell r="F583" t="str">
            <v>0T3T_REJ17_PCS-4P4pi_FLAT_BL_48.52%</v>
          </cell>
          <cell r="G583">
            <v>48.52</v>
          </cell>
        </row>
        <row r="584">
          <cell r="A584" t="str">
            <v>Oi Total Fixo + Pós Conectado 500 + Banda Larga0.4852Template de desconto FLAT bundle - Velox XDSL - Varejo</v>
          </cell>
          <cell r="B584" t="str">
            <v>Plano Oi Completo 500</v>
          </cell>
          <cell r="C584" t="str">
            <v>Template de desconto FLAT bundle - Velox XDSL - Varejo</v>
          </cell>
          <cell r="D584">
            <v>0.48520000000000002</v>
          </cell>
          <cell r="E584" t="str">
            <v>MKT-1-9831310138</v>
          </cell>
          <cell r="F584" t="str">
            <v>0T3T_REJ17_PCS-4P8pi_FLAT_BL_48.52%</v>
          </cell>
          <cell r="G584">
            <v>48.52</v>
          </cell>
        </row>
        <row r="585">
          <cell r="A585" t="str">
            <v>Oi Total Fixo + Pós Conectado 1.000 + Banda Larga0.4852Template de desconto FLAT bundle - Velox XDSL - Varejo</v>
          </cell>
          <cell r="B585" t="str">
            <v>Plano Oi Completo 1.000</v>
          </cell>
          <cell r="C585" t="str">
            <v>Template de desconto FLAT bundle - Velox XDSL - Varejo</v>
          </cell>
          <cell r="D585">
            <v>0.48520000000000002</v>
          </cell>
          <cell r="E585" t="str">
            <v>MKT-1-9831310231</v>
          </cell>
          <cell r="F585" t="str">
            <v>0T3T_REJ17_PCS-4P10pi_FLAT_BL_48.52%</v>
          </cell>
          <cell r="G585">
            <v>48.52</v>
          </cell>
        </row>
        <row r="586">
          <cell r="A586" t="str">
            <v>Oi Total Fixo + Pós Conectado Mais + Banda Larga0.4852Template de desconto FLAT bundle - Velox XDSL - Varejo</v>
          </cell>
          <cell r="B586" t="str">
            <v>Plano Oi Completo Mais</v>
          </cell>
          <cell r="C586" t="str">
            <v>Template de desconto FLAT bundle - Velox XDSL - Varejo</v>
          </cell>
          <cell r="D586">
            <v>0.48520000000000002</v>
          </cell>
          <cell r="E586" t="str">
            <v>MKT-1-9831310324</v>
          </cell>
          <cell r="F586" t="str">
            <v>0T3T_REJ17_PCS-4P9pi_FLAT_BL_48.52%</v>
          </cell>
          <cell r="G586">
            <v>48.52</v>
          </cell>
        </row>
        <row r="587">
          <cell r="A587" t="str">
            <v>Oi Total Fixo + Pós 100 + Banda Larga0.4922Template de desconto FLAT bundle - Velox XDSL - Varejo</v>
          </cell>
          <cell r="B587" t="str">
            <v>Plano Oi Completo Small</v>
          </cell>
          <cell r="C587" t="str">
            <v>Template de desconto FLAT bundle - Velox XDSL - Varejo</v>
          </cell>
          <cell r="D587">
            <v>0.49219999999999997</v>
          </cell>
          <cell r="E587" t="str">
            <v>MKT-1-9831310417</v>
          </cell>
          <cell r="F587" t="str">
            <v>0T3T_REJ17_PCS-4P3pi_FLAT_BL_49.22%</v>
          </cell>
          <cell r="G587">
            <v>49.22</v>
          </cell>
        </row>
        <row r="588">
          <cell r="A588" t="str">
            <v>Oi Total Fixo + Pós 250 + Banda Larga0.4922Template de desconto FLAT bundle - Velox XDSL - Varejo</v>
          </cell>
          <cell r="B588" t="str">
            <v>Plano Oi Completo Medium</v>
          </cell>
          <cell r="C588" t="str">
            <v>Template de desconto FLAT bundle - Velox XDSL - Varejo</v>
          </cell>
          <cell r="D588">
            <v>0.49219999999999997</v>
          </cell>
          <cell r="E588" t="str">
            <v>MKT-1-9831310510</v>
          </cell>
          <cell r="F588" t="str">
            <v>0T3T_REJ17_PCS-4P4pi_FLAT_BL_49.22%</v>
          </cell>
          <cell r="G588">
            <v>49.22</v>
          </cell>
        </row>
        <row r="589">
          <cell r="A589" t="str">
            <v>Oi Total Fixo + Pós Conectado 500 + Banda Larga0.4922Template de desconto FLAT bundle - Velox XDSL - Varejo</v>
          </cell>
          <cell r="B589" t="str">
            <v>Plano Oi Completo 500</v>
          </cell>
          <cell r="C589" t="str">
            <v>Template de desconto FLAT bundle - Velox XDSL - Varejo</v>
          </cell>
          <cell r="D589">
            <v>0.49219999999999997</v>
          </cell>
          <cell r="E589" t="str">
            <v>MKT-1-9831310603</v>
          </cell>
          <cell r="F589" t="str">
            <v>0T3T_REJ17_PCS-4P8pi_FLAT_BL_49.22%</v>
          </cell>
          <cell r="G589">
            <v>49.22</v>
          </cell>
        </row>
        <row r="590">
          <cell r="A590" t="str">
            <v>Oi Total Fixo + Pós Conectado 1.000 + Banda Larga0.4922Template de desconto FLAT bundle - Velox XDSL - Varejo</v>
          </cell>
          <cell r="B590" t="str">
            <v>Plano Oi Completo 1.000</v>
          </cell>
          <cell r="C590" t="str">
            <v>Template de desconto FLAT bundle - Velox XDSL - Varejo</v>
          </cell>
          <cell r="D590">
            <v>0.49219999999999997</v>
          </cell>
          <cell r="E590" t="str">
            <v>MKT-1-9831310696</v>
          </cell>
          <cell r="F590" t="str">
            <v>0T3T_REJ17_PCS-4P10pi_FLAT_BL_49.22%</v>
          </cell>
          <cell r="G590">
            <v>49.22</v>
          </cell>
        </row>
        <row r="591">
          <cell r="A591" t="str">
            <v>Oi Total Fixo + Pós Conectado Mais + Banda Larga0.4922Template de desconto FLAT bundle - Velox XDSL - Varejo</v>
          </cell>
          <cell r="B591" t="str">
            <v>Plano Oi Completo Mais</v>
          </cell>
          <cell r="C591" t="str">
            <v>Template de desconto FLAT bundle - Velox XDSL - Varejo</v>
          </cell>
          <cell r="D591">
            <v>0.49219999999999997</v>
          </cell>
          <cell r="E591" t="str">
            <v>MKT-1-9831310789</v>
          </cell>
          <cell r="F591" t="str">
            <v>0T3T_REJ17_PCS-4P9pi_FLAT_BL_49.22%</v>
          </cell>
          <cell r="G591">
            <v>49.22</v>
          </cell>
        </row>
        <row r="592">
          <cell r="A592" t="str">
            <v>Oi Total Fixo + Pós 100 + Banda Larga0.4667Template de desconto FLAT bundle - Velox XDSL - Varejo</v>
          </cell>
          <cell r="B592" t="str">
            <v>Plano Oi Completo Small</v>
          </cell>
          <cell r="C592" t="str">
            <v>Template de desconto FLAT bundle - Velox XDSL - Varejo</v>
          </cell>
          <cell r="D592">
            <v>0.4667</v>
          </cell>
          <cell r="E592" t="str">
            <v>MKT-1-9831310882</v>
          </cell>
          <cell r="F592" t="str">
            <v>0T3T_REJ17_PCS-4P3pi_FLAT_BL_46.67%</v>
          </cell>
          <cell r="G592">
            <v>46.67</v>
          </cell>
        </row>
        <row r="593">
          <cell r="A593" t="str">
            <v>Oi Total Fixo + Pós 250 + Banda Larga0.4667Template de desconto FLAT bundle - Velox XDSL - Varejo</v>
          </cell>
          <cell r="B593" t="str">
            <v>Plano Oi Completo Medium</v>
          </cell>
          <cell r="C593" t="str">
            <v>Template de desconto FLAT bundle - Velox XDSL - Varejo</v>
          </cell>
          <cell r="D593">
            <v>0.4667</v>
          </cell>
          <cell r="E593" t="str">
            <v>MKT-1-9831310975</v>
          </cell>
          <cell r="F593" t="str">
            <v>0T3T_REJ17_PCS-4P4pi_FLAT_BL_46.67%</v>
          </cell>
          <cell r="G593">
            <v>46.67</v>
          </cell>
        </row>
        <row r="594">
          <cell r="A594" t="str">
            <v>Oi Total Fixo + Pós Conectado 500 + Banda Larga0.4667Template de desconto FLAT bundle - Velox XDSL - Varejo</v>
          </cell>
          <cell r="B594" t="str">
            <v>Plano Oi Completo 500</v>
          </cell>
          <cell r="C594" t="str">
            <v>Template de desconto FLAT bundle - Velox XDSL - Varejo</v>
          </cell>
          <cell r="D594">
            <v>0.4667</v>
          </cell>
          <cell r="E594" t="str">
            <v>MKT-1-9831311068</v>
          </cell>
          <cell r="F594" t="str">
            <v>0T3T_REJ17_PCS-4P8pi_FLAT_BL_46.67%</v>
          </cell>
          <cell r="G594">
            <v>46.67</v>
          </cell>
        </row>
        <row r="595">
          <cell r="A595" t="str">
            <v>Oi Total Fixo + Pós Conectado 1.000 + Banda Larga0.4667Template de desconto FLAT bundle - Velox XDSL - Varejo</v>
          </cell>
          <cell r="B595" t="str">
            <v>Plano Oi Completo 1.000</v>
          </cell>
          <cell r="C595" t="str">
            <v>Template de desconto FLAT bundle - Velox XDSL - Varejo</v>
          </cell>
          <cell r="D595">
            <v>0.4667</v>
          </cell>
          <cell r="E595" t="str">
            <v>MKT-1-9831333161</v>
          </cell>
          <cell r="F595" t="str">
            <v>0T3T_REJ17_PCS-4P10pi_FLAT_BL_46.67%</v>
          </cell>
          <cell r="G595">
            <v>46.67</v>
          </cell>
        </row>
        <row r="596">
          <cell r="A596" t="str">
            <v>Oi Total Fixo + Pós Conectado Mais + Banda Larga0.4667Template de desconto FLAT bundle - Velox XDSL - Varejo</v>
          </cell>
          <cell r="B596" t="str">
            <v>Plano Oi Completo Mais</v>
          </cell>
          <cell r="C596" t="str">
            <v>Template de desconto FLAT bundle - Velox XDSL - Varejo</v>
          </cell>
          <cell r="D596">
            <v>0.4667</v>
          </cell>
          <cell r="E596" t="str">
            <v>MKT-1-9831333254</v>
          </cell>
          <cell r="F596" t="str">
            <v>0T3T_REJ17_PCS-4P9pi_FLAT_BL_46.67%</v>
          </cell>
          <cell r="G596">
            <v>46.67</v>
          </cell>
        </row>
        <row r="597">
          <cell r="A597" t="str">
            <v>Oi Total Fixo + Pós 100 + Banda Larga0.5259Template de desconto FLAT bundle - Velox XDSL - Varejo</v>
          </cell>
          <cell r="B597" t="str">
            <v>Plano Oi Completo Small</v>
          </cell>
          <cell r="C597" t="str">
            <v>Template de desconto FLAT bundle - Velox XDSL - Varejo</v>
          </cell>
          <cell r="D597">
            <v>0.52590000000000003</v>
          </cell>
          <cell r="E597" t="str">
            <v>MKT-1-9831333347</v>
          </cell>
          <cell r="F597" t="str">
            <v>0T3T_REJ17_PCS-4P3pi_FLAT_BL_52.59%</v>
          </cell>
          <cell r="G597">
            <v>52.59</v>
          </cell>
        </row>
        <row r="598">
          <cell r="A598" t="str">
            <v>Oi Total Fixo + Pós 250 + Banda Larga0.5259Template de desconto FLAT bundle - Velox XDSL - Varejo</v>
          </cell>
          <cell r="B598" t="str">
            <v>Plano Oi Completo Medium</v>
          </cell>
          <cell r="C598" t="str">
            <v>Template de desconto FLAT bundle - Velox XDSL - Varejo</v>
          </cell>
          <cell r="D598">
            <v>0.52590000000000003</v>
          </cell>
          <cell r="E598" t="str">
            <v>MKT-1-9831333440</v>
          </cell>
          <cell r="F598" t="str">
            <v>0T3T_REJ17_PCS-4P4pi_FLAT_BL_52.59%</v>
          </cell>
          <cell r="G598">
            <v>52.59</v>
          </cell>
        </row>
        <row r="599">
          <cell r="A599" t="str">
            <v>Oi Total Fixo + Pós Conectado 500 + Banda Larga0.5259Template de desconto FLAT bundle - Velox XDSL - Varejo</v>
          </cell>
          <cell r="B599" t="str">
            <v>Plano Oi Completo 500</v>
          </cell>
          <cell r="C599" t="str">
            <v>Template de desconto FLAT bundle - Velox XDSL - Varejo</v>
          </cell>
          <cell r="D599">
            <v>0.52590000000000003</v>
          </cell>
          <cell r="E599" t="str">
            <v>MKT-1-9831333533</v>
          </cell>
          <cell r="F599" t="str">
            <v>0T3T_REJ17_PCS-4P8pi_FLAT_BL_52.59%</v>
          </cell>
          <cell r="G599">
            <v>52.59</v>
          </cell>
        </row>
        <row r="600">
          <cell r="A600" t="str">
            <v>Oi Total Fixo + Pós Conectado 1.000 + Banda Larga0.5259Template de desconto FLAT bundle - Velox XDSL - Varejo</v>
          </cell>
          <cell r="B600" t="str">
            <v>Plano Oi Completo 1.000</v>
          </cell>
          <cell r="C600" t="str">
            <v>Template de desconto FLAT bundle - Velox XDSL - Varejo</v>
          </cell>
          <cell r="D600">
            <v>0.52590000000000003</v>
          </cell>
          <cell r="E600" t="str">
            <v>MKT-1-9831333626</v>
          </cell>
          <cell r="F600" t="str">
            <v>0T3T_REJ17_PCS-4P10pi_FLAT_BL_52.59%</v>
          </cell>
          <cell r="G600">
            <v>52.59</v>
          </cell>
        </row>
        <row r="601">
          <cell r="A601" t="str">
            <v>Oi Total Fixo + Pós Conectado Mais + Banda Larga0.5259Template de desconto FLAT bundle - Velox XDSL - Varejo</v>
          </cell>
          <cell r="B601" t="str">
            <v>Plano Oi Completo Mais</v>
          </cell>
          <cell r="C601" t="str">
            <v>Template de desconto FLAT bundle - Velox XDSL - Varejo</v>
          </cell>
          <cell r="D601">
            <v>0.52590000000000003</v>
          </cell>
          <cell r="E601" t="str">
            <v>MKT-1-9831333719</v>
          </cell>
          <cell r="F601" t="str">
            <v>0T3T_REJ17_PCS-4P9pi_FLAT_BL_52.59%</v>
          </cell>
          <cell r="G601">
            <v>52.59</v>
          </cell>
        </row>
        <row r="602">
          <cell r="A602" t="str">
            <v>Oi Total Fixo + Pós 100 + Banda Larga0.5734Template de desconto FLAT bundle - Velox XDSL - Varejo</v>
          </cell>
          <cell r="B602" t="str">
            <v>Plano Oi Completo Small</v>
          </cell>
          <cell r="C602" t="str">
            <v>Template de desconto FLAT bundle - Velox XDSL - Varejo</v>
          </cell>
          <cell r="D602">
            <v>0.57340000000000002</v>
          </cell>
          <cell r="E602" t="str">
            <v>MKT-1-9831333812</v>
          </cell>
          <cell r="F602" t="str">
            <v>0T3T_REJ17_PCS-4P3pi_FLAT_BL_57.34%</v>
          </cell>
          <cell r="G602">
            <v>57.34</v>
          </cell>
        </row>
        <row r="603">
          <cell r="A603" t="str">
            <v>Oi Total Fixo + Pós 250 + Banda Larga0.5734Template de desconto FLAT bundle - Velox XDSL - Varejo</v>
          </cell>
          <cell r="B603" t="str">
            <v>Plano Oi Completo Medium</v>
          </cell>
          <cell r="C603" t="str">
            <v>Template de desconto FLAT bundle - Velox XDSL - Varejo</v>
          </cell>
          <cell r="D603">
            <v>0.57340000000000002</v>
          </cell>
          <cell r="E603" t="str">
            <v>MKT-1-9831333905</v>
          </cell>
          <cell r="F603" t="str">
            <v>0T3T_REJ17_PCS-4P4pi_FLAT_BL_57.34%</v>
          </cell>
          <cell r="G603">
            <v>57.34</v>
          </cell>
        </row>
        <row r="604">
          <cell r="A604" t="str">
            <v>Oi Total Fixo + Pós Conectado 500 + Banda Larga0.5734Template de desconto FLAT bundle - Velox XDSL - Varejo</v>
          </cell>
          <cell r="B604" t="str">
            <v>Plano Oi Completo 500</v>
          </cell>
          <cell r="C604" t="str">
            <v>Template de desconto FLAT bundle - Velox XDSL - Varejo</v>
          </cell>
          <cell r="D604">
            <v>0.57340000000000002</v>
          </cell>
          <cell r="E604" t="str">
            <v>MKT-1-9831333998</v>
          </cell>
          <cell r="F604" t="str">
            <v>0T3T_REJ17_PCS-4P8pi_FLAT_BL_57.34%</v>
          </cell>
          <cell r="G604">
            <v>57.34</v>
          </cell>
        </row>
        <row r="605">
          <cell r="A605" t="str">
            <v>Oi Total Fixo + Pós Conectado 1.000 + Banda Larga0.5734Template de desconto FLAT bundle - Velox XDSL - Varejo</v>
          </cell>
          <cell r="B605" t="str">
            <v>Plano Oi Completo 1.000</v>
          </cell>
          <cell r="C605" t="str">
            <v>Template de desconto FLAT bundle - Velox XDSL - Varejo</v>
          </cell>
          <cell r="D605">
            <v>0.57340000000000002</v>
          </cell>
          <cell r="E605" t="str">
            <v>MKT-1-9831334091</v>
          </cell>
          <cell r="F605" t="str">
            <v>0T3T_REJ17_PCS-4P10pi_FLAT_BL_57.34%</v>
          </cell>
          <cell r="G605">
            <v>57.34</v>
          </cell>
        </row>
        <row r="606">
          <cell r="A606" t="str">
            <v>Oi Total Fixo + Pós Conectado Mais + Banda Larga0.5734Template de desconto FLAT bundle - Velox XDSL - Varejo</v>
          </cell>
          <cell r="B606" t="str">
            <v>Plano Oi Completo Mais</v>
          </cell>
          <cell r="C606" t="str">
            <v>Template de desconto FLAT bundle - Velox XDSL - Varejo</v>
          </cell>
          <cell r="D606">
            <v>0.57340000000000002</v>
          </cell>
          <cell r="E606" t="str">
            <v>MKT-1-9831375194</v>
          </cell>
          <cell r="F606" t="str">
            <v>0T3T_REJ17_PCS-4P9pi_FLAT_BL_57.34%</v>
          </cell>
          <cell r="G606">
            <v>57.34</v>
          </cell>
        </row>
        <row r="607">
          <cell r="A607" t="str">
            <v>Oi Total Fixo + Pós 100 + Banda Larga0.6681Template de desconto FLAT bundle - Velox XDSL - Varejo</v>
          </cell>
          <cell r="B607" t="str">
            <v>Plano Oi Completo Small</v>
          </cell>
          <cell r="C607" t="str">
            <v>Template de desconto FLAT bundle - Velox XDSL - Varejo</v>
          </cell>
          <cell r="D607">
            <v>0.66810000000000003</v>
          </cell>
          <cell r="E607" t="str">
            <v>MKT-1-9831375487</v>
          </cell>
          <cell r="F607" t="str">
            <v>0T3T_REJ17_PCS-4P3pi_FLAT_BL_66.81%</v>
          </cell>
          <cell r="G607">
            <v>66.81</v>
          </cell>
        </row>
        <row r="608">
          <cell r="A608" t="str">
            <v>Oi Total Fixo + Pós 250 + Banda Larga0.6681Template de desconto FLAT bundle - Velox XDSL - Varejo</v>
          </cell>
          <cell r="B608" t="str">
            <v>Plano Oi Completo Medium</v>
          </cell>
          <cell r="C608" t="str">
            <v>Template de desconto FLAT bundle - Velox XDSL - Varejo</v>
          </cell>
          <cell r="D608">
            <v>0.66810000000000003</v>
          </cell>
          <cell r="E608" t="str">
            <v>MKT-1-9831375780</v>
          </cell>
          <cell r="F608" t="str">
            <v>0T3T_REJ17_PCS-4P4pi_FLAT_BL_66.81%</v>
          </cell>
          <cell r="G608">
            <v>66.81</v>
          </cell>
        </row>
        <row r="609">
          <cell r="A609" t="str">
            <v>Oi Total Fixo + Pós Conectado 500 + Banda Larga0.6681Template de desconto FLAT bundle - Velox XDSL - Varejo</v>
          </cell>
          <cell r="B609" t="str">
            <v>Plano Oi Completo 500</v>
          </cell>
          <cell r="C609" t="str">
            <v>Template de desconto FLAT bundle - Velox XDSL - Varejo</v>
          </cell>
          <cell r="D609">
            <v>0.66810000000000003</v>
          </cell>
          <cell r="E609" t="str">
            <v>MKT-1-9831375873</v>
          </cell>
          <cell r="F609" t="str">
            <v>0T3T_REJ17_PCS-4P8pi_FLAT_BL_66.81%</v>
          </cell>
          <cell r="G609">
            <v>66.81</v>
          </cell>
        </row>
        <row r="610">
          <cell r="A610" t="str">
            <v>Oi Total Fixo + Pós Conectado 1.000 + Banda Larga0.6681Template de desconto FLAT bundle - Velox XDSL - Varejo</v>
          </cell>
          <cell r="B610" t="str">
            <v>Plano Oi Completo 1.000</v>
          </cell>
          <cell r="C610" t="str">
            <v>Template de desconto FLAT bundle - Velox XDSL - Varejo</v>
          </cell>
          <cell r="D610">
            <v>0.66810000000000003</v>
          </cell>
          <cell r="E610" t="str">
            <v>MKT-1-9831397166</v>
          </cell>
          <cell r="F610" t="str">
            <v>0T3T_REJ17_PCS-4P10pi_FLAT_BL_66.81%</v>
          </cell>
          <cell r="G610">
            <v>66.81</v>
          </cell>
        </row>
        <row r="611">
          <cell r="A611" t="str">
            <v>Oi Total Fixo + Pós Conectado Mais + Banda Larga0.6681Template de desconto FLAT bundle - Velox XDSL - Varejo</v>
          </cell>
          <cell r="B611" t="str">
            <v>Plano Oi Completo Mais</v>
          </cell>
          <cell r="C611" t="str">
            <v>Template de desconto FLAT bundle - Velox XDSL - Varejo</v>
          </cell>
          <cell r="D611">
            <v>0.66810000000000003</v>
          </cell>
          <cell r="E611" t="str">
            <v>MKT-1-9831397259</v>
          </cell>
          <cell r="F611" t="str">
            <v>0T3T_REJ17_PCS-4P9pi_FLAT_BL_66.81%</v>
          </cell>
          <cell r="G611">
            <v>66.81</v>
          </cell>
        </row>
        <row r="612">
          <cell r="A612" t="str">
            <v>Oi Total Fixo + Pós 250 + Banda Larga0.7511Template de desconto FLAT bundle - Velox XDSL - Varejo</v>
          </cell>
          <cell r="B612" t="str">
            <v>Plano Oi Completo Medium</v>
          </cell>
          <cell r="C612" t="str">
            <v>Template de desconto FLAT bundle - Velox XDSL - Varejo</v>
          </cell>
          <cell r="D612">
            <v>0.75109999999999999</v>
          </cell>
          <cell r="E612" t="str">
            <v>MKT-1-9831397542</v>
          </cell>
          <cell r="F612" t="str">
            <v>0T3T_REJ17_PCS-4P4pi_FLAT_BL_75.11%</v>
          </cell>
          <cell r="G612">
            <v>75.11</v>
          </cell>
        </row>
        <row r="613">
          <cell r="A613" t="str">
            <v>Oi Total Fixo + Pós 100 + Banda Larga0.7155Template de desconto FLAT bundle - Velox XDSL - Varejo</v>
          </cell>
          <cell r="B613" t="str">
            <v>Plano Oi Completo Small</v>
          </cell>
          <cell r="C613" t="str">
            <v>Template de desconto FLAT bundle - Velox XDSL - Varejo</v>
          </cell>
          <cell r="D613">
            <v>0.71550000000000002</v>
          </cell>
          <cell r="E613" t="str">
            <v>MKT-1-9831397655</v>
          </cell>
          <cell r="F613" t="str">
            <v>0T3T_REJ17_PCS-4P3pi_FLAT_BL_71.55%</v>
          </cell>
          <cell r="G613">
            <v>71.55</v>
          </cell>
        </row>
        <row r="614">
          <cell r="A614" t="str">
            <v>Oi Total Fixo + Pós 250 + Banda Larga0.7155Template de desconto FLAT bundle - Velox XDSL - Varejo</v>
          </cell>
          <cell r="B614" t="str">
            <v>Plano Oi Completo Medium</v>
          </cell>
          <cell r="C614" t="str">
            <v>Template de desconto FLAT bundle - Velox XDSL - Varejo</v>
          </cell>
          <cell r="D614">
            <v>0.71550000000000002</v>
          </cell>
          <cell r="E614" t="str">
            <v>MKT-1-9831398021</v>
          </cell>
          <cell r="F614" t="str">
            <v>0T3T_REJ17_PCS-4P4pi_FLAT_BL_71.55%</v>
          </cell>
          <cell r="G614">
            <v>71.55</v>
          </cell>
        </row>
        <row r="615">
          <cell r="A615" t="str">
            <v>Oi Total Fixo + Pós Conectado 500 + Banda Larga0.7155Template de desconto FLAT bundle - Velox XDSL - Varejo</v>
          </cell>
          <cell r="B615" t="str">
            <v>Plano Oi Completo 500</v>
          </cell>
          <cell r="C615" t="str">
            <v>Template de desconto FLAT bundle - Velox XDSL - Varejo</v>
          </cell>
          <cell r="D615">
            <v>0.71550000000000002</v>
          </cell>
          <cell r="E615" t="str">
            <v>MKT-1-9831487224</v>
          </cell>
          <cell r="F615" t="str">
            <v>0T3T_REJ17_PCS-4P8pi_FLAT_BL_71.55%</v>
          </cell>
          <cell r="G615">
            <v>71.55</v>
          </cell>
        </row>
        <row r="616">
          <cell r="A616" t="str">
            <v>Oi Total Fixo + Pós Conectado 1.000 + Banda Larga0.7155Template de desconto FLAT bundle - Velox XDSL - Varejo</v>
          </cell>
          <cell r="B616" t="str">
            <v>Plano Oi Completo 1.000</v>
          </cell>
          <cell r="C616" t="str">
            <v>Template de desconto FLAT bundle - Velox XDSL - Varejo</v>
          </cell>
          <cell r="D616">
            <v>0.71550000000000002</v>
          </cell>
          <cell r="E616" t="str">
            <v>MKT-1-9831487427</v>
          </cell>
          <cell r="F616" t="str">
            <v>0T3T_REJ17_PCS-4P10pi_FLAT_BL_71.55%</v>
          </cell>
          <cell r="G616">
            <v>71.55</v>
          </cell>
        </row>
        <row r="617">
          <cell r="A617" t="str">
            <v>Oi Total Fixo + Pós Conectado Mais + Banda Larga0.7155Template de desconto FLAT bundle - Velox XDSL - Varejo</v>
          </cell>
          <cell r="B617" t="str">
            <v>Plano Oi Completo Mais</v>
          </cell>
          <cell r="C617" t="str">
            <v>Template de desconto FLAT bundle - Velox XDSL - Varejo</v>
          </cell>
          <cell r="D617">
            <v>0.71550000000000002</v>
          </cell>
          <cell r="E617" t="str">
            <v>MKT-1-9831487590</v>
          </cell>
          <cell r="F617" t="str">
            <v>0T3T_REJ17_PCS-4P9pi_FLAT_BL_71.55%</v>
          </cell>
          <cell r="G617">
            <v>71.55</v>
          </cell>
        </row>
        <row r="618">
          <cell r="A618" t="str">
            <v>Oi Total Fixo + Pós 500 + Banda Larga0.4852Template de desconto FLAT bundle - Velox XDSL - Varejo</v>
          </cell>
          <cell r="B618" t="str">
            <v>Plano Oi Completo Large</v>
          </cell>
          <cell r="C618" t="str">
            <v>Template de desconto FLAT bundle - Velox XDSL - Varejo</v>
          </cell>
          <cell r="D618">
            <v>0.48520000000000002</v>
          </cell>
          <cell r="E618" t="str">
            <v>MKT-1-9831487793</v>
          </cell>
          <cell r="F618" t="str">
            <v>0T3T_REJ17_PCS-4P5pi_FLAT_BL_48.52%</v>
          </cell>
          <cell r="G618">
            <v>48.52</v>
          </cell>
        </row>
        <row r="619">
          <cell r="A619" t="str">
            <v>Oi Total Fixo + Pós 500 + Banda Larga0.4922Template de desconto FLAT bundle - Velox XDSL - Varejo</v>
          </cell>
          <cell r="B619" t="str">
            <v>Plano Oi Completo Large</v>
          </cell>
          <cell r="C619" t="str">
            <v>Template de desconto FLAT bundle - Velox XDSL - Varejo</v>
          </cell>
          <cell r="D619">
            <v>0.49219999999999997</v>
          </cell>
          <cell r="E619" t="str">
            <v>MKT-1-9831487996</v>
          </cell>
          <cell r="F619" t="str">
            <v>0T3T_REJ17_PCS-4P5pi_FLAT_BL_49.22%</v>
          </cell>
          <cell r="G619">
            <v>49.22</v>
          </cell>
        </row>
        <row r="620">
          <cell r="A620" t="str">
            <v>Oi Total Fixo + Pós 500 + Banda Larga0.4667Template de desconto FLAT bundle - Velox XDSL - Varejo</v>
          </cell>
          <cell r="B620" t="str">
            <v>Plano Oi Completo Large</v>
          </cell>
          <cell r="C620" t="str">
            <v>Template de desconto FLAT bundle - Velox XDSL - Varejo</v>
          </cell>
          <cell r="D620">
            <v>0.4667</v>
          </cell>
          <cell r="E620" t="str">
            <v>MKT-1-9831488089</v>
          </cell>
          <cell r="F620" t="str">
            <v>0T3T_REJ17_PCS-4P5pi_FLAT_BL_46.67%</v>
          </cell>
          <cell r="G620">
            <v>46.67</v>
          </cell>
        </row>
        <row r="621">
          <cell r="A621" t="str">
            <v>Oi Total Fixo + Pós 500 + Banda Larga0.5259Template de desconto FLAT bundle - Velox XDSL - Varejo</v>
          </cell>
          <cell r="B621" t="str">
            <v>Plano Oi Completo Large</v>
          </cell>
          <cell r="C621" t="str">
            <v>Template de desconto FLAT bundle - Velox XDSL - Varejo</v>
          </cell>
          <cell r="D621">
            <v>0.52590000000000003</v>
          </cell>
          <cell r="E621" t="str">
            <v>MKT-1-9831508182</v>
          </cell>
          <cell r="F621" t="str">
            <v>0T3T_REJ17_PCS-4P5pi_FLAT_BL_52.59%</v>
          </cell>
          <cell r="G621">
            <v>52.59</v>
          </cell>
        </row>
        <row r="622">
          <cell r="A622" t="str">
            <v>Oi Total Fixo + Pós 500 + Banda Larga0.5734Template de desconto FLAT bundle - Velox XDSL - Varejo</v>
          </cell>
          <cell r="B622" t="str">
            <v>Plano Oi Completo Large</v>
          </cell>
          <cell r="C622" t="str">
            <v>Template de desconto FLAT bundle - Velox XDSL - Varejo</v>
          </cell>
          <cell r="D622">
            <v>0.57340000000000002</v>
          </cell>
          <cell r="E622" t="str">
            <v>MKT-1-9831508325</v>
          </cell>
          <cell r="F622" t="str">
            <v>0T3T_REJ17_PCS-4P5pi_FLAT_BL_57.34%</v>
          </cell>
          <cell r="G622">
            <v>57.34</v>
          </cell>
        </row>
        <row r="623">
          <cell r="A623" t="str">
            <v>Oi Total Fixo + Pós 500 + Banda Larga0.6681Template de desconto FLAT bundle - Velox XDSL - Varejo</v>
          </cell>
          <cell r="B623" t="str">
            <v>Plano Oi Completo Large</v>
          </cell>
          <cell r="C623" t="str">
            <v>Template de desconto FLAT bundle - Velox XDSL - Varejo</v>
          </cell>
          <cell r="D623">
            <v>0.66810000000000003</v>
          </cell>
          <cell r="E623" t="str">
            <v>MKT-1-9831508418</v>
          </cell>
          <cell r="F623" t="str">
            <v>0T3T_REJ17_PCS-4P5pi_FLAT_BL_66.81%</v>
          </cell>
          <cell r="G623">
            <v>66.81</v>
          </cell>
        </row>
        <row r="624">
          <cell r="A624" t="str">
            <v>Oi Total Fixo + Pós 500 + Banda Larga0.7511Template de desconto FLAT bundle - Velox XDSL - Varejo</v>
          </cell>
          <cell r="B624" t="str">
            <v>Plano Oi Completo Large</v>
          </cell>
          <cell r="C624" t="str">
            <v>Template de desconto FLAT bundle - Velox XDSL - Varejo</v>
          </cell>
          <cell r="D624">
            <v>0.75109999999999999</v>
          </cell>
          <cell r="E624" t="str">
            <v>MKT-1-9831508561</v>
          </cell>
          <cell r="F624" t="str">
            <v>0T3T_REJ17_PCS-4P5pi_FLAT_BL_75.11%</v>
          </cell>
          <cell r="G624">
            <v>75.11</v>
          </cell>
        </row>
        <row r="625">
          <cell r="A625" t="str">
            <v>Oi Total Fixo + Pós 500 + Banda Larga0.7155Template de desconto FLAT bundle - Velox XDSL - Varejo</v>
          </cell>
          <cell r="B625" t="str">
            <v>Plano Oi Completo Large</v>
          </cell>
          <cell r="C625" t="str">
            <v>Template de desconto FLAT bundle - Velox XDSL - Varejo</v>
          </cell>
          <cell r="D625">
            <v>0.71550000000000002</v>
          </cell>
          <cell r="E625" t="str">
            <v>MKT-1-9831508664</v>
          </cell>
          <cell r="F625" t="str">
            <v>0T3T_REJ17_PCS-4P5pi_FLAT_BL_71.55%</v>
          </cell>
          <cell r="G625">
            <v>71.55</v>
          </cell>
        </row>
        <row r="626">
          <cell r="A626" t="str">
            <v>Oi Total Fixo + Banda Larga 30.6691Template de desconto FLAT bundle - Fixo - Varejo - Ganho Tributário Cross</v>
          </cell>
          <cell r="B626" t="str">
            <v>Oi Total Fixo + Banda Larga 3</v>
          </cell>
          <cell r="C626" t="str">
            <v>Template de desconto FLAT bundle - Fixo - Varejo - Ganho Tributário Cross</v>
          </cell>
          <cell r="D626">
            <v>0.66909999999999992</v>
          </cell>
          <cell r="E626" t="str">
            <v>MKT-1-9831375101</v>
          </cell>
          <cell r="F626" t="str">
            <v>0T3T_REJ17_PCS-2PFBL3_FLAT_FIXO_GT_66.91%</v>
          </cell>
          <cell r="G626">
            <v>66.91</v>
          </cell>
        </row>
        <row r="627">
          <cell r="A627" t="str">
            <v>Oi Total Fixo + Banda Larga 10.6691Template de desconto FLAT bundle - Fixo - Varejo - Ganho Tributário Cross</v>
          </cell>
          <cell r="B627" t="str">
            <v>Oi Total Fixo + Banda Larga 1</v>
          </cell>
          <cell r="C627" t="str">
            <v>Template de desconto FLAT bundle - Fixo - Varejo - Ganho Tributário Cross</v>
          </cell>
          <cell r="D627">
            <v>0.66909999999999992</v>
          </cell>
          <cell r="E627" t="str">
            <v>MKT-1-9831375472</v>
          </cell>
          <cell r="F627" t="str">
            <v>0T3T_REJ17_PCS-2PFBL1_FLAT_FIXO_GT_66.91%</v>
          </cell>
          <cell r="G627">
            <v>66.91</v>
          </cell>
        </row>
        <row r="628">
          <cell r="A628" t="str">
            <v>Oi Total Fixo + Banda Larga 20.6691Template de desconto FLAT bundle - Fixo - Varejo - Ganho Tributário Cross</v>
          </cell>
          <cell r="B628" t="str">
            <v>Oi Total Fixo + Banda Larga 2</v>
          </cell>
          <cell r="C628" t="str">
            <v>Template de desconto FLAT bundle - Fixo - Varejo - Ganho Tributário Cross</v>
          </cell>
          <cell r="D628">
            <v>0.66909999999999992</v>
          </cell>
          <cell r="E628" t="str">
            <v>MKT-1-9831375703</v>
          </cell>
          <cell r="F628" t="str">
            <v>0T3T_REJ17_PCS-2PFBL2_FLAT_FIXO_GT_66.91%</v>
          </cell>
          <cell r="G628">
            <v>66.91</v>
          </cell>
        </row>
        <row r="629">
          <cell r="A629" t="str">
            <v>Oi Total Fixo + Banda Larga 30.6032Template de desconto FLAT bundle - Fixo - Varejo - Ganho Tributário Cross</v>
          </cell>
          <cell r="B629" t="str">
            <v>Oi Total Fixo + Banda Larga 3</v>
          </cell>
          <cell r="C629" t="str">
            <v>Template de desconto FLAT bundle - Fixo - Varejo - Ganho Tributário Cross</v>
          </cell>
          <cell r="D629">
            <v>0.60319999999999996</v>
          </cell>
          <cell r="E629" t="str">
            <v>MKT-1-9831376074</v>
          </cell>
          <cell r="F629" t="str">
            <v>0T3T_REJ17_PCS-2PFBL3_FLAT_FIXO_GT_60.32%</v>
          </cell>
          <cell r="G629">
            <v>60.32</v>
          </cell>
        </row>
        <row r="630">
          <cell r="A630" t="str">
            <v>Oi Total Fixo + Banda Larga 10.6032Template de desconto FLAT bundle - Fixo - Varejo - Ganho Tributário Cross</v>
          </cell>
          <cell r="B630" t="str">
            <v>Oi Total Fixo + Banda Larga 1</v>
          </cell>
          <cell r="C630" t="str">
            <v>Template de desconto FLAT bundle - Fixo - Varejo - Ganho Tributário Cross</v>
          </cell>
          <cell r="D630">
            <v>0.60319999999999996</v>
          </cell>
          <cell r="E630" t="str">
            <v>MKT-1-9831397563</v>
          </cell>
          <cell r="F630" t="str">
            <v>0T3T_REJ17_PCS-2PFBL1_FLAT_FIXO_GT_60.32%</v>
          </cell>
          <cell r="G630">
            <v>60.32</v>
          </cell>
        </row>
        <row r="631">
          <cell r="A631" t="str">
            <v>Oi Total Fixo + Banda Larga 20.6032Template de desconto FLAT bundle - Fixo - Varejo - Ganho Tributário Cross</v>
          </cell>
          <cell r="B631" t="str">
            <v>Oi Total Fixo + Banda Larga 2</v>
          </cell>
          <cell r="C631" t="str">
            <v>Template de desconto FLAT bundle - Fixo - Varejo - Ganho Tributário Cross</v>
          </cell>
          <cell r="D631">
            <v>0.60319999999999996</v>
          </cell>
          <cell r="E631" t="str">
            <v>MKT-1-9831501121</v>
          </cell>
          <cell r="F631" t="str">
            <v>0T3T_REJ17_PCS-2PFBL2_FLAT_FIXO_GT_60.32%</v>
          </cell>
          <cell r="G631">
            <v>60.32</v>
          </cell>
        </row>
        <row r="632">
          <cell r="A632" t="str">
            <v>Oi Total Fixo + Banda Larga 30.4713Template de desconto FLAT bundle - Fixo - Varejo - Ganho Tributário Cross</v>
          </cell>
          <cell r="B632" t="str">
            <v>Oi Total Fixo + Banda Larga 3</v>
          </cell>
          <cell r="C632" t="str">
            <v>Template de desconto FLAT bundle - Fixo - Varejo - Ganho Tributário Cross</v>
          </cell>
          <cell r="D632">
            <v>0.47130000000000005</v>
          </cell>
          <cell r="E632" t="str">
            <v>MKT-1-9831501322</v>
          </cell>
          <cell r="F632" t="str">
            <v>0T3T_REJ17_PCS-2PFBL3_FLAT_FIXO_GT_47.13%</v>
          </cell>
          <cell r="G632">
            <v>47.13</v>
          </cell>
        </row>
        <row r="633">
          <cell r="A633" t="str">
            <v>Oi Total Fixo + Banda Larga 10.4713Template de desconto FLAT bundle - Fixo - Varejo - Ganho Tributário Cross</v>
          </cell>
          <cell r="B633" t="str">
            <v>Oi Total Fixo + Banda Larga 1</v>
          </cell>
          <cell r="C633" t="str">
            <v>Template de desconto FLAT bundle - Fixo - Varejo - Ganho Tributário Cross</v>
          </cell>
          <cell r="D633">
            <v>0.47130000000000005</v>
          </cell>
          <cell r="E633" t="str">
            <v>MKT-1-9831501523</v>
          </cell>
          <cell r="F633" t="str">
            <v>0T3T_REJ17_PCS-2PFBL1_FLAT_FIXO_GT_47.13%</v>
          </cell>
          <cell r="G633">
            <v>47.13</v>
          </cell>
        </row>
        <row r="634">
          <cell r="A634" t="str">
            <v>Oi Total Fixo + Banda Larga 20.4713Template de desconto FLAT bundle - Fixo - Varejo - Ganho Tributário Cross</v>
          </cell>
          <cell r="B634" t="str">
            <v>Oi Total Fixo + Banda Larga 2</v>
          </cell>
          <cell r="C634" t="str">
            <v>Template de desconto FLAT bundle - Fixo - Varejo - Ganho Tributário Cross</v>
          </cell>
          <cell r="D634">
            <v>0.47130000000000005</v>
          </cell>
          <cell r="E634" t="str">
            <v>MKT-1-9831501734</v>
          </cell>
          <cell r="F634" t="str">
            <v>0T3T_REJ17_PCS-2PFBL2_FLAT_FIXO_GT_47.13%</v>
          </cell>
          <cell r="G634">
            <v>47.13</v>
          </cell>
        </row>
        <row r="635">
          <cell r="A635" t="str">
            <v>Oi Total Fixo + Banda Larga 30.3394Template de desconto FLAT bundle - Fixo - Varejo - Ganho Tributário Cross</v>
          </cell>
          <cell r="B635" t="str">
            <v>Oi Total Fixo + Banda Larga 3</v>
          </cell>
          <cell r="C635" t="str">
            <v>Template de desconto FLAT bundle - Fixo - Varejo - Ganho Tributário Cross</v>
          </cell>
          <cell r="D635">
            <v>0.33939999999999998</v>
          </cell>
          <cell r="E635" t="str">
            <v>MKT-1-9831543941</v>
          </cell>
          <cell r="F635" t="str">
            <v>0T3T_REJ17_PCS-2PFBL3_FLAT_FIXO_GT_33.94%</v>
          </cell>
          <cell r="G635">
            <v>33.94</v>
          </cell>
        </row>
        <row r="636">
          <cell r="A636" t="str">
            <v>Oi Total Fixo + Banda Larga 10.3394Template de desconto FLAT bundle - Fixo - Varejo - Ganho Tributário Cross</v>
          </cell>
          <cell r="B636" t="str">
            <v>Oi Total Fixo + Banda Larga 1</v>
          </cell>
          <cell r="C636" t="str">
            <v>Template de desconto FLAT bundle - Fixo - Varejo - Ganho Tributário Cross</v>
          </cell>
          <cell r="D636">
            <v>0.33939999999999998</v>
          </cell>
          <cell r="E636" t="str">
            <v>MKT-1-9831556228</v>
          </cell>
          <cell r="F636" t="str">
            <v>0T3T_REJ17_PCS-2PFBL1_FLAT_FIXO_GT_33.94%</v>
          </cell>
          <cell r="G636">
            <v>33.94</v>
          </cell>
        </row>
        <row r="637">
          <cell r="A637" t="str">
            <v>Oi Total Fixo + Banda Larga 20.3394Template de desconto FLAT bundle - Fixo - Varejo - Ganho Tributário Cross</v>
          </cell>
          <cell r="B637" t="str">
            <v>Oi Total Fixo + Banda Larga 2</v>
          </cell>
          <cell r="C637" t="str">
            <v>Template de desconto FLAT bundle - Fixo - Varejo - Ganho Tributário Cross</v>
          </cell>
          <cell r="D637">
            <v>0.33939999999999998</v>
          </cell>
          <cell r="E637" t="str">
            <v>MKT-1-9831556429</v>
          </cell>
          <cell r="F637" t="str">
            <v>0T3T_REJ17_PCS-2PFBL2_FLAT_FIXO_GT_33.94%</v>
          </cell>
          <cell r="G637">
            <v>33.94</v>
          </cell>
        </row>
        <row r="638">
          <cell r="A638" t="str">
            <v>Oi Total Fixo + Banda Larga 30.5372Template de desconto FLAT bundle - Fixo - Varejo - Ganho Tributário Cross</v>
          </cell>
          <cell r="B638" t="str">
            <v>Oi Total Fixo + Banda Larga 3</v>
          </cell>
          <cell r="C638" t="str">
            <v>Template de desconto FLAT bundle - Fixo - Varejo - Ganho Tributário Cross</v>
          </cell>
          <cell r="D638">
            <v>0.53720000000000001</v>
          </cell>
          <cell r="E638" t="str">
            <v>MKT-1-9831557341</v>
          </cell>
          <cell r="F638" t="str">
            <v>0T3T_REJ17_PCS-2PFBL3_FLAT_FIXO_GT_53.72%</v>
          </cell>
          <cell r="G638">
            <v>53.72</v>
          </cell>
        </row>
        <row r="639">
          <cell r="A639" t="str">
            <v>Oi Total Fixo + Banda Larga 10.5372Template de desconto FLAT bundle - Fixo - Varejo - Ganho Tributário Cross</v>
          </cell>
          <cell r="B639" t="str">
            <v>Oi Total Fixo + Banda Larga 1</v>
          </cell>
          <cell r="C639" t="str">
            <v>Template de desconto FLAT bundle - Fixo - Varejo - Ganho Tributário Cross</v>
          </cell>
          <cell r="D639">
            <v>0.53720000000000001</v>
          </cell>
          <cell r="E639" t="str">
            <v>MKT-1-9831557652</v>
          </cell>
          <cell r="F639" t="str">
            <v>0T3T_REJ17_PCS-2PFBL1_FLAT_FIXO_GT_53.72%</v>
          </cell>
          <cell r="G639">
            <v>53.72</v>
          </cell>
        </row>
        <row r="640">
          <cell r="A640" t="str">
            <v>Oi Total Fixo + Banda Larga 20.5372Template de desconto FLAT bundle - Fixo - Varejo - Ganho Tributário Cross</v>
          </cell>
          <cell r="B640" t="str">
            <v>Oi Total Fixo + Banda Larga 2</v>
          </cell>
          <cell r="C640" t="str">
            <v>Template de desconto FLAT bundle - Fixo - Varejo - Ganho Tributário Cross</v>
          </cell>
          <cell r="D640">
            <v>0.53720000000000001</v>
          </cell>
          <cell r="E640" t="str">
            <v>MKT-1-9831563133</v>
          </cell>
          <cell r="F640" t="str">
            <v>0T3T_REJ17_PCS-2PFBL2_FLAT_FIXO_GT_53.72%</v>
          </cell>
          <cell r="G640">
            <v>53.72</v>
          </cell>
        </row>
        <row r="641">
          <cell r="A641" t="str">
            <v>Oi Total Fixo + Banda Larga 30.4054Template de desconto FLAT bundle - Fixo - Varejo - Ganho Tributário Cross</v>
          </cell>
          <cell r="B641" t="str">
            <v>Oi Total Fixo + Banda Larga 3</v>
          </cell>
          <cell r="C641" t="str">
            <v>Template de desconto FLAT bundle - Fixo - Varejo - Ganho Tributário Cross</v>
          </cell>
          <cell r="D641">
            <v>0.40539999999999998</v>
          </cell>
          <cell r="E641" t="str">
            <v>MKT-1-9831563554</v>
          </cell>
          <cell r="F641" t="str">
            <v>0T3T_REJ17_PCS-2PFBL3_FLAT_FIXO_GT_40.54%</v>
          </cell>
          <cell r="G641">
            <v>40.54</v>
          </cell>
        </row>
        <row r="642">
          <cell r="A642" t="str">
            <v>Oi Total Fixo + Banda Larga 10.4054Template de desconto FLAT bundle - Fixo - Varejo - Ganho Tributário Cross</v>
          </cell>
          <cell r="B642" t="str">
            <v>Oi Total Fixo + Banda Larga 1</v>
          </cell>
          <cell r="C642" t="str">
            <v>Template de desconto FLAT bundle - Fixo - Varejo - Ganho Tributário Cross</v>
          </cell>
          <cell r="D642">
            <v>0.40539999999999998</v>
          </cell>
          <cell r="E642" t="str">
            <v>MKT-1-9831572265</v>
          </cell>
          <cell r="F642" t="str">
            <v>0T3T_REJ17_PCS-2PFBL1_FLAT_FIXO_GT_40.54%</v>
          </cell>
          <cell r="G642">
            <v>40.54</v>
          </cell>
        </row>
        <row r="643">
          <cell r="A643" t="str">
            <v>Oi Total Fixo + Banda Larga + TV 30.4054Template de desconto FLAT bundle - Fixo - Varejo - Ganho Tributário Cross</v>
          </cell>
          <cell r="B643" t="str">
            <v>Plano Oi Convergente High</v>
          </cell>
          <cell r="C643" t="str">
            <v>Template de desconto FLAT bundle - Fixo - Varejo - Ganho Tributário Cross</v>
          </cell>
          <cell r="D643">
            <v>0.40539999999999998</v>
          </cell>
          <cell r="E643" t="str">
            <v>MKT-1-9831556641</v>
          </cell>
          <cell r="F643" t="str">
            <v>0T3T_REJ17_PCS-3PHipi_FLAT_FIXO_GT_40.54%</v>
          </cell>
          <cell r="G643">
            <v>40.54</v>
          </cell>
        </row>
        <row r="644">
          <cell r="A644" t="str">
            <v>Oi Total Fixo + Banda Larga 20.4054Template de desconto FLAT bundle - Fixo - Varejo - Ganho Tributário Cross</v>
          </cell>
          <cell r="B644" t="str">
            <v>Oi Total Fixo + Banda Larga 2</v>
          </cell>
          <cell r="C644" t="str">
            <v>Template de desconto FLAT bundle - Fixo - Varejo - Ganho Tributário Cross</v>
          </cell>
          <cell r="D644">
            <v>0.40539999999999998</v>
          </cell>
          <cell r="E644" t="str">
            <v>MKT-1-9831586717</v>
          </cell>
          <cell r="F644" t="str">
            <v>0T3T_REJ17_PCS-2PFBL2_FLAT_FIXO_GT_40.54%</v>
          </cell>
          <cell r="G644">
            <v>40.54</v>
          </cell>
        </row>
        <row r="645">
          <cell r="A645" t="str">
            <v>Oi Total Fixo + Banda Larga + TV 20.4054Template de desconto FLAT bundle - Fixo - Varejo - Ganho Tributário Cross</v>
          </cell>
          <cell r="B645" t="str">
            <v>Plano Oi Convergente Medium</v>
          </cell>
          <cell r="C645" t="str">
            <v>Template de desconto FLAT bundle - Fixo - Varejo - Ganho Tributário Cross</v>
          </cell>
          <cell r="D645">
            <v>0.40539999999999998</v>
          </cell>
          <cell r="E645" t="str">
            <v>MKT-1-9831556842</v>
          </cell>
          <cell r="F645" t="str">
            <v>0T3T_REJ17_PCS-3PMepi_FLAT_FIXO_GT_40.54%</v>
          </cell>
          <cell r="G645">
            <v>40.54</v>
          </cell>
        </row>
        <row r="646">
          <cell r="A646" t="str">
            <v>Oi Total Fixo + Banda Larga + TV 10.4054Template de desconto FLAT bundle - Fixo - Varejo - Ganho Tributário Cross</v>
          </cell>
          <cell r="B646" t="str">
            <v>Plano Oi Convergente Low</v>
          </cell>
          <cell r="C646" t="str">
            <v>Template de desconto FLAT bundle - Fixo - Varejo - Ganho Tributário Cross</v>
          </cell>
          <cell r="D646">
            <v>0.40539999999999998</v>
          </cell>
          <cell r="E646" t="str">
            <v>MKT-1-9831557043</v>
          </cell>
          <cell r="F646" t="str">
            <v>0T3T_REJ17_PCS-3PLowpi_FLAT_FIXO_GT_40.54%</v>
          </cell>
          <cell r="G646">
            <v>40.54</v>
          </cell>
        </row>
        <row r="647">
          <cell r="A647" t="str">
            <v>Oi Total Fixo + Banda Larga + TV 30.5372Template de desconto FLAT bundle - Fixo - Varejo - Ganho Tributário Cross</v>
          </cell>
          <cell r="B647" t="str">
            <v>Plano Oi Convergente High</v>
          </cell>
          <cell r="C647" t="str">
            <v>Template de desconto FLAT bundle - Fixo - Varejo - Ganho Tributário Cross</v>
          </cell>
          <cell r="D647">
            <v>0.53720000000000001</v>
          </cell>
          <cell r="E647" t="str">
            <v>MKT-1-9831604244</v>
          </cell>
          <cell r="F647" t="str">
            <v>0T3T_REJ17_PCS-3PHipi_FLAT_FIXO_GT_53.72%</v>
          </cell>
          <cell r="G647">
            <v>53.72</v>
          </cell>
        </row>
        <row r="648">
          <cell r="A648" t="str">
            <v>Oi Total Fixo + Banda Larga 30.2735Template de desconto FLAT bundle - Fixo - Varejo - Ganho Tributário Cross</v>
          </cell>
          <cell r="B648" t="str">
            <v>Oi Total Fixo + Banda Larga 3</v>
          </cell>
          <cell r="C648" t="str">
            <v>Template de desconto FLAT bundle - Fixo - Varejo - Ganho Tributário Cross</v>
          </cell>
          <cell r="D648">
            <v>0.27350000000000002</v>
          </cell>
          <cell r="E648" t="str">
            <v>MKT-1-9831586968</v>
          </cell>
          <cell r="F648" t="str">
            <v>0T3T_REJ17_PCS-2PFBL3_FLAT_FIXO_GT_27.35%</v>
          </cell>
          <cell r="G648">
            <v>27.35</v>
          </cell>
        </row>
        <row r="649">
          <cell r="A649" t="str">
            <v>Oi Total Fixo + Banda Larga + TV 20.5372Template de desconto FLAT bundle - Fixo - Varejo - Ganho Tributário Cross</v>
          </cell>
          <cell r="B649" t="str">
            <v>Plano Oi Convergente Medium</v>
          </cell>
          <cell r="C649" t="str">
            <v>Template de desconto FLAT bundle - Fixo - Varejo - Ganho Tributário Cross</v>
          </cell>
          <cell r="D649">
            <v>0.53720000000000001</v>
          </cell>
          <cell r="E649" t="str">
            <v>MKT-1-9831604445</v>
          </cell>
          <cell r="F649" t="str">
            <v>0T3T_REJ17_PCS-3PMepi_FLAT_FIXO_GT_53.72%</v>
          </cell>
          <cell r="G649">
            <v>53.72</v>
          </cell>
        </row>
        <row r="650">
          <cell r="A650" t="str">
            <v>Oi Total Fixo + Banda Larga + TV 10.5372Template de desconto FLAT bundle - Fixo - Varejo - Ganho Tributário Cross</v>
          </cell>
          <cell r="B650" t="str">
            <v>Plano Oi Convergente Low</v>
          </cell>
          <cell r="C650" t="str">
            <v>Template de desconto FLAT bundle - Fixo - Varejo - Ganho Tributário Cross</v>
          </cell>
          <cell r="D650">
            <v>0.53720000000000001</v>
          </cell>
          <cell r="E650" t="str">
            <v>MKT-1-9831604646</v>
          </cell>
          <cell r="F650" t="str">
            <v>0T3T_REJ17_PCS-3PLowpi_FLAT_FIXO_GT_53.72%</v>
          </cell>
          <cell r="G650">
            <v>53.72</v>
          </cell>
        </row>
        <row r="651">
          <cell r="A651" t="str">
            <v>Oi Total Fixo + Banda Larga + TV 30.4713Template de desconto FLAT bundle - Fixo - Varejo - Ganho Tributário Cross</v>
          </cell>
          <cell r="B651" t="str">
            <v>Plano Oi Convergente High</v>
          </cell>
          <cell r="C651" t="str">
            <v>Template de desconto FLAT bundle - Fixo - Varejo - Ganho Tributário Cross</v>
          </cell>
          <cell r="D651">
            <v>0.47130000000000005</v>
          </cell>
          <cell r="E651" t="str">
            <v>MKT-1-9831604847</v>
          </cell>
          <cell r="F651" t="str">
            <v>0T3T_REJ17_PCS-3PHipi_FLAT_FIXO_GT_47.13%</v>
          </cell>
          <cell r="G651">
            <v>47.13</v>
          </cell>
        </row>
        <row r="652">
          <cell r="A652" t="str">
            <v>Oi Total Fixo + Banda Larga 10.2735Template de desconto FLAT bundle - Fixo - Varejo - Ganho Tributário Cross</v>
          </cell>
          <cell r="B652" t="str">
            <v>Oi Total Fixo + Banda Larga 1</v>
          </cell>
          <cell r="C652" t="str">
            <v>Template de desconto FLAT bundle - Fixo - Varejo - Ganho Tributário Cross</v>
          </cell>
          <cell r="D652">
            <v>0.27350000000000002</v>
          </cell>
          <cell r="E652" t="str">
            <v>MKT-1-9831606429</v>
          </cell>
          <cell r="F652" t="str">
            <v>0T3T_REJ17_PCS-2PFBL1_FLAT_FIXO_GT_27.35%</v>
          </cell>
          <cell r="G652">
            <v>27.35</v>
          </cell>
        </row>
        <row r="653">
          <cell r="A653" t="str">
            <v>Oi Total Fixo + Banda Larga + TV 20.4713Template de desconto FLAT bundle - Fixo - Varejo - Ganho Tributário Cross</v>
          </cell>
          <cell r="B653" t="str">
            <v>Plano Oi Convergente Medium</v>
          </cell>
          <cell r="C653" t="str">
            <v>Template de desconto FLAT bundle - Fixo - Varejo - Ganho Tributário Cross</v>
          </cell>
          <cell r="D653">
            <v>0.47130000000000005</v>
          </cell>
          <cell r="E653" t="str">
            <v>MKT-1-9831605058</v>
          </cell>
          <cell r="F653" t="str">
            <v>0T3T_REJ17_PCS-3PMepi_FLAT_FIXO_GT_47.13%</v>
          </cell>
          <cell r="G653">
            <v>47.13</v>
          </cell>
        </row>
        <row r="654">
          <cell r="A654" t="str">
            <v>Oi Total Fixo + Banda Larga + TV 10.4713Template de desconto FLAT bundle - Fixo - Varejo - Ganho Tributário Cross</v>
          </cell>
          <cell r="B654" t="str">
            <v>Plano Oi Convergente Low</v>
          </cell>
          <cell r="C654" t="str">
            <v>Template de desconto FLAT bundle - Fixo - Varejo - Ganho Tributário Cross</v>
          </cell>
          <cell r="D654">
            <v>0.47130000000000005</v>
          </cell>
          <cell r="E654" t="str">
            <v>MKT-1-9831613259</v>
          </cell>
          <cell r="F654" t="str">
            <v>0T3T_REJ17_PCS-3PLowpi_FLAT_FIXO_GT_47.13%</v>
          </cell>
          <cell r="G654">
            <v>47.13</v>
          </cell>
        </row>
        <row r="655">
          <cell r="A655" t="str">
            <v>Oi Total Fixo + Banda Larga + TV 30.6032Template de desconto FLAT bundle - Fixo - Varejo - Ganho Tributário Cross</v>
          </cell>
          <cell r="B655" t="str">
            <v>Plano Oi Convergente High</v>
          </cell>
          <cell r="C655" t="str">
            <v>Template de desconto FLAT bundle - Fixo - Varejo - Ganho Tributário Cross</v>
          </cell>
          <cell r="D655">
            <v>0.60319999999999996</v>
          </cell>
          <cell r="E655" t="str">
            <v>MKT-1-9831613460</v>
          </cell>
          <cell r="F655" t="str">
            <v>0T3T_REJ17_PCS-3PHipi_FLAT_FIXO_GT_60.32%</v>
          </cell>
          <cell r="G655">
            <v>60.32</v>
          </cell>
        </row>
        <row r="656">
          <cell r="A656" t="str">
            <v>Oi Total Fixo + Banda Larga + TV 20.6032Template de desconto FLAT bundle - Fixo - Varejo - Ganho Tributário Cross</v>
          </cell>
          <cell r="B656" t="str">
            <v>Plano Oi Convergente Medium</v>
          </cell>
          <cell r="C656" t="str">
            <v>Template de desconto FLAT bundle - Fixo - Varejo - Ganho Tributário Cross</v>
          </cell>
          <cell r="D656">
            <v>0.60319999999999996</v>
          </cell>
          <cell r="E656" t="str">
            <v>MKT-1-9831613661</v>
          </cell>
          <cell r="F656" t="str">
            <v>0T3T_REJ17_PCS-3PMepi_FLAT_FIXO_GT_60.32%</v>
          </cell>
          <cell r="G656">
            <v>60.32</v>
          </cell>
        </row>
        <row r="657">
          <cell r="A657" t="str">
            <v>Oi Total Fixo + Banda Larga 20.2735Template de desconto FLAT bundle - Fixo - Varejo - Ganho Tributário Cross</v>
          </cell>
          <cell r="B657" t="str">
            <v>Oi Total Fixo + Banda Larga 2</v>
          </cell>
          <cell r="C657" t="str">
            <v>Template de desconto FLAT bundle - Fixo - Varejo - Ganho Tributário Cross</v>
          </cell>
          <cell r="D657">
            <v>0.27350000000000002</v>
          </cell>
          <cell r="E657" t="str">
            <v>MKT-1-9831607010</v>
          </cell>
          <cell r="F657" t="str">
            <v>0T3T_REJ17_PCS-2PFBL2_FLAT_FIXO_GT_27.35%</v>
          </cell>
          <cell r="G657">
            <v>27.35</v>
          </cell>
        </row>
        <row r="658">
          <cell r="A658" t="str">
            <v>Oi Total Fixo + Banda Larga + TV 10.6032Template de desconto FLAT bundle - Fixo - Varejo - Ganho Tributário Cross</v>
          </cell>
          <cell r="B658" t="str">
            <v>Plano Oi Convergente Low</v>
          </cell>
          <cell r="C658" t="str">
            <v>Template de desconto FLAT bundle - Fixo - Varejo - Ganho Tributário Cross</v>
          </cell>
          <cell r="D658">
            <v>0.60319999999999996</v>
          </cell>
          <cell r="E658" t="str">
            <v>MKT-1-9831613862</v>
          </cell>
          <cell r="F658" t="str">
            <v>0T3T_REJ17_PCS-3PLowpi_FLAT_FIXO_GT_60.32%</v>
          </cell>
          <cell r="G658">
            <v>60.32</v>
          </cell>
        </row>
        <row r="659">
          <cell r="A659" t="str">
            <v>Oi Total Fixo + Banda Larga + TV 30.6691Template de desconto FLAT bundle - Fixo - Varejo - Ganho Tributário Cross</v>
          </cell>
          <cell r="B659" t="str">
            <v>Plano Oi Convergente High</v>
          </cell>
          <cell r="C659" t="str">
            <v>Template de desconto FLAT bundle - Fixo - Varejo - Ganho Tributário Cross</v>
          </cell>
          <cell r="D659">
            <v>0.66909999999999992</v>
          </cell>
          <cell r="E659" t="str">
            <v>MKT-1-9831614063</v>
          </cell>
          <cell r="F659" t="str">
            <v>0T3T_REJ17_PCS-3PHipi_FLAT_FIXO_GT_66.91%</v>
          </cell>
          <cell r="G659">
            <v>66.91</v>
          </cell>
        </row>
        <row r="660">
          <cell r="A660" t="str">
            <v>Oi Total Fixo + TV 10.6691Template de desconto FLAT bundle - Fixo - Varejo - Ganho Tributário Cross</v>
          </cell>
          <cell r="B660" t="str">
            <v>Plano Oi Internet Total Low</v>
          </cell>
          <cell r="C660" t="str">
            <v>Template de desconto FLAT bundle - Fixo - Varejo - Ganho Tributário Cross</v>
          </cell>
          <cell r="D660">
            <v>0.66909999999999992</v>
          </cell>
          <cell r="E660" t="str">
            <v>MKT-1-9831619731</v>
          </cell>
          <cell r="F660" t="str">
            <v>0T3T_REJ17_CFG-2Plowpi_FLAT_FIXO_GT_66.91%</v>
          </cell>
          <cell r="G660">
            <v>66.91</v>
          </cell>
        </row>
        <row r="661">
          <cell r="A661" t="str">
            <v>Oi Total Fixo + Banda Larga + TV 20.6691Template de desconto FLAT bundle - Fixo - Varejo - Ganho Tributário Cross</v>
          </cell>
          <cell r="B661" t="str">
            <v>Plano Oi Convergente Medium</v>
          </cell>
          <cell r="C661" t="str">
            <v>Template de desconto FLAT bundle - Fixo - Varejo - Ganho Tributário Cross</v>
          </cell>
          <cell r="D661">
            <v>0.66909999999999992</v>
          </cell>
          <cell r="E661" t="str">
            <v>MKT-1-9831630264</v>
          </cell>
          <cell r="F661" t="str">
            <v>0T3T_REJ17_PCS-3PMepi_FLAT_FIXO_GT_66.91%</v>
          </cell>
          <cell r="G661">
            <v>66.91</v>
          </cell>
        </row>
        <row r="662">
          <cell r="A662" t="str">
            <v>Oi Total Fixo + Banda Larga + TV 10.6691Template de desconto FLAT bundle - Fixo - Varejo - Ganho Tributário Cross</v>
          </cell>
          <cell r="B662" t="str">
            <v>Plano Oi Convergente Low</v>
          </cell>
          <cell r="C662" t="str">
            <v>Template de desconto FLAT bundle - Fixo - Varejo - Ganho Tributário Cross</v>
          </cell>
          <cell r="D662">
            <v>0.66909999999999992</v>
          </cell>
          <cell r="E662" t="str">
            <v>MKT-1-9831630465</v>
          </cell>
          <cell r="F662" t="str">
            <v>0T3T_REJ17_PCS-3PLowpi_FLAT_FIXO_GT_66.91%</v>
          </cell>
          <cell r="G662">
            <v>66.91</v>
          </cell>
        </row>
        <row r="663">
          <cell r="A663" t="str">
            <v>Oi Total Fixo + TV 30.4054Template de desconto FLAT bundle - Fixo - Varejo - Ganho Tributário Cross</v>
          </cell>
          <cell r="B663" t="str">
            <v>Plano Oi Internet Total High</v>
          </cell>
          <cell r="C663" t="str">
            <v>Template de desconto FLAT bundle - Fixo - Varejo - Ganho Tributário Cross</v>
          </cell>
          <cell r="D663">
            <v>0.40539999999999998</v>
          </cell>
          <cell r="E663" t="str">
            <v>MKT-1-9831630666</v>
          </cell>
          <cell r="F663" t="str">
            <v>0T3T_REJ17_PCS-2PHipi_FLAT_FIXO_GT_40.54%</v>
          </cell>
          <cell r="G663">
            <v>40.54</v>
          </cell>
        </row>
        <row r="664">
          <cell r="A664" t="str">
            <v>Oi Total Fixo + TV 20.4054Template de desconto FLAT bundle - Fixo - Varejo - Ganho Tributário Cross</v>
          </cell>
          <cell r="B664" t="str">
            <v>Plano Oi Internet Total Medium</v>
          </cell>
          <cell r="C664" t="str">
            <v>Template de desconto FLAT bundle - Fixo - Varejo - Ganho Tributário Cross</v>
          </cell>
          <cell r="D664">
            <v>0.40539999999999998</v>
          </cell>
          <cell r="E664" t="str">
            <v>MKT-1-9831630867</v>
          </cell>
          <cell r="F664" t="str">
            <v>0T3T_REJ17_PCS-2PMepi_FLAT_FIXO_GT_40.54%</v>
          </cell>
          <cell r="G664">
            <v>40.54</v>
          </cell>
        </row>
        <row r="665">
          <cell r="A665" t="str">
            <v>Oi Total Fixo + TV 10.4054Template de desconto FLAT bundle - Fixo - Varejo - Ganho Tributário Cross</v>
          </cell>
          <cell r="B665" t="str">
            <v>Plano Oi Internet Total Low</v>
          </cell>
          <cell r="C665" t="str">
            <v>Template de desconto FLAT bundle - Fixo - Varejo - Ganho Tributário Cross</v>
          </cell>
          <cell r="D665">
            <v>0.40539999999999998</v>
          </cell>
          <cell r="E665" t="str">
            <v>MKT-1-9831631068</v>
          </cell>
          <cell r="F665" t="str">
            <v>0T3T_REJ17_CFG-2Plowpi_FLAT_FIXO_GT_40.54%</v>
          </cell>
          <cell r="G665">
            <v>40.54</v>
          </cell>
        </row>
        <row r="666">
          <cell r="A666" t="str">
            <v>Oi Total Fixo + TV 30.5372Template de desconto FLAT bundle - Fixo - Varejo - Ganho Tributário Cross</v>
          </cell>
          <cell r="B666" t="str">
            <v>Plano Oi Internet Total High</v>
          </cell>
          <cell r="C666" t="str">
            <v>Template de desconto FLAT bundle - Fixo - Varejo - Ganho Tributário Cross</v>
          </cell>
          <cell r="D666">
            <v>0.53720000000000001</v>
          </cell>
          <cell r="E666" t="str">
            <v>MKT-1-9831645269</v>
          </cell>
          <cell r="F666" t="str">
            <v>0T3T_REJ17_PCS-2PHipi_FLAT_FIXO_GT_53.72%</v>
          </cell>
          <cell r="G666">
            <v>53.72</v>
          </cell>
        </row>
        <row r="667">
          <cell r="A667" t="str">
            <v>Oi Total Fixo + TV 20.5372Template de desconto FLAT bundle - Fixo - Varejo - Ganho Tributário Cross</v>
          </cell>
          <cell r="B667" t="str">
            <v>Plano Oi Internet Total Medium</v>
          </cell>
          <cell r="C667" t="str">
            <v>Template de desconto FLAT bundle - Fixo - Varejo - Ganho Tributário Cross</v>
          </cell>
          <cell r="D667">
            <v>0.53720000000000001</v>
          </cell>
          <cell r="E667" t="str">
            <v>MKT-1-9831645470</v>
          </cell>
          <cell r="F667" t="str">
            <v>0T3T_REJ17_PCS-2PMepi_FLAT_FIXO_GT_53.72%</v>
          </cell>
          <cell r="G667">
            <v>53.72</v>
          </cell>
        </row>
        <row r="668">
          <cell r="A668" t="str">
            <v>Oi Total Fixo + TV 10.5372Template de desconto FLAT bundle - Fixo - Varejo - Ganho Tributário Cross</v>
          </cell>
          <cell r="B668" t="str">
            <v>Plano Oi Internet Total Low</v>
          </cell>
          <cell r="C668" t="str">
            <v>Template de desconto FLAT bundle - Fixo - Varejo - Ganho Tributário Cross</v>
          </cell>
          <cell r="D668">
            <v>0.53720000000000001</v>
          </cell>
          <cell r="E668" t="str">
            <v>MKT-1-9831645671</v>
          </cell>
          <cell r="F668" t="str">
            <v>0T3T_REJ17_CFG-2Plowpi_FLAT_FIXO_GT_53.72%</v>
          </cell>
          <cell r="G668">
            <v>53.72</v>
          </cell>
        </row>
        <row r="669">
          <cell r="A669" t="str">
            <v>Oi Total Fixo + TV 30.4713Template de desconto FLAT bundle - Fixo - Varejo - Ganho Tributário Cross</v>
          </cell>
          <cell r="B669" t="str">
            <v>Plano Oi Internet Total High</v>
          </cell>
          <cell r="C669" t="str">
            <v>Template de desconto FLAT bundle - Fixo - Varejo - Ganho Tributário Cross</v>
          </cell>
          <cell r="D669">
            <v>0.47130000000000005</v>
          </cell>
          <cell r="E669" t="str">
            <v>MKT-1-9831645872</v>
          </cell>
          <cell r="F669" t="str">
            <v>0T3T_REJ17_PCS-2PHipi_FLAT_FIXO_GT_47.13%</v>
          </cell>
          <cell r="G669">
            <v>47.13</v>
          </cell>
        </row>
        <row r="670">
          <cell r="A670" t="str">
            <v>Oi Total Fixo + TV 20.4713Template de desconto FLAT bundle - Fixo - Varejo - Ganho Tributário Cross</v>
          </cell>
          <cell r="B670" t="str">
            <v>Plano Oi Internet Total Medium</v>
          </cell>
          <cell r="C670" t="str">
            <v>Template de desconto FLAT bundle - Fixo - Varejo - Ganho Tributário Cross</v>
          </cell>
          <cell r="D670">
            <v>0.47130000000000005</v>
          </cell>
          <cell r="E670" t="str">
            <v>MKT-1-9831646073</v>
          </cell>
          <cell r="F670" t="str">
            <v>0T3T_REJ17_PCS-2PMepi_FLAT_FIXO_GT_47.13%</v>
          </cell>
          <cell r="G670">
            <v>47.13</v>
          </cell>
        </row>
        <row r="671">
          <cell r="A671" t="str">
            <v>Oi Total Fixo + TV 10.4713Template de desconto FLAT bundle - Fixo - Varejo - Ganho Tributário Cross</v>
          </cell>
          <cell r="B671" t="str">
            <v>Plano Oi Internet Total Low</v>
          </cell>
          <cell r="C671" t="str">
            <v>Template de desconto FLAT bundle - Fixo - Varejo - Ganho Tributário Cross</v>
          </cell>
          <cell r="D671">
            <v>0.47130000000000005</v>
          </cell>
          <cell r="E671" t="str">
            <v>MKT-1-9831660274</v>
          </cell>
          <cell r="F671" t="str">
            <v>0T3T_REJ17_CFG-2Plowpi_FLAT_FIXO_GT_47.13%</v>
          </cell>
          <cell r="G671">
            <v>47.13</v>
          </cell>
        </row>
        <row r="672">
          <cell r="A672" t="str">
            <v>Oi Total Fixo + TV 20.6691Template de desconto FLAT bundle - Fixo - Varejo - Ganho Tributário Cross</v>
          </cell>
          <cell r="B672" t="str">
            <v>Plano Oi Internet Total Medium</v>
          </cell>
          <cell r="C672" t="str">
            <v>Template de desconto FLAT bundle - Fixo - Varejo - Ganho Tributário Cross</v>
          </cell>
          <cell r="D672">
            <v>0.66909999999999992</v>
          </cell>
          <cell r="E672" t="str">
            <v>MKT-1-9831631302</v>
          </cell>
          <cell r="F672" t="str">
            <v>0T3T_REJ17_PCS-2PMepi_FLAT_FIXO_GT_66.91%</v>
          </cell>
          <cell r="G672">
            <v>66.91</v>
          </cell>
        </row>
        <row r="673">
          <cell r="A673" t="str">
            <v>Oi Total Fixo + TV 30.6032Template de desconto FLAT bundle - Fixo - Varejo - Ganho Tributário Cross</v>
          </cell>
          <cell r="B673" t="str">
            <v>Plano Oi Internet Total High</v>
          </cell>
          <cell r="C673" t="str">
            <v>Template de desconto FLAT bundle - Fixo - Varejo - Ganho Tributário Cross</v>
          </cell>
          <cell r="D673">
            <v>0.60319999999999996</v>
          </cell>
          <cell r="E673" t="str">
            <v>MKT-1-9831660475</v>
          </cell>
          <cell r="F673" t="str">
            <v>0T3T_REJ17_PCS-2PHipi_FLAT_FIXO_GT_60.32%</v>
          </cell>
          <cell r="G673">
            <v>60.32</v>
          </cell>
        </row>
        <row r="674">
          <cell r="A674" t="str">
            <v>Oi Total Fixo + TV 20.6032Template de desconto FLAT bundle - Fixo - Varejo - Ganho Tributário Cross</v>
          </cell>
          <cell r="B674" t="str">
            <v>Plano Oi Internet Total Medium</v>
          </cell>
          <cell r="C674" t="str">
            <v>Template de desconto FLAT bundle - Fixo - Varejo - Ganho Tributário Cross</v>
          </cell>
          <cell r="D674">
            <v>0.60319999999999996</v>
          </cell>
          <cell r="E674" t="str">
            <v>MKT-1-9831660676</v>
          </cell>
          <cell r="F674" t="str">
            <v>0T3T_REJ17_PCS-2PMepi_FLAT_FIXO_GT_60.32%</v>
          </cell>
          <cell r="G674">
            <v>60.32</v>
          </cell>
        </row>
        <row r="675">
          <cell r="A675" t="str">
            <v>Oi Total Fixo + TV 10.6032Template de desconto FLAT bundle - Fixo - Varejo - Ganho Tributário Cross</v>
          </cell>
          <cell r="B675" t="str">
            <v>Plano Oi Internet Total Low</v>
          </cell>
          <cell r="C675" t="str">
            <v>Template de desconto FLAT bundle - Fixo - Varejo - Ganho Tributário Cross</v>
          </cell>
          <cell r="D675">
            <v>0.60319999999999996</v>
          </cell>
          <cell r="E675" t="str">
            <v>MKT-1-9831660877</v>
          </cell>
          <cell r="F675" t="str">
            <v>0T3T_REJ17_CFG-2Plowpi_FLAT_FIXO_GT_60.32%</v>
          </cell>
          <cell r="G675">
            <v>60.32</v>
          </cell>
        </row>
        <row r="676">
          <cell r="A676" t="str">
            <v>Oi Total Fixo + TV 30.6691Template de desconto FLAT bundle - Fixo - Varejo - Ganho Tributário Cross</v>
          </cell>
          <cell r="B676" t="str">
            <v>Plano Oi Internet Total High</v>
          </cell>
          <cell r="C676" t="str">
            <v>Template de desconto FLAT bundle - Fixo - Varejo - Ganho Tributário Cross</v>
          </cell>
          <cell r="D676">
            <v>0.66909999999999992</v>
          </cell>
          <cell r="E676" t="str">
            <v>MKT-1-9831649868</v>
          </cell>
          <cell r="F676" t="str">
            <v>0T3T_REJ17_PCS-2PHipi_FLAT_FIXO_GT_66.91%</v>
          </cell>
          <cell r="G676">
            <v>66.91</v>
          </cell>
        </row>
        <row r="677">
          <cell r="A677" t="str">
            <v>Oi Total Fixo + Banda Larga 20.6446Template de desconto FLAT bundle - Velox XDSL - Varejo</v>
          </cell>
          <cell r="B677" t="str">
            <v>Oi Total Fixo + Banda Larga 2</v>
          </cell>
          <cell r="C677" t="str">
            <v>Template de desconto FLAT bundle - Velox XDSL - Varejo</v>
          </cell>
          <cell r="D677">
            <v>0.64459999999999995</v>
          </cell>
          <cell r="E677" t="str">
            <v>MKT-1-9831894722</v>
          </cell>
          <cell r="F677" t="str">
            <v>0T3T_REJ17_PCS-2PFBL2_FLAT_BL_64.46%</v>
          </cell>
          <cell r="G677">
            <v>64.459999999999994</v>
          </cell>
        </row>
        <row r="678">
          <cell r="A678" t="str">
            <v>Oi Total Fixo + Banda Larga 10.6446Template de desconto FLAT bundle - Velox XDSL - Varejo</v>
          </cell>
          <cell r="B678" t="str">
            <v>Oi Total Fixo + Banda Larga 1</v>
          </cell>
          <cell r="C678" t="str">
            <v>Template de desconto FLAT bundle - Velox XDSL - Varejo</v>
          </cell>
          <cell r="D678">
            <v>0.64459999999999995</v>
          </cell>
          <cell r="E678" t="str">
            <v>MKT-1-9831894419</v>
          </cell>
          <cell r="F678" t="str">
            <v>0T3T_REJ17_PCS-2PFBL1_FLAT_BL_64.46%</v>
          </cell>
          <cell r="G678">
            <v>64.459999999999994</v>
          </cell>
        </row>
        <row r="679">
          <cell r="A679" t="str">
            <v>Oi Total Fixo + Banda Larga 30.5259Template de desconto FLAT bundle - Velox XDSL - Varejo</v>
          </cell>
          <cell r="B679" t="str">
            <v>Oi Total Fixo + Banda Larga 3</v>
          </cell>
          <cell r="C679" t="str">
            <v>Template de desconto FLAT bundle - Velox XDSL - Varejo</v>
          </cell>
          <cell r="D679">
            <v>0.52590000000000003</v>
          </cell>
          <cell r="E679" t="str">
            <v>MKT-1-9831894196</v>
          </cell>
          <cell r="F679" t="str">
            <v>0T3T_REJ17_PCS-2PFBL3_FLAT_BL_52.59%</v>
          </cell>
          <cell r="G679">
            <v>52.59</v>
          </cell>
        </row>
        <row r="680">
          <cell r="A680" t="str">
            <v>Oi Total Fixo + Banda Larga 30.6446Template de desconto FLAT bundle - Velox XDSL - Varejo</v>
          </cell>
          <cell r="B680" t="str">
            <v>Oi Total Fixo + Banda Larga 3</v>
          </cell>
          <cell r="C680" t="str">
            <v>Template de desconto FLAT bundle - Velox XDSL - Varejo</v>
          </cell>
          <cell r="D680">
            <v>0.64459999999999995</v>
          </cell>
          <cell r="E680" t="str">
            <v>MKT-1-9831876006</v>
          </cell>
          <cell r="F680" t="str">
            <v>0T3T_REJ17_PCS-2PFBL3_FLAT_BL_64.46%</v>
          </cell>
          <cell r="G680">
            <v>64.459999999999994</v>
          </cell>
        </row>
        <row r="681">
          <cell r="A681" t="str">
            <v>Oi Total Fixo + Banda Larga 10.5734Template de desconto FLAT bundle - Velox XDSL - Varejo</v>
          </cell>
          <cell r="B681" t="str">
            <v>Oi Total Fixo + Banda Larga 1</v>
          </cell>
          <cell r="C681" t="str">
            <v>Template de desconto FLAT bundle - Velox XDSL - Varejo</v>
          </cell>
          <cell r="D681">
            <v>0.57340000000000002</v>
          </cell>
          <cell r="E681" t="str">
            <v>MKT-1-9831875903</v>
          </cell>
          <cell r="F681" t="str">
            <v>0T3T_REJ17_PCS-2PFBL1_FLAT_BL_57.34%</v>
          </cell>
          <cell r="G681">
            <v>57.34</v>
          </cell>
        </row>
        <row r="682">
          <cell r="A682" t="str">
            <v>Oi Total Fixo + Banda Larga 20.5734Template de desconto FLAT bundle - Velox XDSL - Varejo</v>
          </cell>
          <cell r="B682" t="str">
            <v>Oi Total Fixo + Banda Larga 2</v>
          </cell>
          <cell r="C682" t="str">
            <v>Template de desconto FLAT bundle - Velox XDSL - Varejo</v>
          </cell>
          <cell r="D682">
            <v>0.57340000000000002</v>
          </cell>
          <cell r="E682" t="str">
            <v>MKT-1-9831875810</v>
          </cell>
          <cell r="F682" t="str">
            <v>0T3T_REJ17_PCS-2PFBL2_FLAT_BL_57.34%</v>
          </cell>
          <cell r="G682">
            <v>57.34</v>
          </cell>
        </row>
        <row r="683">
          <cell r="A683" t="str">
            <v>Oi Total Fixo + Banda Larga 30.5734Template de desconto FLAT bundle - Velox XDSL - Varejo</v>
          </cell>
          <cell r="B683" t="str">
            <v>Oi Total Fixo + Banda Larga 3</v>
          </cell>
          <cell r="C683" t="str">
            <v>Template de desconto FLAT bundle - Velox XDSL - Varejo</v>
          </cell>
          <cell r="D683">
            <v>0.57340000000000002</v>
          </cell>
          <cell r="E683" t="str">
            <v>MKT-1-9831875537</v>
          </cell>
          <cell r="F683" t="str">
            <v>0T3T_REJ17_PCS-2PFBL3_FLAT_BL_57.34%</v>
          </cell>
          <cell r="G683">
            <v>57.34</v>
          </cell>
        </row>
        <row r="684">
          <cell r="A684" t="str">
            <v>Oi Total Fixo + Banda Larga 10.7156Template de desconto FLAT bundle - Velox XDSL - Varejo</v>
          </cell>
          <cell r="B684" t="str">
            <v>Oi Total Fixo + Banda Larga 1</v>
          </cell>
          <cell r="C684" t="str">
            <v>Template de desconto FLAT bundle - Velox XDSL - Varejo</v>
          </cell>
          <cell r="D684">
            <v>0.71560000000000001</v>
          </cell>
          <cell r="E684" t="str">
            <v>MKT-1-9831875444</v>
          </cell>
          <cell r="F684" t="str">
            <v>0T3T_REJ17_PCS-2PFBL1_FLAT_BL_71.56%</v>
          </cell>
          <cell r="G684">
            <v>71.56</v>
          </cell>
        </row>
        <row r="685">
          <cell r="A685" t="str">
            <v>Oi Total Fixo + Banda Larga 20.7156Template de desconto FLAT bundle - Velox XDSL - Varejo</v>
          </cell>
          <cell r="B685" t="str">
            <v>Oi Total Fixo + Banda Larga 2</v>
          </cell>
          <cell r="C685" t="str">
            <v>Template de desconto FLAT bundle - Velox XDSL - Varejo</v>
          </cell>
          <cell r="D685">
            <v>0.71560000000000001</v>
          </cell>
          <cell r="E685" t="str">
            <v>MKT-1-9831875351</v>
          </cell>
          <cell r="F685" t="str">
            <v>0T3T_REJ17_PCS-2PFBL2_FLAT_BL_71.56%</v>
          </cell>
          <cell r="G685">
            <v>71.56</v>
          </cell>
        </row>
        <row r="686">
          <cell r="A686" t="str">
            <v>Oi Total Fixo + Banda Larga 30.7156Template de desconto FLAT bundle - Velox XDSL - Varejo</v>
          </cell>
          <cell r="B686" t="str">
            <v>Oi Total Fixo + Banda Larga 3</v>
          </cell>
          <cell r="C686" t="str">
            <v>Template de desconto FLAT bundle - Velox XDSL - Varejo</v>
          </cell>
          <cell r="D686">
            <v>0.71560000000000001</v>
          </cell>
          <cell r="E686" t="str">
            <v>MKT-1-9831868250</v>
          </cell>
          <cell r="F686" t="str">
            <v>0T3T_REJ17_PCS-2PFBL3_FLAT_BL_71.56%</v>
          </cell>
          <cell r="G686">
            <v>71.56</v>
          </cell>
        </row>
        <row r="687">
          <cell r="A687" t="str">
            <v>Oi Total Fixo + Banda Larga 10.6681Template de desconto FLAT bundle - Velox XDSL - Varejo</v>
          </cell>
          <cell r="B687" t="str">
            <v>Oi Total Fixo + Banda Larga 1</v>
          </cell>
          <cell r="C687" t="str">
            <v>Template de desconto FLAT bundle - Velox XDSL - Varejo</v>
          </cell>
          <cell r="D687">
            <v>0.66810000000000003</v>
          </cell>
          <cell r="E687" t="str">
            <v>MKT-1-9831868157</v>
          </cell>
          <cell r="F687" t="str">
            <v>0T3T_REJ17_PCS-2PFBL1_FLAT_BL_66.81%</v>
          </cell>
          <cell r="G687">
            <v>66.81</v>
          </cell>
        </row>
        <row r="688">
          <cell r="A688" t="str">
            <v>Oi Total Fixo + Banda Larga 20.5259Template de desconto FLAT bundle - Velox XDSL - Varejo</v>
          </cell>
          <cell r="B688" t="str">
            <v>Oi Total Fixo + Banda Larga 2</v>
          </cell>
          <cell r="C688" t="str">
            <v>Template de desconto FLAT bundle - Velox XDSL - Varejo</v>
          </cell>
          <cell r="D688">
            <v>0.52590000000000003</v>
          </cell>
          <cell r="E688" t="str">
            <v>MKT-1-9831864093</v>
          </cell>
          <cell r="F688" t="str">
            <v>0T3T_REJ17_PCS-2PFBL2_FLAT_BL_52.59%</v>
          </cell>
          <cell r="G688">
            <v>52.59</v>
          </cell>
        </row>
        <row r="689">
          <cell r="A689" t="str">
            <v>Oi Total Fixo + Banda Larga 10.5259Template de desconto FLAT bundle - Velox XDSL - Varejo</v>
          </cell>
          <cell r="B689" t="str">
            <v>Oi Total Fixo + Banda Larga 1</v>
          </cell>
          <cell r="C689" t="str">
            <v>Template de desconto FLAT bundle - Velox XDSL - Varejo</v>
          </cell>
          <cell r="D689">
            <v>0.52590000000000003</v>
          </cell>
          <cell r="E689" t="str">
            <v>MKT-1-9831863930</v>
          </cell>
          <cell r="F689" t="str">
            <v>0T3T_REJ17_PCS-2PFBL1_FLAT_BL_52.59%</v>
          </cell>
          <cell r="G689">
            <v>52.59</v>
          </cell>
        </row>
        <row r="690">
          <cell r="A690" t="str">
            <v>Oi Total Fixo + Banda Larga 30.6051Template de desconto FLAT bundle - Velox XDSL - Varejo</v>
          </cell>
          <cell r="B690" t="str">
            <v>Oi Total Fixo + Banda Larga 3</v>
          </cell>
          <cell r="C690" t="str">
            <v>Template de desconto FLAT bundle - Velox XDSL - Varejo</v>
          </cell>
          <cell r="D690">
            <v>0.60509999999999997</v>
          </cell>
          <cell r="E690" t="str">
            <v>MKT-1-9831863787</v>
          </cell>
          <cell r="F690" t="str">
            <v>0T3T_REJ17_PCS-2PFBL3_FLAT_BL_60.51%</v>
          </cell>
          <cell r="G690">
            <v>60.51</v>
          </cell>
        </row>
        <row r="691">
          <cell r="A691" t="str">
            <v>Oi Total Fixo + Banda Larga 20.6051Template de desconto FLAT bundle - Velox XDSL - Varejo</v>
          </cell>
          <cell r="B691" t="str">
            <v>Oi Total Fixo + Banda Larga 2</v>
          </cell>
          <cell r="C691" t="str">
            <v>Template de desconto FLAT bundle - Velox XDSL - Varejo</v>
          </cell>
          <cell r="D691">
            <v>0.60509999999999997</v>
          </cell>
          <cell r="E691" t="str">
            <v>MKT-1-9831863674</v>
          </cell>
          <cell r="F691" t="str">
            <v>0T3T_REJ17_PCS-2PFBL2_FLAT_BL_60.51%</v>
          </cell>
          <cell r="G691">
            <v>60.51</v>
          </cell>
        </row>
        <row r="692">
          <cell r="A692" t="str">
            <v>Oi Total Fixo + Banda Larga 10.6051Template de desconto FLAT bundle - Velox XDSL - Varejo</v>
          </cell>
          <cell r="B692" t="str">
            <v>Oi Total Fixo + Banda Larga 1</v>
          </cell>
          <cell r="C692" t="str">
            <v>Template de desconto FLAT bundle - Velox XDSL - Varejo</v>
          </cell>
          <cell r="D692">
            <v>0.60509999999999997</v>
          </cell>
          <cell r="E692" t="str">
            <v>MKT-1-9831863581</v>
          </cell>
          <cell r="F692" t="str">
            <v>0T3T_REJ17_PCS-2PFBL1_FLAT_BL_60.51%</v>
          </cell>
          <cell r="G692">
            <v>60.51</v>
          </cell>
        </row>
        <row r="693">
          <cell r="A693" t="str">
            <v>Oi Total Fixo + Banda Larga 20.6681Template de desconto FLAT bundle - Velox XDSL - Varejo</v>
          </cell>
          <cell r="B693" t="str">
            <v>Oi Total Fixo + Banda Larga 2</v>
          </cell>
          <cell r="C693" t="str">
            <v>Template de desconto FLAT bundle - Velox XDSL - Varejo</v>
          </cell>
          <cell r="D693">
            <v>0.66810000000000003</v>
          </cell>
          <cell r="E693" t="str">
            <v>MKT-1-9831741064</v>
          </cell>
          <cell r="F693" t="str">
            <v>0T3T_REJ17_PCS-2PFBL2_FLAT_BL_66.81%</v>
          </cell>
          <cell r="G693">
            <v>66.81</v>
          </cell>
        </row>
        <row r="694">
          <cell r="A694" t="str">
            <v>Oi Total Fixo + Banda Larga 30.6681Template de desconto FLAT bundle - Velox XDSL - Varejo</v>
          </cell>
          <cell r="B694" t="str">
            <v>Oi Total Fixo + Banda Larga 3</v>
          </cell>
          <cell r="C694" t="str">
            <v>Template de desconto FLAT bundle - Velox XDSL - Varejo</v>
          </cell>
          <cell r="D694">
            <v>0.66810000000000003</v>
          </cell>
          <cell r="E694" t="str">
            <v>MKT-1-9831740971</v>
          </cell>
          <cell r="F694" t="str">
            <v>0T3T_REJ17_PCS-2PFBL3_FLAT_BL_66.81%</v>
          </cell>
          <cell r="G694">
            <v>66.81</v>
          </cell>
        </row>
        <row r="695">
          <cell r="A695" t="str">
            <v>Oi Total Fixo + Banda Larga 10.7867Template de desconto FLAT bundle - Velox XDSL - Varejo</v>
          </cell>
          <cell r="B695" t="str">
            <v>Oi Total Fixo + Banda Larga 1</v>
          </cell>
          <cell r="C695" t="str">
            <v>Template de desconto FLAT bundle - Velox XDSL - Varejo</v>
          </cell>
          <cell r="D695">
            <v>0.78670000000000007</v>
          </cell>
          <cell r="E695" t="str">
            <v>MKT-1-9831740878</v>
          </cell>
          <cell r="F695" t="str">
            <v>0T3T_REJ17_PCS-2PFBL1_FLAT_BL_78.67%</v>
          </cell>
          <cell r="G695">
            <v>78.67</v>
          </cell>
        </row>
        <row r="696">
          <cell r="A696" t="str">
            <v>Oi Total Fixo + Banda Larga 20.7867Template de desconto FLAT bundle - Velox XDSL - Varejo</v>
          </cell>
          <cell r="B696" t="str">
            <v>Oi Total Fixo + Banda Larga 2</v>
          </cell>
          <cell r="C696" t="str">
            <v>Template de desconto FLAT bundle - Velox XDSL - Varejo</v>
          </cell>
          <cell r="D696">
            <v>0.78670000000000007</v>
          </cell>
          <cell r="E696" t="str">
            <v>MKT-1-9831740785</v>
          </cell>
          <cell r="F696" t="str">
            <v>0T3T_REJ17_PCS-2PFBL2_FLAT_BL_78.67%</v>
          </cell>
          <cell r="G696">
            <v>78.67</v>
          </cell>
        </row>
        <row r="697">
          <cell r="A697" t="str">
            <v>Oi Total Fixo + Banda Larga 30.7867Template de desconto FLAT bundle - Velox XDSL - Varejo</v>
          </cell>
          <cell r="B697" t="str">
            <v>Oi Total Fixo + Banda Larga 3</v>
          </cell>
          <cell r="C697" t="str">
            <v>Template de desconto FLAT bundle - Velox XDSL - Varejo</v>
          </cell>
          <cell r="D697">
            <v>0.78670000000000007</v>
          </cell>
          <cell r="E697" t="str">
            <v>MKT-1-9831740692</v>
          </cell>
          <cell r="F697" t="str">
            <v>0T3T_REJ17_PCS-2PFBL3_FLAT_BL_78.67%</v>
          </cell>
          <cell r="G697">
            <v>78.67</v>
          </cell>
        </row>
        <row r="698">
          <cell r="A698" t="str">
            <v>Oi Total Fixo + Banda Larga 10.7511Template de desconto FLAT bundle - Velox XDSL - Varejo</v>
          </cell>
          <cell r="B698" t="str">
            <v>Oi Total Fixo + Banda Larga 1</v>
          </cell>
          <cell r="C698" t="str">
            <v>Template de desconto FLAT bundle - Velox XDSL - Varejo</v>
          </cell>
          <cell r="D698">
            <v>0.75109999999999999</v>
          </cell>
          <cell r="E698" t="str">
            <v>MKT-1-9831740599</v>
          </cell>
          <cell r="F698" t="str">
            <v>0T3T_REJ17_PCS-2PFBL1_FLAT_BL_75.11%</v>
          </cell>
          <cell r="G698">
            <v>75.11</v>
          </cell>
        </row>
        <row r="699">
          <cell r="A699" t="str">
            <v>Oi Total Fixo + Banda Larga 20.7511Template de desconto FLAT bundle - Velox XDSL - Varejo</v>
          </cell>
          <cell r="B699" t="str">
            <v>Oi Total Fixo + Banda Larga 2</v>
          </cell>
          <cell r="C699" t="str">
            <v>Template de desconto FLAT bundle - Velox XDSL - Varejo</v>
          </cell>
          <cell r="D699">
            <v>0.75109999999999999</v>
          </cell>
          <cell r="E699" t="str">
            <v>MKT-1-9831740506</v>
          </cell>
          <cell r="F699" t="str">
            <v>0T3T_REJ17_PCS-2PFBL2_FLAT_BL_75.11%</v>
          </cell>
          <cell r="G699">
            <v>75.11</v>
          </cell>
        </row>
        <row r="700">
          <cell r="A700" t="str">
            <v>Oi Total Fixo + Banda Larga 30.7511Template de desconto FLAT bundle - Velox XDSL - Varejo</v>
          </cell>
          <cell r="B700" t="str">
            <v>Oi Total Fixo + Banda Larga 3</v>
          </cell>
          <cell r="C700" t="str">
            <v>Template de desconto FLAT bundle - Velox XDSL - Varejo</v>
          </cell>
          <cell r="D700">
            <v>0.75109999999999999</v>
          </cell>
          <cell r="E700" t="str">
            <v>MKT-1-9831740403</v>
          </cell>
          <cell r="F700" t="str">
            <v>0T3T_REJ17_PCS-2PFBL3_FLAT_BL_75.11%</v>
          </cell>
          <cell r="G700">
            <v>75.11</v>
          </cell>
        </row>
        <row r="701">
          <cell r="A701" t="str">
            <v>Oi Total Fixo + Banda Larga 10.7155Template de desconto FLAT bundle - Velox XDSL - Varejo</v>
          </cell>
          <cell r="B701" t="str">
            <v>Oi Total Fixo + Banda Larga 1</v>
          </cell>
          <cell r="C701" t="str">
            <v>Template de desconto FLAT bundle - Velox XDSL - Varejo</v>
          </cell>
          <cell r="D701">
            <v>0.71550000000000002</v>
          </cell>
          <cell r="E701" t="str">
            <v>MKT-1-9831740310</v>
          </cell>
          <cell r="F701" t="str">
            <v>0T3T_REJ17_PCS-2PFBL1_FLAT_BL_71.55%</v>
          </cell>
          <cell r="G701">
            <v>71.55</v>
          </cell>
        </row>
        <row r="702">
          <cell r="A702" t="str">
            <v>Oi Total Fixo + Banda Larga 20.7155Template de desconto FLAT bundle - Velox XDSL - Varejo</v>
          </cell>
          <cell r="B702" t="str">
            <v>Oi Total Fixo + Banda Larga 2</v>
          </cell>
          <cell r="C702" t="str">
            <v>Template de desconto FLAT bundle - Velox XDSL - Varejo</v>
          </cell>
          <cell r="D702">
            <v>0.71550000000000002</v>
          </cell>
          <cell r="E702" t="str">
            <v>MKT-1-9831740217</v>
          </cell>
          <cell r="F702" t="str">
            <v>0T3T_REJ17_PCS-2PFBL2_FLAT_BL_71.55%</v>
          </cell>
          <cell r="G702">
            <v>71.55</v>
          </cell>
        </row>
        <row r="703">
          <cell r="A703" t="str">
            <v>Oi Total Fixo + Banda Larga 30.7155Template de desconto FLAT bundle - Velox XDSL - Varejo</v>
          </cell>
          <cell r="B703" t="str">
            <v>Oi Total Fixo + Banda Larga 3</v>
          </cell>
          <cell r="C703" t="str">
            <v>Template de desconto FLAT bundle - Velox XDSL - Varejo</v>
          </cell>
          <cell r="D703">
            <v>0.71550000000000002</v>
          </cell>
          <cell r="E703" t="str">
            <v>MKT-1-9831740124</v>
          </cell>
          <cell r="F703" t="str">
            <v>0T3T_REJ17_PCS-2PFBL3_FLAT_BL_71.55%</v>
          </cell>
          <cell r="G703">
            <v>71.55</v>
          </cell>
        </row>
        <row r="704">
          <cell r="A704" t="str">
            <v>Oi Total Fixo + Banda Larga + TV 10.64Template de desconto FLAT bundle - Velox XDSL - Varejo</v>
          </cell>
          <cell r="B704" t="str">
            <v>Plano Oi Convergente Low</v>
          </cell>
          <cell r="C704" t="str">
            <v>Template de desconto FLAT bundle - Velox XDSL - Varejo</v>
          </cell>
          <cell r="D704">
            <v>0.64</v>
          </cell>
          <cell r="E704" t="str">
            <v>MKT-1-9831720031</v>
          </cell>
          <cell r="F704" t="str">
            <v>0T3T_REJ17_PCS-3PLowpi_FLAT_BL_64.00%</v>
          </cell>
          <cell r="G704">
            <v>64</v>
          </cell>
        </row>
        <row r="705">
          <cell r="A705" t="str">
            <v>Oi Total Fixo + Banda Larga + TV 20.64Template de desconto FLAT bundle - Velox XDSL - Varejo</v>
          </cell>
          <cell r="B705" t="str">
            <v>Plano Oi Convergente Medium</v>
          </cell>
          <cell r="C705" t="str">
            <v>Template de desconto FLAT bundle - Velox XDSL - Varejo</v>
          </cell>
          <cell r="D705">
            <v>0.64</v>
          </cell>
          <cell r="E705" t="str">
            <v>MKT-1-9831719938</v>
          </cell>
          <cell r="F705" t="str">
            <v>0T3T_REJ17_PCS-3PMepi_FLAT_BL_64.00%</v>
          </cell>
          <cell r="G705">
            <v>64</v>
          </cell>
        </row>
        <row r="706">
          <cell r="A706" t="str">
            <v>Oi Total Fixo + Banda Larga + TV 30.64Template de desconto FLAT bundle - Velox XDSL - Varejo</v>
          </cell>
          <cell r="B706" t="str">
            <v>Plano Oi Convergente High</v>
          </cell>
          <cell r="C706" t="str">
            <v>Template de desconto FLAT bundle - Velox XDSL - Varejo</v>
          </cell>
          <cell r="D706">
            <v>0.64</v>
          </cell>
          <cell r="E706" t="str">
            <v>MKT-1-9831719845</v>
          </cell>
          <cell r="F706" t="str">
            <v>0T3T_REJ17_PCS-3PHipi_FLAT_BL_64.00%</v>
          </cell>
          <cell r="G706">
            <v>64</v>
          </cell>
        </row>
        <row r="707">
          <cell r="A707" t="str">
            <v>Oi Total Fixo + Banda Larga + TV 10.5368Template de desconto FLAT bundle - Velox XDSL - Varejo</v>
          </cell>
          <cell r="B707" t="str">
            <v>Plano Oi Convergente Low</v>
          </cell>
          <cell r="C707" t="str">
            <v>Template de desconto FLAT bundle - Velox XDSL - Varejo</v>
          </cell>
          <cell r="D707">
            <v>0.53679999999999994</v>
          </cell>
          <cell r="E707" t="str">
            <v>MKT-1-9831719752</v>
          </cell>
          <cell r="F707" t="str">
            <v>0T3T_REJ17_PCS-3PLowpi_FLAT_BL_53.68%</v>
          </cell>
          <cell r="G707">
            <v>53.68</v>
          </cell>
        </row>
        <row r="708">
          <cell r="A708" t="str">
            <v>Oi Total Fixo + Banda Larga + TV 10.6449Template de desconto FLAT bundle - Velox XDSL - Varejo</v>
          </cell>
          <cell r="B708" t="str">
            <v>Plano Oi Convergente Low</v>
          </cell>
          <cell r="C708" t="str">
            <v>Template de desconto FLAT bundle - Velox XDSL - Varejo</v>
          </cell>
          <cell r="D708">
            <v>0.64489999999999992</v>
          </cell>
          <cell r="E708" t="str">
            <v>MKT-1-9831719659</v>
          </cell>
          <cell r="F708" t="str">
            <v>0T3T_REJ17_PCS-3PLowpi_FLAT_BL_64.49%</v>
          </cell>
          <cell r="G708">
            <v>64.489999999999995</v>
          </cell>
        </row>
        <row r="709">
          <cell r="A709" t="str">
            <v>Oi Total Fixo + Banda Larga + TV 20.6449Template de desconto FLAT bundle - Velox XDSL - Varejo</v>
          </cell>
          <cell r="B709" t="str">
            <v>Plano Oi Convergente Medium</v>
          </cell>
          <cell r="C709" t="str">
            <v>Template de desconto FLAT bundle - Velox XDSL - Varejo</v>
          </cell>
          <cell r="D709">
            <v>0.64489999999999992</v>
          </cell>
          <cell r="E709" t="str">
            <v>MKT-1-9831719566</v>
          </cell>
          <cell r="F709" t="str">
            <v>0T3T_REJ17_PCS-3PMepi_FLAT_BL_64.49%</v>
          </cell>
          <cell r="G709">
            <v>64.489999999999995</v>
          </cell>
        </row>
        <row r="710">
          <cell r="A710" t="str">
            <v>Oi Total Fixo + Banda Larga + TV 30.6449Template de desconto FLAT bundle - Velox XDSL - Varejo</v>
          </cell>
          <cell r="B710" t="str">
            <v>Plano Oi Convergente High</v>
          </cell>
          <cell r="C710" t="str">
            <v>Template de desconto FLAT bundle - Velox XDSL - Varejo</v>
          </cell>
          <cell r="D710">
            <v>0.64489999999999992</v>
          </cell>
          <cell r="E710" t="str">
            <v>MKT-1-9831719473</v>
          </cell>
          <cell r="F710" t="str">
            <v>0T3T_REJ17_PCS-3PHipi_FLAT_BL_64.49%</v>
          </cell>
          <cell r="G710">
            <v>64.489999999999995</v>
          </cell>
        </row>
        <row r="711">
          <cell r="A711" t="str">
            <v>Oi Total Fixo + Banda Larga + TV 10.6448Template de desconto FLAT bundle - Velox XDSL - Varejo</v>
          </cell>
          <cell r="B711" t="str">
            <v>Plano Oi Convergente Low</v>
          </cell>
          <cell r="C711" t="str">
            <v>Template de desconto FLAT bundle - Velox XDSL - Varejo</v>
          </cell>
          <cell r="D711">
            <v>0.64480000000000004</v>
          </cell>
          <cell r="E711" t="str">
            <v>MKT-1-9831719380</v>
          </cell>
          <cell r="F711" t="str">
            <v>0T3T_REJ17_PCS-3PLowpi_FLAT_BL_64.48%</v>
          </cell>
          <cell r="G711">
            <v>64.48</v>
          </cell>
        </row>
        <row r="712">
          <cell r="A712" t="str">
            <v>Oi Total Fixo + Banda Larga + TV 20.6448Template de desconto FLAT bundle - Velox XDSL - Varejo</v>
          </cell>
          <cell r="B712" t="str">
            <v>Plano Oi Convergente Medium</v>
          </cell>
          <cell r="C712" t="str">
            <v>Template de desconto FLAT bundle - Velox XDSL - Varejo</v>
          </cell>
          <cell r="D712">
            <v>0.64480000000000004</v>
          </cell>
          <cell r="E712" t="str">
            <v>MKT-1-9831719287</v>
          </cell>
          <cell r="F712" t="str">
            <v>0T3T_REJ17_PCS-3PMepi_FLAT_BL_64.48%</v>
          </cell>
          <cell r="G712">
            <v>64.48</v>
          </cell>
        </row>
        <row r="713">
          <cell r="A713" t="str">
            <v>Oi Total Fixo + Banda Larga + TV 30.6448Template de desconto FLAT bundle - Velox XDSL - Varejo</v>
          </cell>
          <cell r="B713" t="str">
            <v>Plano Oi Convergente High</v>
          </cell>
          <cell r="C713" t="str">
            <v>Template de desconto FLAT bundle - Velox XDSL - Varejo</v>
          </cell>
          <cell r="D713">
            <v>0.64480000000000004</v>
          </cell>
          <cell r="E713" t="str">
            <v>MKT-1-9831719194</v>
          </cell>
          <cell r="F713" t="str">
            <v>0T3T_REJ17_PCS-3PHipi_FLAT_BL_64.48%</v>
          </cell>
          <cell r="G713">
            <v>64.48</v>
          </cell>
        </row>
        <row r="714">
          <cell r="A714" t="str">
            <v>Oi Total Fixo + Banda Larga + TV 10.6842Template de desconto FLAT bundle - Velox XDSL - Varejo</v>
          </cell>
          <cell r="B714" t="str">
            <v>Plano Oi Convergente Low</v>
          </cell>
          <cell r="C714" t="str">
            <v>Template de desconto FLAT bundle - Velox XDSL - Varejo</v>
          </cell>
          <cell r="D714">
            <v>0.68420000000000003</v>
          </cell>
          <cell r="E714" t="str">
            <v>MKT-1-9831719101</v>
          </cell>
          <cell r="F714" t="str">
            <v>0T3T_REJ17_PCS-3PLowpi_FLAT_BL_68.42%</v>
          </cell>
          <cell r="G714">
            <v>68.42</v>
          </cell>
        </row>
        <row r="715">
          <cell r="A715" t="str">
            <v>Oi Total Fixo + Banda Larga + TV 20.6842Template de desconto FLAT bundle - Velox XDSL - Varejo</v>
          </cell>
          <cell r="B715" t="str">
            <v>Plano Oi Convergente Medium</v>
          </cell>
          <cell r="C715" t="str">
            <v>Template de desconto FLAT bundle - Velox XDSL - Varejo</v>
          </cell>
          <cell r="D715">
            <v>0.68420000000000003</v>
          </cell>
          <cell r="E715" t="str">
            <v>MKT-1-9831688008</v>
          </cell>
          <cell r="F715" t="str">
            <v>0T3T_REJ17_PCS-3PMepi_FLAT_BL_68.42%</v>
          </cell>
          <cell r="G715">
            <v>68.42</v>
          </cell>
        </row>
        <row r="716">
          <cell r="A716" t="str">
            <v>Oi Total Fixo + Banda Larga + TV 30.6842Template de desconto FLAT bundle - Velox XDSL - Varejo</v>
          </cell>
          <cell r="B716" t="str">
            <v>Plano Oi Convergente High</v>
          </cell>
          <cell r="C716" t="str">
            <v>Template de desconto FLAT bundle - Velox XDSL - Varejo</v>
          </cell>
          <cell r="D716">
            <v>0.68420000000000003</v>
          </cell>
          <cell r="E716" t="str">
            <v>MKT-1-9831687915</v>
          </cell>
          <cell r="F716" t="str">
            <v>0T3T_REJ17_PCS-3PHipi_FLAT_BL_68.42%</v>
          </cell>
          <cell r="G716">
            <v>68.42</v>
          </cell>
        </row>
        <row r="717">
          <cell r="A717" t="str">
            <v>Oi Total Fixo + Banda Larga + TV 10.7158Template de desconto FLAT bundle - Velox XDSL - Varejo</v>
          </cell>
          <cell r="B717" t="str">
            <v>Plano Oi Convergente Low</v>
          </cell>
          <cell r="C717" t="str">
            <v>Template de desconto FLAT bundle - Velox XDSL - Varejo</v>
          </cell>
          <cell r="D717">
            <v>0.71579999999999999</v>
          </cell>
          <cell r="E717" t="str">
            <v>MKT-1-9831687822</v>
          </cell>
          <cell r="F717" t="str">
            <v>0T3T_REJ17_PCS-3PLowpi_FLAT_BL_71.58%</v>
          </cell>
          <cell r="G717">
            <v>71.58</v>
          </cell>
        </row>
        <row r="718">
          <cell r="A718" t="str">
            <v>Oi Total Fixo + Banda Larga + TV 20.7158Template de desconto FLAT bundle - Velox XDSL - Varejo</v>
          </cell>
          <cell r="B718" t="str">
            <v>Plano Oi Convergente Medium</v>
          </cell>
          <cell r="C718" t="str">
            <v>Template de desconto FLAT bundle - Velox XDSL - Varejo</v>
          </cell>
          <cell r="D718">
            <v>0.71579999999999999</v>
          </cell>
          <cell r="E718" t="str">
            <v>MKT-1-9831687729</v>
          </cell>
          <cell r="F718" t="str">
            <v>0T3T_REJ17_PCS-3PMepi_FLAT_BL_71.58%</v>
          </cell>
          <cell r="G718">
            <v>71.58</v>
          </cell>
        </row>
        <row r="719">
          <cell r="A719" t="str">
            <v>Oi Total Fixo + Banda Larga + TV 30.7158Template de desconto FLAT bundle - Velox XDSL - Varejo</v>
          </cell>
          <cell r="B719" t="str">
            <v>Plano Oi Convergente High</v>
          </cell>
          <cell r="C719" t="str">
            <v>Template de desconto FLAT bundle - Velox XDSL - Varejo</v>
          </cell>
          <cell r="D719">
            <v>0.71579999999999999</v>
          </cell>
          <cell r="E719" t="str">
            <v>MKT-1-9831687636</v>
          </cell>
          <cell r="F719" t="str">
            <v>0T3T_REJ17_PCS-3PHipi_FLAT_BL_71.58%</v>
          </cell>
          <cell r="G719">
            <v>71.58</v>
          </cell>
        </row>
        <row r="720">
          <cell r="A720" t="str">
            <v>Oi Total Fixo + Banda Larga + TV 10.7631Template de desconto FLAT bundle - Velox XDSL - Varejo</v>
          </cell>
          <cell r="B720" t="str">
            <v>Plano Oi Convergente Low</v>
          </cell>
          <cell r="C720" t="str">
            <v>Template de desconto FLAT bundle - Velox XDSL - Varejo</v>
          </cell>
          <cell r="D720">
            <v>0.7631</v>
          </cell>
          <cell r="E720" t="str">
            <v>MKT-1-9831687543</v>
          </cell>
          <cell r="F720" t="str">
            <v>0T3T_REJ17_PCS-3PLowpi_FLAT_BL_76.31%</v>
          </cell>
          <cell r="G720">
            <v>76.31</v>
          </cell>
        </row>
        <row r="721">
          <cell r="A721" t="str">
            <v>Oi Total Fixo + Banda Larga + TV 20.7631Template de desconto FLAT bundle - Velox XDSL - Varejo</v>
          </cell>
          <cell r="B721" t="str">
            <v>Plano Oi Convergente Medium</v>
          </cell>
          <cell r="C721" t="str">
            <v>Template de desconto FLAT bundle - Velox XDSL - Varejo</v>
          </cell>
          <cell r="D721">
            <v>0.7631</v>
          </cell>
          <cell r="E721" t="str">
            <v>MKT-1-9831687450</v>
          </cell>
          <cell r="F721" t="str">
            <v>0T3T_REJ17_PCS-3PMepi_FLAT_BL_76.31%</v>
          </cell>
          <cell r="G721">
            <v>76.31</v>
          </cell>
        </row>
        <row r="722">
          <cell r="A722" t="str">
            <v>Oi Total Fixo + Banda Larga + TV 30.7631Template de desconto FLAT bundle - Velox XDSL - Varejo</v>
          </cell>
          <cell r="B722" t="str">
            <v>Plano Oi Convergente High</v>
          </cell>
          <cell r="C722" t="str">
            <v>Template de desconto FLAT bundle - Velox XDSL - Varejo</v>
          </cell>
          <cell r="D722">
            <v>0.7631</v>
          </cell>
          <cell r="E722" t="str">
            <v>MKT-1-9831687357</v>
          </cell>
          <cell r="F722" t="str">
            <v>0T3T_REJ17_PCS-3PHipi_FLAT_BL_76.31%</v>
          </cell>
          <cell r="G722">
            <v>76.31</v>
          </cell>
        </row>
        <row r="723">
          <cell r="A723" t="str">
            <v>Oi Total Fixo + Banda Larga + TV 10.8223Template de desconto FLAT bundle - Velox XDSL - Varejo</v>
          </cell>
          <cell r="B723" t="str">
            <v>Plano Oi Convergente Low</v>
          </cell>
          <cell r="C723" t="str">
            <v>Template de desconto FLAT bundle - Velox XDSL - Varejo</v>
          </cell>
          <cell r="D723">
            <v>0.82230000000000003</v>
          </cell>
          <cell r="E723" t="str">
            <v>MKT-1-9831687264</v>
          </cell>
          <cell r="F723" t="str">
            <v>0T3T_REJ17_PCS-3PLowpi_FLAT_BL_82.23%</v>
          </cell>
          <cell r="G723">
            <v>82.23</v>
          </cell>
        </row>
        <row r="724">
          <cell r="A724" t="str">
            <v>Oi Total Fixo + Banda Larga + TV 20.8223Template de desconto FLAT bundle - Velox XDSL - Varejo</v>
          </cell>
          <cell r="B724" t="str">
            <v>Plano Oi Convergente Medium</v>
          </cell>
          <cell r="C724" t="str">
            <v>Template de desconto FLAT bundle - Velox XDSL - Varejo</v>
          </cell>
          <cell r="D724">
            <v>0.82230000000000003</v>
          </cell>
          <cell r="E724" t="str">
            <v>MKT-1-9831687171</v>
          </cell>
          <cell r="F724" t="str">
            <v>0T3T_REJ17_PCS-3PMepi_FLAT_BL_82.23%</v>
          </cell>
          <cell r="G724">
            <v>82.23</v>
          </cell>
        </row>
        <row r="725">
          <cell r="A725" t="str">
            <v>Oi Total Fixo + Banda Larga 30.4667Template de desconto FLAT bundle - Velox XDSL - Varejo</v>
          </cell>
          <cell r="B725" t="str">
            <v>Oi Total Fixo + Banda Larga 3</v>
          </cell>
          <cell r="C725" t="str">
            <v>Template de desconto FLAT bundle - Velox XDSL - Varejo</v>
          </cell>
          <cell r="D725">
            <v>0.4667</v>
          </cell>
          <cell r="E725" t="str">
            <v>MKT-1-9831678577</v>
          </cell>
          <cell r="F725" t="str">
            <v>0T3T_REJ17_PCS-2PFBL3_FLAT_BL_46.67%</v>
          </cell>
          <cell r="G725">
            <v>46.67</v>
          </cell>
        </row>
        <row r="726">
          <cell r="A726" t="str">
            <v>Oi Total Fixo + Banda Larga + TV 30.8223Template de desconto FLAT bundle - Velox XDSL - Varejo</v>
          </cell>
          <cell r="B726" t="str">
            <v>Plano Oi Convergente High</v>
          </cell>
          <cell r="C726" t="str">
            <v>Template de desconto FLAT bundle - Velox XDSL - Varejo</v>
          </cell>
          <cell r="D726">
            <v>0.82230000000000003</v>
          </cell>
          <cell r="E726" t="str">
            <v>MKT-1-9831661078</v>
          </cell>
          <cell r="F726" t="str">
            <v>0T3T_REJ17_PCS-3PHipi_FLAT_BL_82.23%</v>
          </cell>
          <cell r="G726">
            <v>82.23</v>
          </cell>
        </row>
        <row r="727">
          <cell r="A727" t="str">
            <v>Oi Total Fixo + Banda Larga 20.4667Template de desconto FLAT bundle - Velox XDSL - Varejo</v>
          </cell>
          <cell r="B727" t="str">
            <v>Oi Total Fixo + Banda Larga 2</v>
          </cell>
          <cell r="C727" t="str">
            <v>Template de desconto FLAT bundle - Velox XDSL - Varejo</v>
          </cell>
          <cell r="D727">
            <v>0.4667</v>
          </cell>
          <cell r="E727" t="str">
            <v>MKT-1-9831653844</v>
          </cell>
          <cell r="F727" t="str">
            <v>0T3T_REJ17_PCS-2PFBL2_FLAT_BL_46.67%</v>
          </cell>
          <cell r="G727">
            <v>46.67</v>
          </cell>
        </row>
        <row r="728">
          <cell r="A728" t="str">
            <v>Oi Total Fixo + Banda Larga 10.4667Template de desconto FLAT bundle - Velox XDSL - Varejo</v>
          </cell>
          <cell r="B728" t="str">
            <v>Oi Total Fixo + Banda Larga 1</v>
          </cell>
          <cell r="C728" t="str">
            <v>Template de desconto FLAT bundle - Velox XDSL - Varejo</v>
          </cell>
          <cell r="D728">
            <v>0.4667</v>
          </cell>
          <cell r="E728" t="str">
            <v>MKT-1-9831653681</v>
          </cell>
          <cell r="F728" t="str">
            <v>0T3T_REJ17_PCS-2PFBL1_FLAT_BL_46.67%</v>
          </cell>
          <cell r="G728">
            <v>46.67</v>
          </cell>
        </row>
        <row r="729">
          <cell r="A729" t="str">
            <v>Oi Total Fixo + Banda Larga 30.5557Template de desconto FLAT bundle - Velox XDSL - Varejo</v>
          </cell>
          <cell r="B729" t="str">
            <v>Oi Total Fixo + Banda Larga 3</v>
          </cell>
          <cell r="C729" t="str">
            <v>Template de desconto FLAT bundle - Velox XDSL - Varejo</v>
          </cell>
          <cell r="D729">
            <v>0.55569999999999997</v>
          </cell>
          <cell r="E729" t="str">
            <v>MKT-1-9831653248</v>
          </cell>
          <cell r="F729" t="str">
            <v>0T3T_REJ17_PCS-2PFBL3_FLAT_BL_55.57%</v>
          </cell>
          <cell r="G729">
            <v>55.57</v>
          </cell>
        </row>
        <row r="730">
          <cell r="A730" t="str">
            <v>Oi Total Fixo + Banda Larga 20.5557Template de desconto FLAT bundle - Velox XDSL - Varejo</v>
          </cell>
          <cell r="B730" t="str">
            <v>Oi Total Fixo + Banda Larga 2</v>
          </cell>
          <cell r="C730" t="str">
            <v>Template de desconto FLAT bundle - Velox XDSL - Varejo</v>
          </cell>
          <cell r="D730">
            <v>0.55569999999999997</v>
          </cell>
          <cell r="E730" t="str">
            <v>MKT-1-9831653155</v>
          </cell>
          <cell r="F730" t="str">
            <v>0T3T_REJ17_PCS-2PFBL2_FLAT_BL_55.57%</v>
          </cell>
          <cell r="G730">
            <v>55.57</v>
          </cell>
        </row>
        <row r="731">
          <cell r="A731" t="str">
            <v>Oi Total Fixo + Banda Larga 10.5557Template de desconto FLAT bundle - Velox XDSL - Varejo</v>
          </cell>
          <cell r="B731" t="str">
            <v>Oi Total Fixo + Banda Larga 1</v>
          </cell>
          <cell r="C731" t="str">
            <v>Template de desconto FLAT bundle - Velox XDSL - Varejo</v>
          </cell>
          <cell r="D731">
            <v>0.55569999999999997</v>
          </cell>
          <cell r="E731" t="str">
            <v>MKT-1-9831632000</v>
          </cell>
          <cell r="F731" t="str">
            <v>0T3T_REJ17_PCS-2PFBL1_FLAT_BL_55.57%</v>
          </cell>
          <cell r="G731">
            <v>55.57</v>
          </cell>
        </row>
        <row r="732">
          <cell r="A732" t="str">
            <v>Oi Total Fixo + Banda Larga 30.4413Template de desconto FLAT bundle - Velox XDSL - Varejo</v>
          </cell>
          <cell r="B732" t="str">
            <v>Oi Total Fixo + Banda Larga 3</v>
          </cell>
          <cell r="C732" t="str">
            <v>Template de desconto FLAT bundle - Velox XDSL - Varejo</v>
          </cell>
          <cell r="D732">
            <v>0.44130000000000003</v>
          </cell>
          <cell r="E732" t="str">
            <v>MKT-1-9831631597</v>
          </cell>
          <cell r="F732" t="str">
            <v>0T3T_REJ17_PCS-2PFBL3_FLAT_BL_44.13%</v>
          </cell>
          <cell r="G732">
            <v>44.13</v>
          </cell>
        </row>
        <row r="733">
          <cell r="A733" t="str">
            <v>Oi Total Fixo + Banda Larga 20.4413Template de desconto FLAT bundle - Velox XDSL - Varejo</v>
          </cell>
          <cell r="B733" t="str">
            <v>Oi Total Fixo + Banda Larga 2</v>
          </cell>
          <cell r="C733" t="str">
            <v>Template de desconto FLAT bundle - Velox XDSL - Varejo</v>
          </cell>
          <cell r="D733">
            <v>0.44130000000000003</v>
          </cell>
          <cell r="E733" t="str">
            <v>MKT-1-9831619844</v>
          </cell>
          <cell r="F733" t="str">
            <v>0T3T_REJ17_PCS-2PFBL2_FLAT_BL_44.13%</v>
          </cell>
          <cell r="G733">
            <v>44.13</v>
          </cell>
        </row>
        <row r="734">
          <cell r="A734" t="str">
            <v>Oi Total Fixo + Banda Larga 10.4413Template de desconto FLAT bundle - Velox XDSL - Varejo</v>
          </cell>
          <cell r="B734" t="str">
            <v>Oi Total Fixo + Banda Larga 1</v>
          </cell>
          <cell r="C734" t="str">
            <v>Template de desconto FLAT bundle - Velox XDSL - Varejo</v>
          </cell>
          <cell r="D734">
            <v>0.44130000000000003</v>
          </cell>
          <cell r="E734" t="str">
            <v>MKT-1-9831619681</v>
          </cell>
          <cell r="F734" t="str">
            <v>0T3T_REJ17_PCS-2PFBL1_FLAT_BL_44.13%</v>
          </cell>
          <cell r="G734">
            <v>44.13</v>
          </cell>
        </row>
        <row r="735">
          <cell r="A735" t="str">
            <v>Oi Total Fixo + Banda Larga 30.5431Template de desconto FLAT bundle - Velox XDSL - Varejo</v>
          </cell>
          <cell r="B735" t="str">
            <v>Oi Total Fixo + Banda Larga 3</v>
          </cell>
          <cell r="C735" t="str">
            <v>Template de desconto FLAT bundle - Velox XDSL - Varejo</v>
          </cell>
          <cell r="D735">
            <v>0.54310000000000003</v>
          </cell>
          <cell r="E735" t="str">
            <v>MKT-1-9831619118</v>
          </cell>
          <cell r="F735" t="str">
            <v>0T3T_REJ17_PCS-2PFBL3_FLAT_BL_54.31%</v>
          </cell>
          <cell r="G735">
            <v>54.31</v>
          </cell>
        </row>
        <row r="736">
          <cell r="A736" t="str">
            <v>Oi Total Fixo + Banda Larga 20.5431Template de desconto FLAT bundle - Velox XDSL - Varejo</v>
          </cell>
          <cell r="B736" t="str">
            <v>Oi Total Fixo + Banda Larga 2</v>
          </cell>
          <cell r="C736" t="str">
            <v>Template de desconto FLAT bundle - Velox XDSL - Varejo</v>
          </cell>
          <cell r="D736">
            <v>0.54310000000000003</v>
          </cell>
          <cell r="E736" t="str">
            <v>MKT-1-9831606755</v>
          </cell>
          <cell r="F736" t="str">
            <v>0T3T_REJ17_PCS-2PFBL2_FLAT_BL_54.31%</v>
          </cell>
          <cell r="G736">
            <v>54.31</v>
          </cell>
        </row>
        <row r="737">
          <cell r="A737" t="str">
            <v>Oi Total Fixo + Banda Larga 10.5431Template de desconto FLAT bundle - Velox XDSL - Varejo</v>
          </cell>
          <cell r="B737" t="str">
            <v>Oi Total Fixo + Banda Larga 1</v>
          </cell>
          <cell r="C737" t="str">
            <v>Template de desconto FLAT bundle - Velox XDSL - Varejo</v>
          </cell>
          <cell r="D737">
            <v>0.54310000000000003</v>
          </cell>
          <cell r="E737" t="str">
            <v>MKT-1-9831606582</v>
          </cell>
          <cell r="F737" t="str">
            <v>0T3T_REJ17_PCS-2PFBL1_FLAT_BL_54.31%</v>
          </cell>
          <cell r="G737">
            <v>54.31</v>
          </cell>
        </row>
        <row r="738">
          <cell r="A738" t="str">
            <v>Oi Total Fixo + Banda Larga 30.4337Template de desconto FLAT bundle - Velox XDSL - Varejo</v>
          </cell>
          <cell r="B738" t="str">
            <v>Oi Total Fixo + Banda Larga 3</v>
          </cell>
          <cell r="C738" t="str">
            <v>Template de desconto FLAT bundle - Velox XDSL - Varejo</v>
          </cell>
          <cell r="D738">
            <v>0.43369999999999997</v>
          </cell>
          <cell r="E738" t="str">
            <v>MKT-1-9831586659</v>
          </cell>
          <cell r="F738" t="str">
            <v>0T3T_REJ17_PCS-2PFBL3_FLAT_BL_43.37%</v>
          </cell>
          <cell r="G738">
            <v>43.37</v>
          </cell>
        </row>
        <row r="739">
          <cell r="A739" t="str">
            <v>Oi Total Fixo + Banda Larga 20.4337Template de desconto FLAT bundle - Velox XDSL - Varejo</v>
          </cell>
          <cell r="B739" t="str">
            <v>Oi Total Fixo + Banda Larga 2</v>
          </cell>
          <cell r="C739" t="str">
            <v>Template de desconto FLAT bundle - Velox XDSL - Varejo</v>
          </cell>
          <cell r="D739">
            <v>0.43369999999999997</v>
          </cell>
          <cell r="E739" t="str">
            <v>MKT-1-9831586226</v>
          </cell>
          <cell r="F739" t="str">
            <v>0T3T_REJ17_PCS-2PFBL2_FLAT_BL_43.37%</v>
          </cell>
          <cell r="G739">
            <v>43.37</v>
          </cell>
        </row>
        <row r="740">
          <cell r="A740" t="str">
            <v>Oi Total Fixo + Banda Larga 10.4337Template de desconto FLAT bundle - Velox XDSL - Varejo</v>
          </cell>
          <cell r="B740" t="str">
            <v>Oi Total Fixo + Banda Larga 1</v>
          </cell>
          <cell r="C740" t="str">
            <v>Template de desconto FLAT bundle - Velox XDSL - Varejo</v>
          </cell>
          <cell r="D740">
            <v>0.43369999999999997</v>
          </cell>
          <cell r="E740" t="str">
            <v>MKT-1-9831572993</v>
          </cell>
          <cell r="F740" t="str">
            <v>0T3T_REJ17_PCS-2PFBL1_FLAT_BL_43.37%</v>
          </cell>
          <cell r="G740">
            <v>43.37</v>
          </cell>
        </row>
        <row r="741">
          <cell r="A741" t="str">
            <v>Oi Total Fixo + Banda Larga 30.5368Template de desconto FLAT bundle - Velox XDSL - Varejo</v>
          </cell>
          <cell r="B741" t="str">
            <v>Oi Total Fixo + Banda Larga 3</v>
          </cell>
          <cell r="C741" t="str">
            <v>Template de desconto FLAT bundle - Velox XDSL - Varejo</v>
          </cell>
          <cell r="D741">
            <v>0.53679999999999994</v>
          </cell>
          <cell r="E741" t="str">
            <v>MKT-1-9831520000</v>
          </cell>
          <cell r="F741" t="str">
            <v>0T3T_REJ17_PCS-2PFBL3_FLAT_BL_53.68%</v>
          </cell>
          <cell r="G741">
            <v>53.68</v>
          </cell>
        </row>
        <row r="742">
          <cell r="A742" t="str">
            <v>Oi Total Fixo + Banda Larga 20.5368Template de desconto FLAT bundle - Velox XDSL - Varejo</v>
          </cell>
          <cell r="B742" t="str">
            <v>Oi Total Fixo + Banda Larga 2</v>
          </cell>
          <cell r="C742" t="str">
            <v>Template de desconto FLAT bundle - Velox XDSL - Varejo</v>
          </cell>
          <cell r="D742">
            <v>0.53679999999999994</v>
          </cell>
          <cell r="E742" t="str">
            <v>MKT-1-9831519377</v>
          </cell>
          <cell r="F742" t="str">
            <v>0T3T_REJ17_PCS-2PFBL2_FLAT_BL_53.68%</v>
          </cell>
          <cell r="G742">
            <v>53.68</v>
          </cell>
        </row>
        <row r="743">
          <cell r="A743" t="str">
            <v>Oi Total Fixo + Banda Larga 10.5368Template de desconto FLAT bundle - Velox XDSL - Varejo</v>
          </cell>
          <cell r="B743" t="str">
            <v>Oi Total Fixo + Banda Larga 1</v>
          </cell>
          <cell r="C743" t="str">
            <v>Template de desconto FLAT bundle - Velox XDSL - Varejo</v>
          </cell>
          <cell r="D743">
            <v>0.53679999999999994</v>
          </cell>
          <cell r="E743" t="str">
            <v>MKT-1-9831439634</v>
          </cell>
          <cell r="F743" t="str">
            <v>0T3T_REJ17_PCS-2PFBL1_FLAT_BL_53.68%</v>
          </cell>
          <cell r="G743">
            <v>53.68</v>
          </cell>
        </row>
        <row r="744">
          <cell r="A744" t="str">
            <v>Oi Total Fixo + Banda Larga + TV 20.1422Template de desconto percentual Bundle - Velox XDSL - Varejo</v>
          </cell>
          <cell r="B744" t="str">
            <v>Plano Oi Convergente Medium</v>
          </cell>
          <cell r="C744" t="str">
            <v>Template de desconto percentual Bundle - Velox XDSL - Varejo</v>
          </cell>
          <cell r="D744">
            <v>0.14219999999999999</v>
          </cell>
          <cell r="E744" t="str">
            <v>MKT-1-9832066441</v>
          </cell>
          <cell r="F744" t="str">
            <v>0T3T_REJ17_PCS-3PMepi_DET_BL_14.22%</v>
          </cell>
          <cell r="G744">
            <v>14.22</v>
          </cell>
        </row>
        <row r="745">
          <cell r="A745" t="str">
            <v>Oi Total Fixo + Banda Larga + TV 30.1422Template de desconto percentual Bundle - Velox XDSL - Varejo</v>
          </cell>
          <cell r="B745" t="str">
            <v>Plano Oi Convergente High</v>
          </cell>
          <cell r="C745" t="str">
            <v>Template de desconto percentual Bundle - Velox XDSL - Varejo</v>
          </cell>
          <cell r="D745">
            <v>0.14219999999999999</v>
          </cell>
          <cell r="E745" t="str">
            <v>MKT-1-9832066535</v>
          </cell>
          <cell r="F745" t="str">
            <v>0T3T_REJ17_PCS-3PHipi_DET_BL_14.22%</v>
          </cell>
          <cell r="G745">
            <v>14.22</v>
          </cell>
        </row>
        <row r="746">
          <cell r="A746" t="str">
            <v>Oi Total Fixo + Banda Larga + TV 20.1067Template de desconto percentual Bundle - Velox XDSL - Varejo</v>
          </cell>
          <cell r="B746" t="str">
            <v>Plano Oi Convergente Medium</v>
          </cell>
          <cell r="C746" t="str">
            <v>Template de desconto percentual Bundle - Velox XDSL - Varejo</v>
          </cell>
          <cell r="D746">
            <v>0.1067</v>
          </cell>
          <cell r="E746" t="str">
            <v>MKT-1-9832066629</v>
          </cell>
          <cell r="F746" t="str">
            <v>0T3T_REJ17_PCS-3PMepi_DET_BL_10.67%</v>
          </cell>
          <cell r="G746">
            <v>10.67</v>
          </cell>
        </row>
        <row r="747">
          <cell r="A747" t="str">
            <v>Oi Total Fixo + Banda Larga + TV 30.1067Template de desconto percentual Bundle - Velox XDSL - Varejo</v>
          </cell>
          <cell r="B747" t="str">
            <v>Plano Oi Convergente High</v>
          </cell>
          <cell r="C747" t="str">
            <v>Template de desconto percentual Bundle - Velox XDSL - Varejo</v>
          </cell>
          <cell r="D747">
            <v>0.1067</v>
          </cell>
          <cell r="E747" t="str">
            <v>MKT-1-9832066763</v>
          </cell>
          <cell r="F747" t="str">
            <v>0T3T_REJ17_PCS-3PHipi_DET_BL_10.67%</v>
          </cell>
          <cell r="G747">
            <v>10.67</v>
          </cell>
        </row>
        <row r="748">
          <cell r="A748" t="str">
            <v>Oi Total Fixo + Banda Larga + TV 30.5464Template de desconto FLAT bundle - Velox XDSL - Varejo</v>
          </cell>
          <cell r="B748" t="str">
            <v>Plano Oi Convergente High</v>
          </cell>
          <cell r="C748" t="str">
            <v>Template de desconto FLAT bundle - Velox XDSL - Varejo</v>
          </cell>
          <cell r="D748">
            <v>0.5464</v>
          </cell>
          <cell r="E748" t="str">
            <v>MKT-1-9832066857</v>
          </cell>
          <cell r="F748" t="str">
            <v>0T3T_REJ17_PCS-3PHipi_FLAT_BL_54.64%</v>
          </cell>
          <cell r="G748">
            <v>54.64</v>
          </cell>
        </row>
        <row r="749">
          <cell r="A749" t="str">
            <v>Oi Total Fixo + Banda Larga + TV 30.5494Template de desconto FLAT bundle - Velox XDSL - Varejo</v>
          </cell>
          <cell r="B749" t="str">
            <v>Plano Oi Convergente High</v>
          </cell>
          <cell r="C749" t="str">
            <v>Template de desconto FLAT bundle - Velox XDSL - Varejo</v>
          </cell>
          <cell r="D749">
            <v>0.5494</v>
          </cell>
          <cell r="E749" t="str">
            <v>MKT-1-9833638881</v>
          </cell>
          <cell r="F749" t="str">
            <v>0T3T_REJ17_PCS-3PHipi_FLAT_BL_54.94%</v>
          </cell>
          <cell r="G749">
            <v>54.94</v>
          </cell>
        </row>
        <row r="750">
          <cell r="A750" t="str">
            <v>Oi Total Fixo + Pós 50 + Banda Larga0.6448Template de desconto FLAT bundle - Velox XDSL - Varejo</v>
          </cell>
          <cell r="B750" t="str">
            <v>Plano Oi Completo XSmall</v>
          </cell>
          <cell r="C750" t="str">
            <v>Template de desconto FLAT bundle - Velox XDSL - Varejo</v>
          </cell>
          <cell r="D750">
            <v>0.64480000000000004</v>
          </cell>
          <cell r="E750" t="str">
            <v>MKT-1-9839428631</v>
          </cell>
          <cell r="F750" t="str">
            <v>0T3T_REJ17_PCS-4P2pi_FLAT_BL_64.48%</v>
          </cell>
          <cell r="G750">
            <v>64.48</v>
          </cell>
        </row>
        <row r="751">
          <cell r="A751" t="str">
            <v>Oi Total Fixo + Pós 100 + Banda Larga0.6448Template de desconto FLAT bundle - Velox XDSL - Varejo</v>
          </cell>
          <cell r="B751" t="str">
            <v>Plano Oi Completo Small</v>
          </cell>
          <cell r="C751" t="str">
            <v>Template de desconto FLAT bundle - Velox XDSL - Varejo</v>
          </cell>
          <cell r="D751">
            <v>0.64480000000000004</v>
          </cell>
          <cell r="E751" t="str">
            <v>MKT-1-9839428724</v>
          </cell>
          <cell r="F751" t="str">
            <v>0T3T_REJ17_PCS-4P3pi_FLAT_BL_64.48%</v>
          </cell>
          <cell r="G751">
            <v>64.48</v>
          </cell>
        </row>
        <row r="752">
          <cell r="A752" t="str">
            <v>Oi Total Fixo + Pós Conectado 500 + Banda Larga0.6448Template de desconto FLAT bundle - Velox XDSL - Varejo</v>
          </cell>
          <cell r="B752" t="str">
            <v>Plano Oi Completo 500</v>
          </cell>
          <cell r="C752" t="str">
            <v>Template de desconto FLAT bundle - Velox XDSL - Varejo</v>
          </cell>
          <cell r="D752">
            <v>0.64480000000000004</v>
          </cell>
          <cell r="E752" t="str">
            <v>MKT-1-9839428817</v>
          </cell>
          <cell r="F752" t="str">
            <v>0T3T_REJ17_PCS-4P8pi_FLAT_BL_64.48%</v>
          </cell>
          <cell r="G752">
            <v>64.48</v>
          </cell>
        </row>
        <row r="753">
          <cell r="A753" t="str">
            <v>Oi Total Fixo + Pós Conectado 1.000 + Banda Larga0.6448Template de desconto FLAT bundle - Velox XDSL - Varejo</v>
          </cell>
          <cell r="B753" t="str">
            <v>Plano Oi Completo 1.000</v>
          </cell>
          <cell r="C753" t="str">
            <v>Template de desconto FLAT bundle - Velox XDSL - Varejo</v>
          </cell>
          <cell r="D753">
            <v>0.64480000000000004</v>
          </cell>
          <cell r="E753" t="str">
            <v>MKT-1-9839428910</v>
          </cell>
          <cell r="F753" t="str">
            <v>0T3T_REJ17_PCS-4P10pi_FLAT_BL_64.48%</v>
          </cell>
          <cell r="G753">
            <v>64.48</v>
          </cell>
        </row>
        <row r="754">
          <cell r="A754" t="str">
            <v>Oi Total Fixo + Pós Conectado Mais + Banda Larga0.6448Template de desconto FLAT bundle - Velox XDSL - Varejo</v>
          </cell>
          <cell r="B754" t="str">
            <v>Plano Oi Completo Mais</v>
          </cell>
          <cell r="C754" t="str">
            <v>Template de desconto FLAT bundle - Velox XDSL - Varejo</v>
          </cell>
          <cell r="D754">
            <v>0.64480000000000004</v>
          </cell>
          <cell r="E754" t="str">
            <v>MKT-1-9839429003</v>
          </cell>
          <cell r="F754" t="str">
            <v>0T3T_REJ17_PCS-4P9pi_FLAT_BL_64.48%</v>
          </cell>
          <cell r="G754">
            <v>64.48</v>
          </cell>
        </row>
        <row r="755">
          <cell r="A755" t="str">
            <v>Oi Total Fixo + Pós 50 + Banda Larga0.6842Template de desconto FLAT bundle - Velox XDSL - Varejo</v>
          </cell>
          <cell r="B755" t="str">
            <v>Plano Oi Completo XSmall</v>
          </cell>
          <cell r="C755" t="str">
            <v>Template de desconto FLAT bundle - Velox XDSL - Varejo</v>
          </cell>
          <cell r="D755">
            <v>0.68420000000000003</v>
          </cell>
          <cell r="E755" t="str">
            <v>MKT-1-9839429096</v>
          </cell>
          <cell r="F755" t="str">
            <v>0T3T_REJ17_PCS-4P2pi_FLAT_BL_68.42%</v>
          </cell>
          <cell r="G755">
            <v>68.42</v>
          </cell>
        </row>
        <row r="756">
          <cell r="A756" t="str">
            <v>Oi Total Fixo + Pós 100 + Banda Larga0.6842Template de desconto FLAT bundle - Velox XDSL - Varejo</v>
          </cell>
          <cell r="B756" t="str">
            <v>Plano Oi Completo Small</v>
          </cell>
          <cell r="C756" t="str">
            <v>Template de desconto FLAT bundle - Velox XDSL - Varejo</v>
          </cell>
          <cell r="D756">
            <v>0.68420000000000003</v>
          </cell>
          <cell r="E756" t="str">
            <v>MKT-1-9839565189</v>
          </cell>
          <cell r="F756" t="str">
            <v>0T3T_REJ17_PCS-4P3pi_FLAT_BL_68.42%</v>
          </cell>
          <cell r="G756">
            <v>68.42</v>
          </cell>
        </row>
        <row r="757">
          <cell r="A757" t="str">
            <v>Oi Total Fixo + Pós Conectado 500 + Banda Larga0.6842Template de desconto FLAT bundle - Velox XDSL - Varejo</v>
          </cell>
          <cell r="B757" t="str">
            <v>Plano Oi Completo 500</v>
          </cell>
          <cell r="C757" t="str">
            <v>Template de desconto FLAT bundle - Velox XDSL - Varejo</v>
          </cell>
          <cell r="D757">
            <v>0.68420000000000003</v>
          </cell>
          <cell r="E757" t="str">
            <v>MKT-1-9839565282</v>
          </cell>
          <cell r="F757" t="str">
            <v>0T3T_REJ17_PCS-4P8pi_FLAT_BL_68.42%</v>
          </cell>
          <cell r="G757">
            <v>68.42</v>
          </cell>
        </row>
        <row r="758">
          <cell r="A758" t="str">
            <v>Oi Total Fixo + Pós Conectado 1.000 + Banda Larga0.6842Template de desconto FLAT bundle - Velox XDSL - Varejo</v>
          </cell>
          <cell r="B758" t="str">
            <v>Plano Oi Completo 1.000</v>
          </cell>
          <cell r="C758" t="str">
            <v>Template de desconto FLAT bundle - Velox XDSL - Varejo</v>
          </cell>
          <cell r="D758">
            <v>0.68420000000000003</v>
          </cell>
          <cell r="E758" t="str">
            <v>MKT-1-9839565375</v>
          </cell>
          <cell r="F758" t="str">
            <v>0T3T_REJ17_PCS-4P10pi_FLAT_BL_68.42%</v>
          </cell>
          <cell r="G758">
            <v>68.42</v>
          </cell>
        </row>
        <row r="759">
          <cell r="A759" t="str">
            <v>Oi Total Fixo + Pós Conectado Mais + Banda Larga0.6842Template de desconto FLAT bundle - Velox XDSL - Varejo</v>
          </cell>
          <cell r="B759" t="str">
            <v>Plano Oi Completo Mais</v>
          </cell>
          <cell r="C759" t="str">
            <v>Template de desconto FLAT bundle - Velox XDSL - Varejo</v>
          </cell>
          <cell r="D759">
            <v>0.68420000000000003</v>
          </cell>
          <cell r="E759" t="str">
            <v>MKT-1-9839565468</v>
          </cell>
          <cell r="F759" t="str">
            <v>0T3T_REJ17_PCS-4P9pi_FLAT_BL_68.42%</v>
          </cell>
          <cell r="G759">
            <v>68.42</v>
          </cell>
        </row>
        <row r="760">
          <cell r="A760" t="str">
            <v>Oi Total Fixo + Pós 100 + Banda Larga0.7158Template de desconto FLAT bundle - Velox XDSL - Varejo</v>
          </cell>
          <cell r="B760" t="str">
            <v>Plano Oi Completo Small</v>
          </cell>
          <cell r="C760" t="str">
            <v>Template de desconto FLAT bundle - Velox XDSL - Varejo</v>
          </cell>
          <cell r="D760">
            <v>0.71579999999999999</v>
          </cell>
          <cell r="E760" t="str">
            <v>MKT-1-9839565561</v>
          </cell>
          <cell r="F760" t="str">
            <v>0T3T_REJ17_PCS-4P3pi_FLAT_BL_71.58%</v>
          </cell>
          <cell r="G760">
            <v>71.58</v>
          </cell>
        </row>
        <row r="761">
          <cell r="A761" t="str">
            <v>Oi Total Fixo + Pós Conectado 1.000 + Banda Larga0.7158Template de desconto FLAT bundle - Velox XDSL - Varejo</v>
          </cell>
          <cell r="B761" t="str">
            <v>Plano Oi Completo 1.000</v>
          </cell>
          <cell r="C761" t="str">
            <v>Template de desconto FLAT bundle - Velox XDSL - Varejo</v>
          </cell>
          <cell r="D761">
            <v>0.71579999999999999</v>
          </cell>
          <cell r="E761" t="str">
            <v>MKT-1-9839565654</v>
          </cell>
          <cell r="F761" t="str">
            <v>0T3T_REJ17_PCS-4P10pi_FLAT_BL_71.58%</v>
          </cell>
          <cell r="G761">
            <v>71.58</v>
          </cell>
        </row>
        <row r="762">
          <cell r="A762" t="str">
            <v>Oi Total Fixo + Pós Conectado Mais + Banda Larga0.7158Template de desconto FLAT bundle - Velox XDSL - Varejo</v>
          </cell>
          <cell r="B762" t="str">
            <v>Plano Oi Completo Mais</v>
          </cell>
          <cell r="C762" t="str">
            <v>Template de desconto FLAT bundle - Velox XDSL - Varejo</v>
          </cell>
          <cell r="D762">
            <v>0.71579999999999999</v>
          </cell>
          <cell r="E762" t="str">
            <v>MKT-1-9839565747</v>
          </cell>
          <cell r="F762" t="str">
            <v>0T3T_REJ17_PCS-4P9pi_FLAT_BL_71.58%</v>
          </cell>
          <cell r="G762">
            <v>71.58</v>
          </cell>
        </row>
        <row r="763">
          <cell r="A763" t="str">
            <v>Oi Total Fixo + Pós 100 + Banda Larga0.7631Template de desconto FLAT bundle - Velox XDSL - Varejo</v>
          </cell>
          <cell r="B763" t="str">
            <v>Plano Oi Completo Small</v>
          </cell>
          <cell r="C763" t="str">
            <v>Template de desconto FLAT bundle - Velox XDSL - Varejo</v>
          </cell>
          <cell r="D763">
            <v>0.7631</v>
          </cell>
          <cell r="E763" t="str">
            <v>MKT-1-9839565840</v>
          </cell>
          <cell r="F763" t="str">
            <v>0T3T_REJ17_PCS-4P3pi_FLAT_BL_76.31%</v>
          </cell>
          <cell r="G763">
            <v>76.31</v>
          </cell>
        </row>
        <row r="764">
          <cell r="A764" t="str">
            <v>Oi Total Fixo + Pós Conectado 1.000 + Banda Larga0.7631Template de desconto FLAT bundle - Velox XDSL - Varejo</v>
          </cell>
          <cell r="B764" t="str">
            <v>Plano Oi Completo 1.000</v>
          </cell>
          <cell r="C764" t="str">
            <v>Template de desconto FLAT bundle - Velox XDSL - Varejo</v>
          </cell>
          <cell r="D764">
            <v>0.7631</v>
          </cell>
          <cell r="E764" t="str">
            <v>MKT-1-9839565933</v>
          </cell>
          <cell r="F764" t="str">
            <v>0T3T_REJ17_PCS-4P10pi_FLAT_BL_76.31%</v>
          </cell>
          <cell r="G764">
            <v>76.31</v>
          </cell>
        </row>
        <row r="765">
          <cell r="A765" t="str">
            <v>Oi Total Fixo + Pós Conectado Mais + Banda Larga0.7631Template de desconto FLAT bundle - Velox XDSL - Varejo</v>
          </cell>
          <cell r="B765" t="str">
            <v>Plano Oi Completo Mais</v>
          </cell>
          <cell r="C765" t="str">
            <v>Template de desconto FLAT bundle - Velox XDSL - Varejo</v>
          </cell>
          <cell r="D765">
            <v>0.7631</v>
          </cell>
          <cell r="E765" t="str">
            <v>MKT-1-9839691526</v>
          </cell>
          <cell r="F765" t="str">
            <v>0T3T_REJ17_PCS-4P9pi_FLAT_BL_76.31%</v>
          </cell>
          <cell r="G765">
            <v>76.31</v>
          </cell>
        </row>
        <row r="766">
          <cell r="A766" t="str">
            <v>Oi Total Fixo + Pós 100 + Banda Larga0.8223Template de desconto FLAT bundle - Velox XDSL - Varejo</v>
          </cell>
          <cell r="B766" t="str">
            <v>Plano Oi Completo Small</v>
          </cell>
          <cell r="C766" t="str">
            <v>Template de desconto FLAT bundle - Velox XDSL - Varejo</v>
          </cell>
          <cell r="D766">
            <v>0.82230000000000003</v>
          </cell>
          <cell r="E766" t="str">
            <v>MKT-1-9839691769</v>
          </cell>
          <cell r="F766" t="str">
            <v>0T3T_REJ17_PCS-4P3pi_FLAT_BL_82.23%</v>
          </cell>
          <cell r="G766">
            <v>82.23</v>
          </cell>
        </row>
        <row r="767">
          <cell r="A767" t="str">
            <v>Oi Total Fixo + Pós Conectado 1.000 + Banda Larga0.8223Template de desconto FLAT bundle - Velox XDSL - Varejo</v>
          </cell>
          <cell r="B767" t="str">
            <v>Plano Oi Completo 1.000</v>
          </cell>
          <cell r="C767" t="str">
            <v>Template de desconto FLAT bundle - Velox XDSL - Varejo</v>
          </cell>
          <cell r="D767">
            <v>0.82230000000000003</v>
          </cell>
          <cell r="E767" t="str">
            <v>MKT-1-9839733312</v>
          </cell>
          <cell r="F767" t="str">
            <v>0T3T_REJ17_PCS-4P10pi_FLAT_BL_82.23%</v>
          </cell>
          <cell r="G767">
            <v>82.23</v>
          </cell>
        </row>
        <row r="768">
          <cell r="A768" t="str">
            <v>Oi Total Fixo + Pós Conectado Mais + Banda Larga0.8223Template de desconto FLAT bundle - Velox XDSL - Varejo</v>
          </cell>
          <cell r="B768" t="str">
            <v>Plano Oi Completo Mais</v>
          </cell>
          <cell r="C768" t="str">
            <v>Template de desconto FLAT bundle - Velox XDSL - Varejo</v>
          </cell>
          <cell r="D768">
            <v>0.82230000000000003</v>
          </cell>
          <cell r="E768" t="str">
            <v>MKT-1-9839755935</v>
          </cell>
          <cell r="F768" t="str">
            <v>0T3T_REJ17_PCS-4P9pi_FLAT_BL_82.23%</v>
          </cell>
          <cell r="G768">
            <v>82.23</v>
          </cell>
        </row>
        <row r="769">
          <cell r="A769" t="str">
            <v>Oi Total Fixo + Banda Larga + TV 10.3394Template de desconto FLAT bundle - Fixo - Varejo - Ganho Tributário Cross</v>
          </cell>
          <cell r="B769" t="str">
            <v>Plano Oi Convergente Low</v>
          </cell>
          <cell r="C769" t="str">
            <v>Template de desconto FLAT bundle - Fixo - Varejo - Ganho Tributário Cross</v>
          </cell>
          <cell r="D769">
            <v>0.33939999999999998</v>
          </cell>
          <cell r="E769" t="str">
            <v>MKT-1-9841671021</v>
          </cell>
          <cell r="F769" t="str">
            <v>0T3T_REJ17_PCS-3PLowpi_FLAT_FIXO_GT_33.94%</v>
          </cell>
          <cell r="G769">
            <v>33.94</v>
          </cell>
        </row>
        <row r="770">
          <cell r="A770" t="str">
            <v>Oi Total Fixo + Banda Larga + TV 20.3394Template de desconto FLAT bundle - Fixo - Varejo - Ganho Tributário Cross</v>
          </cell>
          <cell r="B770" t="str">
            <v>Plano Oi Convergente Medium</v>
          </cell>
          <cell r="C770" t="str">
            <v>Template de desconto FLAT bundle - Fixo - Varejo - Ganho Tributário Cross</v>
          </cell>
          <cell r="D770">
            <v>0.33939999999999998</v>
          </cell>
          <cell r="E770" t="str">
            <v>MKT-1-9842096222</v>
          </cell>
          <cell r="F770" t="str">
            <v>0T3T_REJ17_PCS-3PMepi_FLAT_FIXO_GT_33.94%</v>
          </cell>
          <cell r="G770">
            <v>33.94</v>
          </cell>
        </row>
        <row r="771">
          <cell r="A771" t="str">
            <v>Oi Total Fixo + Banda Larga + TV 30.3394Template de desconto FLAT bundle - Fixo - Varejo - Ganho Tributário Cross</v>
          </cell>
          <cell r="B771" t="str">
            <v>Plano Oi Convergente High</v>
          </cell>
          <cell r="C771" t="str">
            <v>Template de desconto FLAT bundle - Fixo - Varejo - Ganho Tributário Cross</v>
          </cell>
          <cell r="D771">
            <v>0.33939999999999998</v>
          </cell>
          <cell r="E771" t="str">
            <v>MKT-1-9842096423</v>
          </cell>
          <cell r="F771" t="str">
            <v>0T3T_REJ17_PCS-3PHipi_FLAT_FIXO_GT_33.94%</v>
          </cell>
          <cell r="G771">
            <v>33.94</v>
          </cell>
        </row>
        <row r="772">
          <cell r="A772" t="str">
            <v>Oi Total Fixo + Banda Larga + TV 10.2735Template de desconto FLAT bundle - Fixo - Varejo - Ganho Tributário Cross</v>
          </cell>
          <cell r="B772" t="str">
            <v>Plano Oi Convergente Low</v>
          </cell>
          <cell r="C772" t="str">
            <v>Template de desconto FLAT bundle - Fixo - Varejo - Ganho Tributário Cross</v>
          </cell>
          <cell r="D772">
            <v>0.27350000000000002</v>
          </cell>
          <cell r="E772" t="str">
            <v>MKT-1-9842096624</v>
          </cell>
          <cell r="F772" t="str">
            <v>0T3T_REJ17_PCS-3PLowpi_FLAT_FIXO_GT_27.35%</v>
          </cell>
          <cell r="G772">
            <v>27.35</v>
          </cell>
        </row>
        <row r="773">
          <cell r="A773" t="str">
            <v>Oi Total Fixo + Banda Larga + TV 20.2735Template de desconto FLAT bundle - Fixo - Varejo - Ganho Tributário Cross</v>
          </cell>
          <cell r="B773" t="str">
            <v>Plano Oi Convergente Medium</v>
          </cell>
          <cell r="C773" t="str">
            <v>Template de desconto FLAT bundle - Fixo - Varejo - Ganho Tributário Cross</v>
          </cell>
          <cell r="D773">
            <v>0.27350000000000002</v>
          </cell>
          <cell r="E773" t="str">
            <v>MKT-1-9842096825</v>
          </cell>
          <cell r="F773" t="str">
            <v>0T3T_REJ17_PCS-3PMepi_FLAT_FIXO_GT_27.35%</v>
          </cell>
          <cell r="G773">
            <v>27.35</v>
          </cell>
        </row>
        <row r="774">
          <cell r="A774" t="str">
            <v>Oi Total Fixo + Banda Larga + TV 30.2735Template de desconto FLAT bundle - Fixo - Varejo - Ganho Tributário Cross</v>
          </cell>
          <cell r="B774" t="str">
            <v>Plano Oi Convergente High</v>
          </cell>
          <cell r="C774" t="str">
            <v>Template de desconto FLAT bundle - Fixo - Varejo - Ganho Tributário Cross</v>
          </cell>
          <cell r="D774">
            <v>0.27350000000000002</v>
          </cell>
          <cell r="E774" t="str">
            <v>MKT-1-9842097026</v>
          </cell>
          <cell r="F774" t="str">
            <v>0T3T_REJ17_PCS-3PHipi_FLAT_FIXO_GT_27.35%</v>
          </cell>
          <cell r="G774">
            <v>27.35</v>
          </cell>
        </row>
        <row r="775">
          <cell r="A775" t="str">
            <v>Oi Total Fixo + Pós 800 + Banda Larga0.3394Template de desconto FLAT bundle - Fixo - Varejo - Ganho Tributário Cross</v>
          </cell>
          <cell r="B775" t="str">
            <v>Plano Oi Completo XLarge</v>
          </cell>
          <cell r="C775" t="str">
            <v>Template de desconto FLAT bundle - Fixo - Varejo - Ganho Tributário Cross</v>
          </cell>
          <cell r="D775">
            <v>0.33939999999999998</v>
          </cell>
          <cell r="E775" t="str">
            <v>MKT-1-9856472058</v>
          </cell>
          <cell r="F775" t="str">
            <v>0T3T_REJ17_PCS-4P6pi_FLAT_FIXO_GT_33.94%</v>
          </cell>
          <cell r="G775">
            <v>33.94</v>
          </cell>
        </row>
        <row r="776">
          <cell r="A776" t="str">
            <v>Oi Total Fixo + Pós Conectado 500 + Banda Larga0.4054Template de desconto FLAT bundle - Fixo - Varejo - Ganho Tributário Cross</v>
          </cell>
          <cell r="B776" t="str">
            <v>Plano Oi Completo 500</v>
          </cell>
          <cell r="C776" t="str">
            <v>Template de desconto FLAT bundle - Fixo - Varejo - Ganho Tributário Cross</v>
          </cell>
          <cell r="D776">
            <v>0.40539999999999998</v>
          </cell>
          <cell r="E776" t="str">
            <v>MKT-1-9856487259</v>
          </cell>
          <cell r="F776" t="str">
            <v>0T3T_REJ17_PCS-4P8pi_FLAT_FIXO_GT_40.54%</v>
          </cell>
          <cell r="G776">
            <v>40.54</v>
          </cell>
        </row>
        <row r="777">
          <cell r="A777" t="str">
            <v>Oi Total Fixo + Pós Conectado 1.000 + Banda Larga0.4054Template de desconto FLAT bundle - Fixo - Varejo - Ganho Tributário Cross</v>
          </cell>
          <cell r="B777" t="str">
            <v>Plano Oi Completo 1.000</v>
          </cell>
          <cell r="C777" t="str">
            <v>Template de desconto FLAT bundle - Fixo - Varejo - Ganho Tributário Cross</v>
          </cell>
          <cell r="D777">
            <v>0.40539999999999998</v>
          </cell>
          <cell r="E777" t="str">
            <v>MKT-1-9856487460</v>
          </cell>
          <cell r="F777" t="str">
            <v>0T3T_REJ17_PCS-4P10pi_FLAT_FIXO_GT_40.54%</v>
          </cell>
          <cell r="G777">
            <v>40.54</v>
          </cell>
        </row>
        <row r="778">
          <cell r="A778" t="str">
            <v>Oi Total Fixo + Pós Conectado Mais + Banda Larga0.4054Template de desconto FLAT bundle - Fixo - Varejo - Ganho Tributário Cross</v>
          </cell>
          <cell r="B778" t="str">
            <v>Plano Oi Completo Mais</v>
          </cell>
          <cell r="C778" t="str">
            <v>Template de desconto FLAT bundle - Fixo - Varejo - Ganho Tributário Cross</v>
          </cell>
          <cell r="D778">
            <v>0.40539999999999998</v>
          </cell>
          <cell r="E778" t="str">
            <v>MKT-1-9856487661</v>
          </cell>
          <cell r="F778" t="str">
            <v>0T3T_REJ17_PCS-4P9pi_FLAT_FIXO_GT_40.54%</v>
          </cell>
          <cell r="G778">
            <v>40.54</v>
          </cell>
        </row>
        <row r="779">
          <cell r="A779" t="str">
            <v>Oi Total Fixo + Pós 50 + Banda Larga0.4054Template de desconto FLAT bundle - Fixo - Varejo - Ganho Tributário Cross</v>
          </cell>
          <cell r="B779" t="str">
            <v>Plano Oi Completo XSmall</v>
          </cell>
          <cell r="C779" t="str">
            <v>Template de desconto FLAT bundle - Fixo - Varejo - Ganho Tributário Cross</v>
          </cell>
          <cell r="D779">
            <v>0.40539999999999998</v>
          </cell>
          <cell r="E779" t="str">
            <v>MKT-1-9856487862</v>
          </cell>
          <cell r="F779" t="str">
            <v>0T3T_REJ17_PCS-4P2pi_FLAT_FIXO_GT_40.54%</v>
          </cell>
          <cell r="G779">
            <v>40.54</v>
          </cell>
        </row>
        <row r="780">
          <cell r="A780" t="str">
            <v>Oi Total Fixo + Pós 100 + Banda Larga0.4054Template de desconto FLAT bundle - Fixo - Varejo - Ganho Tributário Cross</v>
          </cell>
          <cell r="B780" t="str">
            <v>Plano Oi Completo Small</v>
          </cell>
          <cell r="C780" t="str">
            <v>Template de desconto FLAT bundle - Fixo - Varejo - Ganho Tributário Cross</v>
          </cell>
          <cell r="D780">
            <v>0.40539999999999998</v>
          </cell>
          <cell r="E780" t="str">
            <v>MKT-1-9856488063</v>
          </cell>
          <cell r="F780" t="str">
            <v>0T3T_REJ17_PCS-4P3pi_FLAT_FIXO_GT_40.54%</v>
          </cell>
          <cell r="G780">
            <v>40.54</v>
          </cell>
        </row>
        <row r="781">
          <cell r="A781" t="str">
            <v>Oi Total Fixo + Pós 250 + Banda Larga0.4054Template de desconto FLAT bundle - Fixo - Varejo - Ganho Tributário Cross</v>
          </cell>
          <cell r="B781" t="str">
            <v>Plano Oi Completo Medium</v>
          </cell>
          <cell r="C781" t="str">
            <v>Template de desconto FLAT bundle - Fixo - Varejo - Ganho Tributário Cross</v>
          </cell>
          <cell r="D781">
            <v>0.40539999999999998</v>
          </cell>
          <cell r="E781" t="str">
            <v>MKT-1-9856501264</v>
          </cell>
          <cell r="F781" t="str">
            <v>0T3T_REJ17_PCS-4P4pi_FLAT_FIXO_GT_40.54%</v>
          </cell>
          <cell r="G781">
            <v>40.54</v>
          </cell>
        </row>
        <row r="782">
          <cell r="A782" t="str">
            <v>Oi Total Fixo + Pós 500 + Banda Larga0.4054Template de desconto FLAT bundle - Fixo - Varejo - Ganho Tributário Cross</v>
          </cell>
          <cell r="B782" t="str">
            <v>Plano Oi Completo Large</v>
          </cell>
          <cell r="C782" t="str">
            <v>Template de desconto FLAT bundle - Fixo - Varejo - Ganho Tributário Cross</v>
          </cell>
          <cell r="D782">
            <v>0.40539999999999998</v>
          </cell>
          <cell r="E782" t="str">
            <v>MKT-1-9856501465</v>
          </cell>
          <cell r="F782" t="str">
            <v>0T3T_REJ17_PCS-4P5pi_FLAT_FIXO_GT_40.54%</v>
          </cell>
          <cell r="G782">
            <v>40.54</v>
          </cell>
        </row>
        <row r="783">
          <cell r="A783" t="str">
            <v>Oi Total Fixo + Pós 800 + Banda Larga0.4054Template de desconto FLAT bundle - Fixo - Varejo - Ganho Tributário Cross</v>
          </cell>
          <cell r="B783" t="str">
            <v>Plano Oi Completo XLarge</v>
          </cell>
          <cell r="C783" t="str">
            <v>Template de desconto FLAT bundle - Fixo - Varejo - Ganho Tributário Cross</v>
          </cell>
          <cell r="D783">
            <v>0.40539999999999998</v>
          </cell>
          <cell r="E783" t="str">
            <v>MKT-1-9856501666</v>
          </cell>
          <cell r="F783" t="str">
            <v>0T3T_REJ17_PCS-4P6pi_FLAT_FIXO_GT_40.54%</v>
          </cell>
          <cell r="G783">
            <v>40.54</v>
          </cell>
        </row>
        <row r="784">
          <cell r="A784" t="str">
            <v>Oi Total Fixo + Pós Conectado 500 + Banda Larga0.3394Template de desconto FLAT bundle - Fixo - Varejo - Ganho Tributário Cross</v>
          </cell>
          <cell r="B784" t="str">
            <v>Plano Oi Completo 500</v>
          </cell>
          <cell r="C784" t="str">
            <v>Template de desconto FLAT bundle - Fixo - Varejo - Ganho Tributário Cross</v>
          </cell>
          <cell r="D784">
            <v>0.33939999999999998</v>
          </cell>
          <cell r="E784" t="str">
            <v>MKT-1-9854333601</v>
          </cell>
          <cell r="F784" t="str">
            <v>0T3T_REJ17_PCS-4P8pi_FLAT_FIXO_GT_33.94%</v>
          </cell>
          <cell r="G784">
            <v>33.94</v>
          </cell>
        </row>
        <row r="785">
          <cell r="A785" t="str">
            <v>Oi Total Fixo + Pós Conectado 1.000 + Banda Larga0.3394Template de desconto FLAT bundle - Fixo - Varejo - Ganho Tributário Cross</v>
          </cell>
          <cell r="B785" t="str">
            <v>Plano Oi Completo 1.000</v>
          </cell>
          <cell r="C785" t="str">
            <v>Template de desconto FLAT bundle - Fixo - Varejo - Ganho Tributário Cross</v>
          </cell>
          <cell r="D785">
            <v>0.33939999999999998</v>
          </cell>
          <cell r="E785" t="str">
            <v>MKT-1-9854333812</v>
          </cell>
          <cell r="F785" t="str">
            <v>0T3T_REJ17_PCS-4P10pi_FLAT_FIXO_GT_33.94%</v>
          </cell>
          <cell r="G785">
            <v>33.94</v>
          </cell>
        </row>
        <row r="786">
          <cell r="A786" t="str">
            <v>Oi Total Fixo + Pós Conectado Mais + Banda Larga0.3394Template de desconto FLAT bundle - Fixo - Varejo - Ganho Tributário Cross</v>
          </cell>
          <cell r="B786" t="str">
            <v>Plano Oi Completo Mais</v>
          </cell>
          <cell r="C786" t="str">
            <v>Template de desconto FLAT bundle - Fixo - Varejo - Ganho Tributário Cross</v>
          </cell>
          <cell r="D786">
            <v>0.33939999999999998</v>
          </cell>
          <cell r="E786" t="str">
            <v>MKT-1-9854334033</v>
          </cell>
          <cell r="F786" t="str">
            <v>0T3T_REJ17_PCS-4P9pi_FLAT_FIXO_GT_33.94%</v>
          </cell>
          <cell r="G786">
            <v>33.94</v>
          </cell>
        </row>
        <row r="787">
          <cell r="A787" t="str">
            <v>Oi Total Fixo + Pós 50 + Banda Larga0.3394Template de desconto FLAT bundle - Fixo - Varejo - Ganho Tributário Cross</v>
          </cell>
          <cell r="B787" t="str">
            <v>Plano Oi Completo XSmall</v>
          </cell>
          <cell r="C787" t="str">
            <v>Template de desconto FLAT bundle - Fixo - Varejo - Ganho Tributário Cross</v>
          </cell>
          <cell r="D787">
            <v>0.33939999999999998</v>
          </cell>
          <cell r="E787" t="str">
            <v>MKT-1-9856471244</v>
          </cell>
          <cell r="F787" t="str">
            <v>0T3T_REJ17_PCS-4P2pi_FLAT_FIXO_GT_33.94%</v>
          </cell>
          <cell r="G787">
            <v>33.94</v>
          </cell>
        </row>
        <row r="788">
          <cell r="A788" t="str">
            <v>Oi Total Fixo + Pós 100 + Banda Larga0.3394Template de desconto FLAT bundle - Fixo - Varejo - Ganho Tributário Cross</v>
          </cell>
          <cell r="B788" t="str">
            <v>Plano Oi Completo Small</v>
          </cell>
          <cell r="C788" t="str">
            <v>Template de desconto FLAT bundle - Fixo - Varejo - Ganho Tributário Cross</v>
          </cell>
          <cell r="D788">
            <v>0.33939999999999998</v>
          </cell>
          <cell r="E788" t="str">
            <v>MKT-1-9856471455</v>
          </cell>
          <cell r="F788" t="str">
            <v>0T3T_REJ17_PCS-4P3pi_FLAT_FIXO_GT_33.94%</v>
          </cell>
          <cell r="G788">
            <v>33.94</v>
          </cell>
        </row>
        <row r="789">
          <cell r="A789" t="str">
            <v>Oi Total Fixo + Pós 250 + Banda Larga0.3394Template de desconto FLAT bundle - Fixo - Varejo - Ganho Tributário Cross</v>
          </cell>
          <cell r="B789" t="str">
            <v>Plano Oi Completo Medium</v>
          </cell>
          <cell r="C789" t="str">
            <v>Template de desconto FLAT bundle - Fixo - Varejo - Ganho Tributário Cross</v>
          </cell>
          <cell r="D789">
            <v>0.33939999999999998</v>
          </cell>
          <cell r="E789" t="str">
            <v>MKT-1-9856471656</v>
          </cell>
          <cell r="F789" t="str">
            <v>0T3T_REJ17_PCS-4P4pi_FLAT_FIXO_GT_33.94%</v>
          </cell>
          <cell r="G789">
            <v>33.94</v>
          </cell>
        </row>
        <row r="790">
          <cell r="A790" t="str">
            <v>Oi Total Fixo + Pós 500 + Banda Larga0.3394Template de desconto FLAT bundle - Fixo - Varejo - Ganho Tributário Cross</v>
          </cell>
          <cell r="B790" t="str">
            <v>Plano Oi Completo Large</v>
          </cell>
          <cell r="C790" t="str">
            <v>Template de desconto FLAT bundle - Fixo - Varejo - Ganho Tributário Cross</v>
          </cell>
          <cell r="D790">
            <v>0.33939999999999998</v>
          </cell>
          <cell r="E790" t="str">
            <v>MKT-1-9856471857</v>
          </cell>
          <cell r="F790" t="str">
            <v>0T3T_REJ17_PCS-4P5pi_FLAT_FIXO_GT_33.94%</v>
          </cell>
          <cell r="G790">
            <v>33.94</v>
          </cell>
        </row>
        <row r="791">
          <cell r="A791" t="str">
            <v>Oi Total Fixo + Pós 250 + Banda Larga0.5368Template de desconto FLAT bundle - Velox XDSL - Varejo</v>
          </cell>
          <cell r="B791" t="str">
            <v>Plano Oi Completo Medium</v>
          </cell>
          <cell r="C791" t="str">
            <v>Template de desconto FLAT bundle - Velox XDSL - Varejo</v>
          </cell>
          <cell r="D791">
            <v>0.53679999999999994</v>
          </cell>
          <cell r="E791" t="str">
            <v>MKT-1-9863623421</v>
          </cell>
          <cell r="F791" t="str">
            <v>0T3T_REJ17_PCS-4P4pi_FLAT_BL_53.68%</v>
          </cell>
          <cell r="G791">
            <v>53.68</v>
          </cell>
        </row>
        <row r="792">
          <cell r="A792" t="str">
            <v>Oi Total Fixo + Pós 250 + Banda Larga0.5431Template de desconto FLAT bundle - Velox XDSL - Varejo</v>
          </cell>
          <cell r="B792" t="str">
            <v>Plano Oi Completo Medium</v>
          </cell>
          <cell r="C792" t="str">
            <v>Template de desconto FLAT bundle - Velox XDSL - Varejo</v>
          </cell>
          <cell r="D792">
            <v>0.54310000000000003</v>
          </cell>
          <cell r="E792" t="str">
            <v>MKT-1-9863623514</v>
          </cell>
          <cell r="F792" t="str">
            <v>0T3T_REJ17_PCS-4P4pi_FLAT_BL_54.31%</v>
          </cell>
          <cell r="G792">
            <v>54.31</v>
          </cell>
        </row>
        <row r="793">
          <cell r="A793" t="str">
            <v>Oi Total Fixo + Pós 250 + Banda Larga0.5557Template de desconto FLAT bundle - Velox XDSL - Varejo</v>
          </cell>
          <cell r="B793" t="str">
            <v>Plano Oi Completo Medium</v>
          </cell>
          <cell r="C793" t="str">
            <v>Template de desconto FLAT bundle - Velox XDSL - Varejo</v>
          </cell>
          <cell r="D793">
            <v>0.55569999999999997</v>
          </cell>
          <cell r="E793" t="str">
            <v>MKT-1-9863623607</v>
          </cell>
          <cell r="F793" t="str">
            <v>0T3T_REJ17_PCS-4P4pi_FLAT_BL_55.57%</v>
          </cell>
          <cell r="G793">
            <v>55.57</v>
          </cell>
        </row>
        <row r="794">
          <cell r="A794" t="str">
            <v>Oi Total Fixo + Pós 250 + Banda Larga0.6051Template de desconto FLAT bundle - Velox XDSL - Varejo</v>
          </cell>
          <cell r="B794" t="str">
            <v>Plano Oi Completo Medium</v>
          </cell>
          <cell r="C794" t="str">
            <v>Template de desconto FLAT bundle - Velox XDSL - Varejo</v>
          </cell>
          <cell r="D794">
            <v>0.60509999999999997</v>
          </cell>
          <cell r="E794" t="str">
            <v>MKT-1-9863623710</v>
          </cell>
          <cell r="F794" t="str">
            <v>0T3T_REJ17_PCS-4P4pi_FLAT_BL_60.51%</v>
          </cell>
          <cell r="G794">
            <v>60.51</v>
          </cell>
        </row>
        <row r="795">
          <cell r="A795" t="str">
            <v>Oi Total Fixo + Pós 250 + Banda Larga0.6446Template de desconto FLAT bundle - Velox XDSL - Varejo</v>
          </cell>
          <cell r="B795" t="str">
            <v>Plano Oi Completo Medium</v>
          </cell>
          <cell r="C795" t="str">
            <v>Template de desconto FLAT bundle - Velox XDSL - Varejo</v>
          </cell>
          <cell r="D795">
            <v>0.64459999999999995</v>
          </cell>
          <cell r="E795" t="str">
            <v>MKT-1-9863623803</v>
          </cell>
          <cell r="F795" t="str">
            <v>0T3T_REJ17_PCS-4P4pi_FLAT_BL_64.46%</v>
          </cell>
          <cell r="G795">
            <v>64.459999999999994</v>
          </cell>
        </row>
        <row r="796">
          <cell r="A796" t="str">
            <v>Oi Total Fixo + Pós 250 + Banda Larga0.7156Template de desconto FLAT bundle - Velox XDSL - Varejo</v>
          </cell>
          <cell r="B796" t="str">
            <v>Plano Oi Completo Medium</v>
          </cell>
          <cell r="C796" t="str">
            <v>Template de desconto FLAT bundle - Velox XDSL - Varejo</v>
          </cell>
          <cell r="D796">
            <v>0.71560000000000001</v>
          </cell>
          <cell r="E796" t="str">
            <v>MKT-1-9863623896</v>
          </cell>
          <cell r="F796" t="str">
            <v>0T3T_REJ17_PCS-4P4pi_FLAT_BL_71.56%</v>
          </cell>
          <cell r="G796">
            <v>71.56</v>
          </cell>
        </row>
        <row r="797">
          <cell r="A797" t="str">
            <v>Oi Total Fixo + Pós 250 + Banda Larga0.7867Template de desconto FLAT bundle - Velox XDSL - Varejo</v>
          </cell>
          <cell r="B797" t="str">
            <v>Plano Oi Completo Medium</v>
          </cell>
          <cell r="C797" t="str">
            <v>Template de desconto FLAT bundle - Velox XDSL - Varejo</v>
          </cell>
          <cell r="D797">
            <v>0.78670000000000007</v>
          </cell>
          <cell r="E797" t="str">
            <v>MKT-1-9863623989</v>
          </cell>
          <cell r="F797" t="str">
            <v>0T3T_REJ17_PCS-4P4pi_FLAT_BL_78.67%</v>
          </cell>
          <cell r="G797">
            <v>78.67</v>
          </cell>
        </row>
        <row r="798">
          <cell r="A798" t="str">
            <v>Oi Total Fixo + Pós 500 + Banda Larga0.5368Template de desconto FLAT bundle - Velox XDSL - Varejo</v>
          </cell>
          <cell r="B798" t="str">
            <v>Plano Oi Completo Large</v>
          </cell>
          <cell r="C798" t="str">
            <v>Template de desconto FLAT bundle - Velox XDSL - Varejo</v>
          </cell>
          <cell r="D798">
            <v>0.53679999999999994</v>
          </cell>
          <cell r="E798" t="str">
            <v>MKT-1-9863624082</v>
          </cell>
          <cell r="F798" t="str">
            <v>0T3T_REJ17_PCS-4P5pi_FLAT_BL_53.68%</v>
          </cell>
          <cell r="G798">
            <v>53.68</v>
          </cell>
        </row>
        <row r="799">
          <cell r="A799" t="str">
            <v>Oi Total Fixo + Pós 500 + Banda Larga0.5431Template de desconto FLAT bundle - Velox XDSL - Varejo</v>
          </cell>
          <cell r="B799" t="str">
            <v>Plano Oi Completo Large</v>
          </cell>
          <cell r="C799" t="str">
            <v>Template de desconto FLAT bundle - Velox XDSL - Varejo</v>
          </cell>
          <cell r="D799">
            <v>0.54310000000000003</v>
          </cell>
          <cell r="E799" t="str">
            <v>MKT-1-9865126175</v>
          </cell>
          <cell r="F799" t="str">
            <v>0T3T_REJ17_PCS-4P5pi_FLAT_BL_54.31%</v>
          </cell>
          <cell r="G799">
            <v>54.31</v>
          </cell>
        </row>
        <row r="800">
          <cell r="A800" t="str">
            <v>Oi Total Fixo + Pós 500 + Banda Larga0.5557Template de desconto FLAT bundle - Velox XDSL - Varejo</v>
          </cell>
          <cell r="B800" t="str">
            <v>Plano Oi Completo Large</v>
          </cell>
          <cell r="C800" t="str">
            <v>Template de desconto FLAT bundle - Velox XDSL - Varejo</v>
          </cell>
          <cell r="D800">
            <v>0.55569999999999997</v>
          </cell>
          <cell r="E800" t="str">
            <v>MKT-1-9865126268</v>
          </cell>
          <cell r="F800" t="str">
            <v>0T3T_REJ17_PCS-4P5pi_FLAT_BL_55.57%</v>
          </cell>
          <cell r="G800">
            <v>55.57</v>
          </cell>
        </row>
        <row r="801">
          <cell r="A801" t="str">
            <v>Oi Total Fixo + Pós 500 + Banda Larga0.6051Template de desconto FLAT bundle - Velox XDSL - Varejo</v>
          </cell>
          <cell r="B801" t="str">
            <v>Plano Oi Completo Large</v>
          </cell>
          <cell r="C801" t="str">
            <v>Template de desconto FLAT bundle - Velox XDSL - Varejo</v>
          </cell>
          <cell r="D801">
            <v>0.60509999999999997</v>
          </cell>
          <cell r="E801" t="str">
            <v>MKT-1-9865126361</v>
          </cell>
          <cell r="F801" t="str">
            <v>0T3T_REJ17_PCS-4P5pi_FLAT_BL_60.51%</v>
          </cell>
          <cell r="G801">
            <v>60.51</v>
          </cell>
        </row>
        <row r="802">
          <cell r="A802" t="str">
            <v>Oi Total Fixo + Pós 500 + Banda Larga0.6446Template de desconto FLAT bundle - Velox XDSL - Varejo</v>
          </cell>
          <cell r="B802" t="str">
            <v>Plano Oi Completo Large</v>
          </cell>
          <cell r="C802" t="str">
            <v>Template de desconto FLAT bundle - Velox XDSL - Varejo</v>
          </cell>
          <cell r="D802">
            <v>0.64459999999999995</v>
          </cell>
          <cell r="E802" t="str">
            <v>MKT-1-9865126454</v>
          </cell>
          <cell r="F802" t="str">
            <v>0T3T_REJ17_PCS-4P5pi_FLAT_BL_64.46%</v>
          </cell>
          <cell r="G802">
            <v>64.459999999999994</v>
          </cell>
        </row>
        <row r="803">
          <cell r="A803" t="str">
            <v>Oi Total Fixo + Pós 500 + Banda Larga0.7156Template de desconto FLAT bundle - Velox XDSL - Varejo</v>
          </cell>
          <cell r="B803" t="str">
            <v>Plano Oi Completo Large</v>
          </cell>
          <cell r="C803" t="str">
            <v>Template de desconto FLAT bundle - Velox XDSL - Varejo</v>
          </cell>
          <cell r="D803">
            <v>0.71560000000000001</v>
          </cell>
          <cell r="E803" t="str">
            <v>MKT-1-9865126547</v>
          </cell>
          <cell r="F803" t="str">
            <v>0T3T_REJ17_PCS-4P5pi_FLAT_BL_71.56%</v>
          </cell>
          <cell r="G803">
            <v>71.56</v>
          </cell>
        </row>
        <row r="804">
          <cell r="A804" t="str">
            <v>Oi Total Fixo + Pós 500 + Banda Larga0.7867Template de desconto FLAT bundle - Velox XDSL - Varejo</v>
          </cell>
          <cell r="B804" t="str">
            <v>Plano Oi Completo Large</v>
          </cell>
          <cell r="C804" t="str">
            <v>Template de desconto FLAT bundle - Velox XDSL - Varejo</v>
          </cell>
          <cell r="D804">
            <v>0.78670000000000007</v>
          </cell>
          <cell r="E804" t="str">
            <v>MKT-1-9865126640</v>
          </cell>
          <cell r="F804" t="str">
            <v>0T3T_REJ17_PCS-4P5pi_FLAT_BL_78.67%</v>
          </cell>
          <cell r="G804">
            <v>78.67</v>
          </cell>
        </row>
        <row r="805">
          <cell r="A805" t="str">
            <v>Oi Total Fixo + Pós 800 + Banda Larga0.5368Template de desconto FLAT bundle - Velox XDSL - Varejo</v>
          </cell>
          <cell r="B805" t="str">
            <v>Plano Oi Completo XLarge</v>
          </cell>
          <cell r="C805" t="str">
            <v>Template de desconto FLAT bundle - Velox XDSL - Varejo</v>
          </cell>
          <cell r="D805">
            <v>0.53679999999999994</v>
          </cell>
          <cell r="E805" t="str">
            <v>MKT-1-9865126733</v>
          </cell>
          <cell r="F805" t="str">
            <v>0T3T_REJ17_PCS-4P6pi_FLAT_BL_53.68%</v>
          </cell>
          <cell r="G805">
            <v>53.68</v>
          </cell>
        </row>
        <row r="806">
          <cell r="A806" t="str">
            <v>Oi Total Fixo + Pós 800 + Banda Larga0.5431Template de desconto FLAT bundle - Velox XDSL - Varejo</v>
          </cell>
          <cell r="B806" t="str">
            <v>Plano Oi Completo XLarge</v>
          </cell>
          <cell r="C806" t="str">
            <v>Template de desconto FLAT bundle - Velox XDSL - Varejo</v>
          </cell>
          <cell r="D806">
            <v>0.54310000000000003</v>
          </cell>
          <cell r="E806" t="str">
            <v>MKT-1-9865126826</v>
          </cell>
          <cell r="F806" t="str">
            <v>0T3T_REJ17_PCS-4P6pi_FLAT_BL_54.31%</v>
          </cell>
          <cell r="G806">
            <v>54.31</v>
          </cell>
        </row>
        <row r="807">
          <cell r="A807" t="str">
            <v>Oi Total Fixo + Pós 800 + Banda Larga0.5557Template de desconto FLAT bundle - Velox XDSL - Varejo</v>
          </cell>
          <cell r="B807" t="str">
            <v>Plano Oi Completo XLarge</v>
          </cell>
          <cell r="C807" t="str">
            <v>Template de desconto FLAT bundle - Velox XDSL - Varejo</v>
          </cell>
          <cell r="D807">
            <v>0.55569999999999997</v>
          </cell>
          <cell r="E807" t="str">
            <v>MKT-1-9865126919</v>
          </cell>
          <cell r="F807" t="str">
            <v>0T3T_REJ17_PCS-4P6pi_FLAT_BL_55.57%</v>
          </cell>
          <cell r="G807">
            <v>55.57</v>
          </cell>
        </row>
        <row r="808">
          <cell r="A808" t="str">
            <v>Oi Total Fixo + Pós 800 + Banda Larga0.6446Template de desconto FLAT bundle - Velox XDSL - Varejo</v>
          </cell>
          <cell r="B808" t="str">
            <v>Plano Oi Completo XLarge</v>
          </cell>
          <cell r="C808" t="str">
            <v>Template de desconto FLAT bundle - Velox XDSL - Varejo</v>
          </cell>
          <cell r="D808">
            <v>0.64459999999999995</v>
          </cell>
          <cell r="E808" t="str">
            <v>MKT-1-9865191105</v>
          </cell>
          <cell r="F808" t="str">
            <v>0T3T_REJ17_PCS-4P6pi_FLAT_BL_64.46%</v>
          </cell>
          <cell r="G808">
            <v>64.459999999999994</v>
          </cell>
        </row>
        <row r="809">
          <cell r="A809" t="str">
            <v>Oi Total Fixo + Pós 800 + Banda Larga0.7156Template de desconto FLAT bundle - Velox XDSL - Varejo</v>
          </cell>
          <cell r="B809" t="str">
            <v>Plano Oi Completo XLarge</v>
          </cell>
          <cell r="C809" t="str">
            <v>Template de desconto FLAT bundle - Velox XDSL - Varejo</v>
          </cell>
          <cell r="D809">
            <v>0.71560000000000001</v>
          </cell>
          <cell r="E809" t="str">
            <v>MKT-1-9865191198</v>
          </cell>
          <cell r="F809" t="str">
            <v>0T3T_REJ17_PCS-4P6pi_FLAT_BL_71.56%</v>
          </cell>
          <cell r="G809">
            <v>71.56</v>
          </cell>
        </row>
        <row r="810">
          <cell r="A810" t="str">
            <v>Oi Total Fixo + Pós 800 + Banda Larga0.7867Template de desconto FLAT bundle - Velox XDSL - Varejo</v>
          </cell>
          <cell r="B810" t="str">
            <v>Plano Oi Completo XLarge</v>
          </cell>
          <cell r="C810" t="str">
            <v>Template de desconto FLAT bundle - Velox XDSL - Varejo</v>
          </cell>
          <cell r="D810">
            <v>0.78670000000000007</v>
          </cell>
          <cell r="E810" t="str">
            <v>MKT-1-9865191291</v>
          </cell>
          <cell r="F810" t="str">
            <v>0T3T_REJ17_PCS-4P6pi_FLAT_BL_78.67%</v>
          </cell>
          <cell r="G810">
            <v>78.67</v>
          </cell>
        </row>
        <row r="811">
          <cell r="A811" t="str">
            <v>Oi Total Fixo + Pós 800 + Banda Larga0.7511Template de desconto FLAT bundle - Velox XDSL - Varejo</v>
          </cell>
          <cell r="B811" t="str">
            <v>Plano Oi Completo XLarge</v>
          </cell>
          <cell r="C811" t="str">
            <v>Template de desconto FLAT bundle - Velox XDSL - Varejo</v>
          </cell>
          <cell r="D811">
            <v>0.75109999999999999</v>
          </cell>
          <cell r="E811" t="str">
            <v>MKT-1-9865191384</v>
          </cell>
          <cell r="F811" t="str">
            <v>0T3T_REJ17_PCS-4P6pi_FLAT_BL_75.11%</v>
          </cell>
          <cell r="G811">
            <v>75.11</v>
          </cell>
        </row>
        <row r="812">
          <cell r="A812" t="str">
            <v>Oi Total Fixo + Pós 800 + Banda Larga0.6051Template de desconto FLAT bundle - Velox XDSL - Varejo</v>
          </cell>
          <cell r="B812" t="str">
            <v>Plano Oi Completo XLarge</v>
          </cell>
          <cell r="C812" t="str">
            <v>Template de desconto FLAT bundle - Velox XDSL - Varejo</v>
          </cell>
          <cell r="D812">
            <v>0.60509999999999997</v>
          </cell>
          <cell r="E812" t="str">
            <v>MKT-1-9865694381</v>
          </cell>
          <cell r="F812" t="str">
            <v>0T3T_REJ17_PCS-4P6pi_FLAT_BL_60.51%.</v>
          </cell>
          <cell r="G812">
            <v>60.51</v>
          </cell>
        </row>
        <row r="813">
          <cell r="A813" t="str">
            <v>Oi Total Fixo + Pós 50 + Banda Larga0.2986Template desconto FLAT Plano Principal Oi TV nível conta</v>
          </cell>
          <cell r="B813" t="str">
            <v>Plano Oi Completo XSmall</v>
          </cell>
          <cell r="C813" t="str">
            <v>Template desconto FLAT Plano Principal Oi TV nível conta</v>
          </cell>
          <cell r="D813">
            <v>0.29859999999999998</v>
          </cell>
          <cell r="E813" t="str">
            <v>MKT-1-9864541971</v>
          </cell>
          <cell r="F813" t="str">
            <v>0T3T_REJ17_PCS-4P2pi_FLAT_TV_29.86%</v>
          </cell>
          <cell r="G813">
            <v>29.86</v>
          </cell>
        </row>
        <row r="814">
          <cell r="A814" t="str">
            <v>Oi Total Fixo + Pós 50 + Banda Larga0.3775Template desconto FLAT Plano Principal Oi TV nível conta</v>
          </cell>
          <cell r="B814" t="str">
            <v>Plano Oi Completo XSmall</v>
          </cell>
          <cell r="C814" t="str">
            <v>Template desconto FLAT Plano Principal Oi TV nível conta</v>
          </cell>
          <cell r="D814">
            <v>0.3775</v>
          </cell>
          <cell r="E814" t="str">
            <v>MKT-1-9865162226</v>
          </cell>
          <cell r="F814" t="str">
            <v>0T3T_REJ17_PCS-4P2pi_FLAT_TV_37.75%</v>
          </cell>
          <cell r="G814">
            <v>37.75</v>
          </cell>
        </row>
        <row r="815">
          <cell r="A815" t="str">
            <v>Oi Total Fixo + Pós 50 + Banda Larga0.3621Template desconto FLAT Plano Principal Oi TV nível conta</v>
          </cell>
          <cell r="B815" t="str">
            <v>Plano Oi Completo XSmall</v>
          </cell>
          <cell r="C815" t="str">
            <v>Template desconto FLAT Plano Principal Oi TV nível conta</v>
          </cell>
          <cell r="D815">
            <v>0.36210000000000003</v>
          </cell>
          <cell r="E815" t="str">
            <v>MKT-1-9865162531</v>
          </cell>
          <cell r="F815" t="str">
            <v>0T3T_REJ17_PCS-4P2pi_FLAT_TV_36.21%</v>
          </cell>
          <cell r="G815">
            <v>36.21</v>
          </cell>
        </row>
        <row r="816">
          <cell r="A816" t="str">
            <v>Oi Total Fixo + Pós 50 + Banda Larga0.2115Template desconto FLAT Plano Principal Oi TV nível conta</v>
          </cell>
          <cell r="B816" t="str">
            <v>Plano Oi Completo XSmall</v>
          </cell>
          <cell r="C816" t="str">
            <v>Template desconto FLAT Plano Principal Oi TV nível conta</v>
          </cell>
          <cell r="D816">
            <v>0.21149999999999999</v>
          </cell>
          <cell r="E816" t="str">
            <v>MKT-1-9865162846</v>
          </cell>
          <cell r="F816" t="str">
            <v>0T3T_REJ17_PCS-4P2pi_FLAT_TV_21.15%</v>
          </cell>
          <cell r="G816">
            <v>21.15</v>
          </cell>
        </row>
        <row r="817">
          <cell r="A817" t="str">
            <v>Oi Total Fixo + Pós 50 + Banda Larga0.3311Template desconto FLAT Plano Principal Oi TV nível conta</v>
          </cell>
          <cell r="B817" t="str">
            <v>Plano Oi Completo XSmall</v>
          </cell>
          <cell r="C817" t="str">
            <v>Template desconto FLAT Plano Principal Oi TV nível conta</v>
          </cell>
          <cell r="D817">
            <v>0.33110000000000001</v>
          </cell>
          <cell r="E817" t="str">
            <v>MKT-1-9865174121</v>
          </cell>
          <cell r="F817" t="str">
            <v>0T3T_REJ17_PCS-4P2pi_FLAT_TV_33.11%</v>
          </cell>
          <cell r="G817">
            <v>33.11</v>
          </cell>
        </row>
        <row r="818">
          <cell r="A818" t="str">
            <v>Oi Total Fixo + Pós 50 + Banda Larga0.3191Template desconto FLAT Plano Principal Oi TV nível conta</v>
          </cell>
          <cell r="B818" t="str">
            <v>Plano Oi Completo XSmall</v>
          </cell>
          <cell r="C818" t="str">
            <v>Template desconto FLAT Plano Principal Oi TV nível conta</v>
          </cell>
          <cell r="D818">
            <v>0.31909999999999999</v>
          </cell>
          <cell r="E818" t="str">
            <v>MKT-1-9865174436</v>
          </cell>
          <cell r="F818" t="str">
            <v>0T3T_REJ17_PCS-4P2pi_FLAT_TV_31.91%</v>
          </cell>
          <cell r="G818">
            <v>31.91</v>
          </cell>
        </row>
        <row r="819">
          <cell r="A819" t="str">
            <v>Oi Total Fixo + Pós 50 + Banda Larga0.2697Template desconto FLAT Plano Principal Oi TV nível conta</v>
          </cell>
          <cell r="B819" t="str">
            <v>Plano Oi Completo XSmall</v>
          </cell>
          <cell r="C819" t="str">
            <v>Template desconto FLAT Plano Principal Oi TV nível conta</v>
          </cell>
          <cell r="D819">
            <v>0.2697</v>
          </cell>
          <cell r="E819" t="str">
            <v>MKT-1-9865174821</v>
          </cell>
          <cell r="F819" t="str">
            <v>0T3T_REJ17_PCS-4P2pi_FLAT_TV_26.97%</v>
          </cell>
          <cell r="G819">
            <v>26.97</v>
          </cell>
        </row>
        <row r="820">
          <cell r="A820" t="str">
            <v>Oi Total Fixo + Pós 50 + Banda Larga0.304Template desconto FLAT Plano Principal Oi TV nível conta</v>
          </cell>
          <cell r="B820" t="str">
            <v>Plano Oi Completo XSmall</v>
          </cell>
          <cell r="C820" t="str">
            <v>Template desconto FLAT Plano Principal Oi TV nível conta</v>
          </cell>
          <cell r="D820">
            <v>0.30399999999999999</v>
          </cell>
          <cell r="E820" t="str">
            <v>MKT-1-9865188146</v>
          </cell>
          <cell r="F820" t="str">
            <v>0T3T_REJ17_PCS-4P2pi_FLAT_TV_30.40%</v>
          </cell>
          <cell r="G820">
            <v>30.4</v>
          </cell>
        </row>
        <row r="821">
          <cell r="A821" t="str">
            <v>Oi Total Fixo + Pós 50 + Banda Larga0.2639Template desconto FLAT Plano Principal Oi TV nível conta</v>
          </cell>
          <cell r="B821" t="str">
            <v>Plano Oi Completo XSmall</v>
          </cell>
          <cell r="C821" t="str">
            <v>Template desconto FLAT Plano Principal Oi TV nível conta</v>
          </cell>
          <cell r="D821">
            <v>0.26390000000000002</v>
          </cell>
          <cell r="E821" t="str">
            <v>MKT-1-9865188511</v>
          </cell>
          <cell r="F821" t="str">
            <v>0T3T_REJ17_PCS-4P2pi_FLAT_TV_26.39%</v>
          </cell>
          <cell r="G821">
            <v>26.39</v>
          </cell>
        </row>
        <row r="822">
          <cell r="A822" t="str">
            <v>Oi Total Fixo + Pós 50 + Banda Larga0.2551Template desconto FLAT Plano Principal Oi TV nível conta</v>
          </cell>
          <cell r="B822" t="str">
            <v>Plano Oi Completo XSmall</v>
          </cell>
          <cell r="C822" t="str">
            <v>Template desconto FLAT Plano Principal Oi TV nível conta</v>
          </cell>
          <cell r="D822">
            <v>0.25509999999999999</v>
          </cell>
          <cell r="E822" t="str">
            <v>MKT-1-9865188776</v>
          </cell>
          <cell r="F822" t="str">
            <v>0T3T_REJ17_PCS-4P2pi_FLAT_TV_25.51%</v>
          </cell>
          <cell r="G822">
            <v>25.51</v>
          </cell>
        </row>
        <row r="823">
          <cell r="A823" t="str">
            <v>Oi Total Fixo + Pós 50 + Banda Larga0.2302Template desconto FLAT Plano Principal Oi TV nível conta</v>
          </cell>
          <cell r="B823" t="str">
            <v>Plano Oi Completo XSmall</v>
          </cell>
          <cell r="C823" t="str">
            <v>Template desconto FLAT Plano Principal Oi TV nível conta</v>
          </cell>
          <cell r="D823">
            <v>0.23019999999999999</v>
          </cell>
          <cell r="E823" t="str">
            <v>MKT-1-9865196111</v>
          </cell>
          <cell r="F823" t="str">
            <v>0T3T_REJ17_PCS-4P2pi_FLAT_TV_23.02%</v>
          </cell>
          <cell r="G823">
            <v>23.02</v>
          </cell>
        </row>
        <row r="824">
          <cell r="A824" t="str">
            <v>Oi Total Fixo + Pós 100 + Banda Larga0.3445Template desconto FLAT Plano Principal Oi TV nível conta</v>
          </cell>
          <cell r="B824" t="str">
            <v>Plano Oi Completo Small</v>
          </cell>
          <cell r="C824" t="str">
            <v>Template desconto FLAT Plano Principal Oi TV nível conta</v>
          </cell>
          <cell r="D824">
            <v>0.34450000000000003</v>
          </cell>
          <cell r="E824" t="str">
            <v>MKT-1-9865196446</v>
          </cell>
          <cell r="F824" t="str">
            <v>0T3T_REJ17_PCS-4P3pi_FLAT_TV_34.45%</v>
          </cell>
          <cell r="G824">
            <v>34.450000000000003</v>
          </cell>
        </row>
        <row r="825">
          <cell r="A825" t="str">
            <v>Oi Total Fixo + Pós 100 + Banda Larga0.2986Template desconto FLAT Plano Principal Oi TV nível conta</v>
          </cell>
          <cell r="B825" t="str">
            <v>Plano Oi Completo Small</v>
          </cell>
          <cell r="C825" t="str">
            <v>Template desconto FLAT Plano Principal Oi TV nível conta</v>
          </cell>
          <cell r="D825">
            <v>0.29859999999999998</v>
          </cell>
          <cell r="E825" t="str">
            <v>MKT-1-9865196751</v>
          </cell>
          <cell r="F825" t="str">
            <v>0T3T_REJ17_PCS-4P3pi_FLAT_TV_29.86%</v>
          </cell>
          <cell r="G825">
            <v>29.86</v>
          </cell>
        </row>
        <row r="826">
          <cell r="A826" t="str">
            <v>Oi Total Fixo + Pós 100 + Banda Larga0.3775Template desconto FLAT Plano Principal Oi TV nível conta</v>
          </cell>
          <cell r="B826" t="str">
            <v>Plano Oi Completo Small</v>
          </cell>
          <cell r="C826" t="str">
            <v>Template desconto FLAT Plano Principal Oi TV nível conta</v>
          </cell>
          <cell r="D826">
            <v>0.3775</v>
          </cell>
          <cell r="E826" t="str">
            <v>MKT-1-9865197066</v>
          </cell>
          <cell r="F826" t="str">
            <v>0T3T_REJ17_PCS-4P3pi_FLAT_TV_37.75%</v>
          </cell>
          <cell r="G826">
            <v>37.75</v>
          </cell>
        </row>
        <row r="827">
          <cell r="A827" t="str">
            <v>Oi Total Fixo + Pós 100 + Banda Larga0.3621Template desconto FLAT Plano Principal Oi TV nível conta</v>
          </cell>
          <cell r="B827" t="str">
            <v>Plano Oi Completo Small</v>
          </cell>
          <cell r="C827" t="str">
            <v>Template desconto FLAT Plano Principal Oi TV nível conta</v>
          </cell>
          <cell r="D827">
            <v>0.36210000000000003</v>
          </cell>
          <cell r="E827" t="str">
            <v>MKT-1-9865205401</v>
          </cell>
          <cell r="F827" t="str">
            <v>0T3T_REJ17_PCS-4P3pi_FLAT_TV_36.21%</v>
          </cell>
          <cell r="G827">
            <v>36.21</v>
          </cell>
        </row>
        <row r="828">
          <cell r="A828" t="str">
            <v>Oi Total Fixo + Pós 100 + Banda Larga0.3311Template desconto FLAT Plano Principal Oi TV nível conta</v>
          </cell>
          <cell r="B828" t="str">
            <v>Plano Oi Completo Small</v>
          </cell>
          <cell r="C828" t="str">
            <v>Template desconto FLAT Plano Principal Oi TV nível conta</v>
          </cell>
          <cell r="D828">
            <v>0.33110000000000001</v>
          </cell>
          <cell r="E828" t="str">
            <v>MKT-1-9865205716</v>
          </cell>
          <cell r="F828" t="str">
            <v>0T3T_REJ17_PCS-4P3pi_FLAT_TV_33.11%</v>
          </cell>
          <cell r="G828">
            <v>33.11</v>
          </cell>
        </row>
        <row r="829">
          <cell r="A829" t="str">
            <v>Oi Total Fixo + Pós 100 + Banda Larga0.3191Template desconto FLAT Plano Principal Oi TV nível conta</v>
          </cell>
          <cell r="B829" t="str">
            <v>Plano Oi Completo Small</v>
          </cell>
          <cell r="C829" t="str">
            <v>Template desconto FLAT Plano Principal Oi TV nível conta</v>
          </cell>
          <cell r="D829">
            <v>0.31909999999999999</v>
          </cell>
          <cell r="E829" t="str">
            <v>MKT-1-9865206051</v>
          </cell>
          <cell r="F829" t="str">
            <v>0T3T_REJ17_PCS-4P3pi_FLAT_TV_31.91%</v>
          </cell>
          <cell r="G829">
            <v>31.91</v>
          </cell>
        </row>
        <row r="830">
          <cell r="A830" t="str">
            <v>Oi Total Fixo + Pós 100 + Banda Larga0.2697Template desconto FLAT Plano Principal Oi TV nível conta</v>
          </cell>
          <cell r="B830" t="str">
            <v>Plano Oi Completo Small</v>
          </cell>
          <cell r="C830" t="str">
            <v>Template desconto FLAT Plano Principal Oi TV nível conta</v>
          </cell>
          <cell r="D830">
            <v>0.2697</v>
          </cell>
          <cell r="E830" t="str">
            <v>MKT-1-9865216336</v>
          </cell>
          <cell r="F830" t="str">
            <v>0T3T_REJ17_PCS-4P3pi_FLAT_TV_26.97%</v>
          </cell>
          <cell r="G830">
            <v>26.97</v>
          </cell>
        </row>
        <row r="831">
          <cell r="A831" t="str">
            <v>Oi Total Fixo + Pós 100 + Banda Larga0.304Template desconto FLAT Plano Principal Oi TV nível conta</v>
          </cell>
          <cell r="B831" t="str">
            <v>Plano Oi Completo Small</v>
          </cell>
          <cell r="C831" t="str">
            <v>Template desconto FLAT Plano Principal Oi TV nível conta</v>
          </cell>
          <cell r="D831">
            <v>0.30399999999999999</v>
          </cell>
          <cell r="E831" t="str">
            <v>MKT-1-9865216611</v>
          </cell>
          <cell r="F831" t="str">
            <v>0T3T_REJ17_PCS-4P3pi_FLAT_TV_30.40%</v>
          </cell>
          <cell r="G831">
            <v>30.4</v>
          </cell>
        </row>
        <row r="832">
          <cell r="A832" t="str">
            <v>Oi Total Fixo + Pós 100 + Banda Larga0.2639Template desconto FLAT Plano Principal Oi TV nível conta</v>
          </cell>
          <cell r="B832" t="str">
            <v>Plano Oi Completo Small</v>
          </cell>
          <cell r="C832" t="str">
            <v>Template desconto FLAT Plano Principal Oi TV nível conta</v>
          </cell>
          <cell r="D832">
            <v>0.26390000000000002</v>
          </cell>
          <cell r="E832" t="str">
            <v>MKT-1-9865216876</v>
          </cell>
          <cell r="F832" t="str">
            <v>0T3T_REJ17_PCS-4P3pi_FLAT_TV_26.39%</v>
          </cell>
          <cell r="G832">
            <v>26.39</v>
          </cell>
        </row>
        <row r="833">
          <cell r="A833" t="str">
            <v>Oi Total Fixo + Pós 100 + Banda Larga0.2551Template desconto FLAT Plano Principal Oi TV nível conta</v>
          </cell>
          <cell r="B833" t="str">
            <v>Plano Oi Completo Small</v>
          </cell>
          <cell r="C833" t="str">
            <v>Template desconto FLAT Plano Principal Oi TV nível conta</v>
          </cell>
          <cell r="D833">
            <v>0.25509999999999999</v>
          </cell>
          <cell r="E833" t="str">
            <v>MKT-1-9865225131</v>
          </cell>
          <cell r="F833" t="str">
            <v>0T3T_REJ17_PCS-4P3pi_FLAT_TV_25.51%</v>
          </cell>
          <cell r="G833">
            <v>25.51</v>
          </cell>
        </row>
        <row r="834">
          <cell r="A834" t="str">
            <v>Oi Total Fixo + Pós 250 + Banda Larga0.3445Template desconto FLAT Plano Principal Oi TV nível conta</v>
          </cell>
          <cell r="B834" t="str">
            <v>Plano Oi Completo Medium</v>
          </cell>
          <cell r="C834" t="str">
            <v>Template desconto FLAT Plano Principal Oi TV nível conta</v>
          </cell>
          <cell r="D834">
            <v>0.34450000000000003</v>
          </cell>
          <cell r="E834" t="str">
            <v>MKT-1-9865225386</v>
          </cell>
          <cell r="F834" t="str">
            <v>0T3T_REJ17_PCS-4P4pi_FLAT_TV_34.45%</v>
          </cell>
          <cell r="G834">
            <v>34.450000000000003</v>
          </cell>
        </row>
        <row r="835">
          <cell r="A835" t="str">
            <v>Oi Total Fixo + Pós 250 + Banda Larga0.2986Template desconto FLAT Plano Principal Oi TV nível conta</v>
          </cell>
          <cell r="B835" t="str">
            <v>Plano Oi Completo Medium</v>
          </cell>
          <cell r="C835" t="str">
            <v>Template desconto FLAT Plano Principal Oi TV nível conta</v>
          </cell>
          <cell r="D835">
            <v>0.29859999999999998</v>
          </cell>
          <cell r="E835" t="str">
            <v>MKT-1-9865225731</v>
          </cell>
          <cell r="F835" t="str">
            <v>0T3T_REJ17_PCS-4P4pi_FLAT_TV_29.86%</v>
          </cell>
          <cell r="G835">
            <v>29.86</v>
          </cell>
        </row>
        <row r="836">
          <cell r="A836" t="str">
            <v>Oi Total Fixo + Pós 250 + Banda Larga0.3775Template desconto FLAT Plano Principal Oi TV nível conta</v>
          </cell>
          <cell r="B836" t="str">
            <v>Plano Oi Completo Medium</v>
          </cell>
          <cell r="C836" t="str">
            <v>Template desconto FLAT Plano Principal Oi TV nível conta</v>
          </cell>
          <cell r="D836">
            <v>0.3775</v>
          </cell>
          <cell r="E836" t="str">
            <v>MKT-1-9865225986</v>
          </cell>
          <cell r="F836" t="str">
            <v>0T3T_REJ17_PCS-4P4pi_FLAT_TV_37.75%</v>
          </cell>
          <cell r="G836">
            <v>37.75</v>
          </cell>
        </row>
        <row r="837">
          <cell r="A837" t="str">
            <v>Oi Total Fixo + Pós 250 + Banda Larga0.3621Template desconto FLAT Plano Principal Oi TV nível conta</v>
          </cell>
          <cell r="B837" t="str">
            <v>Plano Oi Completo Medium</v>
          </cell>
          <cell r="C837" t="str">
            <v>Template desconto FLAT Plano Principal Oi TV nível conta</v>
          </cell>
          <cell r="D837">
            <v>0.36210000000000003</v>
          </cell>
          <cell r="E837" t="str">
            <v>MKT-1-9865248241</v>
          </cell>
          <cell r="F837" t="str">
            <v>0T3T_REJ17_PCS-4P4pi_FLAT_TV_36.21%</v>
          </cell>
          <cell r="G837">
            <v>36.21</v>
          </cell>
        </row>
        <row r="838">
          <cell r="A838" t="str">
            <v>Oi Total Fixo + Pós 250 + Banda Larga0.2115Template desconto FLAT Plano Principal Oi TV nível conta</v>
          </cell>
          <cell r="B838" t="str">
            <v>Plano Oi Completo Medium</v>
          </cell>
          <cell r="C838" t="str">
            <v>Template desconto FLAT Plano Principal Oi TV nível conta</v>
          </cell>
          <cell r="D838">
            <v>0.21149999999999999</v>
          </cell>
          <cell r="E838" t="str">
            <v>MKT-1-9865248496</v>
          </cell>
          <cell r="F838" t="str">
            <v>0T3T_REJ17_PCS-4P4pi_FLAT_TV_21.15%</v>
          </cell>
          <cell r="G838">
            <v>21.15</v>
          </cell>
        </row>
        <row r="839">
          <cell r="A839" t="str">
            <v>Oi Total Fixo + Pós 250 + Banda Larga0.3311Template desconto FLAT Plano Principal Oi TV nível conta</v>
          </cell>
          <cell r="B839" t="str">
            <v>Plano Oi Completo Medium</v>
          </cell>
          <cell r="C839" t="str">
            <v>Template desconto FLAT Plano Principal Oi TV nível conta</v>
          </cell>
          <cell r="D839">
            <v>0.33110000000000001</v>
          </cell>
          <cell r="E839" t="str">
            <v>MKT-1-9865248751</v>
          </cell>
          <cell r="F839" t="str">
            <v>0T3T_REJ17_PCS-4P4pi_FLAT_TV_33.11%</v>
          </cell>
          <cell r="G839">
            <v>33.11</v>
          </cell>
        </row>
        <row r="840">
          <cell r="A840" t="str">
            <v>Oi Total Fixo + Pós 250 + Banda Larga0.3191Template desconto FLAT Plano Principal Oi TV nível conta</v>
          </cell>
          <cell r="B840" t="str">
            <v>Plano Oi Completo Medium</v>
          </cell>
          <cell r="C840" t="str">
            <v>Template desconto FLAT Plano Principal Oi TV nível conta</v>
          </cell>
          <cell r="D840">
            <v>0.31909999999999999</v>
          </cell>
          <cell r="E840" t="str">
            <v>MKT-1-9865249006</v>
          </cell>
          <cell r="F840" t="str">
            <v>0T3T_REJ17_PCS-4P4pi_FLAT_TV_31.91%</v>
          </cell>
          <cell r="G840">
            <v>31.91</v>
          </cell>
        </row>
        <row r="841">
          <cell r="A841" t="str">
            <v>Oi Total Fixo + Pós 250 + Banda Larga0.2697Template desconto FLAT Plano Principal Oi TV nível conta</v>
          </cell>
          <cell r="B841" t="str">
            <v>Plano Oi Completo Medium</v>
          </cell>
          <cell r="C841" t="str">
            <v>Template desconto FLAT Plano Principal Oi TV nível conta</v>
          </cell>
          <cell r="D841">
            <v>0.2697</v>
          </cell>
          <cell r="E841" t="str">
            <v>MKT-1-9865269261</v>
          </cell>
          <cell r="F841" t="str">
            <v>0T3T_REJ17_PCS-4P4pi_FLAT_TV_26.97%</v>
          </cell>
          <cell r="G841">
            <v>26.97</v>
          </cell>
        </row>
        <row r="842">
          <cell r="A842" t="str">
            <v>Oi Total Fixo + Pós 250 + Banda Larga0.304Template desconto FLAT Plano Principal Oi TV nível conta</v>
          </cell>
          <cell r="B842" t="str">
            <v>Plano Oi Completo Medium</v>
          </cell>
          <cell r="C842" t="str">
            <v>Template desconto FLAT Plano Principal Oi TV nível conta</v>
          </cell>
          <cell r="D842">
            <v>0.30399999999999999</v>
          </cell>
          <cell r="E842" t="str">
            <v>MKT-1-9865269516</v>
          </cell>
          <cell r="F842" t="str">
            <v>0T3T_REJ17_PCS-4P4pi_FLAT_TV_30.40%</v>
          </cell>
          <cell r="G842">
            <v>30.4</v>
          </cell>
        </row>
        <row r="843">
          <cell r="A843" t="str">
            <v>Oi Total Fixo + Pós 250 + Banda Larga0.2639Template desconto FLAT Plano Principal Oi TV nível conta</v>
          </cell>
          <cell r="B843" t="str">
            <v>Plano Oi Completo Medium</v>
          </cell>
          <cell r="C843" t="str">
            <v>Template desconto FLAT Plano Principal Oi TV nível conta</v>
          </cell>
          <cell r="D843">
            <v>0.26390000000000002</v>
          </cell>
          <cell r="E843" t="str">
            <v>MKT-1-9865269771</v>
          </cell>
          <cell r="F843" t="str">
            <v>0T3T_REJ17_PCS-4P4pi_FLAT_TV_26.39%</v>
          </cell>
          <cell r="G843">
            <v>26.39</v>
          </cell>
        </row>
        <row r="844">
          <cell r="A844" t="str">
            <v>Oi Total Fixo + Pós 250 + Banda Larga0.2551Template desconto FLAT Plano Principal Oi TV nível conta</v>
          </cell>
          <cell r="B844" t="str">
            <v>Plano Oi Completo Medium</v>
          </cell>
          <cell r="C844" t="str">
            <v>Template desconto FLAT Plano Principal Oi TV nível conta</v>
          </cell>
          <cell r="D844">
            <v>0.25509999999999999</v>
          </cell>
          <cell r="E844" t="str">
            <v>MKT-1-9865270026</v>
          </cell>
          <cell r="F844" t="str">
            <v>0T3T_REJ17_PCS-4P4pi_FLAT_TV_25.51%</v>
          </cell>
          <cell r="G844">
            <v>25.51</v>
          </cell>
        </row>
        <row r="845">
          <cell r="A845" t="str">
            <v>Oi Total Fixo + Pós 250 + Banda Larga0.2302Template desconto FLAT Plano Principal Oi TV nível conta</v>
          </cell>
          <cell r="B845" t="str">
            <v>Plano Oi Completo Medium</v>
          </cell>
          <cell r="C845" t="str">
            <v>Template desconto FLAT Plano Principal Oi TV nível conta</v>
          </cell>
          <cell r="D845">
            <v>0.23019999999999999</v>
          </cell>
          <cell r="E845" t="str">
            <v>MKT-1-9865285281</v>
          </cell>
          <cell r="F845" t="str">
            <v>0T3T_REJ17_PCS-4P4pi_FLAT_TV_23.02%</v>
          </cell>
          <cell r="G845">
            <v>23.02</v>
          </cell>
        </row>
        <row r="846">
          <cell r="A846" t="str">
            <v>Oi Total Fixo + Pós 500 + Banda Larga0.3445Template desconto FLAT Plano Principal Oi TV nível conta</v>
          </cell>
          <cell r="B846" t="str">
            <v>Plano Oi Completo Large</v>
          </cell>
          <cell r="C846" t="str">
            <v>Template desconto FLAT Plano Principal Oi TV nível conta</v>
          </cell>
          <cell r="D846">
            <v>0.34450000000000003</v>
          </cell>
          <cell r="E846" t="str">
            <v>MKT-1-9865285536</v>
          </cell>
          <cell r="F846" t="str">
            <v>0T3T_REJ17_PCS-4P5pi_FLAT_TV_34.45%</v>
          </cell>
          <cell r="G846">
            <v>34.450000000000003</v>
          </cell>
        </row>
        <row r="847">
          <cell r="A847" t="str">
            <v>Oi Total Fixo + Pós 500 + Banda Larga0.2986Template desconto FLAT Plano Principal Oi TV nível conta</v>
          </cell>
          <cell r="B847" t="str">
            <v>Plano Oi Completo Large</v>
          </cell>
          <cell r="C847" t="str">
            <v>Template desconto FLAT Plano Principal Oi TV nível conta</v>
          </cell>
          <cell r="D847">
            <v>0.29859999999999998</v>
          </cell>
          <cell r="E847" t="str">
            <v>MKT-1-9865285791</v>
          </cell>
          <cell r="F847" t="str">
            <v>0T3T_REJ17_PCS-4P5pi_FLAT_TV_29.86%</v>
          </cell>
          <cell r="G847">
            <v>29.86</v>
          </cell>
        </row>
        <row r="848">
          <cell r="A848" t="str">
            <v>Oi Total Fixo + Pós 500 + Banda Larga0.3775Template desconto FLAT Plano Principal Oi TV nível conta</v>
          </cell>
          <cell r="B848" t="str">
            <v>Plano Oi Completo Large</v>
          </cell>
          <cell r="C848" t="str">
            <v>Template desconto FLAT Plano Principal Oi TV nível conta</v>
          </cell>
          <cell r="D848">
            <v>0.3775</v>
          </cell>
          <cell r="E848" t="str">
            <v>MKT-1-9865286046</v>
          </cell>
          <cell r="F848" t="str">
            <v>0T3T_REJ17_PCS-4P5pi_FLAT_TV_37.75%</v>
          </cell>
          <cell r="G848">
            <v>37.75</v>
          </cell>
        </row>
        <row r="849">
          <cell r="A849" t="str">
            <v>Oi Total Fixo + Pós 500 + Banda Larga0.3621Template desconto FLAT Plano Principal Oi TV nível conta</v>
          </cell>
          <cell r="B849" t="str">
            <v>Plano Oi Completo Large</v>
          </cell>
          <cell r="C849" t="str">
            <v>Template desconto FLAT Plano Principal Oi TV nível conta</v>
          </cell>
          <cell r="D849">
            <v>0.36210000000000003</v>
          </cell>
          <cell r="E849" t="str">
            <v>MKT-1-9865295301</v>
          </cell>
          <cell r="F849" t="str">
            <v>0T3T_REJ17_PCS-4P5pi_FLAT_TV_36.21%</v>
          </cell>
          <cell r="G849">
            <v>36.21</v>
          </cell>
        </row>
        <row r="850">
          <cell r="A850" t="str">
            <v>Oi Total Fixo + Pós 500 + Banda Larga0.2115Template desconto FLAT Plano Principal Oi TV nível conta</v>
          </cell>
          <cell r="B850" t="str">
            <v>Plano Oi Completo Large</v>
          </cell>
          <cell r="C850" t="str">
            <v>Template desconto FLAT Plano Principal Oi TV nível conta</v>
          </cell>
          <cell r="D850">
            <v>0.21149999999999999</v>
          </cell>
          <cell r="E850" t="str">
            <v>MKT-1-9865295556</v>
          </cell>
          <cell r="F850" t="str">
            <v>0T3T_REJ17_PCS-4P5pi_FLAT_TV_21.15%</v>
          </cell>
          <cell r="G850">
            <v>21.15</v>
          </cell>
        </row>
        <row r="851">
          <cell r="A851" t="str">
            <v>Oi Total Fixo + Pós 500 + Banda Larga0.3311Template desconto FLAT Plano Principal Oi TV nível conta</v>
          </cell>
          <cell r="B851" t="str">
            <v>Plano Oi Completo Large</v>
          </cell>
          <cell r="C851" t="str">
            <v>Template desconto FLAT Plano Principal Oi TV nível conta</v>
          </cell>
          <cell r="D851">
            <v>0.33110000000000001</v>
          </cell>
          <cell r="E851" t="str">
            <v>MKT-1-9865295811</v>
          </cell>
          <cell r="F851" t="str">
            <v>0T3T_REJ17_PCS-4P5pi_FLAT_TV_33.11%</v>
          </cell>
          <cell r="G851">
            <v>33.11</v>
          </cell>
        </row>
        <row r="852">
          <cell r="A852" t="str">
            <v>Oi Total Fixo + Pós 500 + Banda Larga0.3191Template desconto FLAT Plano Principal Oi TV nível conta</v>
          </cell>
          <cell r="B852" t="str">
            <v>Plano Oi Completo Large</v>
          </cell>
          <cell r="C852" t="str">
            <v>Template desconto FLAT Plano Principal Oi TV nível conta</v>
          </cell>
          <cell r="D852">
            <v>0.31909999999999999</v>
          </cell>
          <cell r="E852" t="str">
            <v>MKT-1-9865296066</v>
          </cell>
          <cell r="F852" t="str">
            <v>0T3T_REJ17_PCS-4P5pi_FLAT_TV_31.91%</v>
          </cell>
          <cell r="G852">
            <v>31.91</v>
          </cell>
        </row>
        <row r="853">
          <cell r="A853" t="str">
            <v>Oi Total Fixo + Pós 500 + Banda Larga0.2697Template desconto FLAT Plano Principal Oi TV nível conta</v>
          </cell>
          <cell r="B853" t="str">
            <v>Plano Oi Completo Large</v>
          </cell>
          <cell r="C853" t="str">
            <v>Template desconto FLAT Plano Principal Oi TV nível conta</v>
          </cell>
          <cell r="D853">
            <v>0.2697</v>
          </cell>
          <cell r="E853" t="str">
            <v>MKT-1-9865424651</v>
          </cell>
          <cell r="F853" t="str">
            <v>0T3T_REJ17_PCS-4P5pi_FLAT_TV_26.97%</v>
          </cell>
          <cell r="G853">
            <v>26.97</v>
          </cell>
        </row>
        <row r="854">
          <cell r="A854" t="str">
            <v>Oi Total Fixo + Pós 500 + Banda Larga0.304Template desconto FLAT Plano Principal Oi TV nível conta</v>
          </cell>
          <cell r="B854" t="str">
            <v>Plano Oi Completo Large</v>
          </cell>
          <cell r="C854" t="str">
            <v>Template desconto FLAT Plano Principal Oi TV nível conta</v>
          </cell>
          <cell r="D854">
            <v>0.30399999999999999</v>
          </cell>
          <cell r="E854" t="str">
            <v>MKT-1-9865424976</v>
          </cell>
          <cell r="F854" t="str">
            <v>0T3T_REJ17_PCS-4P5pi_FLAT_TV_30.40%</v>
          </cell>
          <cell r="G854">
            <v>30.4</v>
          </cell>
        </row>
        <row r="855">
          <cell r="A855" t="str">
            <v>Oi Total Fixo + Pós 500 + Banda Larga0.2639Template desconto FLAT Plano Principal Oi TV nível conta</v>
          </cell>
          <cell r="B855" t="str">
            <v>Plano Oi Completo Large</v>
          </cell>
          <cell r="C855" t="str">
            <v>Template desconto FLAT Plano Principal Oi TV nível conta</v>
          </cell>
          <cell r="D855">
            <v>0.26390000000000002</v>
          </cell>
          <cell r="E855" t="str">
            <v>MKT-1-9865444441</v>
          </cell>
          <cell r="F855" t="str">
            <v>0T3T_REJ17_PCS-4P5pi_FLAT_TV_26.39%</v>
          </cell>
          <cell r="G855">
            <v>26.39</v>
          </cell>
        </row>
        <row r="856">
          <cell r="A856" t="str">
            <v>Oi Total Fixo + Pós 500 + Banda Larga0.2551Template desconto FLAT Plano Principal Oi TV nível conta</v>
          </cell>
          <cell r="B856" t="str">
            <v>Plano Oi Completo Large</v>
          </cell>
          <cell r="C856" t="str">
            <v>Template desconto FLAT Plano Principal Oi TV nível conta</v>
          </cell>
          <cell r="D856">
            <v>0.25509999999999999</v>
          </cell>
          <cell r="E856" t="str">
            <v>MKT-1-9865444786</v>
          </cell>
          <cell r="F856" t="str">
            <v>0T3T_REJ17_PCS-4P5pi_FLAT_TV_25.51%</v>
          </cell>
          <cell r="G856">
            <v>25.51</v>
          </cell>
        </row>
        <row r="857">
          <cell r="A857" t="str">
            <v>Oi Total Fixo + Pós 500 + Banda Larga0.2302Template desconto FLAT Plano Principal Oi TV nível conta</v>
          </cell>
          <cell r="B857" t="str">
            <v>Plano Oi Completo Large</v>
          </cell>
          <cell r="C857" t="str">
            <v>Template desconto FLAT Plano Principal Oi TV nível conta</v>
          </cell>
          <cell r="D857">
            <v>0.23019999999999999</v>
          </cell>
          <cell r="E857" t="str">
            <v>MKT-1-9865456141</v>
          </cell>
          <cell r="F857" t="str">
            <v>0T3T_REJ17_PCS-4P5pi_FLAT_TV_23.02%</v>
          </cell>
          <cell r="G857">
            <v>23.02</v>
          </cell>
        </row>
        <row r="858">
          <cell r="A858" t="str">
            <v>Oi Total Fixo + Pós 800 + Banda Larga0.3445Template desconto FLAT Plano Principal Oi TV nível conta</v>
          </cell>
          <cell r="B858" t="str">
            <v>Plano Oi Completo XLarge</v>
          </cell>
          <cell r="C858" t="str">
            <v>Template desconto FLAT Plano Principal Oi TV nível conta</v>
          </cell>
          <cell r="D858">
            <v>0.34450000000000003</v>
          </cell>
          <cell r="E858" t="str">
            <v>MKT-1-9865456396</v>
          </cell>
          <cell r="F858" t="str">
            <v>0T3T_REJ17_PCS-4P6pi_FLAT_TV_34.45%</v>
          </cell>
          <cell r="G858">
            <v>34.450000000000003</v>
          </cell>
        </row>
        <row r="859">
          <cell r="A859" t="str">
            <v>Oi Total Fixo + Pós 800 + Banda Larga0.2986Template desconto FLAT Plano Principal Oi TV nível conta</v>
          </cell>
          <cell r="B859" t="str">
            <v>Plano Oi Completo XLarge</v>
          </cell>
          <cell r="C859" t="str">
            <v>Template desconto FLAT Plano Principal Oi TV nível conta</v>
          </cell>
          <cell r="D859">
            <v>0.29859999999999998</v>
          </cell>
          <cell r="E859" t="str">
            <v>MKT-1-9865456651</v>
          </cell>
          <cell r="F859" t="str">
            <v>0T3T_REJ17_PCS-4P6pi_FLAT_TV_29.86%</v>
          </cell>
          <cell r="G859">
            <v>29.86</v>
          </cell>
        </row>
        <row r="860">
          <cell r="A860" t="str">
            <v>Oi Total Fixo + Pós 800 + Banda Larga0.3775Template desconto FLAT Plano Principal Oi TV nível conta</v>
          </cell>
          <cell r="B860" t="str">
            <v>Plano Oi Completo XLarge</v>
          </cell>
          <cell r="C860" t="str">
            <v>Template desconto FLAT Plano Principal Oi TV nível conta</v>
          </cell>
          <cell r="D860">
            <v>0.3775</v>
          </cell>
          <cell r="E860" t="str">
            <v>MKT-1-9865456966</v>
          </cell>
          <cell r="F860" t="str">
            <v>0T3T_REJ17_PCS-4P6pi_FLAT_TV_37.75%</v>
          </cell>
          <cell r="G860">
            <v>37.75</v>
          </cell>
        </row>
        <row r="861">
          <cell r="A861" t="str">
            <v>Oi Total Fixo + Pós 800 + Banda Larga0.3621Template desconto FLAT Plano Principal Oi TV nível conta</v>
          </cell>
          <cell r="B861" t="str">
            <v>Plano Oi Completo XLarge</v>
          </cell>
          <cell r="C861" t="str">
            <v>Template desconto FLAT Plano Principal Oi TV nível conta</v>
          </cell>
          <cell r="D861">
            <v>0.36210000000000003</v>
          </cell>
          <cell r="E861" t="str">
            <v>MKT-1-9865470531</v>
          </cell>
          <cell r="F861" t="str">
            <v>0T3T_REJ17_PCS-4P6pi_FLAT_TV_36.21%</v>
          </cell>
          <cell r="G861">
            <v>36.21</v>
          </cell>
        </row>
        <row r="862">
          <cell r="A862" t="str">
            <v>Oi Total Fixo + Pós 800 + Banda Larga0.2115Template desconto FLAT Plano Principal Oi TV nível conta</v>
          </cell>
          <cell r="B862" t="str">
            <v>Plano Oi Completo XLarge</v>
          </cell>
          <cell r="C862" t="str">
            <v>Template desconto FLAT Plano Principal Oi TV nível conta</v>
          </cell>
          <cell r="D862">
            <v>0.21149999999999999</v>
          </cell>
          <cell r="E862" t="str">
            <v>MKT-1-9865471006</v>
          </cell>
          <cell r="F862" t="str">
            <v>0T3T_REJ17_PCS-4P6pi_FLAT_TV_21.15%</v>
          </cell>
          <cell r="G862">
            <v>21.15</v>
          </cell>
        </row>
        <row r="863">
          <cell r="A863" t="str">
            <v>Oi Total Fixo + Pós 800 + Banda Larga0.3311Template desconto FLAT Plano Principal Oi TV nível conta</v>
          </cell>
          <cell r="B863" t="str">
            <v>Plano Oi Completo XLarge</v>
          </cell>
          <cell r="C863" t="str">
            <v>Template desconto FLAT Plano Principal Oi TV nível conta</v>
          </cell>
          <cell r="D863">
            <v>0.33110000000000001</v>
          </cell>
          <cell r="E863" t="str">
            <v>MKT-1-9865477731</v>
          </cell>
          <cell r="F863" t="str">
            <v>0T3T_REJ17_PCS-4P6pi_FLAT_TV_33.11%</v>
          </cell>
          <cell r="G863">
            <v>33.11</v>
          </cell>
        </row>
        <row r="864">
          <cell r="A864" t="str">
            <v>Oi Total Fixo + Pós 800 + Banda Larga0.3191Template desconto FLAT Plano Principal Oi TV nível conta</v>
          </cell>
          <cell r="B864" t="str">
            <v>Plano Oi Completo XLarge</v>
          </cell>
          <cell r="C864" t="str">
            <v>Template desconto FLAT Plano Principal Oi TV nível conta</v>
          </cell>
          <cell r="D864">
            <v>0.31909999999999999</v>
          </cell>
          <cell r="E864" t="str">
            <v>MKT-1-9865481206</v>
          </cell>
          <cell r="F864" t="str">
            <v>0T3T_REJ17_PCS-4P6pi_FLAT_TV_31.91%</v>
          </cell>
          <cell r="G864">
            <v>31.91</v>
          </cell>
        </row>
        <row r="865">
          <cell r="A865" t="str">
            <v>Oi Total Fixo + Pós 800 + Banda Larga0.2697Template desconto FLAT Plano Principal Oi TV nível conta</v>
          </cell>
          <cell r="B865" t="str">
            <v>Plano Oi Completo XLarge</v>
          </cell>
          <cell r="C865" t="str">
            <v>Template desconto FLAT Plano Principal Oi TV nível conta</v>
          </cell>
          <cell r="D865">
            <v>0.2697</v>
          </cell>
          <cell r="E865" t="str">
            <v>MKT-1-9865481851</v>
          </cell>
          <cell r="F865" t="str">
            <v>0T3T_REJ17_PCS-4P6pi_FLAT_TV_26.97%</v>
          </cell>
          <cell r="G865">
            <v>26.97</v>
          </cell>
        </row>
        <row r="866">
          <cell r="A866" t="str">
            <v>Oi Total Fixo + Pós 800 + Banda Larga0.304Template desconto FLAT Plano Principal Oi TV nível conta</v>
          </cell>
          <cell r="B866" t="str">
            <v>Plano Oi Completo XLarge</v>
          </cell>
          <cell r="C866" t="str">
            <v>Template desconto FLAT Plano Principal Oi TV nível conta</v>
          </cell>
          <cell r="D866">
            <v>0.30399999999999999</v>
          </cell>
          <cell r="E866" t="str">
            <v>MKT-1-9865490326</v>
          </cell>
          <cell r="F866" t="str">
            <v>0T3T_REJ17_PCS-4P6pi_FLAT_TV_30.40%</v>
          </cell>
          <cell r="G866">
            <v>30.4</v>
          </cell>
        </row>
        <row r="867">
          <cell r="A867" t="str">
            <v>Oi Total Fixo + Pós 800 + Banda Larga0.2639Template desconto FLAT Plano Principal Oi TV nível conta</v>
          </cell>
          <cell r="B867" t="str">
            <v>Plano Oi Completo XLarge</v>
          </cell>
          <cell r="C867" t="str">
            <v>Template desconto FLAT Plano Principal Oi TV nível conta</v>
          </cell>
          <cell r="D867">
            <v>0.26390000000000002</v>
          </cell>
          <cell r="E867" t="str">
            <v>MKT-1-9865510171</v>
          </cell>
          <cell r="F867" t="str">
            <v>0T3T_REJ17_PCS-4P6pi_FLAT_TV_26.39%</v>
          </cell>
          <cell r="G867">
            <v>26.39</v>
          </cell>
        </row>
        <row r="868">
          <cell r="A868" t="str">
            <v>Oi Total Fixo + Pós 800 + Banda Larga0.2551Template desconto FLAT Plano Principal Oi TV nível conta</v>
          </cell>
          <cell r="B868" t="str">
            <v>Plano Oi Completo XLarge</v>
          </cell>
          <cell r="C868" t="str">
            <v>Template desconto FLAT Plano Principal Oi TV nível conta</v>
          </cell>
          <cell r="D868">
            <v>0.25509999999999999</v>
          </cell>
          <cell r="E868" t="str">
            <v>MKT-1-9865510428</v>
          </cell>
          <cell r="F868" t="str">
            <v>0T3T_REJ17_PCS-4P6pi_FLAT_TV_25.51%</v>
          </cell>
          <cell r="G868">
            <v>25.51</v>
          </cell>
        </row>
        <row r="869">
          <cell r="A869" t="str">
            <v>Oi Total Fixo + Pós 800 + Banda Larga0.2302Template desconto FLAT Plano Principal Oi TV nível conta</v>
          </cell>
          <cell r="B869" t="str">
            <v>Plano Oi Completo XLarge</v>
          </cell>
          <cell r="C869" t="str">
            <v>Template desconto FLAT Plano Principal Oi TV nível conta</v>
          </cell>
          <cell r="D869">
            <v>0.23019999999999999</v>
          </cell>
          <cell r="E869" t="str">
            <v>MKT-1-9865510683</v>
          </cell>
          <cell r="F869" t="str">
            <v>0T3T_REJ17_PCS-4P6pi_FLAT_TV_23.02%</v>
          </cell>
          <cell r="G869">
            <v>23.02</v>
          </cell>
        </row>
        <row r="870">
          <cell r="A870" t="str">
            <v>Oi Internet pra Celular 500MB1Template Flat Instância Dados</v>
          </cell>
          <cell r="B870" t="str">
            <v>Oi Internet pra Celular 500MB</v>
          </cell>
          <cell r="C870" t="str">
            <v>Template Flat Instância Dados</v>
          </cell>
          <cell r="D870">
            <v>1</v>
          </cell>
          <cell r="E870" t="str">
            <v>MKT-1-9865658061</v>
          </cell>
          <cell r="F870" t="str">
            <v>0T3T_REJ17_INTCEL-500M_100.00%</v>
          </cell>
          <cell r="G870">
            <v>100</v>
          </cell>
        </row>
        <row r="871">
          <cell r="A871" t="str">
            <v>Oi Internet pra Celular 1GB0.9219Template Flat Instância Dados</v>
          </cell>
          <cell r="B871" t="str">
            <v>Oi Internet pra Celular 1GB</v>
          </cell>
          <cell r="C871" t="str">
            <v>Template Flat Instância Dados</v>
          </cell>
          <cell r="D871">
            <v>0.92189999999999994</v>
          </cell>
          <cell r="E871" t="str">
            <v>MKT-1-9869952171</v>
          </cell>
          <cell r="F871" t="str">
            <v>0T3T_REJ17_INTCEL-1G_92.19%</v>
          </cell>
          <cell r="G871">
            <v>92.19</v>
          </cell>
        </row>
        <row r="872">
          <cell r="A872" t="str">
            <v>Oi Internet pra Celular 1GB0.8669Template Flat Instância Dados</v>
          </cell>
          <cell r="B872" t="str">
            <v>Oi Internet pra Celular 1GB</v>
          </cell>
          <cell r="C872" t="str">
            <v>Template Flat Instância Dados</v>
          </cell>
          <cell r="D872">
            <v>0.8669</v>
          </cell>
          <cell r="E872" t="str">
            <v>MKT-1-9869952543</v>
          </cell>
          <cell r="F872" t="str">
            <v>0T3T_REJ17_INTCEL-1G_86.69%</v>
          </cell>
          <cell r="G872">
            <v>86.69</v>
          </cell>
        </row>
        <row r="873">
          <cell r="A873" t="str">
            <v>Oi Internet pra Celular 10GB0.742Template Flat Instância Dados</v>
          </cell>
          <cell r="B873" t="str">
            <v>Oi Internet pra Celular 10GB</v>
          </cell>
          <cell r="C873" t="str">
            <v>Template Flat Instância Dados</v>
          </cell>
          <cell r="D873">
            <v>0.74199999999999999</v>
          </cell>
          <cell r="E873" t="str">
            <v>MKT-1-9869952915</v>
          </cell>
          <cell r="F873" t="str">
            <v>0T3T_REJ17_INTCEL-10G_74.20%</v>
          </cell>
          <cell r="G873">
            <v>74.2</v>
          </cell>
        </row>
        <row r="874">
          <cell r="A874" t="str">
            <v>Oi Internet pra Celular 10GB0.819Template Flat Instância Dados</v>
          </cell>
          <cell r="B874" t="str">
            <v>Oi Internet pra Celular 10GB</v>
          </cell>
          <cell r="C874" t="str">
            <v>Template Flat Instância Dados</v>
          </cell>
          <cell r="D874">
            <v>0.81900000000000006</v>
          </cell>
          <cell r="E874" t="str">
            <v>MKT-1-9869971287</v>
          </cell>
          <cell r="F874" t="str">
            <v>0T3T_REJ17_INTCEL-10G_81.90%</v>
          </cell>
          <cell r="G874">
            <v>81.900000000000006</v>
          </cell>
        </row>
        <row r="875">
          <cell r="A875" t="str">
            <v>Oi Internet pra Celular 2GB0.8377Template Flat Instância Dados</v>
          </cell>
          <cell r="B875" t="str">
            <v>Oi Internet pra Celular 2GB</v>
          </cell>
          <cell r="C875" t="str">
            <v>Template Flat Instância Dados</v>
          </cell>
          <cell r="D875">
            <v>0.8377</v>
          </cell>
          <cell r="E875" t="str">
            <v>MKT-1-9869971659</v>
          </cell>
          <cell r="F875" t="str">
            <v>0T3T_REJ17_INTCEL-2G_83.77%</v>
          </cell>
          <cell r="G875">
            <v>83.77</v>
          </cell>
        </row>
        <row r="876">
          <cell r="A876" t="str">
            <v>Oi Internet pra Celular 2GB0.7426Template Flat Instância Dados</v>
          </cell>
          <cell r="B876" t="str">
            <v>Oi Internet pra Celular 2GB</v>
          </cell>
          <cell r="C876" t="str">
            <v>Template Flat Instância Dados</v>
          </cell>
          <cell r="D876">
            <v>0.74260000000000004</v>
          </cell>
          <cell r="E876" t="str">
            <v>MKT-1-9870023571</v>
          </cell>
          <cell r="F876" t="str">
            <v>0T3T_REJ17_INTCEL-2G_74.26%</v>
          </cell>
          <cell r="G876">
            <v>74.260000000000005</v>
          </cell>
        </row>
        <row r="877">
          <cell r="A877" t="str">
            <v>Oi Internet pra Celular 3GB0.911Template Flat Instância Dados</v>
          </cell>
          <cell r="B877" t="str">
            <v>Oi Internet pra Celular 3GB</v>
          </cell>
          <cell r="C877" t="str">
            <v>Template Flat Instância Dados</v>
          </cell>
          <cell r="D877">
            <v>0.91099999999999992</v>
          </cell>
          <cell r="E877" t="str">
            <v>MKT-1-9870034813</v>
          </cell>
          <cell r="F877" t="str">
            <v>0T3T_REJ17_INTCEL-3G_91.10%</v>
          </cell>
          <cell r="G877">
            <v>91.1</v>
          </cell>
        </row>
        <row r="878">
          <cell r="A878" t="str">
            <v>Oi Internet pra Celular 3GB0.8742Template Flat Instância Dados</v>
          </cell>
          <cell r="B878" t="str">
            <v>Oi Internet pra Celular 3GB</v>
          </cell>
          <cell r="C878" t="str">
            <v>Template Flat Instância Dados</v>
          </cell>
          <cell r="D878">
            <v>0.87419999999999998</v>
          </cell>
          <cell r="E878" t="str">
            <v>MKT-1-9870092975</v>
          </cell>
          <cell r="F878" t="str">
            <v>0T3T_REJ17_INTCEL-3G_87.42%</v>
          </cell>
          <cell r="G878">
            <v>87.42</v>
          </cell>
        </row>
        <row r="879">
          <cell r="A879" t="str">
            <v>Oi Internet pra Celular 5GB0.9319Template Flat Instância Dados</v>
          </cell>
          <cell r="B879" t="str">
            <v>Oi Internet pra Celular 5GB</v>
          </cell>
          <cell r="C879" t="str">
            <v>Template Flat Instância Dados</v>
          </cell>
          <cell r="D879">
            <v>0.93189999999999995</v>
          </cell>
          <cell r="E879" t="str">
            <v>MKT-1-9870205947</v>
          </cell>
          <cell r="F879" t="str">
            <v>0T3T_REJ17_INTCEL-5G_93.19%</v>
          </cell>
          <cell r="G879">
            <v>93.19</v>
          </cell>
        </row>
        <row r="880">
          <cell r="A880" t="str">
            <v>Oi Internet pra Celular 5GB0.895Template Flat Instância Dados</v>
          </cell>
          <cell r="B880" t="str">
            <v>Oi Internet pra Celular 5GB</v>
          </cell>
          <cell r="C880" t="str">
            <v>Template Flat Instância Dados</v>
          </cell>
          <cell r="D880">
            <v>0.89500000000000002</v>
          </cell>
          <cell r="E880" t="str">
            <v>MKT-1-9870312709</v>
          </cell>
          <cell r="F880" t="str">
            <v>0T3T_REJ17_INTCEL-5G_89.50%</v>
          </cell>
          <cell r="G880">
            <v>89.5</v>
          </cell>
        </row>
        <row r="881">
          <cell r="A881" t="str">
            <v>Oi Total Fixo + Pós Conectado 1.000 + Banda Larga0.3445Template desconto FLAT Plano Principal Oi TV nível conta</v>
          </cell>
          <cell r="B881" t="str">
            <v>Plano Oi Completo 1.000</v>
          </cell>
          <cell r="C881" t="str">
            <v>Template desconto FLAT Plano Principal Oi TV nível conta</v>
          </cell>
          <cell r="D881">
            <v>0.34450000000000003</v>
          </cell>
          <cell r="E881" t="str">
            <v>MKT-1-9871681881</v>
          </cell>
          <cell r="F881" t="str">
            <v>0T3T_REJ17_PCS-4P10pi_FLAT_TV_34.45%</v>
          </cell>
          <cell r="G881">
            <v>34.450000000000003</v>
          </cell>
        </row>
        <row r="882">
          <cell r="A882" t="str">
            <v>Oi Total Fixo + Pós Conectado Mais + Banda Larga0.3445Template desconto FLAT Plano Principal Oi TV nível conta</v>
          </cell>
          <cell r="B882" t="str">
            <v>Plano Oi Completo Mais</v>
          </cell>
          <cell r="C882" t="str">
            <v>Template desconto FLAT Plano Principal Oi TV nível conta</v>
          </cell>
          <cell r="D882">
            <v>0.34450000000000003</v>
          </cell>
          <cell r="E882" t="str">
            <v>MKT-1-9871949148</v>
          </cell>
          <cell r="F882" t="str">
            <v>0T3T_REJ17_PCS-4P9pi_FLAT_TV_34.45%</v>
          </cell>
          <cell r="G882">
            <v>34.450000000000003</v>
          </cell>
        </row>
        <row r="883">
          <cell r="A883" t="str">
            <v>Oi Total Fixo + Pós Conectado 500 + Banda Larga0.2986Template desconto FLAT Plano Principal Oi TV nível conta</v>
          </cell>
          <cell r="B883" t="str">
            <v>Plano Oi Completo 500</v>
          </cell>
          <cell r="C883" t="str">
            <v>Template desconto FLAT Plano Principal Oi TV nível conta</v>
          </cell>
          <cell r="D883">
            <v>0.29859999999999998</v>
          </cell>
          <cell r="E883" t="str">
            <v>MKT-1-9871949405</v>
          </cell>
          <cell r="F883" t="str">
            <v>0T3T_REJ17_PCS-4P8pi_FLAT_TV_29.86%</v>
          </cell>
          <cell r="G883">
            <v>29.86</v>
          </cell>
        </row>
        <row r="884">
          <cell r="A884" t="str">
            <v>Oi Total Fixo + Pós Conectado 1.000 + Banda Larga0.2986Template desconto FLAT Plano Principal Oi TV nível conta</v>
          </cell>
          <cell r="B884" t="str">
            <v>Plano Oi Completo 1.000</v>
          </cell>
          <cell r="C884" t="str">
            <v>Template desconto FLAT Plano Principal Oi TV nível conta</v>
          </cell>
          <cell r="D884">
            <v>0.29859999999999998</v>
          </cell>
          <cell r="E884" t="str">
            <v>MKT-1-9871949660</v>
          </cell>
          <cell r="F884" t="str">
            <v>0T3T_REJ17_PCS-4P10pi_FLAT_TV_29.86%</v>
          </cell>
          <cell r="G884">
            <v>29.86</v>
          </cell>
        </row>
        <row r="885">
          <cell r="A885" t="str">
            <v>Oi Total Fixo + Pós Conectado Mais + Banda Larga0.2986Template desconto FLAT Plano Principal Oi TV nível conta</v>
          </cell>
          <cell r="B885" t="str">
            <v>Plano Oi Completo Mais</v>
          </cell>
          <cell r="C885" t="str">
            <v>Template desconto FLAT Plano Principal Oi TV nível conta</v>
          </cell>
          <cell r="D885">
            <v>0.29859999999999998</v>
          </cell>
          <cell r="E885" t="str">
            <v>MKT-1-9871949915</v>
          </cell>
          <cell r="F885" t="str">
            <v>0T3T_REJ17_PCS-4P9pi_FLAT_TV_29.86%</v>
          </cell>
          <cell r="G885">
            <v>29.86</v>
          </cell>
        </row>
        <row r="886">
          <cell r="A886" t="str">
            <v>Oi Total Fixo + Pós Conectado 500 + Banda Larga0.3775Template desconto FLAT Plano Principal Oi TV nível conta</v>
          </cell>
          <cell r="B886" t="str">
            <v>Plano Oi Completo 500</v>
          </cell>
          <cell r="C886" t="str">
            <v>Template desconto FLAT Plano Principal Oi TV nível conta</v>
          </cell>
          <cell r="D886">
            <v>0.3775</v>
          </cell>
          <cell r="E886" t="str">
            <v>MKT-1-9871968180</v>
          </cell>
          <cell r="F886" t="str">
            <v>0T3T_REJ17_PCS-4P8pi_FLAT_TV_37.75%</v>
          </cell>
          <cell r="G886">
            <v>37.75</v>
          </cell>
        </row>
        <row r="887">
          <cell r="A887" t="str">
            <v>Oi Total Fixo + Pós Conectado 1.000 + Banda Larga0.3775Template desconto FLAT Plano Principal Oi TV nível conta</v>
          </cell>
          <cell r="B887" t="str">
            <v>Plano Oi Completo 1.000</v>
          </cell>
          <cell r="C887" t="str">
            <v>Template desconto FLAT Plano Principal Oi TV nível conta</v>
          </cell>
          <cell r="D887">
            <v>0.3775</v>
          </cell>
          <cell r="E887" t="str">
            <v>MKT-1-9871968435</v>
          </cell>
          <cell r="F887" t="str">
            <v>0T3T_REJ17_PCS-4P10pi_FLAT_TV_37.75%</v>
          </cell>
          <cell r="G887">
            <v>37.75</v>
          </cell>
        </row>
        <row r="888">
          <cell r="A888" t="str">
            <v>Oi Total Fixo + Pós Conectado Mais + Banda Larga0.3775Template desconto FLAT Plano Principal Oi TV nível conta</v>
          </cell>
          <cell r="B888" t="str">
            <v>Plano Oi Completo Mais</v>
          </cell>
          <cell r="C888" t="str">
            <v>Template desconto FLAT Plano Principal Oi TV nível conta</v>
          </cell>
          <cell r="D888">
            <v>0.3775</v>
          </cell>
          <cell r="E888" t="str">
            <v>MKT-1-9871968690</v>
          </cell>
          <cell r="F888" t="str">
            <v>0T3T_REJ17_PCS-4P9pi_FLAT_TV_37.75%</v>
          </cell>
          <cell r="G888">
            <v>37.75</v>
          </cell>
        </row>
        <row r="889">
          <cell r="A889" t="str">
            <v>Oi Total Fixo + Pós Conectado 500 + Banda Larga0.3621Template desconto FLAT Plano Principal Oi TV nível conta</v>
          </cell>
          <cell r="B889" t="str">
            <v>Plano Oi Completo 500</v>
          </cell>
          <cell r="C889" t="str">
            <v>Template desconto FLAT Plano Principal Oi TV nível conta</v>
          </cell>
          <cell r="D889">
            <v>0.36210000000000003</v>
          </cell>
          <cell r="E889" t="str">
            <v>MKT-1-9871968945</v>
          </cell>
          <cell r="F889" t="str">
            <v>0T3T_REJ17_PCS-4P8pi_FLAT_TV_36.21%</v>
          </cell>
          <cell r="G889">
            <v>36.21</v>
          </cell>
        </row>
        <row r="890">
          <cell r="A890" t="str">
            <v>Oi Total Fixo + Pós Conectado 1.000 + Banda Larga0.3621Template desconto FLAT Plano Principal Oi TV nível conta</v>
          </cell>
          <cell r="B890" t="str">
            <v>Plano Oi Completo 1.000</v>
          </cell>
          <cell r="C890" t="str">
            <v>Template desconto FLAT Plano Principal Oi TV nível conta</v>
          </cell>
          <cell r="D890">
            <v>0.36210000000000003</v>
          </cell>
          <cell r="E890" t="str">
            <v>MKT-1-9871984202</v>
          </cell>
          <cell r="F890" t="str">
            <v>0T3T_REJ17_PCS-4P10pi_FLAT_TV_36.21%</v>
          </cell>
          <cell r="G890">
            <v>36.21</v>
          </cell>
        </row>
        <row r="891">
          <cell r="A891" t="str">
            <v>Oi Total Fixo + Pós Conectado Mais + Banda Larga0.3621Template desconto FLAT Plano Principal Oi TV nível conta</v>
          </cell>
          <cell r="B891" t="str">
            <v>Plano Oi Completo Mais</v>
          </cell>
          <cell r="C891" t="str">
            <v>Template desconto FLAT Plano Principal Oi TV nível conta</v>
          </cell>
          <cell r="D891">
            <v>0.36210000000000003</v>
          </cell>
          <cell r="E891" t="str">
            <v>MKT-1-9871984457</v>
          </cell>
          <cell r="F891" t="str">
            <v>0T3T_REJ17_PCS-4P9pi_FLAT_TV_36.21%</v>
          </cell>
          <cell r="G891">
            <v>36.21</v>
          </cell>
        </row>
        <row r="892">
          <cell r="A892" t="str">
            <v>Oi Total Fixo + Pós Conectado 500 + Banda Larga0.2115Template desconto FLAT Plano Principal Oi TV nível conta</v>
          </cell>
          <cell r="B892" t="str">
            <v>Plano Oi Completo 500</v>
          </cell>
          <cell r="C892" t="str">
            <v>Template desconto FLAT Plano Principal Oi TV nível conta</v>
          </cell>
          <cell r="D892">
            <v>0.21149999999999999</v>
          </cell>
          <cell r="E892" t="str">
            <v>MKT-1-9871984712</v>
          </cell>
          <cell r="F892" t="str">
            <v>0T3T_REJ17_PCS-4P8pi_FLAT_TV_21.15%</v>
          </cell>
          <cell r="G892">
            <v>21.15</v>
          </cell>
        </row>
        <row r="893">
          <cell r="A893" t="str">
            <v>Oi Total Fixo + Pós Conectado Mais + Banda Larga0.2115Template desconto FLAT Plano Principal Oi TV nível conta</v>
          </cell>
          <cell r="B893" t="str">
            <v>Plano Oi Completo Mais</v>
          </cell>
          <cell r="C893" t="str">
            <v>Template desconto FLAT Plano Principal Oi TV nível conta</v>
          </cell>
          <cell r="D893">
            <v>0.21149999999999999</v>
          </cell>
          <cell r="E893" t="str">
            <v>MKT-1-9871984967</v>
          </cell>
          <cell r="F893" t="str">
            <v>0T3T_REJ17_PCS-4P9pi_FLAT_TV_21.15%</v>
          </cell>
          <cell r="G893">
            <v>21.15</v>
          </cell>
        </row>
        <row r="894">
          <cell r="A894" t="str">
            <v>Oi Total Fixo + Pós Conectado 500 + Banda Larga0.4043Template desconto FLAT Plano Principal Oi TV nível conta</v>
          </cell>
          <cell r="B894" t="str">
            <v>Plano Oi Completo 500</v>
          </cell>
          <cell r="C894" t="str">
            <v>Template desconto FLAT Plano Principal Oi TV nível conta</v>
          </cell>
          <cell r="D894">
            <v>0.40429999999999999</v>
          </cell>
          <cell r="E894" t="str">
            <v>MKT-1-9872001222</v>
          </cell>
          <cell r="F894" t="str">
            <v>0T3T_REJ17_PCS-4P8pi_FLAT_TV_40.43%</v>
          </cell>
          <cell r="G894">
            <v>40.43</v>
          </cell>
        </row>
        <row r="895">
          <cell r="A895" t="str">
            <v>Oi Total Fixo + Pós Conectado 1.000 + Banda Larga0.4043Template desconto FLAT Plano Principal Oi TV nível conta</v>
          </cell>
          <cell r="B895" t="str">
            <v>Plano Oi Completo 1.000</v>
          </cell>
          <cell r="C895" t="str">
            <v>Template desconto FLAT Plano Principal Oi TV nível conta</v>
          </cell>
          <cell r="D895">
            <v>0.40429999999999999</v>
          </cell>
          <cell r="E895" t="str">
            <v>MKT-1-9872001477</v>
          </cell>
          <cell r="F895" t="str">
            <v>0T3T_REJ17_PCS-4P10pi_FLAT_TV_40.43%</v>
          </cell>
          <cell r="G895">
            <v>40.43</v>
          </cell>
        </row>
        <row r="896">
          <cell r="A896" t="str">
            <v>Oi Total Fixo + Pós Conectado Mais + Banda Larga0.4043Template desconto FLAT Plano Principal Oi TV nível conta</v>
          </cell>
          <cell r="B896" t="str">
            <v>Plano Oi Completo Mais</v>
          </cell>
          <cell r="C896" t="str">
            <v>Template desconto FLAT Plano Principal Oi TV nível conta</v>
          </cell>
          <cell r="D896">
            <v>0.40429999999999999</v>
          </cell>
          <cell r="E896" t="str">
            <v>MKT-1-9872001732</v>
          </cell>
          <cell r="F896" t="str">
            <v>0T3T_REJ17_PCS-4P9pi_FLAT_TV_40.43%</v>
          </cell>
          <cell r="G896">
            <v>40.43</v>
          </cell>
        </row>
        <row r="897">
          <cell r="A897" t="str">
            <v>Oi Total Fixo + Pós Conectado 500 + Banda Larga0.3311Template desconto FLAT Plano Principal Oi TV nível conta</v>
          </cell>
          <cell r="B897" t="str">
            <v>Plano Oi Completo 500</v>
          </cell>
          <cell r="C897" t="str">
            <v>Template desconto FLAT Plano Principal Oi TV nível conta</v>
          </cell>
          <cell r="D897">
            <v>0.33110000000000001</v>
          </cell>
          <cell r="E897" t="str">
            <v>MKT-1-9872001994</v>
          </cell>
          <cell r="F897" t="str">
            <v>0T3T_REJ17_PCS-4P8pi_FLAT_TV_33.11%</v>
          </cell>
          <cell r="G897">
            <v>33.11</v>
          </cell>
        </row>
        <row r="898">
          <cell r="A898" t="str">
            <v>Oi Total Fixo + Pós Conectado 1.000 + Banda Larga0.3311Template desconto FLAT Plano Principal Oi TV nível conta</v>
          </cell>
          <cell r="B898" t="str">
            <v>Plano Oi Completo 1.000</v>
          </cell>
          <cell r="C898" t="str">
            <v>Template desconto FLAT Plano Principal Oi TV nível conta</v>
          </cell>
          <cell r="D898">
            <v>0.33110000000000001</v>
          </cell>
          <cell r="E898" t="str">
            <v>MKT-1-9872010259</v>
          </cell>
          <cell r="F898" t="str">
            <v>0T3T_REJ17_PCS-4P10pi_FLAT_TV_33.11%</v>
          </cell>
          <cell r="G898">
            <v>33.11</v>
          </cell>
        </row>
        <row r="899">
          <cell r="A899" t="str">
            <v>Oi Total Fixo + Pós Conectado Mais + Banda Larga0.3311Template desconto FLAT Plano Principal Oi TV nível conta</v>
          </cell>
          <cell r="B899" t="str">
            <v>Plano Oi Completo Mais</v>
          </cell>
          <cell r="C899" t="str">
            <v>Template desconto FLAT Plano Principal Oi TV nível conta</v>
          </cell>
          <cell r="D899">
            <v>0.33110000000000001</v>
          </cell>
          <cell r="E899" t="str">
            <v>MKT-1-9872010644</v>
          </cell>
          <cell r="F899" t="str">
            <v>0T3T_REJ17_PCS-4P9pi_FLAT_TV_33.11%</v>
          </cell>
          <cell r="G899">
            <v>33.11</v>
          </cell>
        </row>
        <row r="900">
          <cell r="A900" t="str">
            <v>Oi Total Fixo + Pós Conectado 500 + Banda Larga0.3191Template desconto FLAT Plano Principal Oi TV nível conta</v>
          </cell>
          <cell r="B900" t="str">
            <v>Plano Oi Completo 500</v>
          </cell>
          <cell r="C900" t="str">
            <v>Template desconto FLAT Plano Principal Oi TV nível conta</v>
          </cell>
          <cell r="D900">
            <v>0.31909999999999999</v>
          </cell>
          <cell r="E900" t="str">
            <v>MKT-1-9872012296</v>
          </cell>
          <cell r="F900" t="str">
            <v>0T3T_REJ17_PCS-4P8pi_FLAT_TV_31.91%</v>
          </cell>
          <cell r="G900">
            <v>31.91</v>
          </cell>
        </row>
        <row r="901">
          <cell r="A901" t="str">
            <v>Oi Total Fixo + Pós Conectado 1.000 + Banda Larga0.3191Template desconto FLAT Plano Principal Oi TV nível conta</v>
          </cell>
          <cell r="B901" t="str">
            <v>Plano Oi Completo 1.000</v>
          </cell>
          <cell r="C901" t="str">
            <v>Template desconto FLAT Plano Principal Oi TV nível conta</v>
          </cell>
          <cell r="D901">
            <v>0.31909999999999999</v>
          </cell>
          <cell r="E901" t="str">
            <v>MKT-1-9871991021</v>
          </cell>
          <cell r="F901" t="str">
            <v>0T3T_REJ17_PCS-4P10pi_FLAT_TV_31.91%</v>
          </cell>
          <cell r="G901">
            <v>31.91</v>
          </cell>
        </row>
        <row r="902">
          <cell r="A902" t="str">
            <v>Oi Total Fixo + Pós Conectado Mais + Banda Larga0.3191Template desconto FLAT Plano Principal Oi TV nível conta</v>
          </cell>
          <cell r="B902" t="str">
            <v>Plano Oi Completo Mais</v>
          </cell>
          <cell r="C902" t="str">
            <v>Template desconto FLAT Plano Principal Oi TV nível conta</v>
          </cell>
          <cell r="D902">
            <v>0.31909999999999999</v>
          </cell>
          <cell r="E902" t="str">
            <v>MKT-1-9871938711</v>
          </cell>
          <cell r="F902" t="str">
            <v>0T3T_REJ17_PCS-4P9pi_FLAT_TV_31.91%</v>
          </cell>
          <cell r="G902">
            <v>31.91</v>
          </cell>
        </row>
        <row r="903">
          <cell r="A903" t="str">
            <v>Oi Total Fixo + Pós Conectado 500 + Banda Larga0.2697Template desconto FLAT Plano Principal Oi TV nível conta</v>
          </cell>
          <cell r="B903" t="str">
            <v>Plano Oi Completo 500</v>
          </cell>
          <cell r="C903" t="str">
            <v>Template desconto FLAT Plano Principal Oi TV nível conta</v>
          </cell>
          <cell r="D903">
            <v>0.2697</v>
          </cell>
          <cell r="E903" t="str">
            <v>MKT-1-9871938996</v>
          </cell>
          <cell r="F903" t="str">
            <v>0T3T_REJ17_PCS-4P8pi_FLAT_TV_26.97%</v>
          </cell>
          <cell r="G903">
            <v>26.97</v>
          </cell>
        </row>
        <row r="904">
          <cell r="A904" t="str">
            <v>Oi Total Fixo + Pós Conectado 1.000 + Banda Larga0.2697Template desconto FLAT Plano Principal Oi TV nível conta</v>
          </cell>
          <cell r="B904" t="str">
            <v>Plano Oi Completo 1.000</v>
          </cell>
          <cell r="C904" t="str">
            <v>Template desconto FLAT Plano Principal Oi TV nível conta</v>
          </cell>
          <cell r="D904">
            <v>0.2697</v>
          </cell>
          <cell r="E904" t="str">
            <v>MKT-1-9871975291</v>
          </cell>
          <cell r="F904" t="str">
            <v>0T3T_REJ17_PCS-4P10pi_FLAT_TV_26.97%</v>
          </cell>
          <cell r="G904">
            <v>26.97</v>
          </cell>
        </row>
        <row r="905">
          <cell r="A905" t="str">
            <v>Oi Total Fixo + Pós Conectado Mais + Banda Larga0.2697Template desconto FLAT Plano Principal Oi TV nível conta</v>
          </cell>
          <cell r="B905" t="str">
            <v>Plano Oi Completo Mais</v>
          </cell>
          <cell r="C905" t="str">
            <v>Template desconto FLAT Plano Principal Oi TV nível conta</v>
          </cell>
          <cell r="D905">
            <v>0.2697</v>
          </cell>
          <cell r="E905" t="str">
            <v>MKT-1-9871975556</v>
          </cell>
          <cell r="F905" t="str">
            <v>0T3T_REJ17_PCS-4P9pi_FLAT_TV_26.97%</v>
          </cell>
          <cell r="G905">
            <v>26.97</v>
          </cell>
        </row>
        <row r="906">
          <cell r="A906" t="str">
            <v>Oi Total Fixo + Pós Conectado 500 + Banda Larga0.304Template desconto FLAT Plano Principal Oi TV nível conta</v>
          </cell>
          <cell r="B906" t="str">
            <v>Plano Oi Completo 500</v>
          </cell>
          <cell r="C906" t="str">
            <v>Template desconto FLAT Plano Principal Oi TV nível conta</v>
          </cell>
          <cell r="D906">
            <v>0.30399999999999999</v>
          </cell>
          <cell r="E906" t="str">
            <v>MKT-1-9871975851</v>
          </cell>
          <cell r="F906" t="str">
            <v>0T3T_REJ17_PCS-4P8pi_FLAT_TV_30.40%</v>
          </cell>
          <cell r="G906">
            <v>30.4</v>
          </cell>
        </row>
        <row r="907">
          <cell r="A907" t="str">
            <v>Oi Total Fixo + Pós Conectado 1.000 + Banda Larga0.304Template desconto FLAT Plano Principal Oi TV nível conta</v>
          </cell>
          <cell r="B907" t="str">
            <v>Plano Oi Completo 1.000</v>
          </cell>
          <cell r="C907" t="str">
            <v>Template desconto FLAT Plano Principal Oi TV nível conta</v>
          </cell>
          <cell r="D907">
            <v>0.30399999999999999</v>
          </cell>
          <cell r="E907" t="str">
            <v>MKT-1-9871991791</v>
          </cell>
          <cell r="F907" t="str">
            <v>0T3T_REJ17_PCS-4P10pi_FLAT_TV_30.40%</v>
          </cell>
          <cell r="G907">
            <v>30.4</v>
          </cell>
        </row>
        <row r="908">
          <cell r="A908" t="str">
            <v>Oi Total Fixo + Pós Conectado Mais + Banda Larga0.304Template desconto FLAT Plano Principal Oi TV nível conta</v>
          </cell>
          <cell r="B908" t="str">
            <v>Plano Oi Completo Mais</v>
          </cell>
          <cell r="C908" t="str">
            <v>Template desconto FLAT Plano Principal Oi TV nível conta</v>
          </cell>
          <cell r="D908">
            <v>0.30399999999999999</v>
          </cell>
          <cell r="E908" t="str">
            <v>MKT-1-9871990136</v>
          </cell>
          <cell r="F908" t="str">
            <v>0T3T_REJ17_PCS-4P9pi_FLAT_TV_30.40%</v>
          </cell>
          <cell r="G908">
            <v>30.4</v>
          </cell>
        </row>
        <row r="909">
          <cell r="A909" t="str">
            <v>Oi Total Fixo + Pós Conectado 500 + Banda Larga0.2639Template desconto FLAT Plano Principal Oi TV nível conta</v>
          </cell>
          <cell r="B909" t="str">
            <v>Plano Oi Completo 500</v>
          </cell>
          <cell r="C909" t="str">
            <v>Template desconto FLAT Plano Principal Oi TV nível conta</v>
          </cell>
          <cell r="D909">
            <v>0.26390000000000002</v>
          </cell>
          <cell r="E909" t="str">
            <v>MKT-1-9871990471</v>
          </cell>
          <cell r="F909" t="str">
            <v>0T3T_REJ17_PCS-4P8pi_FLAT_TV_26.39%</v>
          </cell>
          <cell r="G909">
            <v>26.39</v>
          </cell>
        </row>
        <row r="910">
          <cell r="A910" t="str">
            <v>Oi Total Fixo + Pós Conectado 1.000 + Banda Larga0.2639Template desconto FLAT Plano Principal Oi TV nível conta</v>
          </cell>
          <cell r="B910" t="str">
            <v>Plano Oi Completo 1.000</v>
          </cell>
          <cell r="C910" t="str">
            <v>Template desconto FLAT Plano Principal Oi TV nível conta</v>
          </cell>
          <cell r="D910">
            <v>0.26390000000000002</v>
          </cell>
          <cell r="E910" t="str">
            <v>MKT-1-9871990746</v>
          </cell>
          <cell r="F910" t="str">
            <v>0T3T_REJ17_PCS-4P10pi_FLAT_TV_26.39%</v>
          </cell>
          <cell r="G910">
            <v>26.39</v>
          </cell>
        </row>
        <row r="911">
          <cell r="A911" t="str">
            <v>Oi Total Fixo + Pós Conectado Mais + Banda Larga0.2639Template desconto FLAT Plano Principal Oi TV nível conta</v>
          </cell>
          <cell r="B911" t="str">
            <v>Plano Oi Completo Mais</v>
          </cell>
          <cell r="C911" t="str">
            <v>Template desconto FLAT Plano Principal Oi TV nível conta</v>
          </cell>
          <cell r="D911">
            <v>0.26390000000000002</v>
          </cell>
          <cell r="E911" t="str">
            <v>MKT-1-9871991392</v>
          </cell>
          <cell r="F911" t="str">
            <v>0T3T_REJ17_PCS-4P9pi_FLAT_TV_26.39%</v>
          </cell>
          <cell r="G911">
            <v>26.39</v>
          </cell>
        </row>
        <row r="912">
          <cell r="A912" t="str">
            <v>Oi Total Fixo + Pós Conectado 500 + Banda Larga0.2151Template desconto FLAT Plano Principal Oi TV nível conta</v>
          </cell>
          <cell r="B912" t="str">
            <v>Plano Oi Completo 500</v>
          </cell>
          <cell r="C912" t="str">
            <v>Template desconto FLAT Plano Principal Oi TV nível conta</v>
          </cell>
          <cell r="D912">
            <v>0.21510000000000001</v>
          </cell>
          <cell r="E912" t="str">
            <v>MKT-1-9871991127</v>
          </cell>
          <cell r="F912" t="str">
            <v>0T3T_REJ17_PCS-4P8pi_FLAT_TV_21.51%</v>
          </cell>
          <cell r="G912">
            <v>21.51</v>
          </cell>
        </row>
        <row r="913">
          <cell r="A913" t="str">
            <v>Oi Total Fixo + Pós Conectado 1.000 + Banda Larga0.2151Template desconto FLAT Plano Principal Oi TV nível conta</v>
          </cell>
          <cell r="B913" t="str">
            <v>Plano Oi Completo 1.000</v>
          </cell>
          <cell r="C913" t="str">
            <v>Template desconto FLAT Plano Principal Oi TV nível conta</v>
          </cell>
          <cell r="D913">
            <v>0.21510000000000001</v>
          </cell>
          <cell r="E913" t="str">
            <v>MKT-1-9871978802</v>
          </cell>
          <cell r="F913" t="str">
            <v>0T3T_REJ17_PCS-4P10pi_FLAT_TV_21.51%</v>
          </cell>
          <cell r="G913">
            <v>21.51</v>
          </cell>
        </row>
        <row r="914">
          <cell r="A914" t="str">
            <v>Oi Total Fixo + Pós Conectado Mais + Banda Larga0.2151Template desconto FLAT Plano Principal Oi TV nível conta</v>
          </cell>
          <cell r="B914" t="str">
            <v>Plano Oi Completo Mais</v>
          </cell>
          <cell r="C914" t="str">
            <v>Template desconto FLAT Plano Principal Oi TV nível conta</v>
          </cell>
          <cell r="D914">
            <v>0.21510000000000001</v>
          </cell>
          <cell r="E914" t="str">
            <v>MKT-1-9871978527</v>
          </cell>
          <cell r="F914" t="str">
            <v>0T3T_REJ17_PCS-4P9pi_FLAT_TV_21.51%</v>
          </cell>
          <cell r="G914">
            <v>21.51</v>
          </cell>
        </row>
        <row r="915">
          <cell r="A915" t="str">
            <v>Oi Total Fixo + Pós Conectado 500 + Banda Larga0.2302Template desconto FLAT Plano Principal Oi TV nível conta</v>
          </cell>
          <cell r="B915" t="str">
            <v>Plano Oi Completo 500</v>
          </cell>
          <cell r="C915" t="str">
            <v>Template desconto FLAT Plano Principal Oi TV nível conta</v>
          </cell>
          <cell r="D915">
            <v>0.23019999999999999</v>
          </cell>
          <cell r="E915" t="str">
            <v>MKT-1-9871978264</v>
          </cell>
          <cell r="F915" t="str">
            <v>0T3T_REJ17_PCS-4P8pi_FLAT_TV_23.02%</v>
          </cell>
          <cell r="G915">
            <v>23.02</v>
          </cell>
        </row>
        <row r="916">
          <cell r="A916" t="str">
            <v>Oi Total Fixo + Pós Conectado Mais + Banda Larga0.2302Template desconto FLAT Plano Principal Oi TV nível conta</v>
          </cell>
          <cell r="B916" t="str">
            <v>Plano Oi Completo Mais</v>
          </cell>
          <cell r="C916" t="str">
            <v>Template desconto FLAT Plano Principal Oi TV nível conta</v>
          </cell>
          <cell r="D916">
            <v>0.23019999999999999</v>
          </cell>
          <cell r="E916" t="str">
            <v>MKT-1-9871965009</v>
          </cell>
          <cell r="F916" t="str">
            <v>0T3T_REJ17_PCS-4P9pi_FLAT_TV_23.02%.</v>
          </cell>
          <cell r="G916">
            <v>23.02</v>
          </cell>
        </row>
        <row r="917">
          <cell r="A917" t="str">
            <v>Oi Total Fixo + Pós 50 + Banda Larga0.4043Template desconto FLAT Plano Principal Oi TV nível conta</v>
          </cell>
          <cell r="B917" t="str">
            <v>Plano Oi Completo Xsmall</v>
          </cell>
          <cell r="C917" t="str">
            <v>Template desconto FLAT Plano Principal Oi TV nível conta</v>
          </cell>
          <cell r="D917">
            <v>0.40429999999999999</v>
          </cell>
          <cell r="E917" t="str">
            <v>MKT-1-9871964351</v>
          </cell>
          <cell r="F917" t="str">
            <v>0T3T_REJ17_PCS-4P2pi_FLAT_TV_40.43%</v>
          </cell>
          <cell r="G917">
            <v>40.43</v>
          </cell>
        </row>
        <row r="918">
          <cell r="A918" t="str">
            <v>Oi Total Fixo + Pós 100 + Banda Larga0.4043Template desconto FLAT Plano Principal Oi TV nível conta</v>
          </cell>
          <cell r="B918" t="str">
            <v>Plano Oi Completo Small</v>
          </cell>
          <cell r="C918" t="str">
            <v>Template desconto FLAT Plano Principal Oi TV nível conta</v>
          </cell>
          <cell r="D918">
            <v>0.40429999999999999</v>
          </cell>
          <cell r="E918" t="str">
            <v>MKT-1-9871954676</v>
          </cell>
          <cell r="F918" t="str">
            <v>0T3T_REJ17_PCS-4P3pi_FLAT_TV_40.43%</v>
          </cell>
          <cell r="G918">
            <v>40.43</v>
          </cell>
        </row>
        <row r="919">
          <cell r="A919" t="str">
            <v>Oi Total Fixo + Pós 250 + Banda Larga0.4043Template desconto FLAT Plano Principal Oi TV nível conta</v>
          </cell>
          <cell r="B919" t="str">
            <v>Plano Oi Completo Medium</v>
          </cell>
          <cell r="C919" t="str">
            <v>Template desconto FLAT Plano Principal Oi TV nível conta</v>
          </cell>
          <cell r="D919">
            <v>0.40429999999999999</v>
          </cell>
          <cell r="E919" t="str">
            <v>MKT-1-9871954401</v>
          </cell>
          <cell r="F919" t="str">
            <v>0T3T_REJ17_PCS-4P4pi_FLAT_TV_40.43%</v>
          </cell>
          <cell r="G919">
            <v>40.43</v>
          </cell>
        </row>
        <row r="920">
          <cell r="A920" t="str">
            <v>Oi Total Fixo + Pós 500 + Banda Larga0.4043Template desconto FLAT Plano Principal Oi TV nível conta</v>
          </cell>
          <cell r="B920" t="str">
            <v>Plano Oi Completo Large</v>
          </cell>
          <cell r="C920" t="str">
            <v>Template desconto FLAT Plano Principal Oi TV nível conta</v>
          </cell>
          <cell r="D920">
            <v>0.40429999999999999</v>
          </cell>
          <cell r="E920" t="str">
            <v>MKT-1-9871924956</v>
          </cell>
          <cell r="F920" t="str">
            <v>0T3T_REJ17_PCS-4P5pi_FLAT_TV_40.43%</v>
          </cell>
          <cell r="G920">
            <v>40.43</v>
          </cell>
        </row>
        <row r="921">
          <cell r="A921" t="str">
            <v>Oi Total Fixo + Pós 800 + Banda Larga0.4043Template desconto FLAT Plano Principal Oi TV nível conta</v>
          </cell>
          <cell r="B921" t="str">
            <v>Plano Oi Completo Xlarge</v>
          </cell>
          <cell r="C921" t="str">
            <v>Template desconto FLAT Plano Principal Oi TV nível conta</v>
          </cell>
          <cell r="D921">
            <v>0.40429999999999999</v>
          </cell>
          <cell r="E921" t="str">
            <v>MKT-1-9871924311</v>
          </cell>
          <cell r="F921" t="str">
            <v>0T3T_REJ17_PCS-4P6pi_FLAT_TV_40.43%</v>
          </cell>
          <cell r="G921">
            <v>40.43</v>
          </cell>
        </row>
        <row r="922">
          <cell r="A922" t="str">
            <v>Oi Total Fixo + Pós Conectado 500 + Banda Larga0.7232Template de desconto percentual FLAT Móvel - Conta Total - Varejo - Ganho Tributário Cross</v>
          </cell>
          <cell r="B922" t="str">
            <v>Plano Oi Completo 500</v>
          </cell>
          <cell r="C922" t="str">
            <v>Template de desconto percentual FLAT Móvel - Conta Total - Varejo - Ganho Tributário Cross</v>
          </cell>
          <cell r="D922">
            <v>0.72319999999999995</v>
          </cell>
          <cell r="E922" t="str">
            <v>MKT-1-9865191481</v>
          </cell>
          <cell r="F922" t="str">
            <v>0T3T_REJ17_PCS-4P8pi_FLAT_MÓVEL_GT_72.32%</v>
          </cell>
          <cell r="G922">
            <v>72.319999999999993</v>
          </cell>
        </row>
        <row r="923">
          <cell r="A923" t="str">
            <v>Oi Total Fixo + Pós Conectado 500 + Banda Larga0.7931Template de desconto percentual FLAT Móvel - Conta Total - Varejo - Ganho Tributário Cross</v>
          </cell>
          <cell r="B923" t="str">
            <v>Plano Oi Completo 500</v>
          </cell>
          <cell r="C923" t="str">
            <v>Template de desconto percentual FLAT Móvel - Conta Total - Varejo - Ganho Tributário Cross</v>
          </cell>
          <cell r="D923">
            <v>0.79310000000000003</v>
          </cell>
          <cell r="E923" t="str">
            <v>MKT-1-9865191682</v>
          </cell>
          <cell r="F923" t="str">
            <v>0T3T_REJ17_PCS-4P8pi_FLAT_MÓVEL_GT_79.31%</v>
          </cell>
          <cell r="G923">
            <v>79.31</v>
          </cell>
        </row>
        <row r="924">
          <cell r="A924" t="str">
            <v>Oi Total Fixo + Pós Conectado 500 + Banda Larga0.7469Template de desconto percentual FLAT Móvel - Conta Total - Varejo - Ganho Tributário Cross</v>
          </cell>
          <cell r="B924" t="str">
            <v>Plano Oi Completo 500</v>
          </cell>
          <cell r="C924" t="str">
            <v>Template de desconto percentual FLAT Móvel - Conta Total - Varejo - Ganho Tributário Cross</v>
          </cell>
          <cell r="D924">
            <v>0.74690000000000001</v>
          </cell>
          <cell r="E924" t="str">
            <v>MKT-1-9865191883</v>
          </cell>
          <cell r="F924" t="str">
            <v>0T3T_REJ17_PCS-4P8pi_FLAT_MÓVEL_GT_74.69%</v>
          </cell>
          <cell r="G924">
            <v>74.69</v>
          </cell>
        </row>
        <row r="925">
          <cell r="A925" t="str">
            <v>Oi Total Fixo + Pós Conectado 500 + Banda Larga0.7517Template de desconto percentual FLAT Móvel - Conta Total - Varejo - Ganho Tributário Cross</v>
          </cell>
          <cell r="B925" t="str">
            <v>Plano Oi Completo 500</v>
          </cell>
          <cell r="C925" t="str">
            <v>Template de desconto percentual FLAT Móvel - Conta Total - Varejo - Ganho Tributário Cross</v>
          </cell>
          <cell r="D925">
            <v>0.75170000000000003</v>
          </cell>
          <cell r="E925" t="str">
            <v>MKT-1-9865192091</v>
          </cell>
          <cell r="F925" t="str">
            <v>0T3T_REJ17_PCS-4P8pi_FLAT_MÓVEL_GT_75.17%</v>
          </cell>
          <cell r="G925">
            <v>75.17</v>
          </cell>
        </row>
        <row r="926">
          <cell r="A926" t="str">
            <v>Oi Total Fixo + Pós Conectado 500 + Banda Larga0.7054Template de desconto percentual FLAT Móvel - Conta Total - Varejo - Ganho Tributário Cross</v>
          </cell>
          <cell r="B926" t="str">
            <v>Plano Oi Completo 500</v>
          </cell>
          <cell r="C926" t="str">
            <v>Template de desconto percentual FLAT Móvel - Conta Total - Varejo - Ganho Tributário Cross</v>
          </cell>
          <cell r="D926">
            <v>0.70540000000000003</v>
          </cell>
          <cell r="E926" t="str">
            <v>MKT-1-9865409294</v>
          </cell>
          <cell r="F926" t="str">
            <v>0T3T_REJ17_PCS-4P8pi_FLAT_MÓVEL_GT_70.54%</v>
          </cell>
          <cell r="G926">
            <v>70.540000000000006</v>
          </cell>
        </row>
        <row r="927">
          <cell r="A927" t="str">
            <v>Oi Total Fixo + Pós Conectado 500 + Banda Larga0.7174Template de desconto percentual FLAT Móvel - Conta Total - Varejo - Ganho Tributário Cross</v>
          </cell>
          <cell r="B927" t="str">
            <v>Plano Oi Completo 500</v>
          </cell>
          <cell r="C927" t="str">
            <v>Template de desconto percentual FLAT Móvel - Conta Total - Varejo - Ganho Tributário Cross</v>
          </cell>
          <cell r="D927">
            <v>0.71739999999999993</v>
          </cell>
          <cell r="E927" t="str">
            <v>MKT-1-9865409495</v>
          </cell>
          <cell r="F927" t="str">
            <v>0T3T_REJ17_PCS-4P8pi_FLAT_MÓVEL_GT_71.74%</v>
          </cell>
          <cell r="G927">
            <v>71.739999999999995</v>
          </cell>
        </row>
        <row r="928">
          <cell r="A928" t="str">
            <v>Oi Total Fixo + Pós Conectado 500 + Banda Larga0.6524Template de desconto percentual FLAT Móvel - Conta Total - Varejo - Ganho Tributário Cross</v>
          </cell>
          <cell r="B928" t="str">
            <v>Plano Oi Completo 500</v>
          </cell>
          <cell r="C928" t="str">
            <v>Template de desconto percentual FLAT Móvel - Conta Total - Varejo - Ganho Tributário Cross</v>
          </cell>
          <cell r="D928">
            <v>0.65239999999999998</v>
          </cell>
          <cell r="E928" t="str">
            <v>MKT-1-9865409696</v>
          </cell>
          <cell r="F928" t="str">
            <v>0T3T_REJ17_PCS-4P8pi_FLAT_MÓVEL_GT_65.24%</v>
          </cell>
          <cell r="G928">
            <v>65.239999999999995</v>
          </cell>
        </row>
        <row r="929">
          <cell r="A929" t="str">
            <v>Oi Total Fixo + Pós Conectado 500 + Banda Larga0.6062Template de desconto percentual FLAT Móvel - Conta Total - Varejo - Ganho Tributário Cross</v>
          </cell>
          <cell r="B929" t="str">
            <v>Plano Oi Completo 500</v>
          </cell>
          <cell r="C929" t="str">
            <v>Template de desconto percentual FLAT Móvel - Conta Total - Varejo - Ganho Tributário Cross</v>
          </cell>
          <cell r="D929">
            <v>0.60619999999999996</v>
          </cell>
          <cell r="E929" t="str">
            <v>MKT-1-9865409897</v>
          </cell>
          <cell r="F929" t="str">
            <v>0T3T_REJ17_PCS-4P8pi_FLAT_MÓVEL_GT_60.62%</v>
          </cell>
          <cell r="G929">
            <v>60.62</v>
          </cell>
        </row>
        <row r="930">
          <cell r="A930" t="str">
            <v>Oi Total Fixo + Pós Conectado 500 + Banda Larga0.703Template de desconto percentual FLAT Móvel - Conta Total - Varejo - Ganho Tributário Cross</v>
          </cell>
          <cell r="B930" t="str">
            <v>Plano Oi Completo 500</v>
          </cell>
          <cell r="C930" t="str">
            <v>Template de desconto percentual FLAT Móvel - Conta Total - Varejo - Ganho Tributário Cross</v>
          </cell>
          <cell r="D930">
            <v>0.70299999999999996</v>
          </cell>
          <cell r="E930" t="str">
            <v>MKT-1-9865410098</v>
          </cell>
          <cell r="F930" t="str">
            <v>0T3T_REJ17_PCS-4P8pi_FLAT_MÓVEL_GT_70.30%</v>
          </cell>
          <cell r="G930">
            <v>70.3</v>
          </cell>
        </row>
        <row r="931">
          <cell r="A931" t="str">
            <v>Oi Total Fixo + Pós Conectado 500 + Banda Larga0.6568Template de desconto percentual FLAT Móvel - Conta Total - Varejo - Ganho Tributário Cross</v>
          </cell>
          <cell r="B931" t="str">
            <v>Plano Oi Completo 500</v>
          </cell>
          <cell r="C931" t="str">
            <v>Template de desconto percentual FLAT Móvel - Conta Total - Varejo - Ganho Tributário Cross</v>
          </cell>
          <cell r="D931">
            <v>0.65680000000000005</v>
          </cell>
          <cell r="E931" t="str">
            <v>MKT-1-9865441309</v>
          </cell>
          <cell r="F931" t="str">
            <v>0T3T_REJ17_PCS-4P8pi_FLAT_MÓVEL_GT_65.68%</v>
          </cell>
          <cell r="G931">
            <v>65.680000000000007</v>
          </cell>
        </row>
        <row r="932">
          <cell r="A932" t="str">
            <v>Oi Total Fixo + Pós Conectado 1.000 + Banda Larga0.7689Template de desconto percentual FLAT Móvel - Conta Total - Varejo - Ganho Tributário Cross</v>
          </cell>
          <cell r="B932" t="str">
            <v>Plano Oi Completo 1.000</v>
          </cell>
          <cell r="C932" t="str">
            <v>Template de desconto percentual FLAT Móvel - Conta Total - Varejo - Ganho Tributário Cross</v>
          </cell>
          <cell r="D932">
            <v>0.76890000000000003</v>
          </cell>
          <cell r="E932" t="str">
            <v>MKT-1-9865441510</v>
          </cell>
          <cell r="F932" t="str">
            <v>0T3T_REJ17_PCS-4P10pi_FLAT_MÓVEL_GT_76.89%</v>
          </cell>
          <cell r="G932">
            <v>76.89</v>
          </cell>
        </row>
        <row r="933">
          <cell r="A933" t="str">
            <v>Oi Total Fixo + Pós Conectado 1.000 + Banda Larga0.8228Template de desconto percentual FLAT Móvel - Conta Total - Varejo - Ganho Tributário Cross</v>
          </cell>
          <cell r="B933" t="str">
            <v>Plano Oi Completo 1.000</v>
          </cell>
          <cell r="C933" t="str">
            <v>Template de desconto percentual FLAT Móvel - Conta Total - Varejo - Ganho Tributário Cross</v>
          </cell>
          <cell r="D933">
            <v>0.82279999999999998</v>
          </cell>
          <cell r="E933" t="str">
            <v>MKT-1-9865441811</v>
          </cell>
          <cell r="F933" t="str">
            <v>0T3T_REJ17_PCS-4P10pi_FLAT_MÓVEL_GT_82.28%</v>
          </cell>
          <cell r="G933">
            <v>82.28</v>
          </cell>
        </row>
        <row r="934">
          <cell r="A934" t="str">
            <v>Oi Total Fixo + Pós Conectado 1.000 + Banda Larga0.7872Template de desconto percentual FLAT Móvel - Conta Total - Varejo - Ganho Tributário Cross</v>
          </cell>
          <cell r="B934" t="str">
            <v>Plano Oi Completo 1.000</v>
          </cell>
          <cell r="C934" t="str">
            <v>Template de desconto percentual FLAT Móvel - Conta Total - Varejo - Ganho Tributário Cross</v>
          </cell>
          <cell r="D934">
            <v>0.78720000000000001</v>
          </cell>
          <cell r="E934" t="str">
            <v>MKT-1-9865442012</v>
          </cell>
          <cell r="F934" t="str">
            <v>0T3T_REJ17_PCS-4P10pi_FLAT_MÓVEL_GT_78.72%</v>
          </cell>
          <cell r="G934">
            <v>78.72</v>
          </cell>
        </row>
        <row r="935">
          <cell r="A935" t="str">
            <v>Oi Total Fixo + Pós Conectado 1.000 + Banda Larga0.7908Template de desconto percentual FLAT Móvel - Conta Total - Varejo - Ganho Tributário Cross</v>
          </cell>
          <cell r="B935" t="str">
            <v>Plano Oi Completo 1.000</v>
          </cell>
          <cell r="C935" t="str">
            <v>Template de desconto percentual FLAT Móvel - Conta Total - Varejo - Ganho Tributário Cross</v>
          </cell>
          <cell r="D935">
            <v>0.79079999999999995</v>
          </cell>
          <cell r="E935" t="str">
            <v>MKT-1-9865499213</v>
          </cell>
          <cell r="F935" t="str">
            <v>0T3T_REJ17_PCS-4P10pi_FLAT_MÓVEL_GT_79.08%</v>
          </cell>
          <cell r="G935">
            <v>79.08</v>
          </cell>
        </row>
        <row r="936">
          <cell r="A936" t="str">
            <v>Oi Total Fixo + Pós Conectado 1.000 + Banda Larga0.7552Template de desconto percentual FLAT Móvel - Conta Total - Varejo - Ganho Tributário Cross</v>
          </cell>
          <cell r="B936" t="str">
            <v>Plano Oi Completo 1.000</v>
          </cell>
          <cell r="C936" t="str">
            <v>Template de desconto percentual FLAT Móvel - Conta Total - Varejo - Ganho Tributário Cross</v>
          </cell>
          <cell r="D936">
            <v>0.75519999999999998</v>
          </cell>
          <cell r="E936" t="str">
            <v>MKT-1-9865499414</v>
          </cell>
          <cell r="F936" t="str">
            <v>0T3T_REJ17_PCS-4P10pi_FLAT_MÓVEL_GT_75.52%</v>
          </cell>
          <cell r="G936">
            <v>75.52</v>
          </cell>
        </row>
        <row r="937">
          <cell r="A937" t="str">
            <v>Oi Total Fixo + Pós Conectado 1.000 + Banda Larga0.7644Template de desconto percentual FLAT Móvel - Conta Total - Varejo - Ganho Tributário Cross</v>
          </cell>
          <cell r="B937" t="str">
            <v>Plano Oi Completo 1.000</v>
          </cell>
          <cell r="C937" t="str">
            <v>Template de desconto percentual FLAT Móvel - Conta Total - Varejo - Ganho Tributário Cross</v>
          </cell>
          <cell r="D937">
            <v>0.76439999999999997</v>
          </cell>
          <cell r="E937" t="str">
            <v>MKT-1-9865499615</v>
          </cell>
          <cell r="F937" t="str">
            <v>0T3T_REJ17_PCS-4P10pi_FLAT_MÓVEL_GT_76.44%</v>
          </cell>
          <cell r="G937">
            <v>76.44</v>
          </cell>
        </row>
        <row r="938">
          <cell r="A938" t="str">
            <v>Oi Total Fixo + Pós Conectado 1.000 + Banda Larga0.7288Template de desconto percentual FLAT Móvel - Conta Total - Varejo - Ganho Tributário Cross</v>
          </cell>
          <cell r="B938" t="str">
            <v>Plano Oi Completo 1.000</v>
          </cell>
          <cell r="C938" t="str">
            <v>Template de desconto percentual FLAT Móvel - Conta Total - Varejo - Ganho Tributário Cross</v>
          </cell>
          <cell r="D938">
            <v>0.7288</v>
          </cell>
          <cell r="E938" t="str">
            <v>MKT-1-9865499816</v>
          </cell>
          <cell r="F938" t="str">
            <v>0T3T_REJ17_PCS-4P10pi_FLAT_MÓVEL_GT_72.88%</v>
          </cell>
          <cell r="G938">
            <v>72.88</v>
          </cell>
        </row>
        <row r="939">
          <cell r="A939" t="str">
            <v>Oi Total Fixo + Pós Conectado 1.000 + Banda Larga0.7143Template de desconto percentual FLAT Móvel - Conta Total - Varejo - Ganho Tributário Cross</v>
          </cell>
          <cell r="B939" t="str">
            <v>Plano Oi Completo 1.000</v>
          </cell>
          <cell r="C939" t="str">
            <v>Template de desconto percentual FLAT Móvel - Conta Total - Varejo - Ganho Tributário Cross</v>
          </cell>
          <cell r="D939">
            <v>0.71430000000000005</v>
          </cell>
          <cell r="E939" t="str">
            <v>MKT-1-9865500017</v>
          </cell>
          <cell r="F939" t="str">
            <v>0T3T_REJ17_PCS-4P10pi_FLAT_MÓVEL_GT_71.43%</v>
          </cell>
          <cell r="G939">
            <v>71.430000000000007</v>
          </cell>
        </row>
        <row r="940">
          <cell r="A940" t="str">
            <v>Oi Total Fixo + Pós Conectado 1.000 + Banda Larga0.7534Template de desconto percentual FLAT Móvel - Conta Total - Varejo - Ganho Tributário Cross</v>
          </cell>
          <cell r="B940" t="str">
            <v>Plano Oi Completo 1.000</v>
          </cell>
          <cell r="C940" t="str">
            <v>Template de desconto percentual FLAT Móvel - Conta Total - Varejo - Ganho Tributário Cross</v>
          </cell>
          <cell r="D940">
            <v>0.75340000000000007</v>
          </cell>
          <cell r="E940" t="str">
            <v>MKT-1-9865516218</v>
          </cell>
          <cell r="F940" t="str">
            <v>0T3T_REJ17_PCS-4P10pi_FLAT_MÓVEL_GT_75.34%</v>
          </cell>
          <cell r="G940">
            <v>75.34</v>
          </cell>
        </row>
        <row r="941">
          <cell r="A941" t="str">
            <v>Oi Total Fixo + Pós Conectado Mais + Banda Larga0.7541Template de desconto percentual FLAT Móvel - Conta Total - Varejo - Ganho Tributário Cross</v>
          </cell>
          <cell r="B941" t="str">
            <v>Plano Oi Completo Mais</v>
          </cell>
          <cell r="C941" t="str">
            <v>Template de desconto percentual FLAT Móvel - Conta Total - Varejo - Ganho Tributário Cross</v>
          </cell>
          <cell r="D941">
            <v>0.75409999999999999</v>
          </cell>
          <cell r="E941" t="str">
            <v>MKT-1-9865516419</v>
          </cell>
          <cell r="F941" t="str">
            <v>0T3T_REJ17_PCS-4P9pi_FLAT_MÓVEL_GT_75.41%</v>
          </cell>
          <cell r="G941">
            <v>75.41</v>
          </cell>
        </row>
        <row r="942">
          <cell r="A942" t="str">
            <v>Oi Total Fixo + Pós Conectado Mais + Banda Larga0.7689Template de desconto percentual FLAT Móvel - Conta Total - Varejo - Ganho Tributário Cross</v>
          </cell>
          <cell r="B942" t="str">
            <v>Plano Oi Completo Mais</v>
          </cell>
          <cell r="C942" t="str">
            <v>Template de desconto percentual FLAT Móvel - Conta Total - Varejo - Ganho Tributário Cross</v>
          </cell>
          <cell r="D942">
            <v>0.76890000000000003</v>
          </cell>
          <cell r="E942" t="str">
            <v>MKT-1-9865516620</v>
          </cell>
          <cell r="F942" t="str">
            <v>0T3T_REJ17_PCS-4P9pi_FLAT_MÓVEL_GT_76.89%</v>
          </cell>
          <cell r="G942">
            <v>76.89</v>
          </cell>
        </row>
        <row r="943">
          <cell r="A943" t="str">
            <v>Oi Total Fixo + Pós Conectado Mais + Banda Larga0.743Template de desconto percentual FLAT Móvel - Conta Total - Varejo - Ganho Tributário Cross</v>
          </cell>
          <cell r="B943" t="str">
            <v>Plano Oi Completo Mais</v>
          </cell>
          <cell r="C943" t="str">
            <v>Template de desconto percentual FLAT Móvel - Conta Total - Varejo - Ganho Tributário Cross</v>
          </cell>
          <cell r="D943">
            <v>0.74299999999999999</v>
          </cell>
          <cell r="E943" t="str">
            <v>MKT-1-9865516831</v>
          </cell>
          <cell r="F943" t="str">
            <v>0T3T_REJ17_PCS-4P9pi_FLAT_MÓVEL_GT_74.30%</v>
          </cell>
          <cell r="G943">
            <v>74.3</v>
          </cell>
        </row>
        <row r="944">
          <cell r="A944" t="str">
            <v>Oi Total Fixo + Pós Conectado Mais + Banda Larga0.7215Template de desconto percentual FLAT Móvel - Conta Total - Varejo - Ganho Tributário Cross</v>
          </cell>
          <cell r="B944" t="str">
            <v>Plano Oi Completo Mais</v>
          </cell>
          <cell r="C944" t="str">
            <v>Template de desconto percentual FLAT Móvel - Conta Total - Varejo - Ganho Tributário Cross</v>
          </cell>
          <cell r="D944">
            <v>0.72150000000000003</v>
          </cell>
          <cell r="E944" t="str">
            <v>MKT-1-9865517032</v>
          </cell>
          <cell r="F944" t="str">
            <v>0T3T_REJ17_PCS-4P9pi_FLAT_MÓVEL_GT_72.15%</v>
          </cell>
          <cell r="G944">
            <v>72.150000000000006</v>
          </cell>
        </row>
        <row r="945">
          <cell r="A945" t="str">
            <v>Oi Total Fixo + Pós Conectado Mais + Banda Larga0.6807Template de desconto percentual FLAT Móvel - Conta Total - Varejo - Ganho Tributário Cross</v>
          </cell>
          <cell r="B945" t="str">
            <v>Plano Oi Completo Mais</v>
          </cell>
          <cell r="C945" t="str">
            <v>Template de desconto percentual FLAT Móvel - Conta Total - Varejo - Ganho Tributário Cross</v>
          </cell>
          <cell r="D945">
            <v>0.68069999999999997</v>
          </cell>
          <cell r="E945" t="str">
            <v>MKT-1-9865550233</v>
          </cell>
          <cell r="F945" t="str">
            <v>0T3T_REJ17_PCS-4P9pi_FLAT_MÓVEL_GT_68.07%</v>
          </cell>
          <cell r="G945">
            <v>68.069999999999993</v>
          </cell>
        </row>
        <row r="946">
          <cell r="A946" t="str">
            <v>Oi Total Fixo + Pós Conectado Mais + Banda Larga0.7125Template de desconto percentual FLAT Móvel - Conta Total - Varejo - Ganho Tributário Cross</v>
          </cell>
          <cell r="B946" t="str">
            <v>Plano Oi Completo Mais</v>
          </cell>
          <cell r="C946" t="str">
            <v>Template de desconto percentual FLAT Móvel - Conta Total - Varejo - Ganho Tributário Cross</v>
          </cell>
          <cell r="D946">
            <v>0.71250000000000002</v>
          </cell>
          <cell r="E946" t="str">
            <v>MKT-1-9865550434</v>
          </cell>
          <cell r="F946" t="str">
            <v>0T3T_REJ17_PCS-4P9pi_FLAT_MÓVEL_GT_71.25%</v>
          </cell>
          <cell r="G946">
            <v>71.25</v>
          </cell>
        </row>
        <row r="947">
          <cell r="A947" t="str">
            <v>Oi Total Fixo + Pós Conectado 500 + Banda Larga0.6712Template de desconto percentual FLAT Móvel - Conta Total - Varejo - Ganho Tributário Cross</v>
          </cell>
          <cell r="B947" t="str">
            <v>Plano Oi Completo 500</v>
          </cell>
          <cell r="C947" t="str">
            <v>Template de desconto percentual FLAT Móvel - Conta Total - Varejo - Ganho Tributário Cross</v>
          </cell>
          <cell r="D947">
            <v>0.67120000000000002</v>
          </cell>
          <cell r="E947" t="str">
            <v>MKT-1-9865550635</v>
          </cell>
          <cell r="F947" t="str">
            <v>0T3T_REJ17_PCS-4P8pi_FLAT_MÓVEL_GT_67.12%</v>
          </cell>
          <cell r="G947">
            <v>67.12</v>
          </cell>
        </row>
        <row r="948">
          <cell r="A948" t="str">
            <v>Oi Total Fixo + Pós Conectado 1.000 + Banda Larga0.6787Template de desconto percentual FLAT Móvel - Conta Total - Varejo - Ganho Tributário Cross</v>
          </cell>
          <cell r="B948" t="str">
            <v>Plano Oi Completo 1.000</v>
          </cell>
          <cell r="C948" t="str">
            <v>Template de desconto percentual FLAT Móvel - Conta Total - Varejo - Ganho Tributário Cross</v>
          </cell>
          <cell r="D948">
            <v>0.67870000000000008</v>
          </cell>
          <cell r="E948" t="str">
            <v>MKT-1-9865550836</v>
          </cell>
          <cell r="F948" t="str">
            <v>0T3T_REJ17_PCS-4P10pi_FLAT_MÓVEL_GT_67.87%</v>
          </cell>
          <cell r="G948">
            <v>67.87</v>
          </cell>
        </row>
        <row r="949">
          <cell r="A949" t="str">
            <v>Oi Total Fixo + Pós Conectado 1.000 + Banda Larga0.7178Template de desconto percentual FLAT Móvel - Conta Total - Varejo - Ganho Tributário Cross</v>
          </cell>
          <cell r="B949" t="str">
            <v>Plano Oi Completo 1.000</v>
          </cell>
          <cell r="C949" t="str">
            <v>Template de desconto percentual FLAT Móvel - Conta Total - Varejo - Ganho Tributário Cross</v>
          </cell>
          <cell r="D949">
            <v>0.71779999999999999</v>
          </cell>
          <cell r="E949" t="str">
            <v>MKT-1-9865551037</v>
          </cell>
          <cell r="F949" t="str">
            <v>0T3T_REJ17_PCS-4P10pi_FLAT_MÓVEL_GT_71.78%</v>
          </cell>
          <cell r="G949">
            <v>71.78</v>
          </cell>
        </row>
        <row r="950">
          <cell r="A950" t="str">
            <v>Oi Total Fixo + Pós 50 + Banda Larga0.3159Template de desconto percentual FLAT Móvel - Conta Total - Varejo - Ganho Tributário Cross</v>
          </cell>
          <cell r="B950" t="str">
            <v>Plano Oi Completo Xsmall</v>
          </cell>
          <cell r="C950" t="str">
            <v>Template de desconto percentual FLAT Móvel - Conta Total - Varejo - Ganho Tributário Cross</v>
          </cell>
          <cell r="D950">
            <v>0.31590000000000001</v>
          </cell>
          <cell r="E950" t="str">
            <v>MKT-1-9865657238</v>
          </cell>
          <cell r="F950" t="str">
            <v>0T3T_REJ17_PCS-4P2pi_FLAT_MÓVEL_GT_31.59%</v>
          </cell>
          <cell r="G950">
            <v>31.59</v>
          </cell>
        </row>
        <row r="951">
          <cell r="A951" t="str">
            <v>Oi Total Fixo + Pós 50 + Banda Larga0.4887Template de desconto percentual FLAT Móvel - Conta Total - Varejo - Ganho Tributário Cross</v>
          </cell>
          <cell r="B951" t="str">
            <v>Plano Oi Completo Xsmall</v>
          </cell>
          <cell r="C951" t="str">
            <v>Template de desconto percentual FLAT Móvel - Conta Total - Varejo - Ganho Tributário Cross</v>
          </cell>
          <cell r="D951">
            <v>0.48869999999999997</v>
          </cell>
          <cell r="E951" t="str">
            <v>MKT-1-9865657439</v>
          </cell>
          <cell r="F951" t="str">
            <v>0T3T_REJ17_PCS-4P2pi_FLAT_MÓVEL_GT_48.87%</v>
          </cell>
          <cell r="G951">
            <v>48.87</v>
          </cell>
        </row>
        <row r="952">
          <cell r="A952" t="str">
            <v>Oi Total Fixo + Pós 50 + Banda Larga0.3745Template de desconto percentual FLAT Móvel - Conta Total - Varejo - Ganho Tributário Cross</v>
          </cell>
          <cell r="B952" t="str">
            <v>Plano Oi Completo Xsmall</v>
          </cell>
          <cell r="C952" t="str">
            <v>Template de desconto percentual FLAT Móvel - Conta Total - Varejo - Ganho Tributário Cross</v>
          </cell>
          <cell r="D952">
            <v>0.37450000000000006</v>
          </cell>
          <cell r="E952" t="str">
            <v>MKT-1-9865657650</v>
          </cell>
          <cell r="F952" t="str">
            <v>0T3T_REJ17_PCS-4P2pi_FLAT_MÓVEL_GT_37.45%</v>
          </cell>
          <cell r="G952">
            <v>37.450000000000003</v>
          </cell>
        </row>
        <row r="953">
          <cell r="A953" t="str">
            <v>Oi Total Fixo + Pós 50 + Banda Larga0.3863Template de desconto percentual FLAT Móvel - Conta Total - Varejo - Ganho Tributário Cross</v>
          </cell>
          <cell r="B953" t="str">
            <v>Plano Oi Completo Xsmall</v>
          </cell>
          <cell r="C953" t="str">
            <v>Template de desconto percentual FLAT Móvel - Conta Total - Varejo - Ganho Tributário Cross</v>
          </cell>
          <cell r="D953">
            <v>0.38630000000000003</v>
          </cell>
          <cell r="E953" t="str">
            <v>MKT-1-9865657851</v>
          </cell>
          <cell r="F953" t="str">
            <v>0T3T_REJ17_PCS-4P2pi_FLAT_MÓVEL_GT_38.63%</v>
          </cell>
          <cell r="G953">
            <v>38.630000000000003</v>
          </cell>
        </row>
        <row r="954">
          <cell r="A954" t="str">
            <v>Oi Total Fixo + Pós 50 + Banda Larga0.2721Template de desconto percentual FLAT Móvel - Conta Total - Varejo - Ganho Tributário Cross</v>
          </cell>
          <cell r="B954" t="str">
            <v>Plano Oi Completo Xsmall</v>
          </cell>
          <cell r="C954" t="str">
            <v>Template de desconto percentual FLAT Móvel - Conta Total - Varejo - Ganho Tributário Cross</v>
          </cell>
          <cell r="D954">
            <v>0.27210000000000001</v>
          </cell>
          <cell r="E954" t="str">
            <v>MKT-1-9866578341</v>
          </cell>
          <cell r="F954" t="str">
            <v>0T3T_REJ17_PCS-4P2pi_FLAT_MÓVEL_GT_27.21%</v>
          </cell>
          <cell r="G954">
            <v>27.21</v>
          </cell>
        </row>
        <row r="955">
          <cell r="A955" t="str">
            <v>Oi Total Fixo + Pós 50 + Banda Larga0.3016Template de desconto percentual FLAT Móvel - Conta Total - Varejo - Ganho Tributário Cross</v>
          </cell>
          <cell r="B955" t="str">
            <v>Plano Oi Completo Xsmall</v>
          </cell>
          <cell r="C955" t="str">
            <v>Template de desconto percentual FLAT Móvel - Conta Total - Varejo - Ganho Tributário Cross</v>
          </cell>
          <cell r="D955">
            <v>0.30159999999999998</v>
          </cell>
          <cell r="E955" t="str">
            <v>MKT-1-9866801502</v>
          </cell>
          <cell r="F955" t="str">
            <v>0T3T_REJ17_PCS-4P2pi_FLAT_MÓVEL_GT_30.16%</v>
          </cell>
          <cell r="G955">
            <v>30.16</v>
          </cell>
        </row>
        <row r="956">
          <cell r="A956" t="str">
            <v>Oi Total Fixo + Pós 50 + Banda Larga0.1874Template de desconto percentual FLAT Móvel - Conta Total - Varejo - Ganho Tributário Cross</v>
          </cell>
          <cell r="B956" t="str">
            <v>Plano Oi Completo Xsmall</v>
          </cell>
          <cell r="C956" t="str">
            <v>Template de desconto percentual FLAT Móvel - Conta Total - Varejo - Ganho Tributário Cross</v>
          </cell>
          <cell r="D956">
            <v>0.18739999999999998</v>
          </cell>
          <cell r="E956" t="str">
            <v>MKT-1-9866840193</v>
          </cell>
          <cell r="F956" t="str">
            <v>0T3T_REJ17_PCS-4P2pi_FLAT_MÓVEL_GT_18.74%</v>
          </cell>
          <cell r="G956">
            <v>18.739999999999998</v>
          </cell>
        </row>
        <row r="957">
          <cell r="A957" t="str">
            <v>Oi Total Fixo + Pós 50 + Banda Larga0.0268Template de desconto percentual FLAT Móvel - Conta Total - Varejo - Ganho Tributário Cross</v>
          </cell>
          <cell r="B957" t="str">
            <v>Plano Oi Completo Xsmall</v>
          </cell>
          <cell r="C957" t="str">
            <v>Template de desconto percentual FLAT Móvel - Conta Total - Varejo - Ganho Tributário Cross</v>
          </cell>
          <cell r="D957">
            <v>2.6800000000000001E-2</v>
          </cell>
          <cell r="E957" t="str">
            <v>MKT-1-9866840494</v>
          </cell>
          <cell r="F957" t="str">
            <v>0T3T_REJ17_PCS-4P2pi_FLAT_MÓVEL_GT_02.68%</v>
          </cell>
          <cell r="G957">
            <v>2.68</v>
          </cell>
        </row>
        <row r="958">
          <cell r="A958" t="str">
            <v>Oi Total Fixo + Pós 50 + Banda Larga0.141Template de desconto percentual FLAT Móvel - Conta Total - Varejo - Ganho Tributário Cross</v>
          </cell>
          <cell r="B958" t="str">
            <v>Plano Oi Completo Xsmall</v>
          </cell>
          <cell r="C958" t="str">
            <v>Template de desconto percentual FLAT Móvel - Conta Total - Varejo - Ganho Tributário Cross</v>
          </cell>
          <cell r="D958">
            <v>0.14099999999999999</v>
          </cell>
          <cell r="E958" t="str">
            <v>MKT-1-9867003465</v>
          </cell>
          <cell r="F958" t="str">
            <v>0T3T_REJ17_PCS-4P2pi_FLAT_MÓVEL_GT_14.10%</v>
          </cell>
          <cell r="G958">
            <v>14.1</v>
          </cell>
        </row>
        <row r="959">
          <cell r="A959" t="str">
            <v>Oi Total Fixo + Pós 50 + Banda Larga0.1519Template de desconto percentual FLAT Móvel - Conta Total - Varejo - Ganho Tributário Cross</v>
          </cell>
          <cell r="B959" t="str">
            <v>Plano Oi Completo Xsmall</v>
          </cell>
          <cell r="C959" t="str">
            <v>Template de desconto percentual FLAT Móvel - Conta Total - Varejo - Ganho Tributário Cross</v>
          </cell>
          <cell r="D959">
            <v>0.15190000000000001</v>
          </cell>
          <cell r="E959" t="str">
            <v>MKT-1-9867456346</v>
          </cell>
          <cell r="F959" t="str">
            <v>0T3T_REJ17_PCS-4P2pi_FLAT_MÓVEL_GT_15.19%</v>
          </cell>
          <cell r="G959">
            <v>15.19</v>
          </cell>
        </row>
        <row r="960">
          <cell r="A960" t="str">
            <v>Oi Total Fixo + Pós 50 + Banda Larga0.2662Template de desconto percentual FLAT Móvel - Conta Total - Varejo - Ganho Tributário Cross</v>
          </cell>
          <cell r="B960" t="str">
            <v>Plano Oi Completo Xsmall</v>
          </cell>
          <cell r="C960" t="str">
            <v>Template de desconto percentual FLAT Móvel - Conta Total - Varejo - Ganho Tributário Cross</v>
          </cell>
          <cell r="D960">
            <v>0.26619999999999999</v>
          </cell>
          <cell r="E960" t="str">
            <v>MKT-1-9867619437</v>
          </cell>
          <cell r="F960" t="str">
            <v>0T3T_REJ17_PCS-4P2pi_FLAT_MÓVEL_GT_26.62%</v>
          </cell>
          <cell r="G960">
            <v>26.62</v>
          </cell>
        </row>
        <row r="961">
          <cell r="A961" t="str">
            <v>Oi Total Fixo + Pós 100 + Banda Larga0.4933Template de desconto percentual FLAT Móvel - Conta Total - Varejo - Ganho Tributário Cross</v>
          </cell>
          <cell r="B961" t="str">
            <v>Plano Oi Completo Small</v>
          </cell>
          <cell r="C961" t="str">
            <v>Template de desconto percentual FLAT Móvel - Conta Total - Varejo - Ganho Tributário Cross</v>
          </cell>
          <cell r="D961">
            <v>0.49329999999999996</v>
          </cell>
          <cell r="E961" t="str">
            <v>MKT-1-9867770938</v>
          </cell>
          <cell r="F961" t="str">
            <v>0T3T_REJ17_PCS-4P3pi_FLAT_MÓVEL_GT_49.33%</v>
          </cell>
          <cell r="G961">
            <v>49.33</v>
          </cell>
        </row>
        <row r="962">
          <cell r="A962" t="str">
            <v>Oi Total Fixo + Pós 100 + Banda Larga0.6114Template de desconto percentual FLAT Móvel - Conta Total - Varejo - Ganho Tributário Cross</v>
          </cell>
          <cell r="B962" t="str">
            <v>Plano Oi Completo Small</v>
          </cell>
          <cell r="C962" t="str">
            <v>Template de desconto percentual FLAT Móvel - Conta Total - Varejo - Ganho Tributário Cross</v>
          </cell>
          <cell r="D962">
            <v>0.61140000000000005</v>
          </cell>
          <cell r="E962" t="str">
            <v>MKT-1-9867910939</v>
          </cell>
          <cell r="F962" t="str">
            <v>0T3T_REJ17_PCS-4P3pi_FLAT_MÓVEL_GT_61.14%</v>
          </cell>
          <cell r="G962">
            <v>61.14</v>
          </cell>
        </row>
        <row r="963">
          <cell r="A963" t="str">
            <v>Oi Total Fixo + Pós 100 + Banda Larga0.5334Template de desconto percentual FLAT Móvel - Conta Total - Varejo - Ganho Tributário Cross</v>
          </cell>
          <cell r="B963" t="str">
            <v>Plano Oi Completo Small</v>
          </cell>
          <cell r="C963" t="str">
            <v>Template de desconto percentual FLAT Móvel - Conta Total - Varejo - Ganho Tributário Cross</v>
          </cell>
          <cell r="D963">
            <v>0.53339999999999999</v>
          </cell>
          <cell r="E963" t="str">
            <v>MKT-1-9868006220</v>
          </cell>
          <cell r="F963" t="str">
            <v>0T3T_REJ17_PCS-4P3pi_FLAT_MÓVEL_GT_53.34%</v>
          </cell>
          <cell r="G963">
            <v>53.34</v>
          </cell>
        </row>
        <row r="964">
          <cell r="A964" t="str">
            <v>Oi Total Fixo + Pós 100 + Banda Larga0.5414Template de desconto percentual FLAT Móvel - Conta Total - Varejo - Ganho Tributário Cross</v>
          </cell>
          <cell r="B964" t="str">
            <v>Plano Oi Completo Small</v>
          </cell>
          <cell r="C964" t="str">
            <v>Template de desconto percentual FLAT Móvel - Conta Total - Varejo - Ganho Tributário Cross</v>
          </cell>
          <cell r="D964">
            <v>0.54139999999999999</v>
          </cell>
          <cell r="E964" t="str">
            <v>MKT-1-9870358141</v>
          </cell>
          <cell r="F964" t="str">
            <v>0T3T_REJ17_PCS-4P3pi_FLAT_MÓVEL_GT_54.14%</v>
          </cell>
          <cell r="G964">
            <v>54.14</v>
          </cell>
        </row>
        <row r="965">
          <cell r="A965" t="str">
            <v>Oi Total Fixo + Pós 100 + Banda Larga0.4633Template de desconto percentual FLAT Móvel - Conta Total - Varejo - Ganho Tributário Cross</v>
          </cell>
          <cell r="B965" t="str">
            <v>Plano Oi Completo Small</v>
          </cell>
          <cell r="C965" t="str">
            <v>Template de desconto percentual FLAT Móvel - Conta Total - Varejo - Ganho Tributário Cross</v>
          </cell>
          <cell r="D965">
            <v>0.46329999999999999</v>
          </cell>
          <cell r="E965" t="str">
            <v>MKT-1-9870358342</v>
          </cell>
          <cell r="F965" t="str">
            <v>0T3T_REJ17_PCS-4P3pi_FLAT_MÓVEL_GT_46.33%</v>
          </cell>
          <cell r="G965">
            <v>46.33</v>
          </cell>
        </row>
        <row r="966">
          <cell r="A966" t="str">
            <v>Oi Total Fixo + Pós 100 + Banda Larga0.4835Template de desconto percentual FLAT Móvel - Conta Total - Varejo - Ganho Tributário Cross</v>
          </cell>
          <cell r="B966" t="str">
            <v>Plano Oi Completo Small</v>
          </cell>
          <cell r="C966" t="str">
            <v>Template de desconto percentual FLAT Móvel - Conta Total - Varejo - Ganho Tributário Cross</v>
          </cell>
          <cell r="D966">
            <v>0.48350000000000004</v>
          </cell>
          <cell r="E966" t="str">
            <v>MKT-1-9870358543</v>
          </cell>
          <cell r="F966" t="str">
            <v>0T3T_REJ17_PCS-4P3pi_FLAT_MÓVEL_GT_48.35%</v>
          </cell>
          <cell r="G966">
            <v>48.35</v>
          </cell>
        </row>
        <row r="967">
          <cell r="A967" t="str">
            <v>Oi Total Fixo + Pós 100 + Banda Larga0.4054Template de desconto percentual FLAT Móvel - Conta Total - Varejo - Ganho Tributário Cross</v>
          </cell>
          <cell r="B967" t="str">
            <v>Plano Oi Completo Small</v>
          </cell>
          <cell r="C967" t="str">
            <v>Template de desconto percentual FLAT Móvel - Conta Total - Varejo - Ganho Tributário Cross</v>
          </cell>
          <cell r="D967">
            <v>0.40539999999999998</v>
          </cell>
          <cell r="E967" t="str">
            <v>MKT-1-9870358774</v>
          </cell>
          <cell r="F967" t="str">
            <v>0T3T_REJ17_PCS-4P3pi_FLAT_MÓVEL_GT_40.54%</v>
          </cell>
          <cell r="G967">
            <v>40.54</v>
          </cell>
        </row>
        <row r="968">
          <cell r="A968" t="str">
            <v>Oi Total Fixo + Pós 100 + Banda Larga0.2956Template de desconto percentual FLAT Móvel - Conta Total - Varejo - Ganho Tributário Cross</v>
          </cell>
          <cell r="B968" t="str">
            <v>Plano Oi Completo Small</v>
          </cell>
          <cell r="C968" t="str">
            <v>Template de desconto percentual FLAT Móvel - Conta Total - Varejo - Ganho Tributário Cross</v>
          </cell>
          <cell r="D968">
            <v>0.29559999999999997</v>
          </cell>
          <cell r="E968" t="str">
            <v>MKT-1-9870359015</v>
          </cell>
          <cell r="F968" t="str">
            <v>0T3T_REJ17_PCS-4P3pi_FLAT_MÓVEL_GT_29.56%</v>
          </cell>
          <cell r="G968">
            <v>29.56</v>
          </cell>
        </row>
        <row r="969">
          <cell r="A969" t="str">
            <v>Oi Total Fixo + Pós 100 + Banda Larga0.3737Template de desconto percentual FLAT Móvel - Conta Total - Varejo - Ganho Tributário Cross</v>
          </cell>
          <cell r="B969" t="str">
            <v>Plano Oi Completo Small</v>
          </cell>
          <cell r="C969" t="str">
            <v>Template de desconto percentual FLAT Móvel - Conta Total - Varejo - Ganho Tributário Cross</v>
          </cell>
          <cell r="D969">
            <v>0.37369999999999998</v>
          </cell>
          <cell r="E969" t="str">
            <v>MKT-1-9870693266</v>
          </cell>
          <cell r="F969" t="str">
            <v>0T3T_REJ17_PCS-4P3pi_FLAT_MÓVEL_GT_37.37%</v>
          </cell>
          <cell r="G969">
            <v>37.369999999999997</v>
          </cell>
        </row>
        <row r="970">
          <cell r="A970" t="str">
            <v>Oi Total Fixo + Pós 100 + Banda Larga0.3812Template de desconto percentual FLAT Móvel - Conta Total - Varejo - Ganho Tributário Cross</v>
          </cell>
          <cell r="B970" t="str">
            <v>Plano Oi Completo Small</v>
          </cell>
          <cell r="C970" t="str">
            <v>Template de desconto percentual FLAT Móvel - Conta Total - Varejo - Ganho Tributário Cross</v>
          </cell>
          <cell r="D970">
            <v>0.38119999999999998</v>
          </cell>
          <cell r="E970" t="str">
            <v>MKT-1-9870693497</v>
          </cell>
          <cell r="F970" t="str">
            <v>0T3T_REJ17_PCS-4P3pi_FLAT_MÓVEL_GT_38.12%</v>
          </cell>
          <cell r="G970">
            <v>38.119999999999997</v>
          </cell>
        </row>
        <row r="971">
          <cell r="A971" t="str">
            <v>Oi Total Fixo + Pós 100 + Banda Larga0.4593Template de desconto percentual FLAT Móvel - Conta Total - Varejo - Ganho Tributário Cross</v>
          </cell>
          <cell r="B971" t="str">
            <v>Plano Oi Completo Small</v>
          </cell>
          <cell r="C971" t="str">
            <v>Template de desconto percentual FLAT Móvel - Conta Total - Varejo - Ganho Tributário Cross</v>
          </cell>
          <cell r="D971">
            <v>0.45929999999999999</v>
          </cell>
          <cell r="E971" t="str">
            <v>MKT-1-9871048348</v>
          </cell>
          <cell r="F971" t="str">
            <v>0T3T_REJ17_PCS-4P3pi_FLAT_MÓVEL_GT_45.93%</v>
          </cell>
          <cell r="G971">
            <v>45.93</v>
          </cell>
        </row>
        <row r="972">
          <cell r="A972" t="str">
            <v>Oi Total Fixo + Pós 250 + Banda Larga0.6257Template de desconto percentual FLAT Móvel - Conta Total - Varejo - Ganho Tributário Cross</v>
          </cell>
          <cell r="B972" t="str">
            <v>Plano Oi Completo Medium</v>
          </cell>
          <cell r="C972" t="str">
            <v>Template de desconto percentual FLAT Móvel - Conta Total - Varejo - Ganho Tributário Cross</v>
          </cell>
          <cell r="D972">
            <v>0.62570000000000003</v>
          </cell>
          <cell r="E972" t="str">
            <v>MKT-1-9871048549</v>
          </cell>
          <cell r="F972" t="str">
            <v>0T3T_REJ17_PCS-4P4pi_FLAT_MÓVEL_GT_62.57%</v>
          </cell>
          <cell r="G972">
            <v>62.57</v>
          </cell>
        </row>
        <row r="973">
          <cell r="A973" t="str">
            <v>Oi Total Fixo + Pós 250 + Banda Larga0.6966Template de desconto percentual FLAT Móvel - Conta Total - Varejo - Ganho Tributário Cross</v>
          </cell>
          <cell r="B973" t="str">
            <v>Plano Oi Completo Medium</v>
          </cell>
          <cell r="C973" t="str">
            <v>Template de desconto percentual FLAT Móvel - Conta Total - Varejo - Ganho Tributário Cross</v>
          </cell>
          <cell r="D973">
            <v>0.6966</v>
          </cell>
          <cell r="E973" t="str">
            <v>MKT-1-9871048750</v>
          </cell>
          <cell r="F973" t="str">
            <v>0T3T_REJ17_PCS-4P4pi_FLAT_MÓVEL_GT_69.66%</v>
          </cell>
          <cell r="G973">
            <v>69.66</v>
          </cell>
        </row>
        <row r="974">
          <cell r="A974" t="str">
            <v>Oi Total Fixo + Pós 250 + Banda Larga0.6498Template de desconto percentual FLAT Móvel - Conta Total - Varejo - Ganho Tributário Cross</v>
          </cell>
          <cell r="B974" t="str">
            <v>Plano Oi Completo Medium</v>
          </cell>
          <cell r="C974" t="str">
            <v>Template de desconto percentual FLAT Móvel - Conta Total - Varejo - Ganho Tributário Cross</v>
          </cell>
          <cell r="D974">
            <v>0.64980000000000004</v>
          </cell>
          <cell r="E974" t="str">
            <v>MKT-1-9871048951</v>
          </cell>
          <cell r="F974" t="str">
            <v>0T3T_REJ17_PCS-4P4pi_FLAT_MÓVEL_GT_64.98%</v>
          </cell>
          <cell r="G974">
            <v>64.98</v>
          </cell>
        </row>
        <row r="975">
          <cell r="A975" t="str">
            <v>Oi Total Fixo + Pós 250 + Banda Larga0.6546Template de desconto percentual FLAT Móvel - Conta Total - Varejo - Ganho Tributário Cross</v>
          </cell>
          <cell r="B975" t="str">
            <v>Plano Oi Completo Medium</v>
          </cell>
          <cell r="C975" t="str">
            <v>Template de desconto percentual FLAT Móvel - Conta Total - Varejo - Ganho Tributário Cross</v>
          </cell>
          <cell r="D975">
            <v>0.65459999999999996</v>
          </cell>
          <cell r="E975" t="str">
            <v>MKT-1-9871643152</v>
          </cell>
          <cell r="F975" t="str">
            <v>0T3T_REJ17_PCS-4P4pi_FLAT_MÓVEL_GT_65.46%</v>
          </cell>
          <cell r="G975">
            <v>65.459999999999994</v>
          </cell>
        </row>
        <row r="976">
          <cell r="A976" t="str">
            <v>Oi Total Fixo + Pós 250 + Banda Larga0.6077Template de desconto percentual FLAT Móvel - Conta Total - Varejo - Ganho Tributário Cross</v>
          </cell>
          <cell r="B976" t="str">
            <v>Plano Oi Completo Medium</v>
          </cell>
          <cell r="C976" t="str">
            <v>Template de desconto percentual FLAT Móvel - Conta Total - Varejo - Ganho Tributário Cross</v>
          </cell>
          <cell r="D976">
            <v>0.60770000000000002</v>
          </cell>
          <cell r="E976" t="str">
            <v>MKT-1-9871643363</v>
          </cell>
          <cell r="F976" t="str">
            <v>0T3T_REJ17_PCS-4P4pi_FLAT_MÓVEL_GT_60.77%</v>
          </cell>
          <cell r="G976">
            <v>60.77</v>
          </cell>
        </row>
        <row r="977">
          <cell r="A977" t="str">
            <v>Oi Total Fixo + Pós 250 + Banda Larga0.6198Template de desconto percentual FLAT Móvel - Conta Total - Varejo - Ganho Tributário Cross</v>
          </cell>
          <cell r="B977" t="str">
            <v>Plano Oi Completo Medium</v>
          </cell>
          <cell r="C977" t="str">
            <v>Template de desconto percentual FLAT Móvel - Conta Total - Varejo - Ganho Tributário Cross</v>
          </cell>
          <cell r="D977">
            <v>0.61980000000000002</v>
          </cell>
          <cell r="E977" t="str">
            <v>MKT-1-9871643564</v>
          </cell>
          <cell r="F977" t="str">
            <v>0T3T_REJ17_PCS-4P4pi_FLAT_MÓVEL_GT_61.98%</v>
          </cell>
          <cell r="G977">
            <v>61.98</v>
          </cell>
        </row>
        <row r="978">
          <cell r="A978" t="str">
            <v>Oi Total Fixo + Pós 250 + Banda Larga0.573Template de desconto percentual FLAT Móvel - Conta Total - Varejo - Ganho Tributário Cross</v>
          </cell>
          <cell r="B978" t="str">
            <v>Plano Oi Completo Medium</v>
          </cell>
          <cell r="C978" t="str">
            <v>Template de desconto percentual FLAT Móvel - Conta Total - Varejo - Ganho Tributário Cross</v>
          </cell>
          <cell r="D978">
            <v>0.57299999999999995</v>
          </cell>
          <cell r="E978" t="str">
            <v>MKT-1-9871643765</v>
          </cell>
          <cell r="F978" t="str">
            <v>0T3T_REJ17_PCS-4P4pi_FLAT_MÓVEL_GT_57.30%</v>
          </cell>
          <cell r="G978">
            <v>57.3</v>
          </cell>
        </row>
        <row r="979">
          <cell r="A979" t="str">
            <v>Oi Total Fixo + Pós 250 + Banda Larga0.5071Template de desconto percentual FLAT Móvel - Conta Total - Varejo - Ganho Tributário Cross</v>
          </cell>
          <cell r="B979" t="str">
            <v>Plano Oi Completo Medium</v>
          </cell>
          <cell r="C979" t="str">
            <v>Template de desconto percentual FLAT Móvel - Conta Total - Varejo - Ganho Tributário Cross</v>
          </cell>
          <cell r="D979">
            <v>0.5071</v>
          </cell>
          <cell r="E979" t="str">
            <v>MKT-1-9871643966</v>
          </cell>
          <cell r="F979" t="str">
            <v>0T3T_REJ17_PCS-4P4pi_FLAT_MÓVEL_GT_50.71%</v>
          </cell>
          <cell r="G979">
            <v>50.71</v>
          </cell>
        </row>
        <row r="980">
          <cell r="A980" t="str">
            <v>Oi Total Fixo + Pós 250 + Banda Larga0.554Template de desconto percentual FLAT Móvel - Conta Total - Varejo - Ganho Tributário Cross</v>
          </cell>
          <cell r="B980" t="str">
            <v>Plano Oi Completo Medium</v>
          </cell>
          <cell r="C980" t="str">
            <v>Template de desconto percentual FLAT Móvel - Conta Total - Varejo - Ganho Tributário Cross</v>
          </cell>
          <cell r="D980">
            <v>0.55399999999999994</v>
          </cell>
          <cell r="E980" t="str">
            <v>MKT-1-9871654167</v>
          </cell>
          <cell r="F980" t="str">
            <v>0T3T_REJ17_PCS-4P4pi_FLAT_MÓVEL_GT_55.40%</v>
          </cell>
          <cell r="G980">
            <v>55.4</v>
          </cell>
        </row>
        <row r="981">
          <cell r="A981" t="str">
            <v>Oi Total Fixo + Pós 250 + Banda Larga0.5584Template de desconto percentual FLAT Móvel - Conta Total - Varejo - Ganho Tributário Cross</v>
          </cell>
          <cell r="B981" t="str">
            <v>Plano Oi Completo Medium</v>
          </cell>
          <cell r="C981" t="str">
            <v>Template de desconto percentual FLAT Móvel - Conta Total - Varejo - Ganho Tributário Cross</v>
          </cell>
          <cell r="D981">
            <v>0.55840000000000001</v>
          </cell>
          <cell r="E981" t="str">
            <v>MKT-1-9871654368</v>
          </cell>
          <cell r="F981" t="str">
            <v>0T3T_REJ17_PCS-4P4pi_FLAT_MÓVEL_GT_55.84%</v>
          </cell>
          <cell r="G981">
            <v>55.84</v>
          </cell>
        </row>
        <row r="982">
          <cell r="A982" t="str">
            <v>Oi Total Fixo + Pós 250 + Banda Larga0.6053Template de desconto percentual FLAT Móvel - Conta Total - Varejo - Ganho Tributário Cross</v>
          </cell>
          <cell r="B982" t="str">
            <v>Plano Oi Completo Medium</v>
          </cell>
          <cell r="C982" t="str">
            <v>Template de desconto percentual FLAT Móvel - Conta Total - Varejo - Ganho Tributário Cross</v>
          </cell>
          <cell r="D982">
            <v>0.60530000000000006</v>
          </cell>
          <cell r="E982" t="str">
            <v>MKT-1-9871654569</v>
          </cell>
          <cell r="F982" t="str">
            <v>0T3T_REJ17_PCS-4P4pi_FLAT_MÓVEL_GT_60.53%</v>
          </cell>
          <cell r="G982">
            <v>60.53</v>
          </cell>
        </row>
        <row r="983">
          <cell r="A983" t="str">
            <v>Oi Total Fixo + Pós 500 + Banda Larga0.6979Template de desconto percentual FLAT Móvel - Conta Total - Varejo - Ganho Tributário Cross</v>
          </cell>
          <cell r="B983" t="str">
            <v>Plano Oi Completo Large</v>
          </cell>
          <cell r="C983" t="str">
            <v>Template de desconto percentual FLAT Móvel - Conta Total - Varejo - Ganho Tributário Cross</v>
          </cell>
          <cell r="D983">
            <v>0.69790000000000008</v>
          </cell>
          <cell r="E983" t="str">
            <v>MKT-1-9871654770</v>
          </cell>
          <cell r="F983" t="str">
            <v>0T3T_REJ17_PCS-4P5pi_FLAT_MÓVEL_GT_69.79%</v>
          </cell>
          <cell r="G983">
            <v>69.790000000000006</v>
          </cell>
        </row>
        <row r="984">
          <cell r="A984" t="str">
            <v>Oi Total Fixo + Pós 500 + Banda Larga0.7134Template de desconto percentual FLAT Móvel - Conta Total - Varejo - Ganho Tributário Cross</v>
          </cell>
          <cell r="B984" t="str">
            <v>Plano Oi Completo Large</v>
          </cell>
          <cell r="C984" t="str">
            <v>Template de desconto percentual FLAT Móvel - Conta Total - Varejo - Ganho Tributário Cross</v>
          </cell>
          <cell r="D984">
            <v>0.71340000000000003</v>
          </cell>
          <cell r="E984" t="str">
            <v>MKT-1-9871654971</v>
          </cell>
          <cell r="F984" t="str">
            <v>0T3T_REJ17_PCS-4P5pi_FLAT_MÓVEL_GT_71.34%</v>
          </cell>
          <cell r="G984">
            <v>71.34</v>
          </cell>
        </row>
        <row r="985">
          <cell r="A985" t="str">
            <v>Oi Total Fixo + Pós 500 + Banda Larga0.6862Template de desconto percentual FLAT Móvel - Conta Total - Varejo - Ganho Tributário Cross</v>
          </cell>
          <cell r="B985" t="str">
            <v>Plano Oi Completo Large</v>
          </cell>
          <cell r="C985" t="str">
            <v>Template de desconto percentual FLAT Móvel - Conta Total - Varejo - Ganho Tributário Cross</v>
          </cell>
          <cell r="D985">
            <v>0.68620000000000003</v>
          </cell>
          <cell r="E985" t="str">
            <v>MKT-1-9871695172</v>
          </cell>
          <cell r="F985" t="str">
            <v>0T3T_REJ17_PCS-4P5pi_FLAT_MÓVEL_GT_68.62%</v>
          </cell>
          <cell r="G985">
            <v>68.62</v>
          </cell>
        </row>
        <row r="986">
          <cell r="A986" t="str">
            <v>Oi Total Fixo + Pós 500 + Banda Larga0.6638Template de desconto percentual FLAT Móvel - Conta Total - Varejo - Ganho Tributário Cross</v>
          </cell>
          <cell r="B986" t="str">
            <v>Plano Oi Completo Large</v>
          </cell>
          <cell r="C986" t="str">
            <v>Template de desconto percentual FLAT Móvel - Conta Total - Varejo - Ganho Tributário Cross</v>
          </cell>
          <cell r="D986">
            <v>0.66379999999999995</v>
          </cell>
          <cell r="E986" t="str">
            <v>MKT-1-9871695373</v>
          </cell>
          <cell r="F986" t="str">
            <v>0T3T_REJ17_PCS-4P5pi_FLAT_MÓVEL_GT_66.38%</v>
          </cell>
          <cell r="G986">
            <v>66.38</v>
          </cell>
        </row>
        <row r="987">
          <cell r="A987" t="str">
            <v>Oi Total Fixo + Pós 500 + Banda Larga0.6213Template de desconto percentual FLAT Móvel - Conta Total - Varejo - Ganho Tributário Cross</v>
          </cell>
          <cell r="B987" t="str">
            <v>Plano Oi Completo Large</v>
          </cell>
          <cell r="C987" t="str">
            <v>Template de desconto percentual FLAT Móvel - Conta Total - Varejo - Ganho Tributário Cross</v>
          </cell>
          <cell r="D987">
            <v>0.62130000000000007</v>
          </cell>
          <cell r="E987" t="str">
            <v>MKT-1-9871695574</v>
          </cell>
          <cell r="F987" t="str">
            <v>0T3T_REJ17_PCS-4P5pi_FLAT_MÓVEL_GT_62.13%</v>
          </cell>
          <cell r="G987">
            <v>62.13</v>
          </cell>
        </row>
        <row r="988">
          <cell r="A988" t="str">
            <v>Oi Total Fixo + Pós 500 + Banda Larga0.6544Template de desconto percentual FLAT Móvel - Conta Total - Varejo - Ganho Tributário Cross</v>
          </cell>
          <cell r="B988" t="str">
            <v>Plano Oi Completo Large</v>
          </cell>
          <cell r="C988" t="str">
            <v>Template de desconto percentual FLAT Móvel - Conta Total - Varejo - Ganho Tributário Cross</v>
          </cell>
          <cell r="D988">
            <v>0.65439999999999998</v>
          </cell>
          <cell r="E988" t="str">
            <v>MKT-1-9871695775</v>
          </cell>
          <cell r="F988" t="str">
            <v>0T3T_REJ17_PCS-4P5pi_FLAT_MÓVEL_GT_65.44%</v>
          </cell>
          <cell r="G988">
            <v>65.44</v>
          </cell>
        </row>
        <row r="989">
          <cell r="A989" t="str">
            <v>Oi Total Fixo + Pós 800 + Banda Larga0.7395Template de desconto percentual FLAT Móvel - Conta Total - Varejo - Ganho Tributário Cross</v>
          </cell>
          <cell r="B989" t="str">
            <v>Plano Oi Completo Xlarge</v>
          </cell>
          <cell r="C989" t="str">
            <v>Template de desconto percentual FLAT Móvel - Conta Total - Varejo - Ganho Tributário Cross</v>
          </cell>
          <cell r="D989">
            <v>0.73950000000000005</v>
          </cell>
          <cell r="E989" t="str">
            <v>MKT-1-9871695976</v>
          </cell>
          <cell r="F989" t="str">
            <v>0T3T_REJ17_PCS-4P6pi_FLAT_MÓVEL_GT_73.95%</v>
          </cell>
          <cell r="G989">
            <v>73.95</v>
          </cell>
        </row>
        <row r="990">
          <cell r="A990" t="str">
            <v>Oi Total Fixo + Pós 800 + Banda Larga0.7502Template de desconto percentual FLAT Móvel - Conta Total - Varejo - Ganho Tributário Cross</v>
          </cell>
          <cell r="B990" t="str">
            <v>Plano Oi Completo Xlarge</v>
          </cell>
          <cell r="C990" t="str">
            <v>Template de desconto percentual FLAT Móvel - Conta Total - Varejo - Ganho Tributário Cross</v>
          </cell>
          <cell r="D990">
            <v>0.75019999999999998</v>
          </cell>
          <cell r="E990" t="str">
            <v>MKT-1-9871757177</v>
          </cell>
          <cell r="F990" t="str">
            <v>0T3T_REJ17_PCS-4P6pi_FLAT_MÓVEL_GT_75.02%</v>
          </cell>
          <cell r="G990">
            <v>75.02</v>
          </cell>
        </row>
        <row r="991">
          <cell r="A991" t="str">
            <v>Oi Total Fixo + Pós 800 + Banda Larga0.7315Template de desconto percentual FLAT Móvel - Conta Total - Varejo - Ganho Tributário Cross</v>
          </cell>
          <cell r="B991" t="str">
            <v>Plano Oi Completo Xlarge</v>
          </cell>
          <cell r="C991" t="str">
            <v>Template de desconto percentual FLAT Móvel - Conta Total - Varejo - Ganho Tributário Cross</v>
          </cell>
          <cell r="D991">
            <v>0.73150000000000004</v>
          </cell>
          <cell r="E991" t="str">
            <v>MKT-1-9871757378</v>
          </cell>
          <cell r="F991" t="str">
            <v>0T3T_REJ17_PCS-4P6pi_FLAT_MÓVEL_GT_73.15%</v>
          </cell>
          <cell r="G991">
            <v>73.150000000000006</v>
          </cell>
        </row>
        <row r="992">
          <cell r="A992" t="str">
            <v>Oi Total Fixo + Pós 800 + Banda Larga0.7161Template de desconto percentual FLAT Móvel - Conta Total - Varejo - Ganho Tributário Cross</v>
          </cell>
          <cell r="B992" t="str">
            <v>Plano Oi Completo Xlarge</v>
          </cell>
          <cell r="C992" t="str">
            <v>Template de desconto percentual FLAT Móvel - Conta Total - Varejo - Ganho Tributário Cross</v>
          </cell>
          <cell r="D992">
            <v>0.71609999999999996</v>
          </cell>
          <cell r="E992" t="str">
            <v>MKT-1-9871757579</v>
          </cell>
          <cell r="F992" t="str">
            <v>0T3T_REJ17_PCS-4P6pi_FLAT_MÓVEL_GT_71.61%</v>
          </cell>
          <cell r="G992">
            <v>71.61</v>
          </cell>
        </row>
        <row r="993">
          <cell r="A993" t="str">
            <v>Oi Total Fixo + Pós 800 + Banda Larga0.6867Template de desconto percentual FLAT Móvel - Conta Total - Varejo - Ganho Tributário Cross</v>
          </cell>
          <cell r="B993" t="str">
            <v>Plano Oi Completo Xlarge</v>
          </cell>
          <cell r="C993" t="str">
            <v>Template de desconto percentual FLAT Móvel - Conta Total - Varejo - Ganho Tributário Cross</v>
          </cell>
          <cell r="D993">
            <v>0.68669999999999998</v>
          </cell>
          <cell r="E993" t="str">
            <v>MKT-1-9871757780</v>
          </cell>
          <cell r="F993" t="str">
            <v>0T3T_REJ17_PCS-4P6pi_FLAT_MÓVEL_GT_68.67%</v>
          </cell>
          <cell r="G993">
            <v>68.67</v>
          </cell>
        </row>
        <row r="994">
          <cell r="A994" t="str">
            <v>Oi Total Fixo + Pós 800 + Banda Larga0.7096Template de desconto percentual FLAT Móvel - Conta Total - Varejo - Ganho Tributário Cross</v>
          </cell>
          <cell r="B994" t="str">
            <v>Plano Oi Completo Xlarge</v>
          </cell>
          <cell r="C994" t="str">
            <v>Template de desconto percentual FLAT Móvel - Conta Total - Varejo - Ganho Tributário Cross</v>
          </cell>
          <cell r="D994">
            <v>0.7095999999999999</v>
          </cell>
          <cell r="E994" t="str">
            <v>MKT-1-9871757981</v>
          </cell>
          <cell r="F994" t="str">
            <v>0T3T_REJ17_PCS-4P6pi_FLAT_MÓVEL_GT_70.96%</v>
          </cell>
          <cell r="G994">
            <v>70.959999999999994</v>
          </cell>
        </row>
        <row r="995">
          <cell r="A995" t="str">
            <v>Oi Total Fixo + Pós Conectado 500 + Banda Larga0.7694Template de desconto percentual FLAT Móvel - Conta Total - Varejo - Ganho Tributário Cross</v>
          </cell>
          <cell r="B995" t="str">
            <v>Plano Oi Completo 500</v>
          </cell>
          <cell r="C995" t="str">
            <v>Template de desconto percentual FLAT Móvel - Conta Total - Varejo - Ganho Tributário Cross</v>
          </cell>
          <cell r="D995">
            <v>0.76939999999999997</v>
          </cell>
          <cell r="E995" t="str">
            <v>MKT-1-9871764182</v>
          </cell>
          <cell r="F995" t="str">
            <v>0T3T_REJ17_PCS-4P8pi_FLAT_MÓVEL_GT_76.94%</v>
          </cell>
          <cell r="G995">
            <v>76.94</v>
          </cell>
        </row>
        <row r="996">
          <cell r="A996" t="str">
            <v>Oi Total Fixo + Pós Conectado 500 + Banda Larga0.7636Template de desconto percentual FLAT Móvel - Conta Total - Varejo - Ganho Tributário Cross</v>
          </cell>
          <cell r="B996" t="str">
            <v>Plano Oi Completo 500</v>
          </cell>
          <cell r="C996" t="str">
            <v>Template de desconto percentual FLAT Móvel - Conta Total - Varejo - Ganho Tributário Cross</v>
          </cell>
          <cell r="D996">
            <v>0.76359999999999995</v>
          </cell>
          <cell r="E996" t="str">
            <v>MKT-1-9871764383</v>
          </cell>
          <cell r="F996" t="str">
            <v>0T3T_REJ17_PCS-4P8pi_FLAT_MÓVEL_GT_76.36%</v>
          </cell>
          <cell r="G996">
            <v>76.36</v>
          </cell>
        </row>
        <row r="997">
          <cell r="A997" t="str">
            <v>Oi Total Fixo + Pós Conectado 500 + Banda Larga0.7221Template de desconto percentual FLAT Móvel - Conta Total - Varejo - Ganho Tributário Cross</v>
          </cell>
          <cell r="B997" t="str">
            <v>Plano Oi Completo 500</v>
          </cell>
          <cell r="C997" t="str">
            <v>Template de desconto percentual FLAT Móvel - Conta Total - Varejo - Ganho Tributário Cross</v>
          </cell>
          <cell r="D997">
            <v>0.72209999999999996</v>
          </cell>
          <cell r="E997" t="str">
            <v>MKT-1-9871764584</v>
          </cell>
          <cell r="F997" t="str">
            <v>0T3T_REJ17_PCS-4P8pi_FLAT_MÓVEL_GT_72.21%</v>
          </cell>
          <cell r="G997">
            <v>72.209999999999994</v>
          </cell>
        </row>
        <row r="998">
          <cell r="A998" t="str">
            <v>Oi Total Fixo + Pós Conectado 500 + Banda Larga0.6878Template de desconto percentual FLAT Móvel - Conta Total - Varejo - Ganho Tributário Cross</v>
          </cell>
          <cell r="B998" t="str">
            <v>Plano Oi Completo 500</v>
          </cell>
          <cell r="C998" t="str">
            <v>Template de desconto percentual FLAT Móvel - Conta Total - Varejo - Ganho Tributário Cross</v>
          </cell>
          <cell r="D998">
            <v>0.68779999999999997</v>
          </cell>
          <cell r="E998" t="str">
            <v>MKT-1-9871764785</v>
          </cell>
          <cell r="F998" t="str">
            <v>0T3T_REJ17_PCS-4P8pi_FLAT_MÓVEL_GT_68.78%</v>
          </cell>
          <cell r="G998">
            <v>68.78</v>
          </cell>
        </row>
        <row r="999">
          <cell r="A999" t="str">
            <v>Oi Total Fixo + Pós Conectado 500 + Banda Larga0.6304Template de desconto percentual FLAT Móvel - Conta Total - Varejo - Ganho Tributário Cross</v>
          </cell>
          <cell r="B999" t="str">
            <v>Plano Oi Completo 500</v>
          </cell>
          <cell r="C999" t="str">
            <v>Template de desconto percentual FLAT Móvel - Conta Total - Varejo - Ganho Tributário Cross</v>
          </cell>
          <cell r="D999">
            <v>0.63039999999999996</v>
          </cell>
          <cell r="E999" t="str">
            <v>MKT-1-9871764986</v>
          </cell>
          <cell r="F999" t="str">
            <v>0T3T_REJ17_PCS-4P8pi_FLAT_MÓVEL_GT_63.04%</v>
          </cell>
          <cell r="G999">
            <v>63.04</v>
          </cell>
        </row>
        <row r="1000">
          <cell r="A1000" t="str">
            <v>Oi Total Fixo + Pós Conectado 500 + Banda Larga0.587Template de desconto percentual FLAT Móvel - Conta Total - Varejo - Ganho Tributário Cross</v>
          </cell>
          <cell r="B1000" t="str">
            <v>Plano Oi Completo 500</v>
          </cell>
          <cell r="C1000" t="str">
            <v>Template de desconto percentual FLAT Móvel - Conta Total - Varejo - Ganho Tributário Cross</v>
          </cell>
          <cell r="D1000">
            <v>0.58700000000000008</v>
          </cell>
          <cell r="E1000" t="str">
            <v>MKT-1-9871830187</v>
          </cell>
          <cell r="F1000" t="str">
            <v>0T3T_REJ17_PCS-4P8pi_FLAT_MÓVEL_GT_58.70%</v>
          </cell>
          <cell r="G1000">
            <v>58.7</v>
          </cell>
        </row>
        <row r="1001">
          <cell r="A1001" t="str">
            <v>Oi Total Fixo + Pós Conectado 1.000 + Banda Larga0.8Template de desconto percentual FLAT Móvel - Conta Total - Varejo - Ganho Tributário Cross</v>
          </cell>
          <cell r="B1001" t="str">
            <v>Plano Oi Completo 1.000</v>
          </cell>
          <cell r="C1001" t="str">
            <v>Template de desconto percentual FLAT Móvel - Conta Total - Varejo - Ganho Tributário Cross</v>
          </cell>
          <cell r="D1001">
            <v>0.8</v>
          </cell>
          <cell r="E1001" t="str">
            <v>MKT-1-9871830388</v>
          </cell>
          <cell r="F1001" t="str">
            <v>0T3T_REJ17_PCS-4P10pi_FLAT_MÓVEL_GT_80.00%</v>
          </cell>
          <cell r="G1001">
            <v>80</v>
          </cell>
        </row>
        <row r="1002">
          <cell r="A1002" t="str">
            <v>Oi Total Fixo + Pós Conectado 1.000 + Banda Larga0.7681Template de desconto percentual FLAT Móvel - Conta Total - Varejo - Ganho Tributário Cross</v>
          </cell>
          <cell r="B1002" t="str">
            <v>Plano Oi Completo 1.000</v>
          </cell>
          <cell r="C1002" t="str">
            <v>Template de desconto percentual FLAT Móvel - Conta Total - Varejo - Ganho Tributário Cross</v>
          </cell>
          <cell r="D1002">
            <v>0.7681</v>
          </cell>
          <cell r="E1002" t="str">
            <v>MKT-1-9871830629</v>
          </cell>
          <cell r="F1002" t="str">
            <v>0T3T_REJ17_PCS-4P10pi_FLAT_MÓVEL_GT_76.81%</v>
          </cell>
          <cell r="G1002">
            <v>76.81</v>
          </cell>
        </row>
        <row r="1003">
          <cell r="A1003" t="str">
            <v>Oi Total Fixo + Pós Conectado 1.000 + Banda Larga0.7417Template de desconto percentual FLAT Móvel - Conta Total - Varejo - Ganho Tributário Cross</v>
          </cell>
          <cell r="B1003" t="str">
            <v>Plano Oi Completo 1.000</v>
          </cell>
          <cell r="C1003" t="str">
            <v>Template de desconto percentual FLAT Móvel - Conta Total - Varejo - Ganho Tributário Cross</v>
          </cell>
          <cell r="D1003">
            <v>0.74170000000000003</v>
          </cell>
          <cell r="E1003" t="str">
            <v>MKT-1-9871830850</v>
          </cell>
          <cell r="F1003" t="str">
            <v>0T3T_REJ17_PCS-4P10pi_FLAT_MÓVEL_GT_74.17%</v>
          </cell>
          <cell r="G1003">
            <v>74.17</v>
          </cell>
        </row>
        <row r="1004">
          <cell r="A1004" t="str">
            <v>Oi Total Fixo + Pós Conectado 1.000 + Banda Larga0.6974Template de desconto percentual FLAT Móvel - Conta Total - Varejo - Ganho Tributário Cross</v>
          </cell>
          <cell r="B1004" t="str">
            <v>Plano Oi Completo 1.000</v>
          </cell>
          <cell r="C1004" t="str">
            <v>Template de desconto percentual FLAT Móvel - Conta Total - Varejo - Ganho Tributário Cross</v>
          </cell>
          <cell r="D1004">
            <v>0.69739999999999991</v>
          </cell>
          <cell r="E1004" t="str">
            <v>MKT-1-9871831071</v>
          </cell>
          <cell r="F1004" t="str">
            <v>0T3T_REJ17_PCS-4P10pi_FLAT_MÓVEL_GT_69.74%</v>
          </cell>
          <cell r="G1004">
            <v>69.739999999999995</v>
          </cell>
        </row>
        <row r="1005">
          <cell r="A1005" t="str">
            <v>Oi Total Fixo + Pós Conectado 1.000 + Banda Larga0.6639Template de desconto percentual FLAT Móvel - Conta Total - Varejo - Ganho Tributário Cross</v>
          </cell>
          <cell r="B1005" t="str">
            <v>Plano Oi Completo 1.000</v>
          </cell>
          <cell r="C1005" t="str">
            <v>Template de desconto percentual FLAT Móvel - Conta Total - Varejo - Ganho Tributário Cross</v>
          </cell>
          <cell r="D1005">
            <v>0.66390000000000005</v>
          </cell>
          <cell r="E1005" t="str">
            <v>MKT-1-9871924282</v>
          </cell>
          <cell r="F1005" t="str">
            <v>0T3T_REJ17_PCS-4P10pi_FLAT_MÓVEL_GT_66.39%</v>
          </cell>
          <cell r="G1005">
            <v>66.39</v>
          </cell>
        </row>
        <row r="1006">
          <cell r="A1006" t="str">
            <v>Oi Total Fixo + Pós Conectado Mais + Banda Larga0.7794Template de desconto percentual FLAT Móvel - Conta Total - Varejo - Ganho Tributário Cross</v>
          </cell>
          <cell r="B1006" t="str">
            <v>Plano Oi Completo Mais</v>
          </cell>
          <cell r="C1006" t="str">
            <v>Template de desconto percentual FLAT Móvel - Conta Total - Varejo - Ganho Tributário Cross</v>
          </cell>
          <cell r="D1006">
            <v>0.77939999999999998</v>
          </cell>
          <cell r="E1006" t="str">
            <v>MKT-1-9871924513</v>
          </cell>
          <cell r="F1006" t="str">
            <v>0T3T_REJ17_PCS-4P9pi_FLAT_MÓVEL_GT_77.94%</v>
          </cell>
          <cell r="G1006">
            <v>77.94</v>
          </cell>
        </row>
        <row r="1007">
          <cell r="A1007" t="str">
            <v>Oi Total Fixo + Pós Conectado Mais + Banda Larga0.7534Template de desconto percentual FLAT Móvel - Conta Total - Varejo - Ganho Tributário Cross</v>
          </cell>
          <cell r="B1007" t="str">
            <v>Plano Oi Completo Mais</v>
          </cell>
          <cell r="C1007" t="str">
            <v>Template de desconto percentual FLAT Móvel - Conta Total - Varejo - Ganho Tributário Cross</v>
          </cell>
          <cell r="D1007">
            <v>0.75340000000000007</v>
          </cell>
          <cell r="E1007" t="str">
            <v>MKT-1-9871924964</v>
          </cell>
          <cell r="F1007" t="str">
            <v>0T3T_REJ17_PCS-4P9pi_FLAT_MÓVEL_GT_75.34%</v>
          </cell>
          <cell r="G1007">
            <v>75.34</v>
          </cell>
        </row>
        <row r="1008">
          <cell r="A1008" t="str">
            <v>Oi Total Fixo + Pós Conectado Mais + Banda Larga0.7319Template de desconto percentual FLAT Móvel - Conta Total - Varejo - Ganho Tributário Cross</v>
          </cell>
          <cell r="B1008" t="str">
            <v>Plano Oi Completo Mais</v>
          </cell>
          <cell r="C1008" t="str">
            <v>Template de desconto percentual FLAT Móvel - Conta Total - Varejo - Ganho Tributário Cross</v>
          </cell>
          <cell r="D1008">
            <v>0.7319</v>
          </cell>
          <cell r="E1008" t="str">
            <v>MKT-1-9871954425</v>
          </cell>
          <cell r="F1008" t="str">
            <v>0T3T_REJ17_PCS-4P9pi_FLAT_MÓVEL_GT_73.19%</v>
          </cell>
          <cell r="G1008">
            <v>73.19</v>
          </cell>
        </row>
        <row r="1009">
          <cell r="A1009" t="str">
            <v>Oi Total Fixo + Pós Conectado Mais + Banda Larga0.6687Template de desconto percentual FLAT Móvel - Conta Total - Varejo - Ganho Tributário Cross</v>
          </cell>
          <cell r="B1009" t="str">
            <v>Plano Oi Completo Mais</v>
          </cell>
          <cell r="C1009" t="str">
            <v>Template de desconto percentual FLAT Móvel - Conta Total - Varejo - Ganho Tributário Cross</v>
          </cell>
          <cell r="D1009">
            <v>0.66870000000000007</v>
          </cell>
          <cell r="E1009" t="str">
            <v>MKT-1-9871954876</v>
          </cell>
          <cell r="F1009" t="str">
            <v>0T3T_REJ17_PCS-4P9pi_FLAT_MÓVEL_GT_66.87%</v>
          </cell>
          <cell r="G1009">
            <v>66.87</v>
          </cell>
        </row>
        <row r="1010">
          <cell r="A1010" t="str">
            <v>Oi Total Fixo + Pós Conectado Mais + Banda Larga0.6959Template de desconto percentual FLAT Móvel - Conta Total - Varejo - Ganho Tributário Cross</v>
          </cell>
          <cell r="B1010" t="str">
            <v>Plano Oi Completo Mais</v>
          </cell>
          <cell r="C1010" t="str">
            <v>Template de desconto percentual FLAT Móvel - Conta Total - Varejo - Ganho Tributário Cross</v>
          </cell>
          <cell r="D1010">
            <v>0.69590000000000007</v>
          </cell>
          <cell r="E1010" t="str">
            <v>MKT-1-9871964317</v>
          </cell>
          <cell r="F1010" t="str">
            <v>0T3T_REJ17_PCS-4P9pi_FLAT_MÓVEL_GT_69.59%</v>
          </cell>
          <cell r="G1010">
            <v>69.59</v>
          </cell>
        </row>
        <row r="1011">
          <cell r="A1011" t="str">
            <v>Oi Total Fixo + Pós Conectado 500 + Banda Larga0.2551Template desconto FLAT Plano Principal Oi TV nível conta</v>
          </cell>
          <cell r="B1011" t="str">
            <v>Plano Oi Completo 500</v>
          </cell>
          <cell r="C1011" t="str">
            <v>Template desconto FLAT Plano Principal Oi TV nível conta</v>
          </cell>
          <cell r="D1011">
            <v>0.25509999999999999</v>
          </cell>
          <cell r="E1011" t="str">
            <v>MKT-1-9872312161</v>
          </cell>
          <cell r="F1011" t="str">
            <v>0T3T_REJ17_PCS-4P8pi_FLAT_TV_25.51%</v>
          </cell>
          <cell r="G1011">
            <v>25.51</v>
          </cell>
        </row>
        <row r="1012">
          <cell r="A1012" t="str">
            <v>Oi Total Fixo + Pós Conectado 1.000 + Banda Larga0.2551Template desconto FLAT Plano Principal Oi TV nível conta</v>
          </cell>
          <cell r="B1012" t="str">
            <v>Plano Oi Completo 1.000</v>
          </cell>
          <cell r="C1012" t="str">
            <v>Template desconto FLAT Plano Principal Oi TV nível conta</v>
          </cell>
          <cell r="D1012">
            <v>0.25509999999999999</v>
          </cell>
          <cell r="E1012" t="str">
            <v>MKT-1-9872312436</v>
          </cell>
          <cell r="F1012" t="str">
            <v>0T3T_REJ17_PCS-4P10pi_FLAT_TV_25.51%</v>
          </cell>
          <cell r="G1012">
            <v>25.51</v>
          </cell>
        </row>
        <row r="1013">
          <cell r="A1013" t="str">
            <v>Oi Total Fixo + Pós Conectado Mais + Banda Larga0.2551Template desconto FLAT Plano Principal Oi TV nível conta</v>
          </cell>
          <cell r="B1013" t="str">
            <v>Plano Oi Completo Mais</v>
          </cell>
          <cell r="C1013" t="str">
            <v>Template desconto FLAT Plano Principal Oi TV nível conta</v>
          </cell>
          <cell r="D1013">
            <v>0.25509999999999999</v>
          </cell>
          <cell r="E1013" t="str">
            <v>MKT-1-9872312691</v>
          </cell>
          <cell r="F1013" t="str">
            <v>0T3T_REJ17_PCS-4P9pi_FLAT_TV_25.51%</v>
          </cell>
          <cell r="G1013">
            <v>25.51</v>
          </cell>
        </row>
        <row r="1014">
          <cell r="A1014" t="str">
            <v>Oi Internet pra Celular 3GB0.512Template Flat Instância Dados</v>
          </cell>
          <cell r="B1014" t="str">
            <v>Oi Internet pra Celular 3GB</v>
          </cell>
          <cell r="C1014" t="str">
            <v>Template Flat Instância Dados</v>
          </cell>
          <cell r="D1014">
            <v>0.51200000000000001</v>
          </cell>
          <cell r="E1014" t="str">
            <v>MKT-1-9872506621</v>
          </cell>
          <cell r="F1014" t="str">
            <v>0T3T_REJ17_INTCEL-3G_51.20%</v>
          </cell>
          <cell r="G1014">
            <v>51.2</v>
          </cell>
        </row>
        <row r="1015">
          <cell r="A1015" t="str">
            <v>Oi Internet pra Celular 10GB0.4651Template Flat Instância Dados</v>
          </cell>
          <cell r="B1015" t="str">
            <v>Oi Internet pra Celular 10GB</v>
          </cell>
          <cell r="C1015" t="str">
            <v>Template Flat Instância Dados</v>
          </cell>
          <cell r="D1015">
            <v>0.46509999999999996</v>
          </cell>
          <cell r="E1015" t="str">
            <v>MKT-1-9872506993</v>
          </cell>
          <cell r="F1015" t="str">
            <v>0T3T_REJ17_INTCEL-10G_46.51%</v>
          </cell>
          <cell r="G1015">
            <v>46.51</v>
          </cell>
        </row>
        <row r="1016">
          <cell r="A1016" t="str">
            <v>Oi Internet pra Celular 3GB0.5935Template Flat Instância Dados</v>
          </cell>
          <cell r="B1016" t="str">
            <v>Oi Internet pra Celular 3GB</v>
          </cell>
          <cell r="C1016" t="str">
            <v>Template Flat Instância Dados</v>
          </cell>
          <cell r="D1016">
            <v>0.59350000000000003</v>
          </cell>
          <cell r="E1016" t="str">
            <v>MKT-1-9872897365</v>
          </cell>
          <cell r="F1016" t="str">
            <v>0T3T_REJ17_INTCEL-3G_59.35%</v>
          </cell>
          <cell r="G1016">
            <v>59.35</v>
          </cell>
        </row>
        <row r="1017">
          <cell r="A1017" t="str">
            <v>Oi Internet pra Celular 5GB0.5083Template Flat Instância Dados</v>
          </cell>
          <cell r="B1017" t="str">
            <v>Oi Internet pra Celular 5GB</v>
          </cell>
          <cell r="C1017" t="str">
            <v>Template Flat Instância Dados</v>
          </cell>
          <cell r="D1017">
            <v>0.50829999999999997</v>
          </cell>
          <cell r="E1017" t="str">
            <v>MKT-1-9872897737</v>
          </cell>
          <cell r="F1017" t="str">
            <v>0T3T_REJ17_INTCEL-5G_50.83%</v>
          </cell>
          <cell r="G1017">
            <v>50.83</v>
          </cell>
        </row>
        <row r="1018">
          <cell r="A1018" t="str">
            <v>Oi Internet pra Celular 3GB0.6026Template Flat Instância Dados</v>
          </cell>
          <cell r="B1018" t="str">
            <v>Oi Internet pra Celular 3GB</v>
          </cell>
          <cell r="C1018" t="str">
            <v>Template Flat Instância Dados</v>
          </cell>
          <cell r="D1018">
            <v>0.60260000000000002</v>
          </cell>
          <cell r="E1018" t="str">
            <v>MKT-1-9872899109</v>
          </cell>
          <cell r="F1018" t="str">
            <v>0T3T_REJ17_INTCEL-3G_60.26%</v>
          </cell>
          <cell r="G1018">
            <v>60.26</v>
          </cell>
        </row>
        <row r="1019">
          <cell r="A1019" t="str">
            <v>Oi Internet pra Celular 10GB0.5059Template Flat Instância Dados</v>
          </cell>
          <cell r="B1019" t="str">
            <v>Oi Internet pra Celular 10GB</v>
          </cell>
          <cell r="C1019" t="str">
            <v>Template Flat Instância Dados</v>
          </cell>
          <cell r="D1019">
            <v>0.50590000000000002</v>
          </cell>
          <cell r="E1019" t="str">
            <v>MKT-1-9872899481</v>
          </cell>
          <cell r="F1019" t="str">
            <v>0T3T_REJ17_INTCEL-10G_50.59%</v>
          </cell>
          <cell r="G1019">
            <v>50.59</v>
          </cell>
        </row>
        <row r="1020">
          <cell r="A1020" t="str">
            <v>Oi Internet pra Celular 5GB0.0862Template Flat Instância Dados</v>
          </cell>
          <cell r="B1020" t="str">
            <v>Oi Internet pra Celular 5GB</v>
          </cell>
          <cell r="C1020" t="str">
            <v>Template Flat Instância Dados</v>
          </cell>
          <cell r="D1020">
            <v>8.6199999999999999E-2</v>
          </cell>
          <cell r="E1020" t="str">
            <v>MKT-1-9872899853</v>
          </cell>
          <cell r="F1020" t="str">
            <v>0T3T_REJ17_INTCEL-5G_08.62%</v>
          </cell>
          <cell r="G1020">
            <v>8.6199999999999992</v>
          </cell>
        </row>
        <row r="1021">
          <cell r="A1021" t="str">
            <v>Oi Total Fixo + Pós Conectado 500 + Banda Larga0.8521Template de desconto percentual FLAT Móvel - Conta Total - Varejo - Ganho Tributário Cross</v>
          </cell>
          <cell r="B1021" t="str">
            <v>Plano Oi Completo 500</v>
          </cell>
          <cell r="C1021" t="str">
            <v>Template de desconto percentual FLAT Móvel - Conta Total - Varejo - Ganho Tributário Cross</v>
          </cell>
          <cell r="D1021">
            <v>0.85209999999999997</v>
          </cell>
          <cell r="E1021" t="str">
            <v>MKT-1-9872995252</v>
          </cell>
          <cell r="F1021" t="str">
            <v>0T3T_REJ17_PCS-4P8pi_FLAT_MÓVEL_GT_85.21%</v>
          </cell>
          <cell r="G1021">
            <v>85.21</v>
          </cell>
        </row>
        <row r="1022">
          <cell r="A1022" t="str">
            <v>Oi Total Fixo + Pós Conectado 500 + Banda Larga0.7412Template de desconto percentual FLAT Móvel - Conta Total - Varejo - Ganho Tributário Cross</v>
          </cell>
          <cell r="B1022" t="str">
            <v>Plano Oi Completo 500</v>
          </cell>
          <cell r="C1022" t="str">
            <v>Template de desconto percentual FLAT Móvel - Conta Total - Varejo - Ganho Tributário Cross</v>
          </cell>
          <cell r="D1022">
            <v>0.74120000000000008</v>
          </cell>
          <cell r="E1022" t="str">
            <v>MKT-1-9873018256</v>
          </cell>
          <cell r="F1022" t="str">
            <v>0T3T_REJ17_PCS-4P8pi_FLAT_MÓVEL_GT_74.12%</v>
          </cell>
          <cell r="G1022">
            <v>74.12</v>
          </cell>
        </row>
        <row r="1023">
          <cell r="A1023" t="str">
            <v>Oi Total Fixo + Pós Conectado 500 + Banda Larga0.8799Template de desconto percentual FLAT Móvel - Conta Total - Varejo - Ganho Tributário Cross</v>
          </cell>
          <cell r="B1023" t="str">
            <v>Plano Oi Completo 500</v>
          </cell>
          <cell r="C1023" t="str">
            <v>Template de desconto percentual FLAT Móvel - Conta Total - Varejo - Ganho Tributário Cross</v>
          </cell>
          <cell r="D1023">
            <v>0.8798999999999999</v>
          </cell>
          <cell r="E1023" t="str">
            <v>MKT-1-9873155924</v>
          </cell>
          <cell r="F1023" t="str">
            <v>0T3T_REJ17_PCS-4P8pi_FLAT_MÓVEL_GT_87.99%</v>
          </cell>
          <cell r="G1023">
            <v>87.99</v>
          </cell>
        </row>
        <row r="1024">
          <cell r="A1024" t="str">
            <v>Oi Total Fixo + Pós Conectado Mais + Banda Larga0.7683Template de desconto percentual FLAT Móvel - Conta Total - Varejo - Ganho Tributário Cross</v>
          </cell>
          <cell r="B1024" t="str">
            <v>Plano Oi Completo Mais</v>
          </cell>
          <cell r="C1024" t="str">
            <v>Template de desconto percentual FLAT Móvel - Conta Total - Varejo - Ganho Tributário Cross</v>
          </cell>
          <cell r="D1024">
            <v>0.76829999999999998</v>
          </cell>
          <cell r="E1024" t="str">
            <v>MKT-1-9872995533</v>
          </cell>
          <cell r="F1024" t="str">
            <v>0T3T_REJ17_PCS-4P9pi_FLAT_MÓVEL_GT_76.83%</v>
          </cell>
          <cell r="G1024">
            <v>76.83</v>
          </cell>
        </row>
        <row r="1025">
          <cell r="A1025" t="str">
            <v>Oi Total Fixo + Pós Conectado Mais + Banda Larga0.7538Template de desconto percentual FLAT Móvel - Conta Total - Varejo - Ganho Tributário Cross</v>
          </cell>
          <cell r="B1025" t="str">
            <v>Plano Oi Completo Mais</v>
          </cell>
          <cell r="C1025" t="str">
            <v>Template de desconto percentual FLAT Móvel - Conta Total - Varejo - Ganho Tributário Cross</v>
          </cell>
          <cell r="D1025">
            <v>0.75379999999999991</v>
          </cell>
          <cell r="E1025" t="str">
            <v>MKT-1-9872995764</v>
          </cell>
          <cell r="F1025" t="str">
            <v>0T3T_REJ17_PCS-4P9pi_FLAT_MÓVEL_GT_75.38%</v>
          </cell>
          <cell r="G1025">
            <v>75.38</v>
          </cell>
        </row>
        <row r="1026">
          <cell r="A1026" t="str">
            <v>Oi Total Fixo + Pós Conectado Mais + Banda Larga0.7943Template de desconto percentual FLAT Móvel - Conta Total - Varejo - Ganho Tributário Cross</v>
          </cell>
          <cell r="B1026" t="str">
            <v>Plano Oi Completo Mais</v>
          </cell>
          <cell r="C1026" t="str">
            <v>Template de desconto percentual FLAT Móvel - Conta Total - Varejo - Ganho Tributário Cross</v>
          </cell>
          <cell r="D1026">
            <v>0.79430000000000012</v>
          </cell>
          <cell r="E1026" t="str">
            <v>MKT-1-9873018680</v>
          </cell>
          <cell r="F1026" t="str">
            <v>0T3T_REJ17_PCS-4P9pi_FLAT_MÓVEL_GT_79.43%</v>
          </cell>
          <cell r="G1026">
            <v>79.430000000000007</v>
          </cell>
        </row>
        <row r="1027">
          <cell r="A1027" t="str">
            <v>Oi Total Fixo + Pós Conectado Mais + Banda Larga0.7828Template de desconto percentual FLAT Móvel - Conta Total - Varejo - Ganho Tributário Cross</v>
          </cell>
          <cell r="B1027" t="str">
            <v>Plano Oi Completo Mais</v>
          </cell>
          <cell r="C1027" t="str">
            <v>Template de desconto percentual FLAT Móvel - Conta Total - Varejo - Ganho Tributário Cross</v>
          </cell>
          <cell r="D1027">
            <v>0.78280000000000005</v>
          </cell>
          <cell r="E1027" t="str">
            <v>MKT-1-9873044222</v>
          </cell>
          <cell r="F1027" t="str">
            <v>0T3T_REJ17_PCS-4P9pi_FLAT_MÓVEL_GT_78.28%</v>
          </cell>
          <cell r="G1027">
            <v>78.28</v>
          </cell>
        </row>
        <row r="1028">
          <cell r="A1028" t="str">
            <v>Oi Total Fixo + Pós Conectado Mais + Banda Larga0.7741Template de desconto percentual FLAT Móvel - Conta Total - Varejo - Ganho Tributário Cross</v>
          </cell>
          <cell r="B1028" t="str">
            <v>Plano Oi Completo Mais</v>
          </cell>
          <cell r="C1028" t="str">
            <v>Template de desconto percentual FLAT Móvel - Conta Total - Varejo - Ganho Tributário Cross</v>
          </cell>
          <cell r="D1028">
            <v>0.77410000000000001</v>
          </cell>
          <cell r="E1028" t="str">
            <v>MKT-1-9873040301</v>
          </cell>
          <cell r="F1028" t="str">
            <v>0T3T_REJ17_PCS-4P9pi_FLAT_MÓVEL_GT_77.41%</v>
          </cell>
          <cell r="G1028">
            <v>77.41</v>
          </cell>
        </row>
        <row r="1029">
          <cell r="A1029" t="str">
            <v>Oi Total Fixo + Pós Conectado Mais + Banda Larga0.8668Template de desconto percentual FLAT Móvel - Conta Total - Varejo - Ganho Tributário Cross</v>
          </cell>
          <cell r="B1029" t="str">
            <v>Plano Oi Completo Mais</v>
          </cell>
          <cell r="C1029" t="str">
            <v>Template de desconto percentual FLAT Móvel - Conta Total - Varejo - Ganho Tributário Cross</v>
          </cell>
          <cell r="D1029">
            <v>0.86680000000000001</v>
          </cell>
          <cell r="E1029" t="str">
            <v>MKT-1-9873018457</v>
          </cell>
          <cell r="F1029" t="str">
            <v>0T3T_REJ17_PCS-4P9pi_FLAT_MÓVEL_GT_86.68%</v>
          </cell>
          <cell r="G1029">
            <v>86.68</v>
          </cell>
        </row>
        <row r="1030">
          <cell r="A1030" t="str">
            <v>Oi Total Fixo + Pós 50 + Banda Larga0.6346Template de desconto percentual FLAT Móvel - Conta Total - Varejo - Ganho Tributário Cross</v>
          </cell>
          <cell r="B1030" t="str">
            <v>Plano Oi Completo XSmall</v>
          </cell>
          <cell r="C1030" t="str">
            <v>Template de desconto percentual FLAT Móvel - Conta Total - Varejo - Ganho Tributário Cross</v>
          </cell>
          <cell r="D1030">
            <v>0.63460000000000005</v>
          </cell>
          <cell r="E1030" t="str">
            <v>MKT-1-9872969041</v>
          </cell>
          <cell r="F1030" t="str">
            <v>0T3T_REJ17_PCS-4P2pi_FLAT_MÓVEL_GT_63.46%</v>
          </cell>
          <cell r="G1030">
            <v>63.46</v>
          </cell>
        </row>
        <row r="1031">
          <cell r="A1031" t="str">
            <v>Oi Total Fixo + Pós 50 + Banda Larga0.7031Template de desconto percentual FLAT Móvel - Conta Total - Varejo - Ganho Tributário Cross</v>
          </cell>
          <cell r="B1031" t="str">
            <v>Plano Oi Completo XSmall</v>
          </cell>
          <cell r="C1031" t="str">
            <v>Template de desconto percentual FLAT Móvel - Conta Total - Varejo - Ganho Tributário Cross</v>
          </cell>
          <cell r="D1031">
            <v>0.70310000000000006</v>
          </cell>
          <cell r="E1031" t="str">
            <v>MKT-1-9873154003</v>
          </cell>
          <cell r="F1031" t="str">
            <v>0T3T_REJ17_PCS-4P2pi_FLAT_MÓVEL_GT_70.31%</v>
          </cell>
          <cell r="G1031">
            <v>70.31</v>
          </cell>
        </row>
        <row r="1032">
          <cell r="A1032" t="str">
            <v>Oi Total Fixo + Pós 50 + Banda Larga0.3605Template de desconto percentual FLAT Móvel - Conta Total - Varejo - Ganho Tributário Cross</v>
          </cell>
          <cell r="B1032" t="str">
            <v>Plano Oi Completo XSmall</v>
          </cell>
          <cell r="C1032" t="str">
            <v>Template de desconto percentual FLAT Móvel - Conta Total - Varejo - Ganho Tributário Cross</v>
          </cell>
          <cell r="D1032">
            <v>0.36049999999999999</v>
          </cell>
          <cell r="E1032" t="str">
            <v>MKT-1-9872995985</v>
          </cell>
          <cell r="F1032" t="str">
            <v>0T3T_REJ17_PCS-4P2pi_FLAT_MÓVEL_GT_36.05%</v>
          </cell>
          <cell r="G1032">
            <v>36.049999999999997</v>
          </cell>
        </row>
        <row r="1033">
          <cell r="A1033" t="str">
            <v>Oi Total Fixo + Pós Conectado Mais + Banda Larga0.2302Template desconto FLAT Plano Principal Oi TV nível conta</v>
          </cell>
          <cell r="B1033" t="str">
            <v>Plano Oi Completo Mais</v>
          </cell>
          <cell r="C1033" t="str">
            <v>Template desconto FLAT Plano Principal Oi TV nível conta</v>
          </cell>
          <cell r="D1033">
            <v>0.23019999999999999</v>
          </cell>
          <cell r="E1033" t="str">
            <v>MKT-1-9871965009</v>
          </cell>
          <cell r="F1033" t="str">
            <v>0T3T_REJ17_PCS-4P9pi_FLAT_TV_23.02%.</v>
          </cell>
          <cell r="G1033">
            <v>23.02</v>
          </cell>
        </row>
        <row r="1034">
          <cell r="A1034" t="str">
            <v>Oi Total Fixo + Pós Conectado Mais + Banda Larga0.2115Template desconto FLAT Plano Principal Oi TV nível conta</v>
          </cell>
          <cell r="B1034" t="str">
            <v>Plano Oi Completo Mais</v>
          </cell>
          <cell r="C1034" t="str">
            <v>Template desconto FLAT Plano Principal Oi TV nível conta</v>
          </cell>
          <cell r="D1034">
            <v>0.21149999999999999</v>
          </cell>
          <cell r="E1034" t="str">
            <v>MKT-1-9871984967</v>
          </cell>
          <cell r="F1034" t="str">
            <v>0T3T_REJ17_PCS-4P9pi_FLAT_TV_21.15%</v>
          </cell>
          <cell r="G1034">
            <v>21.15</v>
          </cell>
        </row>
        <row r="1035">
          <cell r="A1035" t="str">
            <v>Oi Total Fixo + Pós Conectado Mais + Banda Larga0.2159Template desconto FLAT Plano Principal Oi TV nível conta</v>
          </cell>
          <cell r="B1035" t="str">
            <v>Plano Oi Completo Mais</v>
          </cell>
          <cell r="C1035" t="str">
            <v>Template desconto FLAT Plano Principal Oi TV nível conta</v>
          </cell>
          <cell r="D1035">
            <v>0.21590000000000001</v>
          </cell>
          <cell r="E1035" t="str">
            <v>MKT-1-9872427351</v>
          </cell>
          <cell r="F1035" t="str">
            <v>0T3T_REJ17_PCS-4P9pi_FLAT_TV_21.59%</v>
          </cell>
          <cell r="G1035">
            <v>21.59</v>
          </cell>
        </row>
        <row r="1036">
          <cell r="A1036" t="str">
            <v>Oi Total Fixo + Pós Conectado Mais + Banda Larga0.3256Template desconto FLAT Plano Principal Oi TV nível conta</v>
          </cell>
          <cell r="B1036" t="str">
            <v>Plano Oi Completo Mais</v>
          </cell>
          <cell r="C1036" t="str">
            <v>Template desconto FLAT Plano Principal Oi TV nível conta</v>
          </cell>
          <cell r="D1036">
            <v>0.3256</v>
          </cell>
          <cell r="E1036" t="str">
            <v>MKT-1-9872427606</v>
          </cell>
          <cell r="F1036" t="str">
            <v>0T3T_REJ17_PCS-4P9pi_FLAT_TV_32.56%</v>
          </cell>
          <cell r="G1036">
            <v>32.56</v>
          </cell>
        </row>
        <row r="1037">
          <cell r="A1037" t="str">
            <v>Oi Total Fixo + Pós Conectado Mais + Banda Larga0.313Template desconto FLAT Plano Principal Oi TV nível conta</v>
          </cell>
          <cell r="B1037" t="str">
            <v>Plano Oi Completo Mais</v>
          </cell>
          <cell r="C1037" t="str">
            <v>Template desconto FLAT Plano Principal Oi TV nível conta</v>
          </cell>
          <cell r="D1037">
            <v>0.313</v>
          </cell>
          <cell r="E1037" t="str">
            <v>MKT-1-9872427861</v>
          </cell>
          <cell r="F1037" t="str">
            <v>0T3T_REJ17_PCS-4P9pi_FLAT_TV_31.30%</v>
          </cell>
          <cell r="G1037">
            <v>31.3</v>
          </cell>
        </row>
        <row r="1038">
          <cell r="A1038" t="str">
            <v>Oi Total Fixo + Pós Conectado Mais + Banda Larga0.1637Template desconto FLAT Plano Principal Oi TV nível conta</v>
          </cell>
          <cell r="B1038" t="str">
            <v>Plano Oi Completo Mais</v>
          </cell>
          <cell r="C1038" t="str">
            <v>Template desconto FLAT Plano Principal Oi TV nível conta</v>
          </cell>
          <cell r="D1038">
            <v>0.16370000000000001</v>
          </cell>
          <cell r="E1038" t="str">
            <v>MKT-1-9872935116</v>
          </cell>
          <cell r="F1038" t="str">
            <v>0T3T_REJ17_PCS-4P9pi_FLAT_TV_16.37%</v>
          </cell>
          <cell r="G1038">
            <v>16.37</v>
          </cell>
        </row>
        <row r="1039">
          <cell r="A1039" t="str">
            <v>Oi Total Fixo + Pós Conectado Mais + Banda Larga0.2833Template desconto FLAT Plano Principal Oi TV nível conta</v>
          </cell>
          <cell r="B1039" t="str">
            <v>Plano Oi Completo Mais</v>
          </cell>
          <cell r="C1039" t="str">
            <v>Template desconto FLAT Plano Principal Oi TV nível conta</v>
          </cell>
          <cell r="D1039">
            <v>0.2833</v>
          </cell>
          <cell r="E1039" t="str">
            <v>MKT-1-9872935371</v>
          </cell>
          <cell r="F1039" t="str">
            <v>0T3T_REJ17_PCS-4P9pi_FLAT_TV_28.33%</v>
          </cell>
          <cell r="G1039">
            <v>28.33</v>
          </cell>
        </row>
        <row r="1040">
          <cell r="A1040" t="str">
            <v>Oi Total Fixo + Pós Conectado Mais + Banda Larga0.2737Template desconto FLAT Plano Principal Oi TV nível conta</v>
          </cell>
          <cell r="B1040" t="str">
            <v>Plano Oi Completo Mais</v>
          </cell>
          <cell r="C1040" t="str">
            <v>Template desconto FLAT Plano Principal Oi TV nível conta</v>
          </cell>
          <cell r="D1040">
            <v>0.2737</v>
          </cell>
          <cell r="E1040" t="str">
            <v>MKT-1-9872935626</v>
          </cell>
          <cell r="F1040" t="str">
            <v>0T3T_REJ17_PCS-4P9pi_FLAT_TV_27.37%</v>
          </cell>
          <cell r="G1040">
            <v>27.37</v>
          </cell>
        </row>
        <row r="1041">
          <cell r="A1041" t="str">
            <v>Oi Total Fixo + Pós Conectado Mais + Banda Larga0.3819Template desconto FLAT Plano Principal Oi TV nível conta</v>
          </cell>
          <cell r="B1041" t="str">
            <v>Plano Oi Completo Mais</v>
          </cell>
          <cell r="C1041" t="str">
            <v>Template desconto FLAT Plano Principal Oi TV nível conta</v>
          </cell>
          <cell r="D1041">
            <v>0.38189999999999996</v>
          </cell>
          <cell r="E1041" t="str">
            <v>MKT-1-9872935881</v>
          </cell>
          <cell r="F1041" t="str">
            <v>0T3T_REJ17_PCS-4P9pi_FLAT_TV_38.19%</v>
          </cell>
          <cell r="G1041">
            <v>38.19</v>
          </cell>
        </row>
        <row r="1042">
          <cell r="A1042" t="str">
            <v>Oi Total Fixo + Pós Conectado Mais + Banda Larga0.3701Template desconto FLAT Plano Principal Oi TV nível conta</v>
          </cell>
          <cell r="B1042" t="str">
            <v>Plano Oi Completo Mais</v>
          </cell>
          <cell r="C1042" t="str">
            <v>Template desconto FLAT Plano Principal Oi TV nível conta</v>
          </cell>
          <cell r="D1042">
            <v>0.37009999999999998</v>
          </cell>
          <cell r="E1042" t="str">
            <v>MKT-1-9872954136</v>
          </cell>
          <cell r="F1042" t="str">
            <v>0T3T_REJ17_PCS-4P9pi_FLAT_TV_37.01%</v>
          </cell>
          <cell r="G1042">
            <v>37.01</v>
          </cell>
        </row>
        <row r="1043">
          <cell r="A1043" t="str">
            <v>Oi Total Fixo + Pós Conectado Mais + Banda Larga0.3353Template desconto FLAT Plano Principal Oi TV nível conta</v>
          </cell>
          <cell r="B1043" t="str">
            <v>Plano Oi Completo Mais</v>
          </cell>
          <cell r="C1043" t="str">
            <v>Template desconto FLAT Plano Principal Oi TV nível conta</v>
          </cell>
          <cell r="D1043">
            <v>0.33529999999999999</v>
          </cell>
          <cell r="E1043" t="str">
            <v>MKT-1-9872954391</v>
          </cell>
          <cell r="F1043" t="str">
            <v>0T3T_REJ17_PCS-4P9pi_FLAT_TV_33.53%</v>
          </cell>
          <cell r="G1043">
            <v>33.53</v>
          </cell>
        </row>
        <row r="1044">
          <cell r="A1044" t="str">
            <v>Oi Total Fixo + Pós Conectado Mais + Banda Larga0.092Template desconto FLAT Plano Principal Oi TV nível conta</v>
          </cell>
          <cell r="B1044" t="str">
            <v>Plano Oi Completo Mais</v>
          </cell>
          <cell r="C1044" t="str">
            <v>Template desconto FLAT Plano Principal Oi TV nível conta</v>
          </cell>
          <cell r="D1044">
            <v>9.1999999999999998E-2</v>
          </cell>
          <cell r="E1044" t="str">
            <v>MKT-1-9872954646</v>
          </cell>
          <cell r="F1044" t="str">
            <v>0T3T_REJ17_PCS-4P9pi_FLAT_TV_09.20%</v>
          </cell>
          <cell r="G1044">
            <v>9.1999999999999993</v>
          </cell>
        </row>
        <row r="1045">
          <cell r="A1045" t="str">
            <v>Oi Total Fixo + Pós Conectado Mais + Banda Larga0.2478Template desconto FLAT Plano Principal Oi TV nível conta</v>
          </cell>
          <cell r="B1045" t="str">
            <v>Plano Oi Completo Mais</v>
          </cell>
          <cell r="C1045" t="str">
            <v>Template desconto FLAT Plano Principal Oi TV nível conta</v>
          </cell>
          <cell r="D1045">
            <v>0.24780000000000002</v>
          </cell>
          <cell r="E1045" t="str">
            <v>MKT-1-9872954911</v>
          </cell>
          <cell r="F1045" t="str">
            <v>0T3T_REJ17_PCS-4P9pi_FLAT_TV_24.78%</v>
          </cell>
          <cell r="G1045">
            <v>24.78</v>
          </cell>
        </row>
        <row r="1046">
          <cell r="A1046" t="str">
            <v>Oi Total Fixo + Pós Conectado Mais + Banda Larga0.2394Template desconto FLAT Plano Principal Oi TV nível conta</v>
          </cell>
          <cell r="B1046" t="str">
            <v>Plano Oi Completo Mais</v>
          </cell>
          <cell r="C1046" t="str">
            <v>Template desconto FLAT Plano Principal Oi TV nível conta</v>
          </cell>
          <cell r="D1046">
            <v>0.2394</v>
          </cell>
          <cell r="E1046" t="str">
            <v>MKT-1-9872968186</v>
          </cell>
          <cell r="F1046" t="str">
            <v>0T3T_REJ17_PCS-4P9pi_FLAT_TV_23.94%</v>
          </cell>
          <cell r="G1046">
            <v>23.94</v>
          </cell>
        </row>
        <row r="1047">
          <cell r="A1047" t="str">
            <v>Oi Total Fixo + Pós Conectado Mais + Banda Larga0.2056Template desconto FLAT Plano Principal Oi TV nível conta</v>
          </cell>
          <cell r="B1047" t="str">
            <v>Plano Oi Completo Mais</v>
          </cell>
          <cell r="C1047" t="str">
            <v>Template desconto FLAT Plano Principal Oi TV nível conta</v>
          </cell>
          <cell r="D1047">
            <v>0.20559999999999998</v>
          </cell>
          <cell r="E1047" t="str">
            <v>MKT-1-9872968531</v>
          </cell>
          <cell r="F1047" t="str">
            <v>0T3T_REJ17_PCS-4P9pi_FLAT_TV_20.56%</v>
          </cell>
          <cell r="G1047">
            <v>20.56</v>
          </cell>
        </row>
        <row r="1048">
          <cell r="A1048" t="str">
            <v>Oi Total Fixo + Pós Conectado Mais + Banda Larga0.171Template desconto FLAT Plano Principal Oi TV nível conta</v>
          </cell>
          <cell r="B1048" t="str">
            <v>Plano Oi Completo Mais</v>
          </cell>
          <cell r="C1048" t="str">
            <v>Template desconto FLAT Plano Principal Oi TV nível conta</v>
          </cell>
          <cell r="D1048">
            <v>0.17100000000000001</v>
          </cell>
          <cell r="E1048" t="str">
            <v>MKT-1-9872968786</v>
          </cell>
          <cell r="F1048" t="str">
            <v>0T3T_REJ17_PCS-4P9pi_FLAT_TV_17.10%</v>
          </cell>
          <cell r="G1048">
            <v>17.100000000000001</v>
          </cell>
        </row>
        <row r="1049">
          <cell r="A1049" t="str">
            <v>Oi Internet pra Celular 1GB0.5448Template Flat Instância Dados</v>
          </cell>
          <cell r="B1049" t="str">
            <v>Oi Internet pra Celular 1GB</v>
          </cell>
          <cell r="C1049" t="str">
            <v>Template Flat Instância Dados</v>
          </cell>
          <cell r="D1049">
            <v>0.54479999999999995</v>
          </cell>
          <cell r="E1049" t="str">
            <v>MKT-1-9906695721</v>
          </cell>
          <cell r="F1049" t="str">
            <v>0T3T_PAI17_INTCEL-1G_54.48%</v>
          </cell>
          <cell r="G1049">
            <v>54.48</v>
          </cell>
        </row>
        <row r="1050">
          <cell r="A1050" t="str">
            <v>Oi Internet pra Celular 2GB0.025Template Flat Instância Dados</v>
          </cell>
          <cell r="B1050" t="str">
            <v>Oi Internet pra Celular 2GB</v>
          </cell>
          <cell r="C1050" t="str">
            <v>Template Flat Instância Dados</v>
          </cell>
          <cell r="D1050">
            <v>2.5000000000000001E-2</v>
          </cell>
          <cell r="E1050" t="str">
            <v>MKT-1-9906709373</v>
          </cell>
          <cell r="F1050" t="str">
            <v>0T3T_PAI17_INTCEL-2G_02.50%</v>
          </cell>
          <cell r="G1050">
            <v>2.5</v>
          </cell>
        </row>
        <row r="1051">
          <cell r="A1051" t="str">
            <v>Oi Internet pra Celular 3GB0.4916Template Flat Instância Dados</v>
          </cell>
          <cell r="B1051" t="str">
            <v>Oi Internet pra Celular 3GB</v>
          </cell>
          <cell r="C1051" t="str">
            <v>Template Flat Instância Dados</v>
          </cell>
          <cell r="D1051">
            <v>0.49159999999999998</v>
          </cell>
          <cell r="E1051" t="str">
            <v>MKT-1-9906709895</v>
          </cell>
          <cell r="F1051" t="str">
            <v>0T3T_PAI17_INTCEL-3G_49.16%</v>
          </cell>
          <cell r="G1051">
            <v>49.16</v>
          </cell>
        </row>
        <row r="1052">
          <cell r="A1052" t="str">
            <v>Oi Internet pra Celular 5GB0.4379Template Flat Instância Dados</v>
          </cell>
          <cell r="B1052" t="str">
            <v>Oi Internet pra Celular 5GB</v>
          </cell>
          <cell r="C1052" t="str">
            <v>Template Flat Instância Dados</v>
          </cell>
          <cell r="D1052">
            <v>0.43790000000000001</v>
          </cell>
          <cell r="E1052" t="str">
            <v>MKT-1-9906714397</v>
          </cell>
          <cell r="F1052" t="str">
            <v>0T3T_PAI17_INTCEL-5G_43.79%</v>
          </cell>
          <cell r="G1052">
            <v>43.79</v>
          </cell>
        </row>
        <row r="1053">
          <cell r="A1053" t="str">
            <v>Oi Internet pra Celular 5GB0.5849Template Flat Instância Dados</v>
          </cell>
          <cell r="B1053" t="str">
            <v>Oi Internet pra Celular 5GB</v>
          </cell>
          <cell r="C1053" t="str">
            <v>Template Flat Instância Dados</v>
          </cell>
          <cell r="D1053">
            <v>0.58489999999999998</v>
          </cell>
          <cell r="E1053" t="str">
            <v>MKT-1-9906714849</v>
          </cell>
          <cell r="F1053" t="str">
            <v>0T3T_PAI17_INTCEL-5G_58.49%</v>
          </cell>
          <cell r="G1053">
            <v>58.49</v>
          </cell>
        </row>
        <row r="1054">
          <cell r="A1054" t="str">
            <v>Oi Internet pra Celular 10GB0.2364Template Flat Instância Dados</v>
          </cell>
          <cell r="B1054" t="str">
            <v>Oi Internet pra Celular 10GB</v>
          </cell>
          <cell r="C1054" t="str">
            <v>Template Flat Instância Dados</v>
          </cell>
          <cell r="D1054">
            <v>0.2364</v>
          </cell>
          <cell r="E1054" t="str">
            <v>MKT-1-9906718301</v>
          </cell>
          <cell r="F1054" t="str">
            <v>0T3T_PAI17_INTCEL-10G_23.64%</v>
          </cell>
          <cell r="G1054">
            <v>23.64</v>
          </cell>
        </row>
        <row r="1055">
          <cell r="A1055" t="str">
            <v>Oi Internet pra Celular 10GB0.4448Template Flat Instância Dados</v>
          </cell>
          <cell r="B1055" t="str">
            <v>Oi Internet pra Celular 10GB</v>
          </cell>
          <cell r="C1055" t="str">
            <v>Template Flat Instância Dados</v>
          </cell>
          <cell r="D1055">
            <v>0.44479999999999997</v>
          </cell>
          <cell r="E1055" t="str">
            <v>MKT-1-9906718763</v>
          </cell>
          <cell r="F1055" t="str">
            <v>0T3T_PAI17_INTCEL-10G_44.48%</v>
          </cell>
          <cell r="G1055">
            <v>44.48</v>
          </cell>
        </row>
        <row r="1056">
          <cell r="A1056" t="str">
            <v>Oi Internet pra Celular 2GB0.0013Template Flat Instância Dados</v>
          </cell>
          <cell r="B1056" t="str">
            <v>Oi Internet pra Celular 2GB</v>
          </cell>
          <cell r="C1056" t="str">
            <v>Template Flat Instância Dados</v>
          </cell>
          <cell r="D1056">
            <v>1.2999999999999999E-3</v>
          </cell>
          <cell r="E1056" t="str">
            <v>MKT-1-9906727135</v>
          </cell>
          <cell r="F1056" t="str">
            <v>0T3T_PAI17_INTCEL-2G_00.13%</v>
          </cell>
          <cell r="G1056">
            <v>0.13</v>
          </cell>
        </row>
        <row r="1057">
          <cell r="A1057" t="str">
            <v>Oi Internet pra Celular 5GB0.5223Template Flat Instância Dados</v>
          </cell>
          <cell r="B1057" t="str">
            <v>Oi Internet pra Celular 5GB</v>
          </cell>
          <cell r="C1057" t="str">
            <v>Template Flat Instância Dados</v>
          </cell>
          <cell r="D1057">
            <v>0.52229999999999999</v>
          </cell>
          <cell r="E1057" t="str">
            <v>MKT-1-9906727507</v>
          </cell>
          <cell r="F1057" t="str">
            <v>0T3T_PAI17_INTCEL-5G_52.23%</v>
          </cell>
          <cell r="G1057">
            <v>52.23</v>
          </cell>
        </row>
        <row r="1058">
          <cell r="A1058" t="str">
            <v>Oi Internet pra Celular 10GB0.3994Template Flat Instância Dados</v>
          </cell>
          <cell r="B1058" t="str">
            <v>Oi Internet pra Celular 10GB</v>
          </cell>
          <cell r="C1058" t="str">
            <v>Template Flat Instância Dados</v>
          </cell>
          <cell r="D1058">
            <v>0.39939999999999998</v>
          </cell>
          <cell r="E1058" t="str">
            <v>MKT-1-9906727879</v>
          </cell>
          <cell r="F1058" t="str">
            <v>0T3T_PAI17_INTCEL-10G_39.94%</v>
          </cell>
          <cell r="G1058">
            <v>39.94</v>
          </cell>
        </row>
        <row r="1059">
          <cell r="A1059" t="str">
            <v>Oi Total Fixo + Pós Conectado Mais + Banda Larga0.5172Template desconto FLAT Plano Principal Oi TV nível conta</v>
          </cell>
          <cell r="B1059" t="str">
            <v>Plano Oi Completo Mais</v>
          </cell>
          <cell r="C1059" t="str">
            <v>Template desconto FLAT Plano Principal Oi TV nível conta</v>
          </cell>
          <cell r="D1059">
            <v>0.51719999999999999</v>
          </cell>
          <cell r="E1059" t="str">
            <v>MKT-1-9906735611</v>
          </cell>
          <cell r="F1059" t="str">
            <v>0T3T_PAI17_PCS-4P9pi_FLAT_TV_51.72%</v>
          </cell>
          <cell r="G1059">
            <v>51.72</v>
          </cell>
        </row>
        <row r="1060">
          <cell r="A1060" t="str">
            <v>Oi Total Fixo + Pós Conectado Mais + Banda Larga0.4489Template desconto FLAT Plano Principal Oi TV nível conta</v>
          </cell>
          <cell r="B1060" t="str">
            <v>Plano Oi Completo Mais</v>
          </cell>
          <cell r="C1060" t="str">
            <v>Template desconto FLAT Plano Principal Oi TV nível conta</v>
          </cell>
          <cell r="D1060">
            <v>0.44890000000000002</v>
          </cell>
          <cell r="E1060" t="str">
            <v>MKT-1-9906735906</v>
          </cell>
          <cell r="F1060" t="str">
            <v>0T3T_PAI17_PCS-4P9pi_FLAT_TV_44.89%</v>
          </cell>
          <cell r="G1060">
            <v>44.89</v>
          </cell>
        </row>
        <row r="1061">
          <cell r="A1061" t="str">
            <v>Oi Total Fixo + Pós Conectado Mais + Banda Larga0.2273Template desconto FLAT Plano Principal Oi TV nível conta</v>
          </cell>
          <cell r="B1061" t="str">
            <v>Plano Oi Completo Mais</v>
          </cell>
          <cell r="C1061" t="str">
            <v>Template desconto FLAT Plano Principal Oi TV nível conta</v>
          </cell>
          <cell r="D1061">
            <v>0.2273</v>
          </cell>
          <cell r="E1061" t="str">
            <v>MKT-1-9906773161</v>
          </cell>
          <cell r="F1061" t="str">
            <v>0T3T_PAI17_PCS-4P9pi_FLAT_TV_22.73%</v>
          </cell>
          <cell r="G1061">
            <v>22.73</v>
          </cell>
        </row>
        <row r="1062">
          <cell r="A1062" t="str">
            <v>Oi Total Fixo + Banda Larga + TV 20.2132Template desconto FLAT Plano Principal Oi TV nível conta</v>
          </cell>
          <cell r="B1062" t="str">
            <v>Plano Oi Convergente Medium</v>
          </cell>
          <cell r="C1062" t="str">
            <v>Template desconto FLAT Plano Principal Oi TV nível conta</v>
          </cell>
          <cell r="D1062">
            <v>0.2132</v>
          </cell>
          <cell r="E1062" t="str">
            <v>MKT-1-9906773416</v>
          </cell>
          <cell r="F1062" t="str">
            <v>0T3T_PAI17_PCS-3PMepi_FLAT_TV_21.32%</v>
          </cell>
          <cell r="G1062">
            <v>21.32</v>
          </cell>
        </row>
        <row r="1063">
          <cell r="A1063" t="str">
            <v>Oi Total Fixo + Banda Larga + TV 30.1902Template desconto FLAT Plano Principal Oi TV nível conta</v>
          </cell>
          <cell r="B1063" t="str">
            <v>Plano Oi Convergente High</v>
          </cell>
          <cell r="C1063" t="str">
            <v>Template desconto FLAT Plano Principal Oi TV nível conta</v>
          </cell>
          <cell r="D1063">
            <v>0.19020000000000001</v>
          </cell>
          <cell r="E1063" t="str">
            <v>MKT-1-9906773671</v>
          </cell>
          <cell r="F1063" t="str">
            <v>0T3T_PAI17_PCS-3PHipi_FLAT_TV_19.02%</v>
          </cell>
          <cell r="G1063">
            <v>19.02</v>
          </cell>
        </row>
        <row r="1064">
          <cell r="A1064" t="str">
            <v>Oi Total Fixo + Banda Larga + TV 30.3621Template desconto FLAT Plano Principal Oi TV nível conta</v>
          </cell>
          <cell r="B1064" t="str">
            <v>Plano Oi Convergente High</v>
          </cell>
          <cell r="C1064" t="str">
            <v>Template desconto FLAT Plano Principal Oi TV nível conta</v>
          </cell>
          <cell r="D1064">
            <v>0.36210000000000003</v>
          </cell>
          <cell r="E1064" t="str">
            <v>MKT-1-9906773926</v>
          </cell>
          <cell r="F1064" t="str">
            <v>0T3T_PAI17_PCS-3PHipi_FLAT_TV_36.21%</v>
          </cell>
          <cell r="G1064">
            <v>36.21</v>
          </cell>
        </row>
        <row r="1065">
          <cell r="A1065" t="str">
            <v>Oi Total Fixo + Banda Larga + TV 30.1852Template desconto FLAT Plano Principal Oi TV nível conta</v>
          </cell>
          <cell r="B1065" t="str">
            <v>Plano Oi Convergente High</v>
          </cell>
          <cell r="C1065" t="str">
            <v>Template desconto FLAT Plano Principal Oi TV nível conta</v>
          </cell>
          <cell r="D1065">
            <v>0.1852</v>
          </cell>
          <cell r="E1065" t="str">
            <v>MKT-1-9906822181</v>
          </cell>
          <cell r="F1065" t="str">
            <v>0T3T_PAI17_PCS-3PHipi_FLAT_TV_18.52%</v>
          </cell>
          <cell r="G1065">
            <v>18.52</v>
          </cell>
        </row>
        <row r="1066">
          <cell r="A1066" t="str">
            <v>Oi Total Fixo + Banda Larga + TV 20.3191Template desconto FLAT Plano Principal Oi TV nível conta</v>
          </cell>
          <cell r="B1066" t="str">
            <v>Plano Oi Convergente Medium</v>
          </cell>
          <cell r="C1066" t="str">
            <v>Template desconto FLAT Plano Principal Oi TV nível conta</v>
          </cell>
          <cell r="D1066">
            <v>0.31909999999999999</v>
          </cell>
          <cell r="E1066" t="str">
            <v>MKT-1-9906780721</v>
          </cell>
          <cell r="F1066" t="str">
            <v>0T3T_PAI17_PCS-3PMepi_FLAT_TV_31.91%</v>
          </cell>
          <cell r="G1066">
            <v>31.91</v>
          </cell>
        </row>
        <row r="1067">
          <cell r="A1067" t="str">
            <v>Oi Total Fixo + Banda Larga + TV 30.2853Template desconto FLAT Plano Principal Oi TV nível conta</v>
          </cell>
          <cell r="B1067" t="str">
            <v>Plano Oi Convergente High</v>
          </cell>
          <cell r="C1067" t="str">
            <v>Template desconto FLAT Plano Principal Oi TV nível conta</v>
          </cell>
          <cell r="D1067">
            <v>0.2853</v>
          </cell>
          <cell r="E1067" t="str">
            <v>MKT-1-9906780976</v>
          </cell>
          <cell r="F1067" t="str">
            <v>0T3T_PAI17_PCS-3PHipi_FLAT_TV_28.53%</v>
          </cell>
          <cell r="G1067">
            <v>28.53</v>
          </cell>
        </row>
        <row r="1068">
          <cell r="A1068" t="str">
            <v>Oi Total Fixo + Banda Larga + TV 30.4206Template desconto FLAT Plano Principal Oi TV nível conta</v>
          </cell>
          <cell r="B1068" t="str">
            <v>Plano Oi Convergente High</v>
          </cell>
          <cell r="C1068" t="str">
            <v>Template desconto FLAT Plano Principal Oi TV nível conta</v>
          </cell>
          <cell r="D1068">
            <v>0.42060000000000003</v>
          </cell>
          <cell r="E1068" t="str">
            <v>MKT-1-9906916011</v>
          </cell>
          <cell r="F1068" t="str">
            <v>0T3T_PAI17_PCS-3PHipi_FLAT_TV_42.06%</v>
          </cell>
          <cell r="G1068">
            <v>42.06</v>
          </cell>
        </row>
        <row r="1069">
          <cell r="A1069" t="str">
            <v>Oi Total Fixo + Banda Larga + TV 30.2774Template desconto FLAT Plano Principal Oi TV nível conta</v>
          </cell>
          <cell r="B1069" t="str">
            <v>Plano Oi Convergente High</v>
          </cell>
          <cell r="C1069" t="str">
            <v>Template desconto FLAT Plano Principal Oi TV nível conta</v>
          </cell>
          <cell r="D1069">
            <v>0.27739999999999998</v>
          </cell>
          <cell r="E1069" t="str">
            <v>MKT-1-9906927426</v>
          </cell>
          <cell r="F1069" t="str">
            <v>0T3T_PAI17_PCS-3PHipi_FLAT_TV_27.74%</v>
          </cell>
          <cell r="G1069">
            <v>27.74</v>
          </cell>
        </row>
        <row r="1070">
          <cell r="A1070" t="str">
            <v>Oi Total Fixo + Banda Larga + TV 20.0011Template desconto FLAT Plano Principal Oi TV nível conta</v>
          </cell>
          <cell r="B1070" t="str">
            <v>Plano Oi Convergente Medium</v>
          </cell>
          <cell r="C1070" t="str">
            <v>Template desconto FLAT Plano Principal Oi TV nível conta</v>
          </cell>
          <cell r="D1070">
            <v>1.1000000000000001E-3</v>
          </cell>
          <cell r="E1070" t="str">
            <v>MKT-1-9906927921</v>
          </cell>
          <cell r="F1070" t="str">
            <v>0T3T_PAI17_PCS-3PMepi_FLAT_TV_00.11%</v>
          </cell>
          <cell r="G1070">
            <v>0.11</v>
          </cell>
        </row>
        <row r="1071">
          <cell r="A1071" t="str">
            <v>Oi Total Fixo + Banda Larga + TV 30.0184Template desconto FLAT Plano Principal Oi TV nível conta</v>
          </cell>
          <cell r="B1071" t="str">
            <v>Plano Oi Convergente High</v>
          </cell>
          <cell r="C1071" t="str">
            <v>Template desconto FLAT Plano Principal Oi TV nível conta</v>
          </cell>
          <cell r="D1071">
            <v>1.84E-2</v>
          </cell>
          <cell r="E1071" t="str">
            <v>MKT-1-9906932246</v>
          </cell>
          <cell r="F1071" t="str">
            <v>0T3T_PAI17_PCS-3PHipi_FLAT_TV_01.84%</v>
          </cell>
          <cell r="G1071">
            <v>1.84</v>
          </cell>
        </row>
        <row r="1072">
          <cell r="A1072" t="str">
            <v>Oi Total Fixo + Banda Larga + TV 30.0221Template desconto FLAT Plano Principal Oi TV nível conta</v>
          </cell>
          <cell r="B1072" t="str">
            <v>Plano Oi Convergente High</v>
          </cell>
          <cell r="C1072" t="str">
            <v>Template desconto FLAT Plano Principal Oi TV nível conta</v>
          </cell>
          <cell r="D1072">
            <v>2.2099999999999998E-2</v>
          </cell>
          <cell r="E1072" t="str">
            <v>MKT-1-9906932611</v>
          </cell>
          <cell r="F1072" t="str">
            <v>0T3T_PAI17_PCS-3PHipi_FLAT_TV_02.21%</v>
          </cell>
          <cell r="G1072">
            <v>2.21</v>
          </cell>
        </row>
        <row r="1073">
          <cell r="A1073" t="str">
            <v>Oi Total Fixo + Banda Larga + TV 30.0147Template desconto FLAT Plano Principal Oi TV nível conta</v>
          </cell>
          <cell r="B1073" t="str">
            <v>Plano Oi Convergente High</v>
          </cell>
          <cell r="C1073" t="str">
            <v>Template desconto FLAT Plano Principal Oi TV nível conta</v>
          </cell>
          <cell r="D1073">
            <v>1.47E-2</v>
          </cell>
          <cell r="E1073" t="str">
            <v>MKT-1-9906932946</v>
          </cell>
          <cell r="F1073" t="str">
            <v>0T3T_PAI17_PCS-3PHipi_FLAT_TV_01.47%</v>
          </cell>
          <cell r="G1073">
            <v>1.47</v>
          </cell>
        </row>
        <row r="1074">
          <cell r="A1074" t="str">
            <v>Oi Total Fixo + Banda Larga + TV 30.15Template desconto FLAT Plano Principal Oi TV nível conta</v>
          </cell>
          <cell r="B1074" t="str">
            <v>Plano Oi Convergente High</v>
          </cell>
          <cell r="C1074" t="str">
            <v>Template desconto FLAT Plano Principal Oi TV nível conta</v>
          </cell>
          <cell r="D1074">
            <v>0.15</v>
          </cell>
          <cell r="E1074" t="str">
            <v>MKT-1-9906936301</v>
          </cell>
          <cell r="F1074" t="str">
            <v>0T3T_PAI17_PCS-3PHipi_FLAT_TV_15.00%</v>
          </cell>
          <cell r="G1074">
            <v>15</v>
          </cell>
        </row>
        <row r="1075">
          <cell r="A1075" t="str">
            <v>Oi Total Fixo + Banda Larga + TV 30.0178Template desconto FLAT Plano Principal Oi TV nível conta</v>
          </cell>
          <cell r="B1075" t="str">
            <v>Plano Oi Convergente High</v>
          </cell>
          <cell r="C1075" t="str">
            <v>Template desconto FLAT Plano Principal Oi TV nível conta</v>
          </cell>
          <cell r="D1075">
            <v>1.78E-2</v>
          </cell>
          <cell r="E1075" t="str">
            <v>MKT-1-9906936676</v>
          </cell>
          <cell r="F1075" t="str">
            <v>0T3T_PAI17_PCS-3PHipi_FLAT_TV_01.78%</v>
          </cell>
          <cell r="G1075">
            <v>1.78</v>
          </cell>
        </row>
        <row r="1076">
          <cell r="A1076" t="str">
            <v>Oi Total Fixo + Pós 50 + Banda Larga0.669Template de desconto percentual FLAT Móvel - Conta Total - Varejo - Ganho Tributário Cross</v>
          </cell>
          <cell r="B1076" t="str">
            <v>Plano Oi Completo XSmall</v>
          </cell>
          <cell r="C1076" t="str">
            <v>Template de desconto percentual FLAT Móvel - Conta Total - Varejo - Ganho Tributário Cross</v>
          </cell>
          <cell r="D1076">
            <v>0.66900000000000004</v>
          </cell>
          <cell r="E1076" t="str">
            <v>MKT-1-9906248591</v>
          </cell>
          <cell r="F1076" t="str">
            <v>0T3T_PAI17_PCS-4P2pi_FLAT_MÓVEL_GT_66.90%</v>
          </cell>
          <cell r="G1076">
            <v>66.900000000000006</v>
          </cell>
        </row>
        <row r="1077">
          <cell r="A1077" t="str">
            <v>Oi Total Fixo + Pós Conectado 500 + Banda Larga0.8661Template de desconto percentual FLAT Móvel - Conta Total - Varejo - Ganho Tributário Cross</v>
          </cell>
          <cell r="B1077" t="str">
            <v>Plano Oi Completo 500</v>
          </cell>
          <cell r="C1077" t="str">
            <v>Template de desconto percentual FLAT Móvel - Conta Total - Varejo - Ganho Tributário Cross</v>
          </cell>
          <cell r="D1077">
            <v>0.86609999999999998</v>
          </cell>
          <cell r="E1077" t="str">
            <v>MKT-1-9906248792</v>
          </cell>
          <cell r="F1077" t="str">
            <v>0T3T_PAI17_PCS-4P8pi_FLAT_MÓVEL_GT_86.61%</v>
          </cell>
          <cell r="G1077">
            <v>86.61</v>
          </cell>
        </row>
        <row r="1078">
          <cell r="A1078" t="str">
            <v>Oi Total Fixo + Pós Conectado Mais + Banda Larga0.8639Template de desconto percentual FLAT Móvel - Conta Total - Varejo - Ganho Tributário Cross</v>
          </cell>
          <cell r="B1078" t="str">
            <v>Plano Oi Completo Mais</v>
          </cell>
          <cell r="C1078" t="str">
            <v>Template de desconto percentual FLAT Móvel - Conta Total - Varejo - Ganho Tributário Cross</v>
          </cell>
          <cell r="D1078">
            <v>0.8639</v>
          </cell>
          <cell r="E1078" t="str">
            <v>MKT-1-9906248993</v>
          </cell>
          <cell r="F1078" t="str">
            <v>0T3T_PAI17_PCS-4P9pi_FLAT_MÓVEL_GT_86.39%</v>
          </cell>
          <cell r="G1078">
            <v>86.39</v>
          </cell>
        </row>
        <row r="1079">
          <cell r="A1079" t="str">
            <v>Oi Total Fixo + Pós Conectado Mais + Banda Larga0.8349Template de desconto percentual FLAT Móvel - Conta Total - Varejo - Ganho Tributário Cross</v>
          </cell>
          <cell r="B1079" t="str">
            <v>Plano Oi Completo Mais</v>
          </cell>
          <cell r="C1079" t="str">
            <v>Template de desconto percentual FLAT Móvel - Conta Total - Varejo - Ganho Tributário Cross</v>
          </cell>
          <cell r="D1079">
            <v>0.83489999999999998</v>
          </cell>
          <cell r="E1079" t="str">
            <v>MKT-1-9907025194</v>
          </cell>
          <cell r="F1079" t="str">
            <v>0T3T_PAI17_PCS-4P9pi_FLAT_MÓVEL_GT_83.49%</v>
          </cell>
          <cell r="G1079">
            <v>83.49</v>
          </cell>
        </row>
        <row r="1080">
          <cell r="A1080" t="str">
            <v>Oi Total Fixo + Pós Conectado Mais + Banda Larga0.8059Template de desconto percentual FLAT Móvel - Conta Total - Varejo - Ganho Tributário Cross</v>
          </cell>
          <cell r="B1080" t="str">
            <v>Plano Oi Completo Mais</v>
          </cell>
          <cell r="C1080" t="str">
            <v>Template de desconto percentual FLAT Móvel - Conta Total - Varejo - Ganho Tributário Cross</v>
          </cell>
          <cell r="D1080">
            <v>0.80590000000000006</v>
          </cell>
          <cell r="E1080" t="str">
            <v>MKT-1-9907104675</v>
          </cell>
          <cell r="F1080" t="str">
            <v>0T3T_PAI17_PCS-4P9pi_FLAT_MÓVEL_GT_80.59%.</v>
          </cell>
          <cell r="G1080">
            <v>80.59</v>
          </cell>
        </row>
        <row r="1081">
          <cell r="A1081" t="str">
            <v>Oi Total Fixo + Pós 50 + Banda Larga0.3161Template de desconto percentual FLAT Móvel - Conta Total - Varejo - Ganho Tributário Cross</v>
          </cell>
          <cell r="B1081" t="str">
            <v>Plano Oi Completo XSmall</v>
          </cell>
          <cell r="C1081" t="str">
            <v>Template de desconto percentual FLAT Móvel - Conta Total - Varejo - Ganho Tributário Cross</v>
          </cell>
          <cell r="D1081">
            <v>0.31609999999999999</v>
          </cell>
          <cell r="E1081" t="str">
            <v>MKT-1-9907105066</v>
          </cell>
          <cell r="F1081" t="str">
            <v>0T3T_PAI17_PCS-4P2pi_FLAT_MÓVEL_GT_31.61%</v>
          </cell>
          <cell r="G1081">
            <v>31.61</v>
          </cell>
        </row>
        <row r="1082">
          <cell r="A1082" t="str">
            <v>Oi Total Fixo + Pós Conectado 500 + Banda Larga0.7232Template de desconto percentual FLAT Móvel - Conta Total - Varejo - Ganho Tributário Cross</v>
          </cell>
          <cell r="B1082" t="str">
            <v>Plano Oi Completo 500</v>
          </cell>
          <cell r="C1082" t="str">
            <v>Template de desconto percentual FLAT Móvel - Conta Total - Varejo - Ganho Tributário Cross</v>
          </cell>
          <cell r="D1082">
            <v>0.72319999999999995</v>
          </cell>
          <cell r="E1082" t="str">
            <v>MKT-1-9907128527</v>
          </cell>
          <cell r="F1082" t="str">
            <v>0T3T_PAI17_PCS-4P8pi_FLAT_MÓVEL_GT_72.32%</v>
          </cell>
          <cell r="G1082">
            <v>72.319999999999993</v>
          </cell>
        </row>
        <row r="1083">
          <cell r="A1083" t="str">
            <v>Oi Total Fixo + Pós Conectado Mais + Banda Larga0.7773Template de desconto percentual FLAT Móvel - Conta Total - Varejo - Ganho Tributário Cross</v>
          </cell>
          <cell r="B1083" t="str">
            <v>Plano Oi Completo Mais</v>
          </cell>
          <cell r="C1083" t="str">
            <v>Template de desconto percentual FLAT Móvel - Conta Total - Varejo - Ganho Tributário Cross</v>
          </cell>
          <cell r="D1083">
            <v>0.77729999999999999</v>
          </cell>
          <cell r="E1083" t="str">
            <v>MKT-1-9907128868</v>
          </cell>
          <cell r="F1083" t="str">
            <v>0T3T_PAI17_PCS-4P9pi_FLAT_MÓVEL_GT_77.73%</v>
          </cell>
          <cell r="G1083">
            <v>77.73</v>
          </cell>
        </row>
        <row r="1084">
          <cell r="A1084" t="str">
            <v>Oi Total Fixo + Pós Conectado Mais + Banda Larga0.5745Template de desconto percentual FLAT Móvel - Conta Total - Varejo - Ganho Tributário Cross</v>
          </cell>
          <cell r="B1084" t="str">
            <v>Plano Oi Completo Mais</v>
          </cell>
          <cell r="C1084" t="str">
            <v>Template de desconto percentual FLAT Móvel - Conta Total - Varejo - Ganho Tributário Cross</v>
          </cell>
          <cell r="D1084">
            <v>0.57450000000000001</v>
          </cell>
          <cell r="E1084" t="str">
            <v>MKT-1-9907146189</v>
          </cell>
          <cell r="F1084" t="str">
            <v>0T3T_PAI17_PCS-4P9pi_FLAT_MÓVEL_GT_57.45%</v>
          </cell>
          <cell r="G1084">
            <v>57.45</v>
          </cell>
        </row>
        <row r="1085">
          <cell r="A1085" t="str">
            <v>Oi Total Fixo + Pós Conectado Mais + Banda Larga0.5165Template de desconto percentual FLAT Móvel - Conta Total - Varejo - Ganho Tributário Cross</v>
          </cell>
          <cell r="B1085" t="str">
            <v>Plano Oi Completo Mais</v>
          </cell>
          <cell r="C1085" t="str">
            <v>Template de desconto percentual FLAT Móvel - Conta Total - Varejo - Ganho Tributário Cross</v>
          </cell>
          <cell r="D1085">
            <v>0.51649999999999996</v>
          </cell>
          <cell r="E1085" t="str">
            <v>MKT-1-9907146470</v>
          </cell>
          <cell r="F1085" t="str">
            <v>0T3T_PAI17_PCS-4P9pi_FLAT_MÓVEL_GT_51.65%</v>
          </cell>
          <cell r="G1085">
            <v>51.65</v>
          </cell>
        </row>
        <row r="1086">
          <cell r="A1086" t="str">
            <v>Oi Total Fixo + Pós 50 + Banda Larga0.5091Template de desconto percentual FLAT Móvel - Conta Total - Varejo - Ganho Tributário Cross</v>
          </cell>
          <cell r="B1086" t="str">
            <v>Plano Oi Completo XSmall</v>
          </cell>
          <cell r="C1086" t="str">
            <v>Template de desconto percentual FLAT Móvel - Conta Total - Varejo - Ganho Tributário Cross</v>
          </cell>
          <cell r="D1086">
            <v>0.5091</v>
          </cell>
          <cell r="E1086" t="str">
            <v>MKT-1-9907146821</v>
          </cell>
          <cell r="F1086" t="str">
            <v>0T3T_PAI17_PCS-4P2pi_FLAT_MÓVEL_GT_50.91%</v>
          </cell>
          <cell r="G1086">
            <v>50.91</v>
          </cell>
        </row>
        <row r="1087">
          <cell r="A1087" t="str">
            <v>Oi Total Fixo + Pós Conectado 500 + Banda Larga0.8013Template de desconto percentual FLAT Móvel - Conta Total - Varejo - Ganho Tributário Cross</v>
          </cell>
          <cell r="B1087" t="str">
            <v>Plano Oi Completo 500</v>
          </cell>
          <cell r="C1087" t="str">
            <v>Template de desconto percentual FLAT Móvel - Conta Total - Varejo - Ganho Tributário Cross</v>
          </cell>
          <cell r="D1087">
            <v>0.8012999999999999</v>
          </cell>
          <cell r="E1087" t="str">
            <v>MKT-1-9907159122</v>
          </cell>
          <cell r="F1087" t="str">
            <v>0T3T_PAI17_PCS-4P8pi_FLAT_MÓVEL_GT_80.13%</v>
          </cell>
          <cell r="G1087">
            <v>80.13</v>
          </cell>
        </row>
        <row r="1088">
          <cell r="A1088" t="str">
            <v>Oi Total Fixo + Pós Conectado Mais + Banda Larga0.8465Template de desconto percentual FLAT Móvel - Conta Total - Varejo - Ganho Tributário Cross</v>
          </cell>
          <cell r="B1088" t="str">
            <v>Plano Oi Completo Mais</v>
          </cell>
          <cell r="C1088" t="str">
            <v>Template de desconto percentual FLAT Móvel - Conta Total - Varejo - Ganho Tributário Cross</v>
          </cell>
          <cell r="D1088">
            <v>0.84650000000000003</v>
          </cell>
          <cell r="E1088" t="str">
            <v>MKT-1-9907159443</v>
          </cell>
          <cell r="F1088" t="str">
            <v>0T3T_PAI17_PCS-4P9pi_FLAT_MÓVEL_GT_84.65%</v>
          </cell>
          <cell r="G1088">
            <v>84.65</v>
          </cell>
        </row>
        <row r="1089">
          <cell r="A1089" t="str">
            <v>Oi Total Fixo + Pós Conectado Mais + Banda Larga0.8175Template de desconto percentual FLAT Móvel - Conta Total - Varejo - Ganho Tributário Cross</v>
          </cell>
          <cell r="B1089" t="str">
            <v>Plano Oi Completo Mais</v>
          </cell>
          <cell r="C1089" t="str">
            <v>Template de desconto percentual FLAT Móvel - Conta Total - Varejo - Ganho Tributário Cross</v>
          </cell>
          <cell r="D1089">
            <v>0.8175</v>
          </cell>
          <cell r="E1089" t="str">
            <v>MKT-1-9907159694</v>
          </cell>
          <cell r="F1089" t="str">
            <v>0T3T_PAI17_PCS-4P9pi_FLAT_MÓVEL_GT_81.75%</v>
          </cell>
          <cell r="G1089">
            <v>81.75</v>
          </cell>
        </row>
        <row r="1090">
          <cell r="A1090" t="str">
            <v>Oi Total Fixo + Pós Conectado Mais + Banda Larga0.7886Template de desconto percentual FLAT Móvel - Conta Total - Varejo - Ganho Tributário Cross</v>
          </cell>
          <cell r="B1090" t="str">
            <v>Plano Oi Completo Mais</v>
          </cell>
          <cell r="C1090" t="str">
            <v>Template de desconto percentual FLAT Móvel - Conta Total - Varejo - Ganho Tributário Cross</v>
          </cell>
          <cell r="D1090">
            <v>0.78859999999999997</v>
          </cell>
          <cell r="E1090" t="str">
            <v>MKT-1-9907159915</v>
          </cell>
          <cell r="F1090" t="str">
            <v>0T3T_PAI17_PCS-4P9pi_FLAT_MÓVEL_GT_78.86%</v>
          </cell>
          <cell r="G1090">
            <v>78.86</v>
          </cell>
        </row>
        <row r="1091">
          <cell r="A1091" t="str">
            <v>Oi Total Fixo + Pós 50 + Banda Larga0.3949Template de desconto percentual FLAT Móvel - Conta Total - Varejo - Ganho Tributário Cross</v>
          </cell>
          <cell r="B1091" t="str">
            <v>Plano Oi Completo XSmall</v>
          </cell>
          <cell r="C1091" t="str">
            <v>Template de desconto percentual FLAT Móvel - Conta Total - Varejo - Ganho Tributário Cross</v>
          </cell>
          <cell r="D1091">
            <v>0.39490000000000003</v>
          </cell>
          <cell r="E1091" t="str">
            <v>MKT-1-9907173126</v>
          </cell>
          <cell r="F1091" t="str">
            <v>0T3T_PAI17_PCS-4P2pi_FLAT_MÓVEL_GT_39.49%</v>
          </cell>
          <cell r="G1091">
            <v>39.49</v>
          </cell>
        </row>
        <row r="1092">
          <cell r="A1092" t="str">
            <v>Oi Total Fixo + Pós Conectado 500 + Banda Larga0.7551Template de desconto percentual FLAT Móvel - Conta Total - Varejo - Ganho Tributário Cross</v>
          </cell>
          <cell r="B1092" t="str">
            <v>Plano Oi Completo 500</v>
          </cell>
          <cell r="C1092" t="str">
            <v>Template de desconto percentual FLAT Móvel - Conta Total - Varejo - Ganho Tributário Cross</v>
          </cell>
          <cell r="D1092">
            <v>0.7551000000000001</v>
          </cell>
          <cell r="E1092" t="str">
            <v>MKT-1-9907173347</v>
          </cell>
          <cell r="F1092" t="str">
            <v>0T3T_PAI17_PCS-4P8pi_FLAT_MÓVEL_GT_75.51%</v>
          </cell>
          <cell r="G1092">
            <v>75.510000000000005</v>
          </cell>
        </row>
        <row r="1093">
          <cell r="A1093" t="str">
            <v>Oi Total Fixo + Pós Conectado Mais + Banda Larga0.6147Template de desconto percentual FLAT Móvel - Conta Total - Varejo - Ganho Tributário Cross</v>
          </cell>
          <cell r="B1093" t="str">
            <v>Plano Oi Completo Mais</v>
          </cell>
          <cell r="C1093" t="str">
            <v>Template de desconto percentual FLAT Móvel - Conta Total - Varejo - Ganho Tributário Cross</v>
          </cell>
          <cell r="D1093">
            <v>0.61470000000000002</v>
          </cell>
          <cell r="E1093" t="str">
            <v>MKT-1-9907173558</v>
          </cell>
          <cell r="F1093" t="str">
            <v>0T3T_PAI17_PCS-4P9pi_FLAT_MÓVEL_GT_61.47%</v>
          </cell>
          <cell r="G1093">
            <v>61.47</v>
          </cell>
        </row>
        <row r="1094">
          <cell r="A1094" t="str">
            <v>Oi Total Fixo + Pós Conectado Mais + Banda Larga0.5278Template de desconto percentual FLAT Móvel - Conta Total - Varejo - Ganho Tributário Cross</v>
          </cell>
          <cell r="B1094" t="str">
            <v>Plano Oi Completo Mais</v>
          </cell>
          <cell r="C1094" t="str">
            <v>Template de desconto percentual FLAT Móvel - Conta Total - Varejo - Ganho Tributário Cross</v>
          </cell>
          <cell r="D1094">
            <v>0.52780000000000005</v>
          </cell>
          <cell r="E1094" t="str">
            <v>MKT-1-9907173789</v>
          </cell>
          <cell r="F1094" t="str">
            <v>0T3T_PAI17_PCS-4P9pi_FLAT_MÓVEL_GT_52.78%</v>
          </cell>
          <cell r="G1094">
            <v>52.78</v>
          </cell>
        </row>
        <row r="1095">
          <cell r="A1095" t="str">
            <v>Oi Total Fixo + Pós Conectado Mais + Banda Larga0.2434Template desconto FLAT Plano Principal Oi TV nível conta</v>
          </cell>
          <cell r="B1095" t="str">
            <v>Plano Oi Completo Mais</v>
          </cell>
          <cell r="C1095" t="str">
            <v>Template desconto FLAT Plano Principal Oi TV nível conta</v>
          </cell>
          <cell r="D1095">
            <v>0.24340000000000001</v>
          </cell>
          <cell r="E1095" t="str">
            <v>MKT-1-9948577061</v>
          </cell>
          <cell r="F1095" t="str">
            <v>0T3T_PAI17_PCS-4P9pi_FLAT_TV_24.34%</v>
          </cell>
          <cell r="G1095">
            <v>24.34</v>
          </cell>
        </row>
        <row r="1096">
          <cell r="A1096" t="str">
            <v>Oi Total Fixo + Pós Conectado Mais + Banda Larga0.2148Template desconto FLAT Plano Principal Oi TV nível conta</v>
          </cell>
          <cell r="B1096" t="str">
            <v>Plano Oi Completo Mais</v>
          </cell>
          <cell r="C1096" t="str">
            <v>Template desconto FLAT Plano Principal Oi TV nível conta</v>
          </cell>
          <cell r="D1096">
            <v>0.21479999999999999</v>
          </cell>
          <cell r="E1096" t="str">
            <v>MKT-1-9949098142</v>
          </cell>
          <cell r="F1096" t="str">
            <v>0T3T_PAI17_PCS-4P9pi_FLAT_TV_21.48%</v>
          </cell>
          <cell r="G1096">
            <v>21.48</v>
          </cell>
        </row>
        <row r="1097">
          <cell r="A1097" t="str">
            <v>Oi Total Fixo + Pós Conectado Mais + Banda Larga0.3867Template desconto FLAT Plano Principal Oi TV nível conta</v>
          </cell>
          <cell r="B1097" t="str">
            <v>Plano Oi Completo Mais</v>
          </cell>
          <cell r="C1097" t="str">
            <v>Template desconto FLAT Plano Principal Oi TV nível conta</v>
          </cell>
          <cell r="D1097">
            <v>0.38670000000000004</v>
          </cell>
          <cell r="E1097" t="str">
            <v>MKT-1-9949098397</v>
          </cell>
          <cell r="F1097" t="str">
            <v>0T3T_PAI17_PCS-4P9pi_FLAT_TV_38.67%</v>
          </cell>
          <cell r="G1097">
            <v>38.67</v>
          </cell>
        </row>
        <row r="1098">
          <cell r="A1098" t="str">
            <v>Oi Total Fixo + Pós Conectado Mais + Banda Larga0.2085Template desconto FLAT Plano Principal Oi TV nível conta</v>
          </cell>
          <cell r="B1098" t="str">
            <v>Plano Oi Completo Mais</v>
          </cell>
          <cell r="C1098" t="str">
            <v>Template desconto FLAT Plano Principal Oi TV nível conta</v>
          </cell>
          <cell r="D1098">
            <v>0.20850000000000002</v>
          </cell>
          <cell r="E1098" t="str">
            <v>MKT-1-9949098652</v>
          </cell>
          <cell r="F1098" t="str">
            <v>0T3T_PAI17_PCS-4P9pi_FLAT_TV_20.85%</v>
          </cell>
          <cell r="G1098">
            <v>20.85</v>
          </cell>
        </row>
        <row r="1099">
          <cell r="A1099" t="str">
            <v>Oi Total Fixo + Pós Conectado Mais + Banda Larga0.1907Template desconto FLAT Plano Principal Oi TV nível conta</v>
          </cell>
          <cell r="B1099" t="str">
            <v>Plano Oi Completo Mais</v>
          </cell>
          <cell r="C1099" t="str">
            <v>Template desconto FLAT Plano Principal Oi TV nível conta</v>
          </cell>
          <cell r="D1099">
            <v>0.19070000000000001</v>
          </cell>
          <cell r="E1099" t="str">
            <v>MKT-1-9949098967</v>
          </cell>
          <cell r="F1099" t="str">
            <v>0T3T_PAI17_PCS-4P9pi_FLAT_TV_19.07%</v>
          </cell>
          <cell r="G1099">
            <v>19.07</v>
          </cell>
        </row>
        <row r="1100">
          <cell r="A1100" t="str">
            <v>Oi Total Fixo + Pós Conectado Mais + Banda Larga0.329Template desconto FLAT Plano Principal Oi TV nível conta</v>
          </cell>
          <cell r="B1100" t="str">
            <v>Plano Oi Completo Mais</v>
          </cell>
          <cell r="C1100" t="str">
            <v>Template desconto FLAT Plano Principal Oi TV nível conta</v>
          </cell>
          <cell r="D1100">
            <v>0.32899999999999996</v>
          </cell>
          <cell r="E1100" t="str">
            <v>MKT-1-9949123222</v>
          </cell>
          <cell r="F1100" t="str">
            <v>0T3T_PAI17_PCS-4P9pi_FLAT_TV_32.90%</v>
          </cell>
          <cell r="G1100">
            <v>32.9</v>
          </cell>
        </row>
        <row r="1101">
          <cell r="A1101" t="str">
            <v>Oi Total Fixo + Pós Conectado Mais + Banda Larga0.3418Template desconto FLAT Plano Principal Oi TV nível conta</v>
          </cell>
          <cell r="B1101" t="str">
            <v>Plano Oi Completo Mais</v>
          </cell>
          <cell r="C1101" t="str">
            <v>Template desconto FLAT Plano Principal Oi TV nível conta</v>
          </cell>
          <cell r="D1101">
            <v>0.34179999999999999</v>
          </cell>
          <cell r="E1101" t="str">
            <v>MKT-1-9949123477</v>
          </cell>
          <cell r="F1101" t="str">
            <v>0T3T_PAI17_PCS-4P9pi_FLAT_TV_34.18%</v>
          </cell>
          <cell r="G1101">
            <v>34.18</v>
          </cell>
        </row>
        <row r="1102">
          <cell r="A1102" t="str">
            <v>Oi Total Fixo + Pós Conectado Mais + Banda Larga0.3046Template desconto FLAT Plano Principal Oi TV nível conta</v>
          </cell>
          <cell r="B1102" t="str">
            <v>Plano Oi Completo Mais</v>
          </cell>
          <cell r="C1102" t="str">
            <v>Template desconto FLAT Plano Principal Oi TV nível conta</v>
          </cell>
          <cell r="D1102">
            <v>0.30459999999999998</v>
          </cell>
          <cell r="E1102" t="str">
            <v>MKT-1-9949147632</v>
          </cell>
          <cell r="F1102" t="str">
            <v>0T3T_PAI17_PCS-4P9pi_FLAT_TV_30.46%</v>
          </cell>
          <cell r="G1102">
            <v>30.46</v>
          </cell>
        </row>
        <row r="1103">
          <cell r="A1103" t="str">
            <v>Oi Total Fixo + Pós Conectado Mais + Banda Larga0.4399Template desconto FLAT Plano Principal Oi TV nível conta</v>
          </cell>
          <cell r="B1103" t="str">
            <v>Plano Oi Completo Mais</v>
          </cell>
          <cell r="C1103" t="str">
            <v>Template desconto FLAT Plano Principal Oi TV nível conta</v>
          </cell>
          <cell r="D1103">
            <v>0.43990000000000001</v>
          </cell>
          <cell r="E1103" t="str">
            <v>MKT-1-9949176987</v>
          </cell>
          <cell r="F1103" t="str">
            <v>0T3T_PAI17_PCS-4P9pi_FLAT_TV_43.99%</v>
          </cell>
          <cell r="G1103">
            <v>43.99</v>
          </cell>
        </row>
        <row r="1104">
          <cell r="A1104" t="str">
            <v>Oi Total Fixo + Pós Conectado Mais + Banda Larga0.2959Template desconto FLAT Plano Principal Oi TV nível conta</v>
          </cell>
          <cell r="B1104" t="str">
            <v>Plano Oi Completo Mais</v>
          </cell>
          <cell r="C1104" t="str">
            <v>Template desconto FLAT Plano Principal Oi TV nível conta</v>
          </cell>
          <cell r="D1104">
            <v>0.2959</v>
          </cell>
          <cell r="E1104" t="str">
            <v>MKT-1-9949200542</v>
          </cell>
          <cell r="F1104" t="str">
            <v>0T3T_PAI17_PCS-4P9pi_FLAT_TV_29.59%</v>
          </cell>
          <cell r="G1104">
            <v>29.59</v>
          </cell>
        </row>
        <row r="1105">
          <cell r="A1105" t="str">
            <v>Oi Total Fixo + Pós Conectado Mais + Banda Larga0.2704Template desconto FLAT Plano Principal Oi TV nível conta</v>
          </cell>
          <cell r="B1105" t="str">
            <v>Plano Oi Completo Mais</v>
          </cell>
          <cell r="C1105" t="str">
            <v>Template desconto FLAT Plano Principal Oi TV nível conta</v>
          </cell>
          <cell r="D1105">
            <v>0.27039999999999997</v>
          </cell>
          <cell r="E1105" t="str">
            <v>MKT-1-9949264797</v>
          </cell>
          <cell r="F1105" t="str">
            <v>0T3T_PAI17_PCS-4P9pi_FLAT_TV_27.04%</v>
          </cell>
          <cell r="G1105">
            <v>27.04</v>
          </cell>
        </row>
        <row r="1106">
          <cell r="A1106" t="str">
            <v>Oi Total Fixo + Pós Conectado Mais + Banda Larga0.384Template desconto FLAT Plano Principal Oi TV nível conta</v>
          </cell>
          <cell r="B1106" t="str">
            <v>Plano Oi Completo Mais</v>
          </cell>
          <cell r="C1106" t="str">
            <v>Template desconto FLAT Plano Principal Oi TV nível conta</v>
          </cell>
          <cell r="D1106">
            <v>0.38400000000000001</v>
          </cell>
          <cell r="E1106" t="str">
            <v>MKT-1-9949281152</v>
          </cell>
          <cell r="F1106" t="str">
            <v>0T3T_PAI17_PCS-4P9pi_FLAT_TV_38.40%</v>
          </cell>
          <cell r="G1106">
            <v>38.4</v>
          </cell>
        </row>
        <row r="1107">
          <cell r="A1107" t="str">
            <v>Oi Total Fixo + Pós Conectado Mais + Banda Larga0.0011Template desconto FLAT Plano Principal Oi TV nível conta</v>
          </cell>
          <cell r="B1107" t="str">
            <v>Plano Oi Completo Mais</v>
          </cell>
          <cell r="C1107" t="str">
            <v>Template desconto FLAT Plano Principal Oi TV nível conta</v>
          </cell>
          <cell r="D1107">
            <v>1.1000000000000001E-3</v>
          </cell>
          <cell r="E1107" t="str">
            <v>MKT-1-9949299317</v>
          </cell>
          <cell r="F1107" t="str">
            <v>0T3T_PAI17_PCS-4P9pi_FLAT_TV_00.11%</v>
          </cell>
          <cell r="G1107">
            <v>0.11</v>
          </cell>
        </row>
        <row r="1108">
          <cell r="A1108" t="str">
            <v>Oi Total Fixo + Pós Conectado Mais + Banda Larga0.0184Template desconto FLAT Plano Principal Oi TV nível conta</v>
          </cell>
          <cell r="B1108" t="str">
            <v>Plano Oi Completo Mais</v>
          </cell>
          <cell r="C1108" t="str">
            <v>Template desconto FLAT Plano Principal Oi TV nível conta</v>
          </cell>
          <cell r="D1108">
            <v>1.84E-2</v>
          </cell>
          <cell r="E1108" t="str">
            <v>MKT-1-9949301012</v>
          </cell>
          <cell r="F1108" t="str">
            <v>0T3T_PAI17_PCS-4P9pi_FLAT_TV_01.84%</v>
          </cell>
          <cell r="G1108">
            <v>1.84</v>
          </cell>
        </row>
        <row r="1109">
          <cell r="A1109" t="str">
            <v>Oi Total Fixo + Pós Conectado Mais + Banda Larga0.0221Template desconto FLAT Plano Principal Oi TV nível conta</v>
          </cell>
          <cell r="B1109" t="str">
            <v>Plano Oi Completo Mais</v>
          </cell>
          <cell r="C1109" t="str">
            <v>Template desconto FLAT Plano Principal Oi TV nível conta</v>
          </cell>
          <cell r="D1109">
            <v>2.2099999999999998E-2</v>
          </cell>
          <cell r="E1109" t="str">
            <v>MKT-1-9949304327</v>
          </cell>
          <cell r="F1109" t="str">
            <v>0T3T_PAI17_PCS-4P9pi_FLAT_TV_02.21%</v>
          </cell>
          <cell r="G1109">
            <v>2.21</v>
          </cell>
        </row>
        <row r="1110">
          <cell r="A1110" t="str">
            <v>Oi Total Fixo + Pós Conectado Mais + Banda Larga0.0328Template desconto FLAT Plano Principal Oi TV nível conta</v>
          </cell>
          <cell r="B1110" t="str">
            <v>Plano Oi Completo Mais</v>
          </cell>
          <cell r="C1110" t="str">
            <v>Template desconto FLAT Plano Principal Oi TV nível conta</v>
          </cell>
          <cell r="D1110">
            <v>3.2799999999999996E-2</v>
          </cell>
          <cell r="E1110" t="str">
            <v>MKT-1-9949328682</v>
          </cell>
          <cell r="F1110" t="str">
            <v>0T3T_PAI17_PCS-4P9pi_FLAT_TV_03.28%</v>
          </cell>
          <cell r="G1110">
            <v>3.28</v>
          </cell>
        </row>
        <row r="1111">
          <cell r="A1111" t="str">
            <v>Oi Total Fixo + Pós Conectado Mais + Banda Larga0.1601Template desconto FLAT Plano Principal Oi TV nível conta</v>
          </cell>
          <cell r="B1111" t="str">
            <v>Plano Oi Completo Mais</v>
          </cell>
          <cell r="C1111" t="str">
            <v>Template desconto FLAT Plano Principal Oi TV nível conta</v>
          </cell>
          <cell r="D1111">
            <v>0.16010000000000002</v>
          </cell>
          <cell r="E1111" t="str">
            <v>MKT-1-9949347637</v>
          </cell>
          <cell r="F1111" t="str">
            <v>0T3T_PAI17_PCS-4P9pi_FLAT_TV_16.01%</v>
          </cell>
          <cell r="G1111">
            <v>16.010000000000002</v>
          </cell>
        </row>
        <row r="1112">
          <cell r="A1112" t="str">
            <v>Oi Total Fixo + Pós Conectado Mais + Banda Larga0.15Template desconto FLAT Plano Principal Oi TV nível conta</v>
          </cell>
          <cell r="B1112" t="str">
            <v>Plano Oi Completo Mais</v>
          </cell>
          <cell r="C1112" t="str">
            <v>Template desconto FLAT Plano Principal Oi TV nível conta</v>
          </cell>
          <cell r="D1112">
            <v>0.15</v>
          </cell>
          <cell r="E1112" t="str">
            <v>MKT-1-9949363632</v>
          </cell>
          <cell r="F1112" t="str">
            <v>0T3T_PAI17_PCS-4P9pi_FLAT_TV_15.00%</v>
          </cell>
          <cell r="G1112">
            <v>15</v>
          </cell>
        </row>
        <row r="1113">
          <cell r="A1113" t="str">
            <v>Oi Total Fixo + Pós Conectado Mais + Banda Larga0.1476Template desconto FLAT Plano Principal Oi TV nível conta</v>
          </cell>
          <cell r="B1113" t="str">
            <v>Plano Oi Completo Mais</v>
          </cell>
          <cell r="C1113" t="str">
            <v>Template desconto FLAT Plano Principal Oi TV nível conta</v>
          </cell>
          <cell r="D1113">
            <v>0.14760000000000001</v>
          </cell>
          <cell r="E1113" t="str">
            <v>MKT-1-9949412477</v>
          </cell>
          <cell r="F1113" t="str">
            <v>0T3T_PAI17_PCS-4P9pi_FLAT_TV_14.76%</v>
          </cell>
          <cell r="G1113">
            <v>14.76</v>
          </cell>
        </row>
        <row r="1114">
          <cell r="A1114" t="str">
            <v>Oi Total Fixo + Pós Conectado Mais + Banda Larga0.1407Template desconto FLAT Plano Principal Oi TV nível conta</v>
          </cell>
          <cell r="B1114" t="str">
            <v>Plano Oi Completo Mais</v>
          </cell>
          <cell r="C1114" t="str">
            <v>Template desconto FLAT Plano Principal Oi TV nível conta</v>
          </cell>
          <cell r="D1114">
            <v>0.14069999999999999</v>
          </cell>
          <cell r="E1114" t="str">
            <v>MKT-1-9949462092</v>
          </cell>
          <cell r="F1114" t="str">
            <v>0T3T_PAI17_PCS-4P9pi_FLAT_TV_14.07%</v>
          </cell>
          <cell r="G1114">
            <v>14.07</v>
          </cell>
        </row>
        <row r="1115">
          <cell r="A1115" t="e">
            <v>#N/A</v>
          </cell>
          <cell r="B1115" t="str">
            <v>DIVERSOS</v>
          </cell>
          <cell r="C1115" t="str">
            <v>Template Desconto % SVA DADOS B2C</v>
          </cell>
          <cell r="D1115">
            <v>1</v>
          </cell>
          <cell r="E1115" t="str">
            <v>MKT-1-10026708611</v>
          </cell>
          <cell r="F1115" t="str">
            <v>0T0T_AGO17_SVA_DADOS_100.00%</v>
          </cell>
          <cell r="G1115">
            <v>100</v>
          </cell>
        </row>
        <row r="1116">
          <cell r="A1116" t="e">
            <v>#N/A</v>
          </cell>
          <cell r="B1116" t="str">
            <v>DIVERSOS</v>
          </cell>
          <cell r="C1116" t="str">
            <v>Template Desconto % SVA DADOS B2C</v>
          </cell>
          <cell r="D1116">
            <v>0.74209999999999998</v>
          </cell>
          <cell r="E1116" t="str">
            <v>MKT-1-10026708771</v>
          </cell>
          <cell r="F1116" t="str">
            <v>0T0T_AGO17_SVA_DADOS_74.21%</v>
          </cell>
          <cell r="G1116">
            <v>74.209999999999994</v>
          </cell>
        </row>
        <row r="1117">
          <cell r="A1117" t="e">
            <v>#N/A</v>
          </cell>
          <cell r="B1117" t="str">
            <v>DIVERSOS</v>
          </cell>
          <cell r="C1117" t="str">
            <v>Template Desconto % SVA DADOS B2C</v>
          </cell>
          <cell r="D1117">
            <v>0.74260000000000004</v>
          </cell>
          <cell r="E1117" t="str">
            <v>MKT-1-10026709011</v>
          </cell>
          <cell r="F1117" t="str">
            <v>0T0T_AGO17_SVA_DADOS_74.26%</v>
          </cell>
          <cell r="G1117">
            <v>74.260000000000005</v>
          </cell>
        </row>
        <row r="1118">
          <cell r="A1118" t="e">
            <v>#N/A</v>
          </cell>
          <cell r="B1118" t="str">
            <v>DIVERSOS</v>
          </cell>
          <cell r="C1118" t="str">
            <v>Template Desconto % SVA DADOS B2C</v>
          </cell>
          <cell r="D1118">
            <v>0.74219999999999997</v>
          </cell>
          <cell r="E1118" t="str">
            <v>MKT-1-10026767331</v>
          </cell>
          <cell r="F1118" t="str">
            <v>0T0T_AGO17_SVA_DADOS_74.22%</v>
          </cell>
          <cell r="G1118">
            <v>74.22</v>
          </cell>
        </row>
        <row r="1119">
          <cell r="A1119" t="e">
            <v>#N/A</v>
          </cell>
          <cell r="B1119" t="str">
            <v>DIVERSOS</v>
          </cell>
          <cell r="C1119" t="str">
            <v>Template Desconto % SVA DADOS B2C</v>
          </cell>
          <cell r="D1119">
            <v>0.74250000000000005</v>
          </cell>
          <cell r="E1119" t="str">
            <v>MKT-1-10026768191</v>
          </cell>
          <cell r="F1119" t="str">
            <v>0T0T_AGO17_SVA_DADOS_74.25%.</v>
          </cell>
          <cell r="G1119">
            <v>74.25</v>
          </cell>
        </row>
        <row r="1120">
          <cell r="A1120" t="str">
            <v>Oi Internet pra Celular 10GB0.6153Template Flat Instância Dados</v>
          </cell>
          <cell r="B1120" t="str">
            <v>Oi Internet pra Celular 10GB</v>
          </cell>
          <cell r="C1120" t="str">
            <v>Template Flat Instância Dados</v>
          </cell>
          <cell r="D1120">
            <v>0.61529999999999996</v>
          </cell>
          <cell r="E1120" t="str">
            <v>MKT-1-10026870851</v>
          </cell>
          <cell r="F1120" t="str">
            <v>0T3T_PAI17_INTCEL-10G_61.53%</v>
          </cell>
          <cell r="G1120">
            <v>61.53</v>
          </cell>
        </row>
        <row r="1121">
          <cell r="A1121" t="str">
            <v>Oi Internet pra Celular 10GB0.7171Template Flat Instância Dados</v>
          </cell>
          <cell r="B1121" t="str">
            <v>Oi Internet pra Celular 10GB</v>
          </cell>
          <cell r="C1121" t="str">
            <v>Template Flat Instância Dados</v>
          </cell>
          <cell r="D1121">
            <v>0.71709999999999996</v>
          </cell>
          <cell r="E1121" t="str">
            <v>MKT-1-10026929038</v>
          </cell>
          <cell r="F1121" t="str">
            <v>0T3T_PAI17_INTCEL-10G_71.71%</v>
          </cell>
          <cell r="G1121">
            <v>71.709999999999994</v>
          </cell>
        </row>
        <row r="1122">
          <cell r="A1122" t="str">
            <v>Oi Internet pra Celular 5GB0.7171Template Flat Instância Dados</v>
          </cell>
          <cell r="B1122" t="str">
            <v>Oi Internet pra Celular 5GB</v>
          </cell>
          <cell r="C1122" t="str">
            <v>Template Flat Instância Dados</v>
          </cell>
          <cell r="D1122">
            <v>0.71709999999999996</v>
          </cell>
          <cell r="E1122" t="str">
            <v>MKT-1-10026936331</v>
          </cell>
          <cell r="F1122" t="str">
            <v>0T3T_PAI17_INTCEL-5G_71.71%</v>
          </cell>
          <cell r="G1122">
            <v>71.709999999999994</v>
          </cell>
        </row>
        <row r="1123">
          <cell r="A1123" t="str">
            <v>Oi Internet pra Celular 5GB0.7543Template Flat Instância Dados</v>
          </cell>
          <cell r="B1123" t="str">
            <v>Oi Internet pra Celular 5GB</v>
          </cell>
          <cell r="C1123" t="str">
            <v>Template Flat Instância Dados</v>
          </cell>
          <cell r="D1123">
            <v>0.75430000000000008</v>
          </cell>
          <cell r="E1123" t="str">
            <v>MKT-1-10026957881</v>
          </cell>
          <cell r="F1123" t="str">
            <v>0T3T_PAI17_INTCEL-5G_75.43%</v>
          </cell>
          <cell r="G1123">
            <v>75.430000000000007</v>
          </cell>
        </row>
        <row r="1124">
          <cell r="A1124" t="str">
            <v>Oi Internet pra Celular 5GB0.6704Template Flat Instância Dados</v>
          </cell>
          <cell r="B1124" t="str">
            <v>Oi Internet pra Celular 5GB</v>
          </cell>
          <cell r="C1124" t="str">
            <v>Template Flat Instância Dados</v>
          </cell>
          <cell r="D1124">
            <v>0.67040000000000011</v>
          </cell>
          <cell r="E1124" t="str">
            <v>MKT-1-10026973411</v>
          </cell>
          <cell r="F1124" t="str">
            <v>0T3T_PAI17_INTCEL-5G_67.04%</v>
          </cell>
          <cell r="G1124">
            <v>67.040000000000006</v>
          </cell>
        </row>
        <row r="1125">
          <cell r="A1125" t="str">
            <v>Oi Internet pra Celular 5GB0.6153Template Flat Instância Dados</v>
          </cell>
          <cell r="B1125" t="str">
            <v>Oi Internet pra Celular 5GB</v>
          </cell>
          <cell r="C1125" t="str">
            <v>Template Flat Instância Dados</v>
          </cell>
          <cell r="D1125">
            <v>0.61529999999999996</v>
          </cell>
          <cell r="E1125" t="str">
            <v>MKT-1-10026973791</v>
          </cell>
          <cell r="F1125" t="str">
            <v>0T3T_PAI17_INTCEL-5G_61.53%</v>
          </cell>
          <cell r="G1125">
            <v>61.53</v>
          </cell>
        </row>
        <row r="1126">
          <cell r="A1126" t="str">
            <v>Oi Internet pra Celular 3GB0.6704Template Flat Instância Dados</v>
          </cell>
          <cell r="B1126" t="str">
            <v>Oi Internet pra Celular 3GB</v>
          </cell>
          <cell r="C1126" t="str">
            <v>Template Flat Instância Dados</v>
          </cell>
          <cell r="D1126">
            <v>0.67040000000000011</v>
          </cell>
          <cell r="E1126" t="str">
            <v>MKT-1-10026974171</v>
          </cell>
          <cell r="F1126" t="str">
            <v>0T3T_PAI17_INTCEL-3G_67.04%</v>
          </cell>
          <cell r="G1126">
            <v>67.040000000000006</v>
          </cell>
        </row>
        <row r="1127">
          <cell r="A1127" t="str">
            <v>Oi Total Fixo + Pós Conectado 1.000 + Banda Larga0.4781Template desconto FLAT Plano Principal Oi TV nível conta</v>
          </cell>
          <cell r="B1127" t="str">
            <v>Plano Oi Completo 1.000</v>
          </cell>
          <cell r="C1127" t="str">
            <v>Template desconto FLAT Plano Principal Oi TV nível conta</v>
          </cell>
          <cell r="D1127">
            <v>0.47810000000000002</v>
          </cell>
          <cell r="E1127" t="str">
            <v>MKT-1-10027248104</v>
          </cell>
          <cell r="F1127" t="str">
            <v>0T3T_PAI17_PCS-4P10pi_FLAT_TV_47.81%</v>
          </cell>
          <cell r="G1127">
            <v>47.81</v>
          </cell>
        </row>
        <row r="1128">
          <cell r="A1128" t="str">
            <v>Oi Total Fixo + Pós Conectado 1.000 + Banda Larga0.3867Template desconto FLAT Plano Principal Oi TV nível conta</v>
          </cell>
          <cell r="B1128" t="str">
            <v>Plano Oi Completo 1.000</v>
          </cell>
          <cell r="C1128" t="str">
            <v>Template desconto FLAT Plano Principal Oi TV nível conta</v>
          </cell>
          <cell r="D1128">
            <v>0.38670000000000004</v>
          </cell>
          <cell r="E1128" t="str">
            <v>MKT-1-10027280381</v>
          </cell>
          <cell r="F1128" t="str">
            <v>0T3T_PAI17_PCS-4P10pi_FLAT_TV_38.67%</v>
          </cell>
          <cell r="G1128">
            <v>38.67</v>
          </cell>
        </row>
        <row r="1129">
          <cell r="A1129" t="str">
            <v>Oi Total Fixo + Pós Conectado 1.000 + Banda Larga0.329Template desconto FLAT Plano Principal Oi TV nível conta</v>
          </cell>
          <cell r="B1129" t="str">
            <v>Plano Oi Completo 1.000</v>
          </cell>
          <cell r="C1129" t="str">
            <v>Template desconto FLAT Plano Principal Oi TV nível conta</v>
          </cell>
          <cell r="D1129">
            <v>0.32899999999999996</v>
          </cell>
          <cell r="E1129" t="str">
            <v>MKT-1-10027807931</v>
          </cell>
          <cell r="F1129" t="str">
            <v>0T3T_PAI17_PCS-4P10pi_FLAT_TV_32.90%</v>
          </cell>
          <cell r="G1129">
            <v>32.9</v>
          </cell>
        </row>
        <row r="1130">
          <cell r="A1130" t="str">
            <v>Oi Total Fixo + Pós Conectado 1.000 + Banda Larga0.4399Template desconto FLAT Plano Principal Oi TV nível conta</v>
          </cell>
          <cell r="B1130" t="str">
            <v>Plano Oi Completo 1.000</v>
          </cell>
          <cell r="C1130" t="str">
            <v>Template desconto FLAT Plano Principal Oi TV nível conta</v>
          </cell>
          <cell r="D1130">
            <v>0.43990000000000001</v>
          </cell>
          <cell r="E1130" t="str">
            <v>MKT-1-10028039652</v>
          </cell>
          <cell r="F1130" t="str">
            <v>0T3T_PAI17_PCS-4P10pi_FLAT_TV_43.99%</v>
          </cell>
          <cell r="G1130">
            <v>43.99</v>
          </cell>
        </row>
        <row r="1131">
          <cell r="A1131" t="str">
            <v>Oi Total Fixo + Pós 50 + Banda Larga0.4781Template desconto FLAT Plano Principal Oi TV nível conta</v>
          </cell>
          <cell r="B1131" t="str">
            <v>Plano Oi Completo XSmall</v>
          </cell>
          <cell r="C1131" t="str">
            <v>Template desconto FLAT Plano Principal Oi TV nível conta</v>
          </cell>
          <cell r="D1131">
            <v>0.47810000000000002</v>
          </cell>
          <cell r="E1131" t="str">
            <v>MKT-1-10029270831</v>
          </cell>
          <cell r="F1131" t="str">
            <v>0T3T_PAI17_PCS-4P2pi_FLAT_TV_47.81%</v>
          </cell>
          <cell r="G1131">
            <v>47.81</v>
          </cell>
        </row>
        <row r="1132">
          <cell r="A1132" t="str">
            <v>Oi Total Fixo + Pós 100 + Banda Larga0.329Template desconto FLAT Plano Principal Oi TV nível conta</v>
          </cell>
          <cell r="B1132" t="str">
            <v>Plano Oi Completo Small</v>
          </cell>
          <cell r="C1132" t="str">
            <v>Template desconto FLAT Plano Principal Oi TV nível conta</v>
          </cell>
          <cell r="D1132">
            <v>0.32899999999999996</v>
          </cell>
          <cell r="E1132" t="str">
            <v>MKT-1-10029271101</v>
          </cell>
          <cell r="F1132" t="str">
            <v>0T3T_PAI17_PCS-4P3pi_FLAT_TV_32.90%</v>
          </cell>
          <cell r="G1132">
            <v>32.9</v>
          </cell>
        </row>
        <row r="1133">
          <cell r="A1133" t="str">
            <v>Oi Total Fixo + Pós 50 + Banda Larga0.3256Template desconto FLAT Plano Principal Oi TV nível conta</v>
          </cell>
          <cell r="B1133" t="str">
            <v>Plano Oi Completo XSmall</v>
          </cell>
          <cell r="C1133" t="str">
            <v>Template desconto FLAT Plano Principal Oi TV nível conta</v>
          </cell>
          <cell r="D1133">
            <v>0.3256</v>
          </cell>
          <cell r="E1133" t="str">
            <v>MKT-1-10029278791</v>
          </cell>
          <cell r="F1133" t="str">
            <v>0T3T_PAI17_PCS-4P2pi_FLAT_TV_32.56%</v>
          </cell>
          <cell r="G1133">
            <v>32.56</v>
          </cell>
        </row>
        <row r="1134">
          <cell r="A1134" t="str">
            <v>Oi Total Fixo + Pós 50 + Banda Larga0.1637Template desconto FLAT Plano Principal Oi TV nível conta</v>
          </cell>
          <cell r="B1134" t="str">
            <v>Plano Oi Completo XSmall</v>
          </cell>
          <cell r="C1134" t="str">
            <v>Template desconto FLAT Plano Principal Oi TV nível conta</v>
          </cell>
          <cell r="D1134">
            <v>0.16370000000000001</v>
          </cell>
          <cell r="E1134" t="str">
            <v>MKT-1-10029279061</v>
          </cell>
          <cell r="F1134" t="str">
            <v>0T3T_PAI17_PCS-4P2pi_FLAT_TV_16.37%</v>
          </cell>
          <cell r="G1134">
            <v>16.37</v>
          </cell>
        </row>
        <row r="1135">
          <cell r="A1135" t="str">
            <v>Oi Total Fixo + Pós 50 + Banda Larga0.4399Template desconto FLAT Plano Principal Oi TV nível conta</v>
          </cell>
          <cell r="B1135" t="str">
            <v>Plano Oi Completo XSmall</v>
          </cell>
          <cell r="C1135" t="str">
            <v>Template desconto FLAT Plano Principal Oi TV nível conta</v>
          </cell>
          <cell r="D1135">
            <v>0.43990000000000001</v>
          </cell>
          <cell r="E1135" t="str">
            <v>MKT-1-10029315481</v>
          </cell>
          <cell r="F1135" t="str">
            <v>0T3T_PAI17_PCS-4P2pi_FLAT_TV_43.99%</v>
          </cell>
          <cell r="G1135">
            <v>43.99</v>
          </cell>
        </row>
        <row r="1136">
          <cell r="A1136" t="str">
            <v>Oi Total Fixo + Pós 100 + Banda Larga0.4399Template desconto FLAT Plano Principal Oi TV nível conta</v>
          </cell>
          <cell r="B1136" t="str">
            <v>Plano Oi Completo Small</v>
          </cell>
          <cell r="C1136" t="str">
            <v>Template desconto FLAT Plano Principal Oi TV nível conta</v>
          </cell>
          <cell r="D1136">
            <v>0.43990000000000001</v>
          </cell>
          <cell r="E1136" t="str">
            <v>MKT-1-10029315751</v>
          </cell>
          <cell r="F1136" t="str">
            <v>0T3T_PAI17_PCS-4P3pi_FLAT_TV_43.99%</v>
          </cell>
          <cell r="G1136">
            <v>43.99</v>
          </cell>
        </row>
        <row r="1137">
          <cell r="A1137" t="str">
            <v>Oi Total Fixo + Pós 50 + Banda Larga0.4327Template desconto FLAT Plano Principal Oi TV nível conta</v>
          </cell>
          <cell r="B1137" t="str">
            <v>Plano Oi Completo XSmall</v>
          </cell>
          <cell r="C1137" t="str">
            <v>Template desconto FLAT Plano Principal Oi TV nível conta</v>
          </cell>
          <cell r="D1137">
            <v>0.43270000000000003</v>
          </cell>
          <cell r="E1137" t="str">
            <v>MKT-1-10029319491</v>
          </cell>
          <cell r="F1137" t="str">
            <v>0T3T_PAI17_PCS-4P2pi_FLAT_TV_43.27%</v>
          </cell>
          <cell r="G1137">
            <v>43.27</v>
          </cell>
        </row>
        <row r="1138">
          <cell r="A1138" t="str">
            <v>Oi Total Fixo + Pós 100 + Banda Larga0.4781Template desconto FLAT Plano Principal Oi TV nível conta</v>
          </cell>
          <cell r="B1138" t="str">
            <v>Plano Oi Completo Small</v>
          </cell>
          <cell r="C1138" t="str">
            <v>Template desconto FLAT Plano Principal Oi TV nível conta</v>
          </cell>
          <cell r="D1138">
            <v>0.47810000000000002</v>
          </cell>
          <cell r="E1138" t="str">
            <v>MKT-1-10029319761</v>
          </cell>
          <cell r="F1138" t="str">
            <v>0T3T_PAI17_PCS-4P3pi_FLAT_TV_47.81%</v>
          </cell>
          <cell r="G1138">
            <v>47.81</v>
          </cell>
        </row>
        <row r="1139">
          <cell r="A1139" t="str">
            <v>Oi Total Fixo + Pós 250 + Banda Larga0.2159Template desconto FLAT Plano Principal Oi TV nível conta</v>
          </cell>
          <cell r="B1139" t="str">
            <v>Plano Oi Completo Medium</v>
          </cell>
          <cell r="C1139" t="str">
            <v>Template desconto FLAT Plano Principal Oi TV nível conta</v>
          </cell>
          <cell r="D1139">
            <v>0.21590000000000001</v>
          </cell>
          <cell r="E1139" t="str">
            <v>MKT-1-10029320031</v>
          </cell>
          <cell r="F1139" t="str">
            <v>0T3T_PAI17_PCS-4P4pi_FLAT_TV_21.59%</v>
          </cell>
          <cell r="G1139">
            <v>21.59</v>
          </cell>
        </row>
        <row r="1140">
          <cell r="A1140" t="str">
            <v>Oi Total Fixo + Pós 50 + Banda Larga0.2833Template desconto FLAT Plano Principal Oi TV nível conta</v>
          </cell>
          <cell r="B1140" t="str">
            <v>Plano Oi Completo XSmall</v>
          </cell>
          <cell r="C1140" t="str">
            <v>Template desconto FLAT Plano Principal Oi TV nível conta</v>
          </cell>
          <cell r="D1140">
            <v>0.2833</v>
          </cell>
          <cell r="E1140" t="str">
            <v>MKT-1-10029326331</v>
          </cell>
          <cell r="F1140" t="str">
            <v>0T3T_PAI17_PCS-4P2pi_FLAT_TV_28.33%</v>
          </cell>
          <cell r="G1140">
            <v>28.33</v>
          </cell>
        </row>
        <row r="1141">
          <cell r="A1141" t="str">
            <v>Oi Total Fixo + Pós 50 + Banda Larga0.2737Template desconto FLAT Plano Principal Oi TV nível conta</v>
          </cell>
          <cell r="B1141" t="str">
            <v>Plano Oi Completo XSmall</v>
          </cell>
          <cell r="C1141" t="str">
            <v>Template desconto FLAT Plano Principal Oi TV nível conta</v>
          </cell>
          <cell r="D1141">
            <v>0.2737</v>
          </cell>
          <cell r="E1141" t="str">
            <v>MKT-1-10029326601</v>
          </cell>
          <cell r="F1141" t="str">
            <v>0T3T_PAI17_PCS-4P2pi_FLAT_TV_27.37%</v>
          </cell>
          <cell r="G1141">
            <v>27.37</v>
          </cell>
        </row>
        <row r="1142">
          <cell r="A1142" t="str">
            <v>Oi Total Fixo + Pós 50 + Banda Larga0.3867Template desconto FLAT Plano Principal Oi TV nível conta</v>
          </cell>
          <cell r="B1142" t="str">
            <v>Plano Oi Completo XSmall</v>
          </cell>
          <cell r="C1142" t="str">
            <v>Template desconto FLAT Plano Principal Oi TV nível conta</v>
          </cell>
          <cell r="D1142">
            <v>0.38670000000000004</v>
          </cell>
          <cell r="E1142" t="str">
            <v>MKT-1-10029326871</v>
          </cell>
          <cell r="F1142" t="str">
            <v>0T3T_PAI17_PCS-4P2pi_FLAT_TV_38.67%</v>
          </cell>
          <cell r="G1142">
            <v>38.67</v>
          </cell>
        </row>
        <row r="1143">
          <cell r="A1143" t="str">
            <v>Oi Total Fixo + Pós 50 + Banda Larga0.329Template desconto FLAT Plano Principal Oi TV nível conta</v>
          </cell>
          <cell r="B1143" t="str">
            <v>Plano Oi Completo XSmall</v>
          </cell>
          <cell r="C1143" t="str">
            <v>Template desconto FLAT Plano Principal Oi TV nível conta</v>
          </cell>
          <cell r="D1143">
            <v>0.32899999999999996</v>
          </cell>
          <cell r="E1143" t="str">
            <v>MKT-1-10029327141</v>
          </cell>
          <cell r="F1143" t="str">
            <v>0T3T_PAI17_PCS-4P2pi_FLAT_TV_32.90%</v>
          </cell>
          <cell r="G1143">
            <v>32.9</v>
          </cell>
        </row>
        <row r="1144">
          <cell r="A1144" t="str">
            <v>Oi Total Fixo + Pós 100 + Banda Larga0.3867Template desconto FLAT Plano Principal Oi TV nível conta</v>
          </cell>
          <cell r="B1144" t="str">
            <v>Plano Oi Completo Small</v>
          </cell>
          <cell r="C1144" t="str">
            <v>Template desconto FLAT Plano Principal Oi TV nível conta</v>
          </cell>
          <cell r="D1144">
            <v>0.38670000000000004</v>
          </cell>
          <cell r="E1144" t="str">
            <v>MKT-1-10029412411</v>
          </cell>
          <cell r="F1144" t="str">
            <v>0T3T_PAI17_PCS-4P3pi_FLAT_TV_38.67%</v>
          </cell>
          <cell r="G1144">
            <v>38.67</v>
          </cell>
        </row>
        <row r="1145">
          <cell r="A1145" t="str">
            <v>Oi Total Fixo + Pós 250 + Banda Larga0.3256Template desconto FLAT Plano Principal Oi TV nível conta</v>
          </cell>
          <cell r="B1145" t="str">
            <v>Plano Oi Completo Medium</v>
          </cell>
          <cell r="C1145" t="str">
            <v>Template desconto FLAT Plano Principal Oi TV nível conta</v>
          </cell>
          <cell r="D1145">
            <v>0.3256</v>
          </cell>
          <cell r="E1145" t="str">
            <v>MKT-1-10029526301</v>
          </cell>
          <cell r="F1145" t="str">
            <v>0T3T_PAI17_PCS-4P4pi_FLAT_TV_32.56%</v>
          </cell>
          <cell r="G1145">
            <v>32.56</v>
          </cell>
        </row>
        <row r="1146">
          <cell r="A1146" t="str">
            <v>Oi Total Fixo + Pós 250 + Banda Larga0.313Template desconto FLAT Plano Principal Oi TV nível conta</v>
          </cell>
          <cell r="B1146" t="str">
            <v>Plano Oi Completo Medium</v>
          </cell>
          <cell r="C1146" t="str">
            <v>Template desconto FLAT Plano Principal Oi TV nível conta</v>
          </cell>
          <cell r="D1146">
            <v>0.313</v>
          </cell>
          <cell r="E1146" t="str">
            <v>MKT-1-10029526571</v>
          </cell>
          <cell r="F1146" t="str">
            <v>0T3T_PAI17_PCS-4P4pi_FLAT_TV_31.30%</v>
          </cell>
          <cell r="G1146">
            <v>31.3</v>
          </cell>
        </row>
        <row r="1147">
          <cell r="A1147" t="str">
            <v>Oi Total Fixo + Pós 250 + Banda Larga0.1637Template desconto FLAT Plano Principal Oi TV nível conta</v>
          </cell>
          <cell r="B1147" t="str">
            <v>Plano Oi Completo Medium</v>
          </cell>
          <cell r="C1147" t="str">
            <v>Template desconto FLAT Plano Principal Oi TV nível conta</v>
          </cell>
          <cell r="D1147">
            <v>0.16370000000000001</v>
          </cell>
          <cell r="E1147" t="str">
            <v>MKT-1-10029526911</v>
          </cell>
          <cell r="F1147" t="str">
            <v>0T3T_PAI17_PCS-4P4pi_FLAT_TV_16.37%</v>
          </cell>
          <cell r="G1147">
            <v>16.37</v>
          </cell>
        </row>
        <row r="1148">
          <cell r="A1148" t="str">
            <v>Oi Total Fixo + Pós 250 + Banda Larga0.2733Template desconto FLAT Plano Principal Oi TV nível conta</v>
          </cell>
          <cell r="B1148" t="str">
            <v>Plano Oi Completo Medium</v>
          </cell>
          <cell r="C1148" t="str">
            <v>Template desconto FLAT Plano Principal Oi TV nível conta</v>
          </cell>
          <cell r="D1148">
            <v>0.27329999999999999</v>
          </cell>
          <cell r="E1148" t="str">
            <v>MKT-1-10029527181</v>
          </cell>
          <cell r="F1148" t="str">
            <v>0T3T_PAI17_PCS-4P4pi_FLAT_TV_27.33%</v>
          </cell>
          <cell r="G1148">
            <v>27.33</v>
          </cell>
        </row>
        <row r="1149">
          <cell r="A1149" t="str">
            <v>Oi Total Fixo + Pós 250 + Banda Larga0.2833Template desconto FLAT Plano Principal Oi TV nível conta</v>
          </cell>
          <cell r="B1149" t="str">
            <v>Plano Oi Completo Medium</v>
          </cell>
          <cell r="C1149" t="str">
            <v>Template desconto FLAT Plano Principal Oi TV nível conta</v>
          </cell>
          <cell r="D1149">
            <v>0.2833</v>
          </cell>
          <cell r="E1149" t="str">
            <v>MKT-1-10029703891</v>
          </cell>
          <cell r="F1149" t="str">
            <v>0T3T_PAI17_PCS-4P4pi_FLAT_TV_28.33%</v>
          </cell>
          <cell r="G1149">
            <v>28.33</v>
          </cell>
        </row>
        <row r="1150">
          <cell r="A1150" t="str">
            <v>Oi Total Fixo + Pós 250 + Banda Larga0.3867Template desconto FLAT Plano Principal Oi TV nível conta</v>
          </cell>
          <cell r="B1150" t="str">
            <v>Plano Oi Completo Medium</v>
          </cell>
          <cell r="C1150" t="str">
            <v>Template desconto FLAT Plano Principal Oi TV nível conta</v>
          </cell>
          <cell r="D1150">
            <v>0.38670000000000004</v>
          </cell>
          <cell r="E1150" t="str">
            <v>MKT-1-10029769451</v>
          </cell>
          <cell r="F1150" t="str">
            <v>0T3T_PAI17_PCS-4P4pi_FLAT_TV_38.67%</v>
          </cell>
          <cell r="G1150">
            <v>38.67</v>
          </cell>
        </row>
        <row r="1151">
          <cell r="A1151" t="str">
            <v>Oi Total Fixo + Pós 250 + Banda Larga0.4399Template desconto FLAT Plano Principal Oi TV nível conta</v>
          </cell>
          <cell r="B1151" t="str">
            <v>Plano Oi Completo Medium</v>
          </cell>
          <cell r="C1151" t="str">
            <v>Template desconto FLAT Plano Principal Oi TV nível conta</v>
          </cell>
          <cell r="D1151">
            <v>0.43990000000000001</v>
          </cell>
          <cell r="E1151" t="str">
            <v>MKT-1-10029769721</v>
          </cell>
          <cell r="F1151" t="str">
            <v>0T3T_PAI17_PCS-4P4pi_FLAT_TV_43.99%</v>
          </cell>
          <cell r="G1151">
            <v>43.99</v>
          </cell>
        </row>
        <row r="1152">
          <cell r="A1152" t="str">
            <v>Oi Total Fixo + Pós 250 + Banda Larga0.4781Template desconto FLAT Plano Principal Oi TV nível conta</v>
          </cell>
          <cell r="B1152" t="str">
            <v>Plano Oi Completo Medium</v>
          </cell>
          <cell r="C1152" t="str">
            <v>Template desconto FLAT Plano Principal Oi TV nível conta</v>
          </cell>
          <cell r="D1152">
            <v>0.47810000000000002</v>
          </cell>
          <cell r="E1152" t="str">
            <v>MKT-1-10029769991</v>
          </cell>
          <cell r="F1152" t="str">
            <v>0T3T_PAI17_PCS-4P4pi_FLAT_TV_47.81%.</v>
          </cell>
          <cell r="G1152">
            <v>47.81</v>
          </cell>
        </row>
        <row r="1153">
          <cell r="A1153" t="str">
            <v>Oi Total Fixo + Pós 250 + Banda Larga0.4327Template desconto FLAT Plano Principal Oi TV nível conta</v>
          </cell>
          <cell r="B1153" t="str">
            <v>Plano Oi Completo Medium</v>
          </cell>
          <cell r="C1153" t="str">
            <v>Template desconto FLAT Plano Principal Oi TV nível conta</v>
          </cell>
          <cell r="D1153">
            <v>0.43270000000000003</v>
          </cell>
          <cell r="E1153" t="str">
            <v>MKT-1-10029770261</v>
          </cell>
          <cell r="F1153" t="str">
            <v>0T3T_PAI17_PCS-4P4pi_FLAT_TV_43.27%</v>
          </cell>
          <cell r="G1153">
            <v>43.27</v>
          </cell>
        </row>
        <row r="1154">
          <cell r="A1154" t="str">
            <v>Oi Total Fixo + Pós 250 + Banda Larga0.329Template desconto FLAT Plano Principal Oi TV nível conta</v>
          </cell>
          <cell r="B1154" t="str">
            <v>Plano Oi Completo Medium</v>
          </cell>
          <cell r="C1154" t="str">
            <v>Template desconto FLAT Plano Principal Oi TV nível conta</v>
          </cell>
          <cell r="D1154">
            <v>0.32899999999999996</v>
          </cell>
          <cell r="E1154" t="str">
            <v>MKT-1-10029771391</v>
          </cell>
          <cell r="F1154" t="str">
            <v>0T3T_PAI17_PCS-4P4pi_FLAT_TV_32.90%</v>
          </cell>
          <cell r="G1154">
            <v>32.9</v>
          </cell>
        </row>
        <row r="1155">
          <cell r="A1155" t="str">
            <v>Oi Total Fixo + Pós 500 + Banda Larga0.2159Template desconto FLAT Plano Principal Oi TV nível conta</v>
          </cell>
          <cell r="B1155" t="str">
            <v>Plano Oi Completo Large</v>
          </cell>
          <cell r="C1155" t="str">
            <v>Template desconto FLAT Plano Principal Oi TV nível conta</v>
          </cell>
          <cell r="D1155">
            <v>0.21590000000000001</v>
          </cell>
          <cell r="E1155" t="str">
            <v>MKT-1-10029831181</v>
          </cell>
          <cell r="F1155" t="str">
            <v>0T3T_PAI17_PCS-4P5pi_FLAT_TV_21.59%.</v>
          </cell>
          <cell r="G1155">
            <v>21.59</v>
          </cell>
        </row>
        <row r="1156">
          <cell r="A1156" t="str">
            <v>Oi Total Fixo + Pós 500 + Banda Larga0.3256Template desconto FLAT Plano Principal Oi TV nível conta</v>
          </cell>
          <cell r="B1156" t="str">
            <v>Plano Oi Completo Large</v>
          </cell>
          <cell r="C1156" t="str">
            <v>Template desconto FLAT Plano Principal Oi TV nível conta</v>
          </cell>
          <cell r="D1156">
            <v>0.3256</v>
          </cell>
          <cell r="E1156" t="str">
            <v>MKT-1-10029922751</v>
          </cell>
          <cell r="F1156" t="str">
            <v>0T3T_PAI17_PCS-4P5pi_FLAT_TV_32.56%.</v>
          </cell>
          <cell r="G1156">
            <v>32.56</v>
          </cell>
        </row>
        <row r="1157">
          <cell r="A1157" t="str">
            <v>Oi Total Fixo + Pós 500 + Banda Larga0.2833Template desconto FLAT Plano Principal Oi TV nível conta</v>
          </cell>
          <cell r="B1157" t="str">
            <v>Plano Oi Completo Large</v>
          </cell>
          <cell r="C1157" t="str">
            <v>Template desconto FLAT Plano Principal Oi TV nível conta</v>
          </cell>
          <cell r="D1157">
            <v>0.2833</v>
          </cell>
          <cell r="E1157" t="str">
            <v>MKT-1-10029923151</v>
          </cell>
          <cell r="F1157" t="str">
            <v>0T3T_PAI17_PCS-4P5pi_FLAT_TV_28.33%</v>
          </cell>
          <cell r="G1157">
            <v>28.33</v>
          </cell>
        </row>
        <row r="1158">
          <cell r="A1158" t="str">
            <v>Oi Total Fixo + Pós 500 + Banda Larga0.313Template desconto FLAT Plano Principal Oi TV nível conta</v>
          </cell>
          <cell r="B1158" t="str">
            <v>Plano Oi Completo Large</v>
          </cell>
          <cell r="C1158" t="str">
            <v>Template desconto FLAT Plano Principal Oi TV nível conta</v>
          </cell>
          <cell r="D1158">
            <v>0.313</v>
          </cell>
          <cell r="E1158" t="str">
            <v>MKT-1-10029928131</v>
          </cell>
          <cell r="F1158" t="str">
            <v>0T3T_PAI17_PCS-4P5pi_FLAT_TV_31.30%</v>
          </cell>
          <cell r="G1158">
            <v>31.3</v>
          </cell>
        </row>
        <row r="1159">
          <cell r="A1159" t="str">
            <v>Oi Total Fixo + Pós 500 + Banda Larga0.1637Template desconto FLAT Plano Principal Oi TV nível conta</v>
          </cell>
          <cell r="B1159" t="str">
            <v>Plano Oi Completo Large</v>
          </cell>
          <cell r="C1159" t="str">
            <v>Template desconto FLAT Plano Principal Oi TV nível conta</v>
          </cell>
          <cell r="D1159">
            <v>0.16370000000000001</v>
          </cell>
          <cell r="E1159" t="str">
            <v>MKT-1-10031791401</v>
          </cell>
          <cell r="F1159" t="str">
            <v>0T3T_PAI17_PCS-4P5pi_FLAT_TV_16.37%</v>
          </cell>
          <cell r="G1159">
            <v>16.37</v>
          </cell>
        </row>
        <row r="1160">
          <cell r="A1160" t="str">
            <v>Oi Total Fixo + Pós 500 + Banda Larga0.329Template desconto FLAT Plano Principal Oi TV nível conta</v>
          </cell>
          <cell r="B1160" t="str">
            <v>Plano Oi Completo Large</v>
          </cell>
          <cell r="C1160" t="str">
            <v>Template desconto FLAT Plano Principal Oi TV nível conta</v>
          </cell>
          <cell r="D1160">
            <v>0.32899999999999996</v>
          </cell>
          <cell r="E1160" t="str">
            <v>MKT-1-10031791671</v>
          </cell>
          <cell r="F1160" t="str">
            <v>0T3T_PAI17_PCS-4P5pi_FLAT_TV_32.90%</v>
          </cell>
          <cell r="G1160">
            <v>32.9</v>
          </cell>
        </row>
        <row r="1161">
          <cell r="A1161" t="str">
            <v>Oi Total Fixo + Pós 500 + Banda Larga0.4781Template desconto FLAT Plano Principal Oi TV nível conta</v>
          </cell>
          <cell r="B1161" t="str">
            <v>Plano Oi Completo Large</v>
          </cell>
          <cell r="C1161" t="str">
            <v>Template desconto FLAT Plano Principal Oi TV nível conta</v>
          </cell>
          <cell r="D1161">
            <v>0.47810000000000002</v>
          </cell>
          <cell r="E1161" t="str">
            <v>MKT-1-10031791941</v>
          </cell>
          <cell r="F1161" t="str">
            <v>0T3T_PAI17_PCS-4P5pi_FLAT_TV_47.81%</v>
          </cell>
          <cell r="G1161">
            <v>47.81</v>
          </cell>
        </row>
        <row r="1162">
          <cell r="A1162" t="str">
            <v>Oi Total Fixo + Pós 800 + Banda Larga0.3256Template desconto FLAT Plano Principal Oi TV nível conta</v>
          </cell>
          <cell r="B1162" t="str">
            <v>Plano Oi Completo XLarge</v>
          </cell>
          <cell r="C1162" t="str">
            <v>Template desconto FLAT Plano Principal Oi TV nível conta</v>
          </cell>
          <cell r="D1162">
            <v>0.3256</v>
          </cell>
          <cell r="E1162" t="str">
            <v>MKT-1-10031792211</v>
          </cell>
          <cell r="F1162" t="str">
            <v>0T3T_PAI17_PCS-4P6pi_FLAT_TV_32.56%.</v>
          </cell>
          <cell r="G1162">
            <v>32.56</v>
          </cell>
        </row>
        <row r="1163">
          <cell r="A1163" t="str">
            <v>Oi Total Fixo + Pós 500 + Banda Larga0.2737Template desconto FLAT Plano Principal Oi TV nível conta</v>
          </cell>
          <cell r="B1163" t="str">
            <v>Plano Oi Completo Large</v>
          </cell>
          <cell r="C1163" t="str">
            <v>Template desconto FLAT Plano Principal Oi TV nível conta</v>
          </cell>
          <cell r="D1163">
            <v>0.2737</v>
          </cell>
          <cell r="E1163" t="str">
            <v>MKT-1-10031800551</v>
          </cell>
          <cell r="F1163" t="str">
            <v>0T3T_PAI17_PCS-4P5pi_FLAT_TV_27.37%</v>
          </cell>
          <cell r="G1163">
            <v>27.37</v>
          </cell>
        </row>
        <row r="1164">
          <cell r="A1164" t="str">
            <v>Oi Total Fixo + Pós 500 + Banda Larga0.3867Template desconto FLAT Plano Principal Oi TV nível conta</v>
          </cell>
          <cell r="B1164" t="str">
            <v>Plano Oi Completo Large</v>
          </cell>
          <cell r="C1164" t="str">
            <v>Template desconto FLAT Plano Principal Oi TV nível conta</v>
          </cell>
          <cell r="D1164">
            <v>0.38670000000000004</v>
          </cell>
          <cell r="E1164" t="str">
            <v>MKT-1-10031813321</v>
          </cell>
          <cell r="F1164" t="str">
            <v>0T3T_PAI17_PCS-4P5pi_FLAT_TV_38.67%</v>
          </cell>
          <cell r="G1164">
            <v>38.67</v>
          </cell>
        </row>
        <row r="1165">
          <cell r="A1165" t="str">
            <v>Oi Total Fixo + Pós 500 + Banda Larga0.4399Template desconto FLAT Plano Principal Oi TV nível conta</v>
          </cell>
          <cell r="B1165" t="str">
            <v>Plano Oi Completo Large</v>
          </cell>
          <cell r="C1165" t="str">
            <v>Template desconto FLAT Plano Principal Oi TV nível conta</v>
          </cell>
          <cell r="D1165">
            <v>0.43990000000000001</v>
          </cell>
          <cell r="E1165" t="str">
            <v>MKT-1-10031838311</v>
          </cell>
          <cell r="F1165" t="str">
            <v>0T3T_PAI17_PCS-4P5pi_FLAT_TV_43.99%</v>
          </cell>
          <cell r="G1165">
            <v>43.99</v>
          </cell>
        </row>
        <row r="1166">
          <cell r="A1166" t="str">
            <v>Oi Total Fixo + Pós 500 + Banda Larga0.4327Template desconto FLAT Plano Principal Oi TV nível conta</v>
          </cell>
          <cell r="B1166" t="str">
            <v>Plano Oi Completo Large</v>
          </cell>
          <cell r="C1166" t="str">
            <v>Template desconto FLAT Plano Principal Oi TV nível conta</v>
          </cell>
          <cell r="D1166">
            <v>0.43270000000000003</v>
          </cell>
          <cell r="E1166" t="str">
            <v>MKT-1-10031838611</v>
          </cell>
          <cell r="F1166" t="str">
            <v>0T3T_PAI17_PCS-4P5pi_FLAT_TV_43.27%</v>
          </cell>
          <cell r="G1166">
            <v>43.27</v>
          </cell>
        </row>
        <row r="1167">
          <cell r="A1167" t="str">
            <v>Oi Total Fixo + Pós 800 + Banda Larga0.2159Template desconto FLAT Plano Principal Oi TV nível conta</v>
          </cell>
          <cell r="B1167" t="str">
            <v>Plano Oi Completo XLarge</v>
          </cell>
          <cell r="C1167" t="str">
            <v>Template desconto FLAT Plano Principal Oi TV nível conta</v>
          </cell>
          <cell r="D1167">
            <v>0.21590000000000001</v>
          </cell>
          <cell r="E1167" t="str">
            <v>MKT-1-10031838901</v>
          </cell>
          <cell r="F1167" t="str">
            <v>0T3T_PAI17_PCS-4P6pi_FLAT_TV_21.59%</v>
          </cell>
          <cell r="G1167">
            <v>21.59</v>
          </cell>
        </row>
        <row r="1168">
          <cell r="A1168" t="str">
            <v>Oi Total Fixo + Pós 800 + Banda Larga0.329Template desconto FLAT Plano Principal Oi TV nível conta</v>
          </cell>
          <cell r="B1168" t="str">
            <v>Plano Oi Completo XLarge</v>
          </cell>
          <cell r="C1168" t="str">
            <v>Template desconto FLAT Plano Principal Oi TV nível conta</v>
          </cell>
          <cell r="D1168">
            <v>0.32899999999999996</v>
          </cell>
          <cell r="E1168" t="str">
            <v>MKT-1-10031858741</v>
          </cell>
          <cell r="F1168" t="str">
            <v>0T3T_PAI17_PCS-4P6pi_FLAT_TV_32.90%</v>
          </cell>
          <cell r="G1168">
            <v>32.9</v>
          </cell>
        </row>
        <row r="1169">
          <cell r="A1169" t="str">
            <v>Oi Total Fixo + Pós 800 + Banda Larga0.4399Template desconto FLAT Plano Principal Oi TV nível conta</v>
          </cell>
          <cell r="B1169" t="str">
            <v>Plano Oi Completo XLarge</v>
          </cell>
          <cell r="C1169" t="str">
            <v>Template desconto FLAT Plano Principal Oi TV nível conta</v>
          </cell>
          <cell r="D1169">
            <v>0.43990000000000001</v>
          </cell>
          <cell r="E1169" t="str">
            <v>MKT-1-10031859011</v>
          </cell>
          <cell r="F1169" t="str">
            <v>0T3T_PAI17_PCS-4P6pi_FLAT_TV_43.99%</v>
          </cell>
          <cell r="G1169">
            <v>43.99</v>
          </cell>
        </row>
        <row r="1170">
          <cell r="A1170" t="str">
            <v>Oi Total Fixo + Pós Conectado 500 + Banda Larga0.2159Template desconto FLAT Plano Principal Oi TV nível conta</v>
          </cell>
          <cell r="B1170" t="str">
            <v>Plano Oi Completo 500</v>
          </cell>
          <cell r="C1170" t="str">
            <v>Template desconto FLAT Plano Principal Oi TV nível conta</v>
          </cell>
          <cell r="D1170">
            <v>0.21590000000000001</v>
          </cell>
          <cell r="E1170" t="str">
            <v>MKT-1-10031859281</v>
          </cell>
          <cell r="F1170" t="str">
            <v>0T3T_PAI17_PCS-4P8pi_FLAT_TV_21.59%</v>
          </cell>
          <cell r="G1170">
            <v>21.59</v>
          </cell>
        </row>
        <row r="1171">
          <cell r="A1171" t="str">
            <v>Oi Total Fixo + Pós 800 + Banda Larga0.313Template desconto FLAT Plano Principal Oi TV nível conta</v>
          </cell>
          <cell r="B1171" t="str">
            <v>Plano Oi Completo XLarge</v>
          </cell>
          <cell r="C1171" t="str">
            <v>Template desconto FLAT Plano Principal Oi TV nível conta</v>
          </cell>
          <cell r="D1171">
            <v>0.313</v>
          </cell>
          <cell r="E1171" t="str">
            <v>MKT-1-10031864481</v>
          </cell>
          <cell r="F1171" t="str">
            <v>0T3T_PAI17_PCS-4P6pi_FLAT_TV_31.30%</v>
          </cell>
          <cell r="G1171">
            <v>31.3</v>
          </cell>
        </row>
        <row r="1172">
          <cell r="A1172" t="str">
            <v>Oi Total Fixo + Pós 800 + Banda Larga0.1637Template desconto FLAT Plano Principal Oi TV nível conta</v>
          </cell>
          <cell r="B1172" t="str">
            <v>Plano Oi Completo XLarge</v>
          </cell>
          <cell r="C1172" t="str">
            <v>Template desconto FLAT Plano Principal Oi TV nível conta</v>
          </cell>
          <cell r="D1172">
            <v>0.16370000000000001</v>
          </cell>
          <cell r="E1172" t="str">
            <v>MKT-1-10031864751</v>
          </cell>
          <cell r="F1172" t="str">
            <v>0T3T_PAI17_PCS-4P6pi_FLAT_TV_16.37%</v>
          </cell>
          <cell r="G1172">
            <v>16.37</v>
          </cell>
        </row>
        <row r="1173">
          <cell r="A1173" t="str">
            <v>Oi Total Fixo + Pós 800 + Banda Larga0.2833Template desconto FLAT Plano Principal Oi TV nível conta</v>
          </cell>
          <cell r="B1173" t="str">
            <v>Plano Oi Completo XLarge</v>
          </cell>
          <cell r="C1173" t="str">
            <v>Template desconto FLAT Plano Principal Oi TV nível conta</v>
          </cell>
          <cell r="D1173">
            <v>0.2833</v>
          </cell>
          <cell r="E1173" t="str">
            <v>MKT-1-10031865251</v>
          </cell>
          <cell r="F1173" t="str">
            <v>0T3T_PAI17_PCS-4P6pi_FLAT_TV_28.33%.</v>
          </cell>
          <cell r="G1173">
            <v>28.33</v>
          </cell>
        </row>
        <row r="1174">
          <cell r="A1174" t="str">
            <v>Oi Total Fixo + Pós 800 + Banda Larga0.2737Template desconto FLAT Plano Principal Oi TV nível conta</v>
          </cell>
          <cell r="B1174" t="str">
            <v>Plano Oi Completo XLarge</v>
          </cell>
          <cell r="C1174" t="str">
            <v>Template desconto FLAT Plano Principal Oi TV nível conta</v>
          </cell>
          <cell r="D1174">
            <v>0.2737</v>
          </cell>
          <cell r="E1174" t="str">
            <v>MKT-1-10031879521</v>
          </cell>
          <cell r="F1174" t="str">
            <v>0T3T_PAI17_PCS-4P6pi_FLAT_TV_27.37%</v>
          </cell>
          <cell r="G1174">
            <v>27.37</v>
          </cell>
        </row>
        <row r="1175">
          <cell r="A1175" t="str">
            <v>Oi Total Fixo + Pós Conectado 500 + Banda Larga0.4781Template desconto FLAT Plano Principal Oi TV nível conta</v>
          </cell>
          <cell r="B1175" t="str">
            <v>Plano Oi Completo 500</v>
          </cell>
          <cell r="C1175" t="str">
            <v>Template desconto FLAT Plano Principal Oi TV nível conta</v>
          </cell>
          <cell r="D1175">
            <v>0.47810000000000002</v>
          </cell>
          <cell r="E1175" t="str">
            <v>MKT-1-10031879801</v>
          </cell>
          <cell r="F1175" t="str">
            <v>0T3T_PAI17_PCS-4P8pi_FLAT_TV_47.81%</v>
          </cell>
          <cell r="G1175">
            <v>47.81</v>
          </cell>
        </row>
        <row r="1176">
          <cell r="A1176" t="str">
            <v>Oi Total Fixo + Pós Conectado 500 + Banda Larga0.4327Template desconto FLAT Plano Principal Oi TV nível conta</v>
          </cell>
          <cell r="B1176" t="str">
            <v>Plano Oi Completo 500</v>
          </cell>
          <cell r="C1176" t="str">
            <v>Template desconto FLAT Plano Principal Oi TV nível conta</v>
          </cell>
          <cell r="D1176">
            <v>0.43270000000000003</v>
          </cell>
          <cell r="E1176" t="str">
            <v>MKT-1-10031880071</v>
          </cell>
          <cell r="F1176" t="str">
            <v>0T3T_PAI17_PCS-4P8pi_FLAT_TV_43.27%</v>
          </cell>
          <cell r="G1176">
            <v>43.27</v>
          </cell>
        </row>
        <row r="1177">
          <cell r="A1177" t="str">
            <v>Oi Total Fixo + Pós 800 + Banda Larga0.3867Template desconto FLAT Plano Principal Oi TV nível conta</v>
          </cell>
          <cell r="B1177" t="str">
            <v>Plano Oi Completo XLarge</v>
          </cell>
          <cell r="C1177" t="str">
            <v>Template desconto FLAT Plano Principal Oi TV nível conta</v>
          </cell>
          <cell r="D1177">
            <v>0.38670000000000004</v>
          </cell>
          <cell r="E1177" t="str">
            <v>MKT-1-10031884061</v>
          </cell>
          <cell r="F1177" t="str">
            <v>0T3T_PAI17_PCS-4P6pi_FLAT_TV_38.67%</v>
          </cell>
          <cell r="G1177">
            <v>38.67</v>
          </cell>
        </row>
        <row r="1178">
          <cell r="A1178" t="str">
            <v>Oi Total Fixo + Pós 800 + Banda Larga0.4781Template desconto FLAT Plano Principal Oi TV nível conta</v>
          </cell>
          <cell r="B1178" t="str">
            <v>Plano Oi Completo XLarge</v>
          </cell>
          <cell r="C1178" t="str">
            <v>Template desconto FLAT Plano Principal Oi TV nível conta</v>
          </cell>
          <cell r="D1178">
            <v>0.47810000000000002</v>
          </cell>
          <cell r="E1178" t="str">
            <v>MKT-1-10031915481</v>
          </cell>
          <cell r="F1178" t="str">
            <v>0T3T_PAI17_PCS-4P6pi_FLAT_TV_47.81%</v>
          </cell>
          <cell r="G1178">
            <v>47.81</v>
          </cell>
        </row>
        <row r="1179">
          <cell r="A1179" t="str">
            <v>Oi Total Fixo + Pós Conectado 500 + Banda Larga0.3256Template desconto FLAT Plano Principal Oi TV nível conta</v>
          </cell>
          <cell r="B1179" t="str">
            <v>Plano Oi Completo 500</v>
          </cell>
          <cell r="C1179" t="str">
            <v>Template desconto FLAT Plano Principal Oi TV nível conta</v>
          </cell>
          <cell r="D1179">
            <v>0.3256</v>
          </cell>
          <cell r="E1179" t="str">
            <v>MKT-1-10031915841</v>
          </cell>
          <cell r="F1179" t="str">
            <v>0T3T_PAI17_PCS-4P8pi_FLAT_TV_32.56%</v>
          </cell>
          <cell r="G1179">
            <v>32.56</v>
          </cell>
        </row>
        <row r="1180">
          <cell r="A1180" t="str">
            <v>Oi Total Fixo + Pós Conectado 500 + Banda Larga0.313Template desconto FLAT Plano Principal Oi TV nível conta</v>
          </cell>
          <cell r="B1180" t="str">
            <v>Plano Oi Completo 500</v>
          </cell>
          <cell r="C1180" t="str">
            <v>Template desconto FLAT Plano Principal Oi TV nível conta</v>
          </cell>
          <cell r="D1180">
            <v>0.313</v>
          </cell>
          <cell r="E1180" t="str">
            <v>MKT-1-10031925551</v>
          </cell>
          <cell r="F1180" t="str">
            <v>0T3T_PAI17_PCS-4P8pi_FLAT_TV_31.30%</v>
          </cell>
          <cell r="G1180">
            <v>31.3</v>
          </cell>
        </row>
        <row r="1181">
          <cell r="A1181" t="str">
            <v>Oi Total Fixo + Pós Conectado 500 + Banda Larga0.1637Template desconto FLAT Plano Principal Oi TV nível conta</v>
          </cell>
          <cell r="B1181" t="str">
            <v>Plano Oi Completo 500</v>
          </cell>
          <cell r="C1181" t="str">
            <v>Template desconto FLAT Plano Principal Oi TV nível conta</v>
          </cell>
          <cell r="D1181">
            <v>0.16370000000000001</v>
          </cell>
          <cell r="E1181" t="str">
            <v>MKT-1-10031939141</v>
          </cell>
          <cell r="F1181" t="str">
            <v>0T3T_PAI17_PCS-4P8pi_FLAT_TV_16.37%</v>
          </cell>
          <cell r="G1181">
            <v>16.37</v>
          </cell>
        </row>
        <row r="1182">
          <cell r="A1182" t="str">
            <v>Oi Total Fixo + Pós Conectado 500 + Banda Larga0.2833Template desconto FLAT Plano Principal Oi TV nível conta</v>
          </cell>
          <cell r="B1182" t="str">
            <v>Plano Oi Completo 500</v>
          </cell>
          <cell r="C1182" t="str">
            <v>Template desconto FLAT Plano Principal Oi TV nível conta</v>
          </cell>
          <cell r="D1182">
            <v>0.2833</v>
          </cell>
          <cell r="E1182" t="str">
            <v>MKT-1-10031961551</v>
          </cell>
          <cell r="F1182" t="str">
            <v>0T3T_PAI17_PCS-4P8pi_FLAT_TV_28.33%</v>
          </cell>
          <cell r="G1182">
            <v>28.33</v>
          </cell>
        </row>
        <row r="1183">
          <cell r="A1183" t="str">
            <v>Oi Total Fixo + Pós Conectado 500 + Banda Larga0.2737Template desconto FLAT Plano Principal Oi TV nível conta</v>
          </cell>
          <cell r="B1183" t="str">
            <v>Plano Oi Completo 500</v>
          </cell>
          <cell r="C1183" t="str">
            <v>Template desconto FLAT Plano Principal Oi TV nível conta</v>
          </cell>
          <cell r="D1183">
            <v>0.2737</v>
          </cell>
          <cell r="E1183" t="str">
            <v>MKT-1-10031961891</v>
          </cell>
          <cell r="F1183" t="str">
            <v>0T3T_PAI17_PCS-4P8pi_FLAT_TV_27.37%</v>
          </cell>
          <cell r="G1183">
            <v>27.37</v>
          </cell>
        </row>
        <row r="1184">
          <cell r="A1184" t="str">
            <v>Oi Total Fixo + Pós Conectado 500 + Banda Larga0.3867Template desconto FLAT Plano Principal Oi TV nível conta</v>
          </cell>
          <cell r="B1184" t="str">
            <v>Plano Oi Completo 500</v>
          </cell>
          <cell r="C1184" t="str">
            <v>Template desconto FLAT Plano Principal Oi TV nível conta</v>
          </cell>
          <cell r="D1184">
            <v>0.38670000000000004</v>
          </cell>
          <cell r="E1184" t="str">
            <v>MKT-1-10031962251</v>
          </cell>
          <cell r="F1184" t="str">
            <v>0T3T_PAI17_PCS-4P8pi_FLAT_TV_38.67%</v>
          </cell>
          <cell r="G1184">
            <v>38.67</v>
          </cell>
        </row>
        <row r="1185">
          <cell r="A1185" t="str">
            <v>Oi Total Fixo + Pós Conectado 500 + Banda Larga0.329Template desconto FLAT Plano Principal Oi TV nível conta</v>
          </cell>
          <cell r="B1185" t="str">
            <v>Plano Oi Completo 500</v>
          </cell>
          <cell r="C1185" t="str">
            <v>Template desconto FLAT Plano Principal Oi TV nível conta</v>
          </cell>
          <cell r="D1185">
            <v>0.32899999999999996</v>
          </cell>
          <cell r="E1185" t="str">
            <v>MKT-1-10031971521</v>
          </cell>
          <cell r="F1185" t="str">
            <v>0T3T_PAI17_PCS-4P8pi_FLAT_TV_32.90%</v>
          </cell>
          <cell r="G1185">
            <v>32.9</v>
          </cell>
        </row>
        <row r="1186">
          <cell r="A1186" t="str">
            <v>Oi Total Fixo + Pós Conectado 500 + Banda Larga0.4399Template desconto FLAT Plano Principal Oi TV nível conta</v>
          </cell>
          <cell r="B1186" t="str">
            <v>Plano Oi Completo 500</v>
          </cell>
          <cell r="C1186" t="str">
            <v>Template desconto FLAT Plano Principal Oi TV nível conta</v>
          </cell>
          <cell r="D1186">
            <v>0.43990000000000001</v>
          </cell>
          <cell r="E1186" t="str">
            <v>MKT-1-10031971791</v>
          </cell>
          <cell r="F1186" t="str">
            <v>0T3T_PAI17_PCS-4P8pi_FLAT_TV_43.99%</v>
          </cell>
          <cell r="G1186">
            <v>43.99</v>
          </cell>
        </row>
        <row r="1187">
          <cell r="A1187" t="str">
            <v>Oi Total Fixo + Pós Conectado Mais + Banda Larga0.4781Template desconto FLAT Plano Principal Oi TV nível conta</v>
          </cell>
          <cell r="B1187" t="str">
            <v>Plano Oi Completo Mais</v>
          </cell>
          <cell r="C1187" t="str">
            <v>Template desconto FLAT Plano Principal Oi TV nível conta</v>
          </cell>
          <cell r="D1187">
            <v>0.47810000000000002</v>
          </cell>
          <cell r="E1187" t="str">
            <v>MKT-1-10031989341</v>
          </cell>
          <cell r="F1187" t="str">
            <v>0T3T_PAI17_PCS-4P9pi_FLAT_TV_47.81%</v>
          </cell>
          <cell r="G1187">
            <v>47.81</v>
          </cell>
        </row>
        <row r="1188">
          <cell r="A1188" t="str">
            <v>Oi Total Fixo + Pós 50 + Banda Larga0.313Template desconto FLAT Plano Principal Oi TV nível conta</v>
          </cell>
          <cell r="B1188" t="str">
            <v>Plano Oi Completo XSmall</v>
          </cell>
          <cell r="C1188" t="str">
            <v>Template desconto FLAT Plano Principal Oi TV nível conta</v>
          </cell>
          <cell r="D1188">
            <v>0.313</v>
          </cell>
          <cell r="E1188" t="str">
            <v>MKT-1-10031989611</v>
          </cell>
          <cell r="F1188" t="str">
            <v>0T3T_PAI17_PCS-4P2pi_FLAT_TV_31.30%</v>
          </cell>
          <cell r="G1188">
            <v>31.3</v>
          </cell>
        </row>
        <row r="1189">
          <cell r="A1189" t="str">
            <v>Oi Total Fixo + Pós 800 + Banda Larga0.4327Template desconto FLAT Plano Principal Oi TV nível conta</v>
          </cell>
          <cell r="B1189" t="str">
            <v>Plano Oi Completo XLarge</v>
          </cell>
          <cell r="C1189" t="str">
            <v>Template desconto FLAT Plano Principal Oi TV nível conta</v>
          </cell>
          <cell r="D1189">
            <v>0.43270000000000003</v>
          </cell>
          <cell r="E1189" t="str">
            <v>MKT-1-10031989881</v>
          </cell>
          <cell r="F1189" t="str">
            <v>0T3T_PAI17_PCS-4P6pi_FLAT_TV_43.27%</v>
          </cell>
          <cell r="G1189">
            <v>43.27</v>
          </cell>
        </row>
        <row r="1190">
          <cell r="A1190" t="str">
            <v>Oi Total Fixo + Pós 50 + Banda Larga0.2159Template desconto FLAT Plano Principal Oi TV nível conta</v>
          </cell>
          <cell r="B1190" t="str">
            <v>Plano Oi Completo XSmall</v>
          </cell>
          <cell r="C1190" t="str">
            <v>Template desconto FLAT Plano Principal Oi TV nível conta</v>
          </cell>
          <cell r="D1190">
            <v>0.21590000000000001</v>
          </cell>
          <cell r="E1190" t="str">
            <v>MKT-1-10038525531</v>
          </cell>
          <cell r="F1190" t="str">
            <v>0T3T_PAI17_PCS-4P2pi_FLAT_TV_21.59%.</v>
          </cell>
          <cell r="G1190">
            <v>21.59</v>
          </cell>
        </row>
        <row r="1191">
          <cell r="A1191" t="str">
            <v>Oi Total Fixo + Pós 250 + Banda Larga0.2737Template desconto FLAT Plano Principal Oi TV nível conta</v>
          </cell>
          <cell r="B1191" t="str">
            <v>Plano Oi Completo Medium</v>
          </cell>
          <cell r="C1191" t="str">
            <v>Template desconto FLAT Plano Principal Oi TV nível conta</v>
          </cell>
          <cell r="D1191">
            <v>0.2737</v>
          </cell>
          <cell r="E1191" t="str">
            <v>MKT-1-10042252961</v>
          </cell>
          <cell r="F1191" t="str">
            <v>0T3T_PAI17_PCS-4P4pi_FLAT_TV_27.37%</v>
          </cell>
          <cell r="G1191">
            <v>27.37</v>
          </cell>
        </row>
        <row r="1192">
          <cell r="A1192" t="str">
            <v>Oi Total Fixo + Banda Larga 10.5386Template de desconto FLAT bundle - Fixo - Varejo - Ganho Tributário Cross</v>
          </cell>
          <cell r="B1192" t="str">
            <v>Oi Total Fixo + Banda Larga 1</v>
          </cell>
          <cell r="C1192" t="str">
            <v>Template de desconto FLAT bundle - Fixo - Varejo - Ganho Tributário Cross</v>
          </cell>
          <cell r="D1192">
            <v>0.53859999999999997</v>
          </cell>
          <cell r="E1192" t="str">
            <v>MKT-1-10027970111</v>
          </cell>
          <cell r="F1192" t="str">
            <v>0T3T_REJ17_PCS-2PFBL1_FLAT_FIXO_GT_53.86%</v>
          </cell>
          <cell r="G1192">
            <v>53.86</v>
          </cell>
        </row>
        <row r="1193">
          <cell r="A1193" t="str">
            <v>Oi Total Fixo + Banda Larga 10.2089Template de desconto FLAT bundle - Fixo - Varejo - Ganho Tributário Cross</v>
          </cell>
          <cell r="B1193" t="str">
            <v>Oi Total Fixo + Banda Larga 1</v>
          </cell>
          <cell r="C1193" t="str">
            <v>Template de desconto FLAT bundle - Fixo - Varejo - Ganho Tributário Cross</v>
          </cell>
          <cell r="D1193">
            <v>0.2089</v>
          </cell>
          <cell r="E1193" t="str">
            <v>MKT-1-10028040151</v>
          </cell>
          <cell r="F1193" t="str">
            <v>0T3T_REJ17_PCS-2PFBL1_FLAT_FIXO_GT_20.89%</v>
          </cell>
          <cell r="G1193">
            <v>20.89</v>
          </cell>
        </row>
        <row r="1194">
          <cell r="A1194" t="str">
            <v>Oi Total Fixo + Banda Larga 10.4067Template de desconto FLAT bundle - Fixo - Varejo - Ganho Tributário Cross</v>
          </cell>
          <cell r="B1194" t="str">
            <v>Oi Total Fixo + Banda Larga 1</v>
          </cell>
          <cell r="C1194" t="str">
            <v>Template de desconto FLAT bundle - Fixo - Varejo - Ganho Tributário Cross</v>
          </cell>
          <cell r="D1194">
            <v>0.40670000000000001</v>
          </cell>
          <cell r="E1194" t="str">
            <v>MKT-1-10029090291</v>
          </cell>
          <cell r="F1194" t="str">
            <v>0T3T_REJ17_PCS-2PFBL1_FLAT_FIXO_GT_40.67%</v>
          </cell>
          <cell r="G1194">
            <v>40.67</v>
          </cell>
        </row>
        <row r="1195">
          <cell r="A1195" t="str">
            <v>Oi Total Fixo + Banda Larga 10.3408Template de desconto FLAT bundle - Fixo - Varejo - Ganho Tributário Cross</v>
          </cell>
          <cell r="B1195" t="str">
            <v>Oi Total Fixo + Banda Larga 1</v>
          </cell>
          <cell r="C1195" t="str">
            <v>Template de desconto FLAT bundle - Fixo - Varejo - Ganho Tributário Cross</v>
          </cell>
          <cell r="D1195">
            <v>0.34079999999999999</v>
          </cell>
          <cell r="E1195" t="str">
            <v>MKT-1-10029174081</v>
          </cell>
          <cell r="F1195" t="str">
            <v>0T3T_REJ17_PCS-2PFBL1_FLAT_FIXO_GT_34.08%</v>
          </cell>
          <cell r="G1195">
            <v>34.08</v>
          </cell>
        </row>
        <row r="1196">
          <cell r="A1196" t="str">
            <v>Oi Total Fixo + Banda Larga 10.143Template de desconto FLAT bundle - Fixo - Varejo - Ganho Tributário Cross</v>
          </cell>
          <cell r="B1196" t="str">
            <v>Oi Total Fixo + Banda Larga 1</v>
          </cell>
          <cell r="C1196" t="str">
            <v>Template de desconto FLAT bundle - Fixo - Varejo - Ganho Tributário Cross</v>
          </cell>
          <cell r="D1196">
            <v>0.14300000000000002</v>
          </cell>
          <cell r="E1196" t="str">
            <v>MKT-1-10029174291</v>
          </cell>
          <cell r="F1196" t="str">
            <v>0T3T_REJ17_PCS-2PFBL1_FLAT_FIXO_GT_14.30%</v>
          </cell>
          <cell r="G1196">
            <v>14.3</v>
          </cell>
        </row>
        <row r="1197">
          <cell r="A1197" t="str">
            <v>Oi Total Fixo + Banda Larga 10.0771Template de desconto FLAT bundle - Fixo - Varejo - Ganho Tributário Cross</v>
          </cell>
          <cell r="B1197" t="str">
            <v>Oi Total Fixo + Banda Larga 1</v>
          </cell>
          <cell r="C1197" t="str">
            <v>Template de desconto FLAT bundle - Fixo - Varejo - Ganho Tributário Cross</v>
          </cell>
          <cell r="D1197">
            <v>7.7100000000000002E-2</v>
          </cell>
          <cell r="E1197" t="str">
            <v>MKT-1-10029211501</v>
          </cell>
          <cell r="F1197" t="str">
            <v>0T3T_REJ17_PCS-2PFBL1_FLAT_FIXO_GT_07.71%</v>
          </cell>
          <cell r="G1197">
            <v>7.71</v>
          </cell>
        </row>
        <row r="1198">
          <cell r="A1198" t="str">
            <v>Oi Total Fixo + Banda Larga 20.3408Template de desconto FLAT bundle - Fixo - Varejo - Ganho Tributário Cross</v>
          </cell>
          <cell r="B1198" t="str">
            <v>Oi Total Fixo + Banda Larga 2</v>
          </cell>
          <cell r="C1198" t="str">
            <v>Template de desconto FLAT bundle - Fixo - Varejo - Ganho Tributário Cross</v>
          </cell>
          <cell r="D1198">
            <v>0.34079999999999999</v>
          </cell>
          <cell r="E1198" t="str">
            <v>MKT-1-10029221321</v>
          </cell>
          <cell r="F1198" t="str">
            <v>0T3T_REJ17_PCS-2PFBL2_FLAT_FIXO_GT_34.08%</v>
          </cell>
          <cell r="G1198">
            <v>34.08</v>
          </cell>
        </row>
        <row r="1199">
          <cell r="A1199" t="str">
            <v>Oi Total Fixo + Banda Larga 20.143Template de desconto FLAT bundle - Fixo - Varejo - Ganho Tributário Cross</v>
          </cell>
          <cell r="B1199" t="str">
            <v>Oi Total Fixo + Banda Larga 2</v>
          </cell>
          <cell r="C1199" t="str">
            <v>Template de desconto FLAT bundle - Fixo - Varejo - Ganho Tributário Cross</v>
          </cell>
          <cell r="D1199">
            <v>0.14300000000000002</v>
          </cell>
          <cell r="E1199" t="str">
            <v>MKT-1-10029221531</v>
          </cell>
          <cell r="F1199" t="str">
            <v>0T3T_REJ17_PCS-2PFBL2_FLAT_FIXO_GT_14.30%</v>
          </cell>
          <cell r="G1199">
            <v>14.3</v>
          </cell>
        </row>
        <row r="1200">
          <cell r="A1200" t="str">
            <v>Oi Total Fixo + Banda Larga 20.0771Template de desconto FLAT bundle - Fixo - Varejo - Ganho Tributário Cross</v>
          </cell>
          <cell r="B1200" t="str">
            <v>Oi Total Fixo + Banda Larga 2</v>
          </cell>
          <cell r="C1200" t="str">
            <v>Template de desconto FLAT bundle - Fixo - Varejo - Ganho Tributário Cross</v>
          </cell>
          <cell r="D1200">
            <v>7.7100000000000002E-2</v>
          </cell>
          <cell r="E1200" t="str">
            <v>MKT-1-10029221741</v>
          </cell>
          <cell r="F1200" t="str">
            <v>0T3T_REJ17_PCS-2PFBL2_FLAT_FIXO_GT_07.71%</v>
          </cell>
          <cell r="G1200">
            <v>7.71</v>
          </cell>
        </row>
        <row r="1201">
          <cell r="A1201" t="str">
            <v>Oi Total Fixo + Banda Larga 30.4067Template de desconto FLAT bundle - Fixo - Varejo - Ganho Tributário Cross</v>
          </cell>
          <cell r="B1201" t="str">
            <v>Oi Total Fixo + Banda Larga 3</v>
          </cell>
          <cell r="C1201" t="str">
            <v>Template de desconto FLAT bundle - Fixo - Varejo - Ganho Tributário Cross</v>
          </cell>
          <cell r="D1201">
            <v>0.40670000000000001</v>
          </cell>
          <cell r="E1201" t="str">
            <v>MKT-1-10029221951</v>
          </cell>
          <cell r="F1201" t="str">
            <v>0T3T_REJ17_PCS-2PFBL3_FLAT_FIXO_GT_40.67%</v>
          </cell>
          <cell r="G1201">
            <v>40.67</v>
          </cell>
        </row>
        <row r="1202">
          <cell r="A1202" t="str">
            <v>Oi Total Fixo + Banda Larga 30.3408Template de desconto FLAT bundle - Fixo - Varejo - Ganho Tributário Cross</v>
          </cell>
          <cell r="B1202" t="str">
            <v>Oi Total Fixo + Banda Larga 3</v>
          </cell>
          <cell r="C1202" t="str">
            <v>Template de desconto FLAT bundle - Fixo - Varejo - Ganho Tributário Cross</v>
          </cell>
          <cell r="D1202">
            <v>0.34079999999999999</v>
          </cell>
          <cell r="E1202" t="str">
            <v>MKT-1-10029222161</v>
          </cell>
          <cell r="F1202" t="str">
            <v>0T3T_REJ17_PCS-2PFBL3_FLAT_FIXO_GT_34.08%</v>
          </cell>
          <cell r="G1202">
            <v>34.08</v>
          </cell>
        </row>
        <row r="1203">
          <cell r="A1203" t="str">
            <v>Oi Total Fixo + Banda Larga 10.0111Template de desconto FLAT bundle - Fixo - Varejo - Ganho Tributário Cross</v>
          </cell>
          <cell r="B1203" t="str">
            <v>Oi Total Fixo + Banda Larga 1</v>
          </cell>
          <cell r="C1203" t="str">
            <v>Template de desconto FLAT bundle - Fixo - Varejo - Ganho Tributário Cross</v>
          </cell>
          <cell r="D1203">
            <v>1.11E-2</v>
          </cell>
          <cell r="E1203" t="str">
            <v>MKT-1-10029230361</v>
          </cell>
          <cell r="F1203" t="str">
            <v>0T3T_REJ17_PCS-2PFBL1_FLAT_FIXO_GT_01.11%</v>
          </cell>
          <cell r="G1203">
            <v>1.1100000000000001</v>
          </cell>
        </row>
        <row r="1204">
          <cell r="A1204" t="str">
            <v>Oi Total Fixo + Banda Larga 20.4067Template de desconto FLAT bundle - Fixo - Varejo - Ganho Tributário Cross</v>
          </cell>
          <cell r="B1204" t="str">
            <v>Oi Total Fixo + Banda Larga 2</v>
          </cell>
          <cell r="C1204" t="str">
            <v>Template de desconto FLAT bundle - Fixo - Varejo - Ganho Tributário Cross</v>
          </cell>
          <cell r="D1204">
            <v>0.40670000000000001</v>
          </cell>
          <cell r="E1204" t="str">
            <v>MKT-1-10029230571</v>
          </cell>
          <cell r="F1204" t="str">
            <v>0T3T_REJ17_PCS-2PFBL2_FLAT_FIXO_GT_40.67%</v>
          </cell>
          <cell r="G1204">
            <v>40.67</v>
          </cell>
        </row>
        <row r="1205">
          <cell r="A1205" t="str">
            <v>Oi Total Fixo + Banda Larga 20.5386Template de desconto FLAT bundle - Fixo - Varejo - Ganho Tributário Cross</v>
          </cell>
          <cell r="B1205" t="str">
            <v>Oi Total Fixo + Banda Larga 2</v>
          </cell>
          <cell r="C1205" t="str">
            <v>Template de desconto FLAT bundle - Fixo - Varejo - Ganho Tributário Cross</v>
          </cell>
          <cell r="D1205">
            <v>0.53859999999999997</v>
          </cell>
          <cell r="E1205" t="str">
            <v>MKT-1-10029230781</v>
          </cell>
          <cell r="F1205" t="str">
            <v>0T3T_REJ17_PCS-2PFBL2_FLAT_FIXO_GT_53.86%</v>
          </cell>
          <cell r="G1205">
            <v>53.86</v>
          </cell>
        </row>
        <row r="1206">
          <cell r="A1206" t="str">
            <v>Oi Total Fixo + Banda Larga 20.2089Template de desconto FLAT bundle - Fixo - Varejo - Ganho Tributário Cross</v>
          </cell>
          <cell r="B1206" t="str">
            <v>Oi Total Fixo + Banda Larga 2</v>
          </cell>
          <cell r="C1206" t="str">
            <v>Template de desconto FLAT bundle - Fixo - Varejo - Ganho Tributário Cross</v>
          </cell>
          <cell r="D1206">
            <v>0.2089</v>
          </cell>
          <cell r="E1206" t="str">
            <v>MKT-1-10029230991</v>
          </cell>
          <cell r="F1206" t="str">
            <v>0T3T_REJ17_PCS-2PFBL2_FLAT_FIXO_GT_20.89%</v>
          </cell>
          <cell r="G1206">
            <v>20.89</v>
          </cell>
        </row>
        <row r="1207">
          <cell r="A1207" t="str">
            <v>Oi Total Fixo + Banda Larga 20.0111Template de desconto FLAT bundle - Fixo - Varejo - Ganho Tributário Cross</v>
          </cell>
          <cell r="B1207" t="str">
            <v>Oi Total Fixo + Banda Larga 2</v>
          </cell>
          <cell r="C1207" t="str">
            <v>Template de desconto FLAT bundle - Fixo - Varejo - Ganho Tributário Cross</v>
          </cell>
          <cell r="D1207">
            <v>1.11E-2</v>
          </cell>
          <cell r="E1207" t="str">
            <v>MKT-1-10029231206</v>
          </cell>
          <cell r="F1207" t="str">
            <v>0T3T_REJ17_PCS-2PFBL2_FLAT_FIXO_GT_01.11%</v>
          </cell>
          <cell r="G1207">
            <v>1.1100000000000001</v>
          </cell>
        </row>
        <row r="1208">
          <cell r="A1208" t="str">
            <v>Oi Total Fixo + Banda Larga 30.5386Template de desconto FLAT bundle - Fixo - Varejo - Ganho Tributário Cross</v>
          </cell>
          <cell r="B1208" t="str">
            <v>Oi Total Fixo + Banda Larga 3</v>
          </cell>
          <cell r="C1208" t="str">
            <v>Template de desconto FLAT bundle - Fixo - Varejo - Ganho Tributário Cross</v>
          </cell>
          <cell r="D1208">
            <v>0.53859999999999997</v>
          </cell>
          <cell r="E1208" t="str">
            <v>MKT-1-10029270411</v>
          </cell>
          <cell r="F1208" t="str">
            <v>0T3T_REJ17_PCS-2PFBL3_FLAT_FIXO_GT_53.86%</v>
          </cell>
          <cell r="G1208">
            <v>53.86</v>
          </cell>
        </row>
        <row r="1209">
          <cell r="A1209" t="str">
            <v>Oi Total Fixo + Banda Larga 30.2089Template de desconto FLAT bundle - Fixo - Varejo - Ganho Tributário Cross</v>
          </cell>
          <cell r="B1209" t="str">
            <v>Oi Total Fixo + Banda Larga 3</v>
          </cell>
          <cell r="C1209" t="str">
            <v>Template de desconto FLAT bundle - Fixo - Varejo - Ganho Tributário Cross</v>
          </cell>
          <cell r="D1209">
            <v>0.2089</v>
          </cell>
          <cell r="E1209" t="str">
            <v>MKT-1-10029270621</v>
          </cell>
          <cell r="F1209" t="str">
            <v>0T3T_REJ17_PCS-2PFBL3_FLAT_FIXO_GT_20.89%</v>
          </cell>
          <cell r="G1209">
            <v>20.89</v>
          </cell>
        </row>
        <row r="1210">
          <cell r="A1210" t="str">
            <v>Oi Total Fixo + Banda Larga 30.143Template de desconto FLAT bundle - Fixo - Varejo - Ganho Tributário Cross</v>
          </cell>
          <cell r="B1210" t="str">
            <v>Oi Total Fixo + Banda Larga 3</v>
          </cell>
          <cell r="C1210" t="str">
            <v>Template de desconto FLAT bundle - Fixo - Varejo - Ganho Tributário Cross</v>
          </cell>
          <cell r="D1210">
            <v>0.14300000000000002</v>
          </cell>
          <cell r="E1210" t="str">
            <v>MKT-1-10029278371</v>
          </cell>
          <cell r="F1210" t="str">
            <v>0T3T_REJ17_PCS-2PFBL3_FLAT_FIXO_GT_14.30%</v>
          </cell>
          <cell r="G1210">
            <v>14.3</v>
          </cell>
        </row>
        <row r="1211">
          <cell r="A1211" t="str">
            <v>Oi Total Fixo + Banda Larga 30.0111Template de desconto FLAT bundle - Fixo - Varejo - Ganho Tributário Cross</v>
          </cell>
          <cell r="B1211" t="str">
            <v>Oi Total Fixo + Banda Larga 3</v>
          </cell>
          <cell r="C1211" t="str">
            <v>Template de desconto FLAT bundle - Fixo - Varejo - Ganho Tributário Cross</v>
          </cell>
          <cell r="D1211">
            <v>1.11E-2</v>
          </cell>
          <cell r="E1211" t="str">
            <v>MKT-1-10029278581</v>
          </cell>
          <cell r="F1211" t="str">
            <v>0T3T_REJ17_PCS-2PFBL3_FLAT_FIXO_GT_01.11%</v>
          </cell>
          <cell r="G1211">
            <v>1.1100000000000001</v>
          </cell>
        </row>
        <row r="1212">
          <cell r="A1212" t="str">
            <v>Oi Total Fixo + Banda Larga 30.0771Template de desconto FLAT bundle - Fixo - Varejo - Ganho Tributário Cross</v>
          </cell>
          <cell r="B1212" t="str">
            <v>Oi Total Fixo + Banda Larga 3</v>
          </cell>
          <cell r="C1212" t="str">
            <v>Template de desconto FLAT bundle - Fixo - Varejo - Ganho Tributário Cross</v>
          </cell>
          <cell r="D1212">
            <v>7.7100000000000002E-2</v>
          </cell>
          <cell r="E1212" t="str">
            <v>MKT-1-10029280491</v>
          </cell>
          <cell r="F1212" t="str">
            <v>0T3T_REJ17_PCS-2PFBL3_FLAT_FIXO_GT_07.71%</v>
          </cell>
          <cell r="G1212">
            <v>7.71</v>
          </cell>
        </row>
        <row r="1213">
          <cell r="A1213" t="str">
            <v>Oi Total Fixo + Pós 100 + Banda Larga0.4309Template de desconto percentual FLAT Móvel - Conta Total - Varejo - Ganho Tributário Cross</v>
          </cell>
          <cell r="B1213" t="str">
            <v>Plano Oi Completo Small</v>
          </cell>
          <cell r="C1213" t="str">
            <v>Template de desconto percentual FLAT Móvel - Conta Total - Varejo - Ganho Tributário Cross</v>
          </cell>
          <cell r="D1213">
            <v>0.43090000000000006</v>
          </cell>
          <cell r="E1213" t="str">
            <v>MKT-1-10029850761</v>
          </cell>
          <cell r="F1213" t="str">
            <v>0T3T_PAI17_PCS-4P3pi_FLAT_MÓVEL_GT_43.09%</v>
          </cell>
          <cell r="G1213">
            <v>43.09</v>
          </cell>
        </row>
        <row r="1214">
          <cell r="A1214" t="str">
            <v>Oi Total Fixo + Pós Conectado 1.000 + Banda Larga0.7716Template de desconto percentual FLAT Móvel - Conta Total - Varejo - Ganho Tributário Cross</v>
          </cell>
          <cell r="B1214" t="str">
            <v>Plano Oi Completo 1.000</v>
          </cell>
          <cell r="C1214" t="str">
            <v>Template de desconto percentual FLAT Móvel - Conta Total - Varejo - Ganho Tributário Cross</v>
          </cell>
          <cell r="D1214">
            <v>0.77159999999999995</v>
          </cell>
          <cell r="E1214" t="str">
            <v>MKT-1-10031990161</v>
          </cell>
          <cell r="F1214" t="str">
            <v>0T3T_PAI17_PCS-4P10pi_FLAT_MÓVEL_GT_77.16%</v>
          </cell>
          <cell r="G1214">
            <v>77.16</v>
          </cell>
        </row>
        <row r="1215">
          <cell r="A1215" t="str">
            <v>Oi Total Fixo + Pós Conectado 1.000 + Banda Larga0.6355Template de desconto percentual FLAT Móvel - Conta Total - Varejo - Ganho Tributário Cross</v>
          </cell>
          <cell r="B1215" t="str">
            <v>Plano Oi Completo 1.000</v>
          </cell>
          <cell r="C1215" t="str">
            <v>Template de desconto percentual FLAT Móvel - Conta Total - Varejo - Ganho Tributário Cross</v>
          </cell>
          <cell r="D1215">
            <v>0.63549999999999995</v>
          </cell>
          <cell r="E1215" t="str">
            <v>MKT-1-10032051381</v>
          </cell>
          <cell r="F1215" t="str">
            <v>0T3T_PAI17_PCS-4P10pi_FLAT_MÓVEL_GT_63.55%</v>
          </cell>
          <cell r="G1215">
            <v>63.55</v>
          </cell>
        </row>
        <row r="1216">
          <cell r="A1216" t="str">
            <v>Oi Total Fixo + Pós 50 + Banda Larga0.3246Template de desconto percentual FLAT Móvel - Conta Total - Varejo - Ganho Tributário Cross</v>
          </cell>
          <cell r="B1216" t="str">
            <v>Plano Oi Completo XSmall</v>
          </cell>
          <cell r="C1216" t="str">
            <v>Template de desconto percentual FLAT Móvel - Conta Total - Varejo - Ganho Tributário Cross</v>
          </cell>
          <cell r="D1216">
            <v>0.3246</v>
          </cell>
          <cell r="E1216" t="str">
            <v>MKT-1-10032051591</v>
          </cell>
          <cell r="F1216" t="str">
            <v>0T3T_PAI17_PCS-4P2pi_FLAT_MÓVEL_GT_32.46%</v>
          </cell>
          <cell r="G1216">
            <v>32.46</v>
          </cell>
        </row>
        <row r="1217">
          <cell r="A1217" t="str">
            <v>Oi Total Fixo + Pós 50 + Banda Larga0.1374Template de desconto percentual FLAT Móvel - Conta Total - Varejo - Ganho Tributário Cross</v>
          </cell>
          <cell r="B1217" t="str">
            <v>Plano Oi Completo XSmall</v>
          </cell>
          <cell r="C1217" t="str">
            <v>Template de desconto percentual FLAT Móvel - Conta Total - Varejo - Ganho Tributário Cross</v>
          </cell>
          <cell r="D1217">
            <v>0.13739999999999999</v>
          </cell>
          <cell r="E1217" t="str">
            <v>MKT-1-10032051801</v>
          </cell>
          <cell r="F1217" t="str">
            <v>0T3T_PAI17_PCS-4P2pi_FLAT_MÓVEL_GT_13.74%</v>
          </cell>
          <cell r="G1217">
            <v>13.74</v>
          </cell>
        </row>
        <row r="1218">
          <cell r="A1218" t="str">
            <v>Oi Total Fixo + Pós 50 + Banda Larga0.2238Template de desconto percentual FLAT Móvel - Conta Total - Varejo - Ganho Tributário Cross</v>
          </cell>
          <cell r="B1218" t="str">
            <v>Plano Oi Completo XSmall</v>
          </cell>
          <cell r="C1218" t="str">
            <v>Template de desconto percentual FLAT Móvel - Conta Total - Varejo - Ganho Tributário Cross</v>
          </cell>
          <cell r="D1218">
            <v>0.2238</v>
          </cell>
          <cell r="E1218" t="str">
            <v>MKT-1-10032052011</v>
          </cell>
          <cell r="F1218" t="str">
            <v>0T3T_PAI17_PCS-4P2pi_FLAT_MÓVEL_GT_22.38%</v>
          </cell>
          <cell r="G1218">
            <v>22.38</v>
          </cell>
        </row>
        <row r="1219">
          <cell r="A1219" t="str">
            <v>Oi Total Fixo + Pós Conectado 1.000 + Banda Larga0.7132Template de desconto percentual FLAT Móvel - Conta Total - Varejo - Ganho Tributário Cross</v>
          </cell>
          <cell r="B1219" t="str">
            <v>Plano Oi Completo 1.000</v>
          </cell>
          <cell r="C1219" t="str">
            <v>Template de desconto percentual FLAT Móvel - Conta Total - Varejo - Ganho Tributário Cross</v>
          </cell>
          <cell r="D1219">
            <v>0.71319999999999995</v>
          </cell>
          <cell r="E1219" t="str">
            <v>MKT-1-10032055351</v>
          </cell>
          <cell r="F1219" t="str">
            <v>0T3T_PAI17_PCS-4P10pi_FLAT_MÓVEL_GT_71.32%</v>
          </cell>
          <cell r="G1219">
            <v>71.319999999999993</v>
          </cell>
        </row>
        <row r="1220">
          <cell r="A1220" t="str">
            <v>Oi Total Fixo + Pós Conectado 1.000 + Banda Larga0.6689Template de desconto percentual FLAT Móvel - Conta Total - Varejo - Ganho Tributário Cross</v>
          </cell>
          <cell r="B1220" t="str">
            <v>Plano Oi Completo 1.000</v>
          </cell>
          <cell r="C1220" t="str">
            <v>Template de desconto percentual FLAT Móvel - Conta Total - Varejo - Ganho Tributário Cross</v>
          </cell>
          <cell r="D1220">
            <v>0.66890000000000005</v>
          </cell>
          <cell r="E1220" t="str">
            <v>MKT-1-10032055561</v>
          </cell>
          <cell r="F1220" t="str">
            <v>0T3T_PAI17_PCS-4P10pi_FLAT_MÓVEL_GT_66.89%</v>
          </cell>
          <cell r="G1220">
            <v>66.89</v>
          </cell>
        </row>
        <row r="1221">
          <cell r="A1221" t="str">
            <v>Oi Total Fixo + Pós 50 + Banda Larga0.2221Template de desconto percentual FLAT Móvel - Conta Total - Varejo - Ganho Tributário Cross</v>
          </cell>
          <cell r="B1221" t="str">
            <v>Plano Oi Completo XSmall</v>
          </cell>
          <cell r="C1221" t="str">
            <v>Template de desconto percentual FLAT Móvel - Conta Total - Varejo - Ganho Tributário Cross</v>
          </cell>
          <cell r="D1221">
            <v>0.22210000000000002</v>
          </cell>
          <cell r="E1221" t="str">
            <v>MKT-1-10032055771</v>
          </cell>
          <cell r="F1221" t="str">
            <v>0T3T_PAI17_PCS-4P2pi_FLAT_MÓVEL_GT_22.21%</v>
          </cell>
          <cell r="G1221">
            <v>22.21</v>
          </cell>
        </row>
        <row r="1222">
          <cell r="A1222" t="str">
            <v>Oi Total Fixo + Pós 50 + Banda Larga0.0534Template de desconto percentual FLAT Móvel - Conta Total - Varejo - Ganho Tributário Cross</v>
          </cell>
          <cell r="B1222" t="str">
            <v>Plano Oi Completo XSmall</v>
          </cell>
          <cell r="C1222" t="str">
            <v>Template de desconto percentual FLAT Móvel - Conta Total - Varejo - Ganho Tributário Cross</v>
          </cell>
          <cell r="D1222">
            <v>5.3399999999999996E-2</v>
          </cell>
          <cell r="E1222" t="str">
            <v>MKT-1-10032055981</v>
          </cell>
          <cell r="F1222" t="str">
            <v>0T3T_PAI17_PCS-4P2pi_FLAT_MÓVEL_GT_05.34%</v>
          </cell>
          <cell r="G1222">
            <v>5.34</v>
          </cell>
        </row>
        <row r="1223">
          <cell r="A1223" t="str">
            <v>Oi Total Fixo + Pós 100 + Banda Larga0.4291Template de desconto percentual FLAT Móvel - Conta Total - Varejo - Ganho Tributário Cross</v>
          </cell>
          <cell r="B1223" t="str">
            <v>Plano Oi Completo Small</v>
          </cell>
          <cell r="C1223" t="str">
            <v>Template de desconto percentual FLAT Móvel - Conta Total - Varejo - Ganho Tributário Cross</v>
          </cell>
          <cell r="D1223">
            <v>0.42909999999999998</v>
          </cell>
          <cell r="E1223" t="str">
            <v>MKT-1-10032056211</v>
          </cell>
          <cell r="F1223" t="str">
            <v>0T3T_PAI17_PCS-4P3pi_FLAT_MÓVEL_GT_42.91%</v>
          </cell>
          <cell r="G1223">
            <v>42.91</v>
          </cell>
        </row>
        <row r="1224">
          <cell r="A1224" t="str">
            <v>Oi Total Fixo + Pós 100 + Banda Larga0.4992Template de desconto percentual FLAT Móvel - Conta Total - Varejo - Ganho Tributário Cross</v>
          </cell>
          <cell r="B1224" t="str">
            <v>Plano Oi Completo Small</v>
          </cell>
          <cell r="C1224" t="str">
            <v>Template de desconto percentual FLAT Móvel - Conta Total - Varejo - Ganho Tributário Cross</v>
          </cell>
          <cell r="D1224">
            <v>0.49920000000000003</v>
          </cell>
          <cell r="E1224" t="str">
            <v>MKT-1-10032119641</v>
          </cell>
          <cell r="F1224" t="str">
            <v>0T3T_PAI17_PCS-4P3pi_FLAT_MÓVEL_GT_49.92%</v>
          </cell>
          <cell r="G1224">
            <v>49.92</v>
          </cell>
        </row>
        <row r="1225">
          <cell r="A1225" t="str">
            <v>Oi Total Fixo + Pós 100 + Banda Larga0.3712Template de desconto percentual FLAT Móvel - Conta Total - Varejo - Ganho Tributário Cross</v>
          </cell>
          <cell r="B1225" t="str">
            <v>Plano Oi Completo Small</v>
          </cell>
          <cell r="C1225" t="str">
            <v>Template de desconto percentual FLAT Móvel - Conta Total - Varejo - Ganho Tributário Cross</v>
          </cell>
          <cell r="D1225">
            <v>0.37119999999999997</v>
          </cell>
          <cell r="E1225" t="str">
            <v>MKT-1-10032119851</v>
          </cell>
          <cell r="F1225" t="str">
            <v>0T3T_PAI17_PCS-4P3pi_FLAT_MÓVEL_GT_37.12%</v>
          </cell>
          <cell r="G1225">
            <v>37.119999999999997</v>
          </cell>
        </row>
        <row r="1226">
          <cell r="A1226" t="str">
            <v>Oi Total Fixo + Pós 100 + Banda Larga0.2741Template de desconto percentual FLAT Móvel - Conta Total - Varejo - Ganho Tributário Cross</v>
          </cell>
          <cell r="B1226" t="str">
            <v>Plano Oi Completo Small</v>
          </cell>
          <cell r="C1226" t="str">
            <v>Template de desconto percentual FLAT Móvel - Conta Total - Varejo - Ganho Tributário Cross</v>
          </cell>
          <cell r="D1226">
            <v>0.27410000000000001</v>
          </cell>
          <cell r="E1226" t="str">
            <v>MKT-1-10032120191</v>
          </cell>
          <cell r="F1226" t="str">
            <v>0T3T_PAI17_PCS-4P3pi_FLAT_MÓVEL_GT_27.41%</v>
          </cell>
          <cell r="G1226">
            <v>27.41</v>
          </cell>
        </row>
        <row r="1227">
          <cell r="A1227" t="str">
            <v>Oi Total Fixo + Pós 500 + Banda Larga0.673Template de desconto percentual FLAT Móvel - Conta Total - Varejo - Ganho Tributário Cross</v>
          </cell>
          <cell r="B1227" t="str">
            <v>Plano Oi Completo Large</v>
          </cell>
          <cell r="C1227" t="str">
            <v>Template de desconto percentual FLAT Móvel - Conta Total - Varejo - Ganho Tributário Cross</v>
          </cell>
          <cell r="D1227">
            <v>0.67299999999999993</v>
          </cell>
          <cell r="E1227" t="str">
            <v>MKT-1-10032167441</v>
          </cell>
          <cell r="F1227" t="str">
            <v>0T3T_PAI17_PCS-4P5pi_FLAT_MÓVEL_GT_67.30%</v>
          </cell>
          <cell r="G1227">
            <v>67.3</v>
          </cell>
        </row>
        <row r="1228">
          <cell r="A1228" t="str">
            <v>Oi Total Fixo + Pós 800 + Banda Larga0.7224Template de desconto percentual FLAT Móvel - Conta Total - Varejo - Ganho Tributário Cross</v>
          </cell>
          <cell r="B1228" t="str">
            <v>Plano Oi Completo XLarge</v>
          </cell>
          <cell r="C1228" t="str">
            <v>Template de desconto percentual FLAT Móvel - Conta Total - Varejo - Ganho Tributário Cross</v>
          </cell>
          <cell r="D1228">
            <v>0.72239999999999993</v>
          </cell>
          <cell r="E1228" t="str">
            <v>MKT-1-10032167651</v>
          </cell>
          <cell r="F1228" t="str">
            <v>0T3T_PAI17_PCS-4P6pi_FLAT_MÓVEL_GT_72.24%</v>
          </cell>
          <cell r="G1228">
            <v>72.239999999999995</v>
          </cell>
        </row>
        <row r="1229">
          <cell r="A1229" t="str">
            <v>Oi Total Fixo + Pós 800 + Banda Larga0.681Template de desconto percentual FLAT Móvel - Conta Total - Varejo - Ganho Tributário Cross</v>
          </cell>
          <cell r="B1229" t="str">
            <v>Plano Oi Completo XLarge</v>
          </cell>
          <cell r="C1229" t="str">
            <v>Template de desconto percentual FLAT Móvel - Conta Total - Varejo - Ganho Tributário Cross</v>
          </cell>
          <cell r="D1229">
            <v>0.68099999999999994</v>
          </cell>
          <cell r="E1229" t="str">
            <v>MKT-1-10032167861</v>
          </cell>
          <cell r="F1229" t="str">
            <v>0T3T_PAI17_PCS-4P6pi_FLAT_MÓVEL_GT_68.10%</v>
          </cell>
          <cell r="G1229">
            <v>68.099999999999994</v>
          </cell>
        </row>
        <row r="1230">
          <cell r="A1230" t="str">
            <v>Oi Total Fixo + Pós 800 + Banda Larga0.6614Template de desconto percentual FLAT Móvel - Conta Total - Varejo - Ganho Tributário Cross</v>
          </cell>
          <cell r="B1230" t="str">
            <v>Plano Oi Completo XLarge</v>
          </cell>
          <cell r="C1230" t="str">
            <v>Template de desconto percentual FLAT Móvel - Conta Total - Varejo - Ganho Tributário Cross</v>
          </cell>
          <cell r="D1230">
            <v>0.66139999999999999</v>
          </cell>
          <cell r="E1230" t="str">
            <v>MKT-1-10032168071</v>
          </cell>
          <cell r="F1230" t="str">
            <v>0T3T_PAI17_PCS-4P6pi_FLAT_MÓVEL_GT_66.14%</v>
          </cell>
          <cell r="G1230">
            <v>66.14</v>
          </cell>
        </row>
        <row r="1231">
          <cell r="A1231" t="str">
            <v>Oi Total Fixo + Pós Conectado 500 + Banda Larga0.5935Template de desconto percentual FLAT Móvel - Conta Total - Varejo - Ganho Tributário Cross</v>
          </cell>
          <cell r="B1231" t="str">
            <v>Plano Oi Completo 500</v>
          </cell>
          <cell r="C1231" t="str">
            <v>Template de desconto percentual FLAT Móvel - Conta Total - Varejo - Ganho Tributário Cross</v>
          </cell>
          <cell r="D1231">
            <v>0.59350000000000003</v>
          </cell>
          <cell r="E1231" t="str">
            <v>MKT-1-10032168281</v>
          </cell>
          <cell r="F1231" t="str">
            <v>0T3T_PAI17_PCS-4P8pi_FLAT_MÓVEL_GT_59.35%</v>
          </cell>
          <cell r="G1231">
            <v>59.35</v>
          </cell>
        </row>
        <row r="1232">
          <cell r="A1232" t="str">
            <v>Oi Total Fixo + Pós 100 + Banda Larga0.2008Template de desconto percentual FLAT Móvel - Conta Total - Varejo - Ganho Tributário Cross</v>
          </cell>
          <cell r="B1232" t="str">
            <v>Plano Oi Completo Small</v>
          </cell>
          <cell r="C1232" t="str">
            <v>Template de desconto percentual FLAT Móvel - Conta Total - Varejo - Ganho Tributário Cross</v>
          </cell>
          <cell r="D1232">
            <v>0.20079999999999998</v>
          </cell>
          <cell r="E1232" t="str">
            <v>MKT-1-10032248471</v>
          </cell>
          <cell r="F1232" t="str">
            <v>0T3T_PAI17_PCS-4P3pi_FLAT_MÓVEL_GT_20.08%</v>
          </cell>
          <cell r="G1232">
            <v>20.079999999999998</v>
          </cell>
        </row>
        <row r="1233">
          <cell r="A1233" t="str">
            <v>Oi Total Fixo + Pós 250 + Banda Larga0.5883Template de desconto percentual FLAT Móvel - Conta Total - Varejo - Ganho Tributário Cross</v>
          </cell>
          <cell r="B1233" t="str">
            <v>Plano Oi Completo Medium</v>
          </cell>
          <cell r="C1233" t="str">
            <v>Template de desconto percentual FLAT Móvel - Conta Total - Varejo - Ganho Tributário Cross</v>
          </cell>
          <cell r="D1233">
            <v>0.58829999999999993</v>
          </cell>
          <cell r="E1233" t="str">
            <v>MKT-1-10032248681</v>
          </cell>
          <cell r="F1233" t="str">
            <v>0T3T_PAI17_PCS-4P4pi_FLAT_MÓVEL_GT_58.83%</v>
          </cell>
          <cell r="G1233">
            <v>58.83</v>
          </cell>
        </row>
        <row r="1234">
          <cell r="A1234" t="str">
            <v>Oi Total Fixo + Pós 250 + Banda Larga0.6292Template de desconto percentual FLAT Móvel - Conta Total - Varejo - Ganho Tributário Cross</v>
          </cell>
          <cell r="B1234" t="str">
            <v>Plano Oi Completo Medium</v>
          </cell>
          <cell r="C1234" t="str">
            <v>Template de desconto percentual FLAT Móvel - Conta Total - Varejo - Ganho Tributário Cross</v>
          </cell>
          <cell r="D1234">
            <v>0.62919999999999998</v>
          </cell>
          <cell r="E1234" t="str">
            <v>MKT-1-10032248891</v>
          </cell>
          <cell r="F1234" t="str">
            <v>0T3T_PAI17_PCS-4P4pi_FLAT_MÓVEL_GT_62.92%</v>
          </cell>
          <cell r="G1234">
            <v>62.92</v>
          </cell>
        </row>
        <row r="1235">
          <cell r="A1235" t="str">
            <v>Oi Total Fixo + Pós 250 + Banda Larga0.5524Template de desconto percentual FLAT Móvel - Conta Total - Varejo - Ganho Tributário Cross</v>
          </cell>
          <cell r="B1235" t="str">
            <v>Plano Oi Completo Medium</v>
          </cell>
          <cell r="C1235" t="str">
            <v>Template de desconto percentual FLAT Móvel - Conta Total - Varejo - Ganho Tributário Cross</v>
          </cell>
          <cell r="D1235">
            <v>0.5524</v>
          </cell>
          <cell r="E1235" t="str">
            <v>MKT-1-10032249101</v>
          </cell>
          <cell r="F1235" t="str">
            <v>0T3T_PAI17_PCS-4P4pi_FLAT_MÓVEL_GT_55.24%</v>
          </cell>
          <cell r="G1235">
            <v>55.24</v>
          </cell>
        </row>
        <row r="1236">
          <cell r="A1236" t="str">
            <v>Oi Total Fixo + Pós 250 + Banda Larga0.5872Template de desconto percentual FLAT Móvel - Conta Total - Varejo - Ganho Tributário Cross</v>
          </cell>
          <cell r="B1236" t="str">
            <v>Plano Oi Completo Medium</v>
          </cell>
          <cell r="C1236" t="str">
            <v>Template de desconto percentual FLAT Móvel - Conta Total - Varejo - Ganho Tributário Cross</v>
          </cell>
          <cell r="D1236">
            <v>0.58719999999999994</v>
          </cell>
          <cell r="E1236" t="str">
            <v>MKT-1-10033063401</v>
          </cell>
          <cell r="F1236" t="str">
            <v>0T3T_PAI17_PCS-4P4pi_FLAT_MÓVEL_GT_58.72%</v>
          </cell>
          <cell r="G1236">
            <v>58.72</v>
          </cell>
        </row>
        <row r="1237">
          <cell r="A1237" t="str">
            <v>Oi Total Fixo + Pós 250 + Banda Larga0.4942Template de desconto percentual FLAT Móvel - Conta Total - Varejo - Ganho Tributário Cross</v>
          </cell>
          <cell r="B1237" t="str">
            <v>Plano Oi Completo Medium</v>
          </cell>
          <cell r="C1237" t="str">
            <v>Template de desconto percentual FLAT Móvel - Conta Total - Varejo - Ganho Tributário Cross</v>
          </cell>
          <cell r="D1237">
            <v>0.49420000000000003</v>
          </cell>
          <cell r="E1237" t="str">
            <v>MKT-1-10033078311</v>
          </cell>
          <cell r="F1237" t="str">
            <v>0T3T_PAI17_PCS-4P4pi_FLAT_MÓVEL_GT_49.42%</v>
          </cell>
          <cell r="G1237">
            <v>49.42</v>
          </cell>
        </row>
        <row r="1238">
          <cell r="A1238" t="str">
            <v>Oi Total Fixo + Pós 250 + Banda Larga0.4502Template de desconto percentual FLAT Móvel - Conta Total - Varejo - Ganho Tributário Cross</v>
          </cell>
          <cell r="B1238" t="str">
            <v>Plano Oi Completo Medium</v>
          </cell>
          <cell r="C1238" t="str">
            <v>Template de desconto percentual FLAT Móvel - Conta Total - Varejo - Ganho Tributário Cross</v>
          </cell>
          <cell r="D1238">
            <v>0.45020000000000004</v>
          </cell>
          <cell r="E1238" t="str">
            <v>MKT-1-10033078521</v>
          </cell>
          <cell r="F1238" t="str">
            <v>0T3T_PAI17_PCS-4P4pi_FLAT_MÓVEL_GT_45.02%</v>
          </cell>
          <cell r="G1238">
            <v>45.02</v>
          </cell>
        </row>
        <row r="1239">
          <cell r="A1239" t="str">
            <v>Oi Total Fixo + Pós 500 + Banda Larga0.7001Template de desconto percentual FLAT Móvel - Conta Total - Varejo - Ganho Tributário Cross</v>
          </cell>
          <cell r="B1239" t="str">
            <v>Plano Oi Completo Large</v>
          </cell>
          <cell r="C1239" t="str">
            <v>Template de desconto percentual FLAT Móvel - Conta Total - Varejo - Ganho Tributário Cross</v>
          </cell>
          <cell r="D1239">
            <v>0.70010000000000006</v>
          </cell>
          <cell r="E1239" t="str">
            <v>MKT-1-10033113780</v>
          </cell>
          <cell r="F1239" t="str">
            <v>0T3T_PAI17_PCS-4P5pi_FLAT_MÓVEL_GT_70.01%</v>
          </cell>
          <cell r="G1239">
            <v>70.010000000000005</v>
          </cell>
        </row>
        <row r="1240">
          <cell r="A1240" t="str">
            <v>Oi Total Fixo + Pós 500 + Banda Larga0.6505Template de desconto percentual FLAT Móvel - Conta Total - Varejo - Ganho Tributário Cross</v>
          </cell>
          <cell r="B1240" t="str">
            <v>Plano Oi Completo Large</v>
          </cell>
          <cell r="C1240" t="str">
            <v>Template de desconto percentual FLAT Móvel - Conta Total - Varejo - Ganho Tributário Cross</v>
          </cell>
          <cell r="D1240">
            <v>0.65049999999999997</v>
          </cell>
          <cell r="E1240" t="str">
            <v>MKT-1-10033113981</v>
          </cell>
          <cell r="F1240" t="str">
            <v>0T3T_PAI17_PCS-4P5pi_FLAT_MÓVEL_GT_65.05%</v>
          </cell>
          <cell r="G1240">
            <v>65.05</v>
          </cell>
        </row>
        <row r="1241">
          <cell r="A1241" t="str">
            <v>Oi Total Fixo + Pós 500 + Banda Larga0.6129Template de desconto percentual FLAT Móvel - Conta Total - Varejo - Ganho Tributário Cross</v>
          </cell>
          <cell r="B1241" t="str">
            <v>Plano Oi Completo Large</v>
          </cell>
          <cell r="C1241" t="str">
            <v>Template de desconto percentual FLAT Móvel - Conta Total - Varejo - Ganho Tributário Cross</v>
          </cell>
          <cell r="D1241">
            <v>0.6129</v>
          </cell>
          <cell r="E1241" t="str">
            <v>MKT-1-10033114191</v>
          </cell>
          <cell r="F1241" t="str">
            <v>0T3T_PAI17_PCS-4P5pi_FLAT_MÓVEL_GT_61.29%</v>
          </cell>
          <cell r="G1241">
            <v>61.29</v>
          </cell>
        </row>
        <row r="1242">
          <cell r="A1242" t="str">
            <v>Oi Total Fixo + Pós 800 + Banda Larga0.7229Template de desconto percentual FLAT Móvel - Conta Total - Varejo - Ganho Tributário Cross</v>
          </cell>
          <cell r="B1242" t="str">
            <v>Plano Oi Completo XLarge</v>
          </cell>
          <cell r="C1242" t="str">
            <v>Template de desconto percentual FLAT Móvel - Conta Total - Varejo - Ganho Tributário Cross</v>
          </cell>
          <cell r="D1242">
            <v>0.7229000000000001</v>
          </cell>
          <cell r="E1242" t="str">
            <v>MKT-1-10033167881</v>
          </cell>
          <cell r="F1242" t="str">
            <v>0T3T_PAI17_PCS-4P6pi_FLAT_MÓVEL_GT_72.29%</v>
          </cell>
          <cell r="G1242">
            <v>72.290000000000006</v>
          </cell>
        </row>
        <row r="1243">
          <cell r="A1243" t="str">
            <v>Oi Total Fixo + Pós 500 + Banda Larga0.5845Template de desconto percentual FLAT Móvel - Conta Total - Varejo - Ganho Tributário Cross</v>
          </cell>
          <cell r="B1243" t="str">
            <v>Plano Oi Completo Large</v>
          </cell>
          <cell r="C1243" t="str">
            <v>Template de desconto percentual FLAT Móvel - Conta Total - Varejo - Ganho Tributário Cross</v>
          </cell>
          <cell r="D1243">
            <v>0.58450000000000002</v>
          </cell>
          <cell r="E1243" t="str">
            <v>MKT-1-10033171401</v>
          </cell>
          <cell r="F1243" t="str">
            <v>0T3T_PAI17_PCS-4P5pi_FLAT_MÓVEL_GT_58.45%</v>
          </cell>
          <cell r="G1243">
            <v>58.45</v>
          </cell>
        </row>
        <row r="1244">
          <cell r="A1244" t="str">
            <v>Oi Total Fixo + Pós 800 + Banda Larga0.7411Template de desconto percentual FLAT Móvel - Conta Total - Varejo - Ganho Tributário Cross</v>
          </cell>
          <cell r="B1244" t="str">
            <v>Plano Oi Completo XLarge</v>
          </cell>
          <cell r="C1244" t="str">
            <v>Template de desconto percentual FLAT Móvel - Conta Total - Varejo - Ganho Tributário Cross</v>
          </cell>
          <cell r="D1244">
            <v>0.74109999999999998</v>
          </cell>
          <cell r="E1244" t="str">
            <v>MKT-1-10033171611</v>
          </cell>
          <cell r="F1244" t="str">
            <v>0T3T_PAI17_PCS-4P6pi_FLAT_MÓVEL_GT_74.11%</v>
          </cell>
          <cell r="G1244">
            <v>74.11</v>
          </cell>
        </row>
        <row r="1245">
          <cell r="A1245" t="str">
            <v>Oi Total Fixo + Pós 800 + Banda Larga0.7069Template de desconto percentual FLAT Móvel - Conta Total - Varejo - Ganho Tributário Cross</v>
          </cell>
          <cell r="B1245" t="str">
            <v>Plano Oi Completo XLarge</v>
          </cell>
          <cell r="C1245" t="str">
            <v>Template de desconto percentual FLAT Móvel - Conta Total - Varejo - Ganho Tributário Cross</v>
          </cell>
          <cell r="D1245">
            <v>0.70689999999999997</v>
          </cell>
          <cell r="E1245" t="str">
            <v>MKT-1-10033171821</v>
          </cell>
          <cell r="F1245" t="str">
            <v>0T3T_PAI17_PCS-4P6pi_FLAT_MÓVEL_GT_70.69%</v>
          </cell>
          <cell r="G1245">
            <v>70.69</v>
          </cell>
        </row>
        <row r="1246">
          <cell r="A1246" t="str">
            <v>Oi Total Fixo + Pós Conectado 500 + Banda Larga0.6863Template de desconto percentual FLAT Móvel - Conta Total - Varejo - Ganho Tributário Cross</v>
          </cell>
          <cell r="B1246" t="str">
            <v>Plano Oi Completo 500</v>
          </cell>
          <cell r="C1246" t="str">
            <v>Template de desconto percentual FLAT Móvel - Conta Total - Varejo - Ganho Tributário Cross</v>
          </cell>
          <cell r="D1246">
            <v>0.68629999999999991</v>
          </cell>
          <cell r="E1246" t="str">
            <v>MKT-1-10033172031</v>
          </cell>
          <cell r="F1246" t="str">
            <v>0T3T_PAI17_PCS-4P8pi_FLAT_MÓVEL_GT_68.63%</v>
          </cell>
          <cell r="G1246">
            <v>68.63</v>
          </cell>
        </row>
        <row r="1247">
          <cell r="A1247" t="str">
            <v>Oi Total Fixo + Pós Conectado 500 + Banda Larga0.7267Template de desconto percentual FLAT Móvel - Conta Total - Varejo - Ganho Tributário Cross</v>
          </cell>
          <cell r="B1247" t="str">
            <v>Plano Oi Completo 500</v>
          </cell>
          <cell r="C1247" t="str">
            <v>Template de desconto percentual FLAT Móvel - Conta Total - Varejo - Ganho Tributário Cross</v>
          </cell>
          <cell r="D1247">
            <v>0.72670000000000001</v>
          </cell>
          <cell r="E1247" t="str">
            <v>MKT-1-10033172241</v>
          </cell>
          <cell r="F1247" t="str">
            <v>0T3T_PAI17_PCS-4P8pi_FLAT_MÓVEL_GT_72.67%</v>
          </cell>
          <cell r="G1247">
            <v>72.67</v>
          </cell>
        </row>
        <row r="1248">
          <cell r="A1248" t="str">
            <v>Oi Total Fixo + Pós Conectado 500 + Banda Larga0.6852Template de desconto percentual FLAT Móvel - Conta Total - Varejo - Ganho Tributário Cross</v>
          </cell>
          <cell r="B1248" t="str">
            <v>Plano Oi Completo 500</v>
          </cell>
          <cell r="C1248" t="str">
            <v>Template de desconto percentual FLAT Móvel - Conta Total - Varejo - Ganho Tributário Cross</v>
          </cell>
          <cell r="D1248">
            <v>0.68519999999999992</v>
          </cell>
          <cell r="E1248" t="str">
            <v>MKT-1-10033196451</v>
          </cell>
          <cell r="F1248" t="str">
            <v>0T3T_PAI17_PCS-4P8pi_FLAT_MÓVEL_GT_68.52%</v>
          </cell>
          <cell r="G1248">
            <v>68.52</v>
          </cell>
        </row>
        <row r="1249">
          <cell r="A1249" t="str">
            <v>Oi Total Fixo + Pós Conectado 1.000 + Banda Larga0.7309Template de desconto percentual FLAT Móvel - Conta Total - Varejo - Ganho Tributário Cross</v>
          </cell>
          <cell r="B1249" t="str">
            <v>Plano Oi Completo 1.000</v>
          </cell>
          <cell r="C1249" t="str">
            <v>Template de desconto percentual FLAT Móvel - Conta Total - Varejo - Ganho Tributário Cross</v>
          </cell>
          <cell r="D1249">
            <v>0.73089999999999999</v>
          </cell>
          <cell r="E1249" t="str">
            <v>MKT-1-10033196661</v>
          </cell>
          <cell r="F1249" t="str">
            <v>0T3T_PAI17_PCS-4P10pi_FLAT_MÓVEL_GT_73.09%</v>
          </cell>
          <cell r="G1249">
            <v>73.09</v>
          </cell>
        </row>
        <row r="1250">
          <cell r="A1250" t="str">
            <v>Oi Total Fixo + Pós Conectado 1.000 + Banda Larga0.6727Template de desconto percentual FLAT Móvel - Conta Total - Varejo - Ganho Tributário Cross</v>
          </cell>
          <cell r="B1250" t="str">
            <v>Plano Oi Completo 1.000</v>
          </cell>
          <cell r="C1250" t="str">
            <v>Template de desconto percentual FLAT Móvel - Conta Total - Varejo - Ganho Tributário Cross</v>
          </cell>
          <cell r="D1250">
            <v>0.67269999999999996</v>
          </cell>
          <cell r="E1250" t="str">
            <v>MKT-1-10033196871</v>
          </cell>
          <cell r="F1250" t="str">
            <v>0T3T_PAI17_PCS-4P10pi_FLAT_MÓVEL_GT_67.27%</v>
          </cell>
          <cell r="G1250">
            <v>67.27</v>
          </cell>
        </row>
        <row r="1251">
          <cell r="A1251" t="str">
            <v>Oi Total Fixo + Pós Conectado 1.000 + Banda Larga0.6455Template de desconto percentual FLAT Móvel - Conta Total - Varejo - Ganho Tributário Cross</v>
          </cell>
          <cell r="B1251" t="str">
            <v>Plano Oi Completo 1.000</v>
          </cell>
          <cell r="C1251" t="str">
            <v>Template de desconto percentual FLAT Móvel - Conta Total - Varejo - Ganho Tributário Cross</v>
          </cell>
          <cell r="D1251">
            <v>0.64549999999999996</v>
          </cell>
          <cell r="E1251" t="str">
            <v>MKT-1-10033197081</v>
          </cell>
          <cell r="F1251" t="str">
            <v>0T3T_PAI17_PCS-4P10pi_FLAT_MÓVEL_GT_64.55%</v>
          </cell>
          <cell r="G1251">
            <v>64.55</v>
          </cell>
        </row>
        <row r="1252">
          <cell r="A1252" t="str">
            <v>Oi Total Fixo + Pós Conectado 500 + Banda Larga0.5501Template de desconto percentual FLAT Móvel - Conta Total - Varejo - Ganho Tributário Cross</v>
          </cell>
          <cell r="B1252" t="str">
            <v>Plano Oi Completo 500</v>
          </cell>
          <cell r="C1252" t="str">
            <v>Template de desconto percentual FLAT Móvel - Conta Total - Varejo - Ganho Tributário Cross</v>
          </cell>
          <cell r="D1252">
            <v>0.55010000000000003</v>
          </cell>
          <cell r="E1252" t="str">
            <v>MKT-1-10033203491</v>
          </cell>
          <cell r="F1252" t="str">
            <v>0T3T_PAI17_PCS-4P8pi_FLAT_MÓVEL_GT_55.01%</v>
          </cell>
          <cell r="G1252">
            <v>55.01</v>
          </cell>
        </row>
        <row r="1253">
          <cell r="A1253" t="str">
            <v>Oi Total Fixo + Pós Conectado 500 + Banda Larga0.6509Template de desconto percentual FLAT Móvel - Conta Total - Varejo - Ganho Tributário Cross</v>
          </cell>
          <cell r="B1253" t="str">
            <v>Plano Oi Completo 500</v>
          </cell>
          <cell r="C1253" t="str">
            <v>Template de desconto percentual FLAT Móvel - Conta Total - Varejo - Ganho Tributário Cross</v>
          </cell>
          <cell r="D1253">
            <v>0.65090000000000003</v>
          </cell>
          <cell r="E1253" t="str">
            <v>MKT-1-10033203701</v>
          </cell>
          <cell r="F1253" t="str">
            <v>0T3T_PAI17_PCS-4P8pi_FLAT_MÓVEL_GT_65.09%</v>
          </cell>
          <cell r="G1253">
            <v>65.09</v>
          </cell>
        </row>
        <row r="1254">
          <cell r="A1254" t="str">
            <v>Oi Total Fixo + Pós Conectado 1.000 + Banda Larga0.7562Template de desconto percentual FLAT Móvel - Conta Total - Varejo - Ganho Tributário Cross</v>
          </cell>
          <cell r="B1254" t="str">
            <v>Plano Oi Completo 1.000</v>
          </cell>
          <cell r="C1254" t="str">
            <v>Template de desconto percentual FLAT Móvel - Conta Total - Varejo - Ganho Tributário Cross</v>
          </cell>
          <cell r="D1254">
            <v>0.75620000000000009</v>
          </cell>
          <cell r="E1254" t="str">
            <v>MKT-1-10033203911</v>
          </cell>
          <cell r="F1254" t="str">
            <v>0T3T_PAI17_PCS-4P10pi_FLAT_MÓVEL_GT_75.62%</v>
          </cell>
          <cell r="G1254">
            <v>75.62</v>
          </cell>
        </row>
        <row r="1255">
          <cell r="A1255" t="str">
            <v>Oi Total Fixo + Pós Conectado 1.000 + Banda Larga0.7302Template de desconto percentual FLAT Móvel - Conta Total - Varejo - Ganho Tributário Cross</v>
          </cell>
          <cell r="B1255" t="str">
            <v>Plano Oi Completo 1.000</v>
          </cell>
          <cell r="C1255" t="str">
            <v>Template de desconto percentual FLAT Móvel - Conta Total - Varejo - Ganho Tributário Cross</v>
          </cell>
          <cell r="D1255">
            <v>0.73019999999999996</v>
          </cell>
          <cell r="E1255" t="str">
            <v>MKT-1-10033204121</v>
          </cell>
          <cell r="F1255" t="str">
            <v>0T3T_PAI17_PCS-4P10pi_FLAT_MÓVEL_GT_73.02%</v>
          </cell>
          <cell r="G1255">
            <v>73.02</v>
          </cell>
        </row>
        <row r="1256">
          <cell r="A1256" t="str">
            <v>Oi Total Fixo + Pós Conectado 1.000 + Banda Larga0.7087Template de desconto percentual FLAT Móvel - Conta Total - Varejo - Ganho Tributário Cross</v>
          </cell>
          <cell r="B1256" t="str">
            <v>Plano Oi Completo 1.000</v>
          </cell>
          <cell r="C1256" t="str">
            <v>Template de desconto percentual FLAT Móvel - Conta Total - Varejo - Ganho Tributário Cross</v>
          </cell>
          <cell r="D1256">
            <v>0.7087</v>
          </cell>
          <cell r="E1256" t="str">
            <v>MKT-1-10033218331</v>
          </cell>
          <cell r="F1256" t="str">
            <v>0T3T_PAI17_PCS-4P10pi_FLAT_MÓVEL_GT_70.87%</v>
          </cell>
          <cell r="G1256">
            <v>70.87</v>
          </cell>
        </row>
        <row r="1257">
          <cell r="A1257" t="str">
            <v>Oi Total Fixo + Pós Conectado 1.000 + Banda Larga0.7404Template de desconto percentual FLAT Móvel - Conta Total - Varejo - Ganho Tributário Cross</v>
          </cell>
          <cell r="B1257" t="str">
            <v>Plano Oi Completo 1.000</v>
          </cell>
          <cell r="C1257" t="str">
            <v>Template de desconto percentual FLAT Móvel - Conta Total - Varejo - Ganho Tributário Cross</v>
          </cell>
          <cell r="D1257">
            <v>0.74040000000000006</v>
          </cell>
          <cell r="E1257" t="str">
            <v>MKT-1-10033494431</v>
          </cell>
          <cell r="F1257" t="str">
            <v>0T3T_PAI17_PCS-4P10pi_FLAT_MÓVEL_GT_74.04%</v>
          </cell>
          <cell r="G1257">
            <v>74.040000000000006</v>
          </cell>
        </row>
        <row r="1258">
          <cell r="A1258" t="str">
            <v>Oi Total Fixo + Pós Conectado 1.000 + Banda Larga0.7396Template de desconto percentual FLAT Móvel - Conta Total - Varejo - Ganho Tributário Cross</v>
          </cell>
          <cell r="B1258" t="str">
            <v>Plano Oi Completo 1.000</v>
          </cell>
          <cell r="C1258" t="str">
            <v>Template de desconto percentual FLAT Móvel - Conta Total - Varejo - Ganho Tributário Cross</v>
          </cell>
          <cell r="D1258">
            <v>0.73959999999999992</v>
          </cell>
          <cell r="E1258" t="str">
            <v>MKT-1-10033504761</v>
          </cell>
          <cell r="F1258" t="str">
            <v>0T3T_PAI17_PCS-4P10pi_FLAT_MÓVEL_GT_73.96%</v>
          </cell>
          <cell r="G1258">
            <v>73.959999999999994</v>
          </cell>
        </row>
        <row r="1259">
          <cell r="A1259" t="str">
            <v>Oi Total Fixo + Pós 50 + Banda Larga0.1166Template de desconto percentual FLAT Móvel - Conta Total - Varejo - Ganho Tributário Cross</v>
          </cell>
          <cell r="B1259" t="str">
            <v>Plano Oi Completo XSmall</v>
          </cell>
          <cell r="C1259" t="str">
            <v>Template de desconto percentual FLAT Móvel - Conta Total - Varejo - Ganho Tributário Cross</v>
          </cell>
          <cell r="D1259">
            <v>0.1166</v>
          </cell>
          <cell r="E1259" t="str">
            <v>MKT-1-10044408309</v>
          </cell>
          <cell r="F1259" t="str">
            <v>0T3T_PAI17_PCS-4P2pi_FLAT_MÓVEL_GT_11.66%.</v>
          </cell>
          <cell r="G1259">
            <v>11.66</v>
          </cell>
        </row>
        <row r="1260">
          <cell r="A1260" t="str">
            <v>Oi Total Fixo + Pós 500 + Banda Larga0.6737Template de desconto percentual FLAT Móvel - Conta Total - Varejo - Ganho Tributário Cross</v>
          </cell>
          <cell r="B1260" t="str">
            <v>Plano Oi Completo Large</v>
          </cell>
          <cell r="C1260" t="str">
            <v>Template de desconto percentual FLAT Móvel - Conta Total - Varejo - Ganho Tributário Cross</v>
          </cell>
          <cell r="D1260">
            <v>0.67370000000000008</v>
          </cell>
          <cell r="E1260" t="str">
            <v>MKT-1-10044457701</v>
          </cell>
          <cell r="F1260" t="str">
            <v>0T3T_PAI17_PCS-4P5pi_FLAT_MÓVEL_GT_67.37%..</v>
          </cell>
          <cell r="G1260">
            <v>67.37</v>
          </cell>
        </row>
        <row r="1261">
          <cell r="A1261" t="str">
            <v>Oi Internet pra Celular 1GB0.6209Template Flat Instância Dados</v>
          </cell>
          <cell r="B1261" t="str">
            <v>Oi Internet pra Celular 1GB</v>
          </cell>
          <cell r="C1261" t="str">
            <v>Template Flat Instância Dados</v>
          </cell>
          <cell r="D1261">
            <v>0.62090000000000001</v>
          </cell>
          <cell r="E1261" t="str">
            <v>MKT-1-10037996881</v>
          </cell>
          <cell r="F1261" t="str">
            <v>0T3T_PAI17_INTCEL-1G_62.09%</v>
          </cell>
          <cell r="G1261">
            <v>62.09</v>
          </cell>
        </row>
        <row r="1262">
          <cell r="A1262" t="str">
            <v>Oi Internet pra Celular 2GB0.0804Template Flat Instância Dados</v>
          </cell>
          <cell r="B1262" t="str">
            <v>Oi Internet pra Celular 2GB</v>
          </cell>
          <cell r="C1262" t="str">
            <v>Template Flat Instância Dados</v>
          </cell>
          <cell r="D1262">
            <v>8.0399999999999985E-2</v>
          </cell>
          <cell r="E1262" t="str">
            <v>MKT-1-10038291211</v>
          </cell>
          <cell r="F1262" t="str">
            <v>0T3T_PAI17_INTCEL-2G_08.04%</v>
          </cell>
          <cell r="G1262">
            <v>8.0399999999999991</v>
          </cell>
        </row>
        <row r="1263">
          <cell r="A1263" t="str">
            <v>Oi Internet pra Celular 5GB0.649Template Flat Instância Dados</v>
          </cell>
          <cell r="B1263" t="str">
            <v>Oi Internet pra Celular 5GB</v>
          </cell>
          <cell r="C1263" t="str">
            <v>Template Flat Instância Dados</v>
          </cell>
          <cell r="D1263">
            <v>0.64900000000000002</v>
          </cell>
          <cell r="E1263" t="str">
            <v>MKT-1-10038357701</v>
          </cell>
          <cell r="F1263" t="str">
            <v>0T3T_PAI17_INTCEL-5G_64.90%</v>
          </cell>
          <cell r="G1263">
            <v>64.900000000000006</v>
          </cell>
        </row>
        <row r="1264">
          <cell r="A1264" t="str">
            <v>Oi Internet pra Celular 10GB0.4147Template Flat Instância Dados</v>
          </cell>
          <cell r="B1264" t="str">
            <v>Oi Internet pra Celular 10GB</v>
          </cell>
          <cell r="C1264" t="str">
            <v>Template Flat Instância Dados</v>
          </cell>
          <cell r="D1264">
            <v>0.41470000000000001</v>
          </cell>
          <cell r="E1264" t="str">
            <v>MKT-1-10038358081</v>
          </cell>
          <cell r="F1264" t="str">
            <v>0T3T_PAI17_INTCEL-10G_41.47%</v>
          </cell>
          <cell r="G1264">
            <v>41.47</v>
          </cell>
        </row>
        <row r="1265">
          <cell r="A1265" t="str">
            <v>Oi Total Fixo + Pós 100 + Banda Larga0.4309Template de desconto percentual FLAT Móvel - Conta Total - Varejo - Ganho Tributário Cross</v>
          </cell>
          <cell r="B1265" t="str">
            <v>Plano Oi Completo Small</v>
          </cell>
          <cell r="C1265" t="str">
            <v>Template de desconto percentual FLAT Móvel - Conta Total - Varejo - Ganho Tributário Cross</v>
          </cell>
          <cell r="D1265">
            <v>0.43090000000000006</v>
          </cell>
          <cell r="E1265" t="str">
            <v>MKT-1-10029850761</v>
          </cell>
          <cell r="F1265" t="str">
            <v>0T3T_PAI17_PCS-4P3pi_FLAT_MÓVEL_GT_43.09%</v>
          </cell>
          <cell r="G1265">
            <v>43.09</v>
          </cell>
        </row>
        <row r="1266">
          <cell r="A1266" t="str">
            <v>Oi Total Fixo + Pós Conectado 1.000 + Banda Larga0.7716Template de desconto percentual FLAT Móvel - Conta Total - Varejo - Ganho Tributário Cross</v>
          </cell>
          <cell r="B1266" t="str">
            <v>Plano Oi Completo 1.000</v>
          </cell>
          <cell r="C1266" t="str">
            <v>Template de desconto percentual FLAT Móvel - Conta Total - Varejo - Ganho Tributário Cross</v>
          </cell>
          <cell r="D1266">
            <v>0.77159999999999995</v>
          </cell>
          <cell r="E1266" t="str">
            <v>MKT-1-10031990161</v>
          </cell>
          <cell r="F1266" t="str">
            <v>0T3T_PAI17_PCS-4P10pi_FLAT_MÓVEL_GT_77.16%</v>
          </cell>
          <cell r="G1266">
            <v>77.16</v>
          </cell>
        </row>
        <row r="1267">
          <cell r="A1267" t="str">
            <v>Oi Total Fixo + Pós Conectado 1.000 + Banda Larga0.6355Template de desconto percentual FLAT Móvel - Conta Total - Varejo - Ganho Tributário Cross</v>
          </cell>
          <cell r="B1267" t="str">
            <v>Plano Oi Completo 1.000</v>
          </cell>
          <cell r="C1267" t="str">
            <v>Template de desconto percentual FLAT Móvel - Conta Total - Varejo - Ganho Tributário Cross</v>
          </cell>
          <cell r="D1267">
            <v>0.63549999999999995</v>
          </cell>
          <cell r="E1267" t="str">
            <v>MKT-1-10032051381</v>
          </cell>
          <cell r="F1267" t="str">
            <v>0T3T_PAI17_PCS-4P10pi_FLAT_MÓVEL_GT_63.55%</v>
          </cell>
          <cell r="G1267">
            <v>63.55</v>
          </cell>
        </row>
        <row r="1268">
          <cell r="A1268" t="str">
            <v>Oi Total Fixo + Pós 50 + Banda Larga0.3246Template de desconto percentual FLAT Móvel - Conta Total - Varejo - Ganho Tributário Cross</v>
          </cell>
          <cell r="B1268" t="str">
            <v>Plano Oi Completo XSmall</v>
          </cell>
          <cell r="C1268" t="str">
            <v>Template de desconto percentual FLAT Móvel - Conta Total - Varejo - Ganho Tributário Cross</v>
          </cell>
          <cell r="D1268">
            <v>0.3246</v>
          </cell>
          <cell r="E1268" t="str">
            <v>MKT-1-10032051591</v>
          </cell>
          <cell r="F1268" t="str">
            <v>0T3T_PAI17_PCS-4P2pi_FLAT_MÓVEL_GT_32.46%</v>
          </cell>
          <cell r="G1268">
            <v>32.46</v>
          </cell>
        </row>
        <row r="1269">
          <cell r="A1269" t="str">
            <v>Oi Total Fixo + Pós 50 + Banda Larga0.1374Template de desconto percentual FLAT Móvel - Conta Total - Varejo - Ganho Tributário Cross</v>
          </cell>
          <cell r="B1269" t="str">
            <v>Plano Oi Completo XSmall</v>
          </cell>
          <cell r="C1269" t="str">
            <v>Template de desconto percentual FLAT Móvel - Conta Total - Varejo - Ganho Tributário Cross</v>
          </cell>
          <cell r="D1269">
            <v>0.13739999999999999</v>
          </cell>
          <cell r="E1269" t="str">
            <v>MKT-1-10032051801</v>
          </cell>
          <cell r="F1269" t="str">
            <v>0T3T_PAI17_PCS-4P2pi_FLAT_MÓVEL_GT_13.74%</v>
          </cell>
          <cell r="G1269">
            <v>13.74</v>
          </cell>
        </row>
        <row r="1270">
          <cell r="A1270" t="str">
            <v>Oi Total Fixo + Pós 50 + Banda Larga0.2238Template de desconto percentual FLAT Móvel - Conta Total - Varejo - Ganho Tributário Cross</v>
          </cell>
          <cell r="B1270" t="str">
            <v>Plano Oi Completo XSmall</v>
          </cell>
          <cell r="C1270" t="str">
            <v>Template de desconto percentual FLAT Móvel - Conta Total - Varejo - Ganho Tributário Cross</v>
          </cell>
          <cell r="D1270">
            <v>0.2238</v>
          </cell>
          <cell r="E1270" t="str">
            <v>MKT-1-10032052011</v>
          </cell>
          <cell r="F1270" t="str">
            <v>0T3T_PAI17_PCS-4P2pi_FLAT_MÓVEL_GT_22.38%</v>
          </cell>
          <cell r="G1270">
            <v>22.38</v>
          </cell>
        </row>
        <row r="1271">
          <cell r="A1271" t="str">
            <v>Oi Total Fixo + Pós Conectado 1.000 + Banda Larga0.7132Template de desconto percentual FLAT Móvel - Conta Total - Varejo - Ganho Tributário Cross</v>
          </cell>
          <cell r="B1271" t="str">
            <v>Plano Oi Completo 1.000</v>
          </cell>
          <cell r="C1271" t="str">
            <v>Template de desconto percentual FLAT Móvel - Conta Total - Varejo - Ganho Tributário Cross</v>
          </cell>
          <cell r="D1271">
            <v>0.71319999999999995</v>
          </cell>
          <cell r="E1271" t="str">
            <v>MKT-1-10032055351</v>
          </cell>
          <cell r="F1271" t="str">
            <v>0T3T_PAI17_PCS-4P10pi_FLAT_MÓVEL_GT_71.32%</v>
          </cell>
          <cell r="G1271">
            <v>71.319999999999993</v>
          </cell>
        </row>
        <row r="1272">
          <cell r="A1272" t="str">
            <v>Oi Total Fixo + Pós Conectado 1.000 + Banda Larga0.6689Template de desconto percentual FLAT Móvel - Conta Total - Varejo - Ganho Tributário Cross</v>
          </cell>
          <cell r="B1272" t="str">
            <v>Plano Oi Completo 1.000</v>
          </cell>
          <cell r="C1272" t="str">
            <v>Template de desconto percentual FLAT Móvel - Conta Total - Varejo - Ganho Tributário Cross</v>
          </cell>
          <cell r="D1272">
            <v>0.66890000000000005</v>
          </cell>
          <cell r="E1272" t="str">
            <v>MKT-1-10032055561</v>
          </cell>
          <cell r="F1272" t="str">
            <v>0T3T_PAI17_PCS-4P10pi_FLAT_MÓVEL_GT_66.89%</v>
          </cell>
          <cell r="G1272">
            <v>66.89</v>
          </cell>
        </row>
        <row r="1273">
          <cell r="A1273" t="str">
            <v>Oi Total Fixo + Pós 50 + Banda Larga0.2221Template de desconto percentual FLAT Móvel - Conta Total - Varejo - Ganho Tributário Cross</v>
          </cell>
          <cell r="B1273" t="str">
            <v>Plano Oi Completo XSmall</v>
          </cell>
          <cell r="C1273" t="str">
            <v>Template de desconto percentual FLAT Móvel - Conta Total - Varejo - Ganho Tributário Cross</v>
          </cell>
          <cell r="D1273">
            <v>0.22210000000000002</v>
          </cell>
          <cell r="E1273" t="str">
            <v>MKT-1-10032055771</v>
          </cell>
          <cell r="F1273" t="str">
            <v>0T3T_PAI17_PCS-4P2pi_FLAT_MÓVEL_GT_22.21%</v>
          </cell>
          <cell r="G1273">
            <v>22.21</v>
          </cell>
        </row>
        <row r="1274">
          <cell r="A1274" t="str">
            <v>Oi Total Fixo + Pós 50 + Banda Larga0.0534Template de desconto percentual FLAT Móvel - Conta Total - Varejo - Ganho Tributário Cross</v>
          </cell>
          <cell r="B1274" t="str">
            <v>Plano Oi Completo XSmall</v>
          </cell>
          <cell r="C1274" t="str">
            <v>Template de desconto percentual FLAT Móvel - Conta Total - Varejo - Ganho Tributário Cross</v>
          </cell>
          <cell r="D1274">
            <v>5.3399999999999996E-2</v>
          </cell>
          <cell r="E1274" t="str">
            <v>MKT-1-10032055981</v>
          </cell>
          <cell r="F1274" t="str">
            <v>0T3T_PAI17_PCS-4P2pi_FLAT_MÓVEL_GT_05.34%</v>
          </cell>
          <cell r="G1274">
            <v>5.34</v>
          </cell>
        </row>
        <row r="1275">
          <cell r="A1275" t="str">
            <v>Oi Total Fixo + Pós 100 + Banda Larga0.4291Template de desconto percentual FLAT Móvel - Conta Total - Varejo - Ganho Tributário Cross</v>
          </cell>
          <cell r="B1275" t="str">
            <v>Plano Oi Completo Small</v>
          </cell>
          <cell r="C1275" t="str">
            <v>Template de desconto percentual FLAT Móvel - Conta Total - Varejo - Ganho Tributário Cross</v>
          </cell>
          <cell r="D1275">
            <v>0.42909999999999998</v>
          </cell>
          <cell r="E1275" t="str">
            <v>MKT-1-10032056211</v>
          </cell>
          <cell r="F1275" t="str">
            <v>0T3T_PAI17_PCS-4P3pi_FLAT_MÓVEL_GT_42.91%</v>
          </cell>
          <cell r="G1275">
            <v>42.91</v>
          </cell>
        </row>
        <row r="1276">
          <cell r="A1276" t="str">
            <v>Oi Total Fixo + Pós 100 + Banda Larga0.4992Template de desconto percentual FLAT Móvel - Conta Total - Varejo - Ganho Tributário Cross</v>
          </cell>
          <cell r="B1276" t="str">
            <v>Plano Oi Completo Small</v>
          </cell>
          <cell r="C1276" t="str">
            <v>Template de desconto percentual FLAT Móvel - Conta Total - Varejo - Ganho Tributário Cross</v>
          </cell>
          <cell r="D1276">
            <v>0.49920000000000003</v>
          </cell>
          <cell r="E1276" t="str">
            <v>MKT-1-10032119641</v>
          </cell>
          <cell r="F1276" t="str">
            <v>0T3T_PAI17_PCS-4P3pi_FLAT_MÓVEL_GT_49.92%</v>
          </cell>
          <cell r="G1276">
            <v>49.92</v>
          </cell>
        </row>
        <row r="1277">
          <cell r="A1277" t="str">
            <v>Oi Total Fixo + Pós 100 + Banda Larga0.3712Template de desconto percentual FLAT Móvel - Conta Total - Varejo - Ganho Tributário Cross</v>
          </cell>
          <cell r="B1277" t="str">
            <v>Plano Oi Completo Small</v>
          </cell>
          <cell r="C1277" t="str">
            <v>Template de desconto percentual FLAT Móvel - Conta Total - Varejo - Ganho Tributário Cross</v>
          </cell>
          <cell r="D1277">
            <v>0.37119999999999997</v>
          </cell>
          <cell r="E1277" t="str">
            <v>MKT-1-10032119851</v>
          </cell>
          <cell r="F1277" t="str">
            <v>0T3T_PAI17_PCS-4P3pi_FLAT_MÓVEL_GT_37.12%</v>
          </cell>
          <cell r="G1277">
            <v>37.119999999999997</v>
          </cell>
        </row>
        <row r="1278">
          <cell r="A1278" t="str">
            <v>Oi Total Fixo + Pós 100 + Banda Larga0.2741Template de desconto percentual FLAT Móvel - Conta Total - Varejo - Ganho Tributário Cross</v>
          </cell>
          <cell r="B1278" t="str">
            <v>Plano Oi Completo Small</v>
          </cell>
          <cell r="C1278" t="str">
            <v>Template de desconto percentual FLAT Móvel - Conta Total - Varejo - Ganho Tributário Cross</v>
          </cell>
          <cell r="D1278">
            <v>0.27410000000000001</v>
          </cell>
          <cell r="E1278" t="str">
            <v>MKT-1-10032120191</v>
          </cell>
          <cell r="F1278" t="str">
            <v>0T3T_PAI17_PCS-4P3pi_FLAT_MÓVEL_GT_27.41%</v>
          </cell>
          <cell r="G1278">
            <v>27.41</v>
          </cell>
        </row>
        <row r="1279">
          <cell r="A1279" t="str">
            <v>Oi Total Fixo + Pós 500 + Banda Larga0.673Template de desconto percentual FLAT Móvel - Conta Total - Varejo - Ganho Tributário Cross</v>
          </cell>
          <cell r="B1279" t="str">
            <v>Plano Oi Completo Large</v>
          </cell>
          <cell r="C1279" t="str">
            <v>Template de desconto percentual FLAT Móvel - Conta Total - Varejo - Ganho Tributário Cross</v>
          </cell>
          <cell r="D1279">
            <v>0.67299999999999993</v>
          </cell>
          <cell r="E1279" t="str">
            <v>MKT-1-10032167441</v>
          </cell>
          <cell r="F1279" t="str">
            <v>0T3T_PAI17_PCS-4P5pi_FLAT_MÓVEL_GT_67.30%</v>
          </cell>
          <cell r="G1279">
            <v>67.3</v>
          </cell>
        </row>
        <row r="1280">
          <cell r="A1280" t="str">
            <v>Oi Total Fixo + Pós 800 + Banda Larga0.7224Template de desconto percentual FLAT Móvel - Conta Total - Varejo - Ganho Tributário Cross</v>
          </cell>
          <cell r="B1280" t="str">
            <v>Plano Oi Completo XLarge</v>
          </cell>
          <cell r="C1280" t="str">
            <v>Template de desconto percentual FLAT Móvel - Conta Total - Varejo - Ganho Tributário Cross</v>
          </cell>
          <cell r="D1280">
            <v>0.72239999999999993</v>
          </cell>
          <cell r="E1280" t="str">
            <v>MKT-1-10032167651</v>
          </cell>
          <cell r="F1280" t="str">
            <v>0T3T_PAI17_PCS-4P6pi_FLAT_MÓVEL_GT_72.24%</v>
          </cell>
          <cell r="G1280">
            <v>72.239999999999995</v>
          </cell>
        </row>
        <row r="1281">
          <cell r="A1281" t="str">
            <v>Oi Total Fixo + Pós 800 + Banda Larga0.681Template de desconto percentual FLAT Móvel - Conta Total - Varejo - Ganho Tributário Cross</v>
          </cell>
          <cell r="B1281" t="str">
            <v>Plano Oi Completo XLarge</v>
          </cell>
          <cell r="C1281" t="str">
            <v>Template de desconto percentual FLAT Móvel - Conta Total - Varejo - Ganho Tributário Cross</v>
          </cell>
          <cell r="D1281">
            <v>0.68099999999999994</v>
          </cell>
          <cell r="E1281" t="str">
            <v>MKT-1-10032167861</v>
          </cell>
          <cell r="F1281" t="str">
            <v>0T3T_PAI17_PCS-4P6pi_FLAT_MÓVEL_GT_68.10%</v>
          </cell>
          <cell r="G1281">
            <v>68.099999999999994</v>
          </cell>
        </row>
        <row r="1282">
          <cell r="A1282" t="str">
            <v>Oi Total Fixo + Pós 800 + Banda Larga0.6614Template de desconto percentual FLAT Móvel - Conta Total - Varejo - Ganho Tributário Cross</v>
          </cell>
          <cell r="B1282" t="str">
            <v>Plano Oi Completo XLarge</v>
          </cell>
          <cell r="C1282" t="str">
            <v>Template de desconto percentual FLAT Móvel - Conta Total - Varejo - Ganho Tributário Cross</v>
          </cell>
          <cell r="D1282">
            <v>0.66139999999999999</v>
          </cell>
          <cell r="E1282" t="str">
            <v>MKT-1-10032168071</v>
          </cell>
          <cell r="F1282" t="str">
            <v>0T3T_PAI17_PCS-4P6pi_FLAT_MÓVEL_GT_66.14%</v>
          </cell>
          <cell r="G1282">
            <v>66.14</v>
          </cell>
        </row>
        <row r="1283">
          <cell r="A1283" t="str">
            <v>Oi Total Fixo + Pós Conectado 500 + Banda Larga0.5935Template de desconto percentual FLAT Móvel - Conta Total - Varejo - Ganho Tributário Cross</v>
          </cell>
          <cell r="B1283" t="str">
            <v>Plano Oi Completo 500</v>
          </cell>
          <cell r="C1283" t="str">
            <v>Template de desconto percentual FLAT Móvel - Conta Total - Varejo - Ganho Tributário Cross</v>
          </cell>
          <cell r="D1283">
            <v>0.59350000000000003</v>
          </cell>
          <cell r="E1283" t="str">
            <v>MKT-1-10032168281</v>
          </cell>
          <cell r="F1283" t="str">
            <v>0T3T_PAI17_PCS-4P8pi_FLAT_MÓVEL_GT_59.35%</v>
          </cell>
          <cell r="G1283">
            <v>59.35</v>
          </cell>
        </row>
        <row r="1284">
          <cell r="A1284" t="str">
            <v>Oi Total Fixo + Pós 100 + Banda Larga0.2008Template de desconto percentual FLAT Móvel - Conta Total - Varejo - Ganho Tributário Cross</v>
          </cell>
          <cell r="B1284" t="str">
            <v>Plano Oi Completo Small</v>
          </cell>
          <cell r="C1284" t="str">
            <v>Template de desconto percentual FLAT Móvel - Conta Total - Varejo - Ganho Tributário Cross</v>
          </cell>
          <cell r="D1284">
            <v>0.20079999999999998</v>
          </cell>
          <cell r="E1284" t="str">
            <v>MKT-1-10032248471</v>
          </cell>
          <cell r="F1284" t="str">
            <v>0T3T_PAI17_PCS-4P3pi_FLAT_MÓVEL_GT_20.08%</v>
          </cell>
          <cell r="G1284">
            <v>20.079999999999998</v>
          </cell>
        </row>
        <row r="1285">
          <cell r="A1285" t="str">
            <v>Oi Total Fixo + Pós 250 + Banda Larga0.5883Template de desconto percentual FLAT Móvel - Conta Total - Varejo - Ganho Tributário Cross</v>
          </cell>
          <cell r="B1285" t="str">
            <v>Plano Oi Completo Medium</v>
          </cell>
          <cell r="C1285" t="str">
            <v>Template de desconto percentual FLAT Móvel - Conta Total - Varejo - Ganho Tributário Cross</v>
          </cell>
          <cell r="D1285">
            <v>0.58829999999999993</v>
          </cell>
          <cell r="E1285" t="str">
            <v>MKT-1-10032248681</v>
          </cell>
          <cell r="F1285" t="str">
            <v>0T3T_PAI17_PCS-4P4pi_FLAT_MÓVEL_GT_58.83%</v>
          </cell>
          <cell r="G1285">
            <v>58.83</v>
          </cell>
        </row>
        <row r="1286">
          <cell r="A1286" t="str">
            <v>Oi Total Fixo + Pós 250 + Banda Larga0.6292Template de desconto percentual FLAT Móvel - Conta Total - Varejo - Ganho Tributário Cross</v>
          </cell>
          <cell r="B1286" t="str">
            <v>Plano Oi Completo Medium</v>
          </cell>
          <cell r="C1286" t="str">
            <v>Template de desconto percentual FLAT Móvel - Conta Total - Varejo - Ganho Tributário Cross</v>
          </cell>
          <cell r="D1286">
            <v>0.62919999999999998</v>
          </cell>
          <cell r="E1286" t="str">
            <v>MKT-1-10032248891</v>
          </cell>
          <cell r="F1286" t="str">
            <v>0T3T_PAI17_PCS-4P4pi_FLAT_MÓVEL_GT_62.92%</v>
          </cell>
          <cell r="G1286">
            <v>62.92</v>
          </cell>
        </row>
        <row r="1287">
          <cell r="A1287" t="str">
            <v>Oi Total Fixo + Pós 250 + Banda Larga0.5524Template de desconto percentual FLAT Móvel - Conta Total - Varejo - Ganho Tributário Cross</v>
          </cell>
          <cell r="B1287" t="str">
            <v>Plano Oi Completo Medium</v>
          </cell>
          <cell r="C1287" t="str">
            <v>Template de desconto percentual FLAT Móvel - Conta Total - Varejo - Ganho Tributário Cross</v>
          </cell>
          <cell r="D1287">
            <v>0.5524</v>
          </cell>
          <cell r="E1287" t="str">
            <v>MKT-1-10032249101</v>
          </cell>
          <cell r="F1287" t="str">
            <v>0T3T_PAI17_PCS-4P4pi_FLAT_MÓVEL_GT_55.24%</v>
          </cell>
          <cell r="G1287">
            <v>55.24</v>
          </cell>
        </row>
        <row r="1288">
          <cell r="A1288" t="str">
            <v>Oi Total Fixo + Pós 250 + Banda Larga0.5872Template de desconto percentual FLAT Móvel - Conta Total - Varejo - Ganho Tributário Cross</v>
          </cell>
          <cell r="B1288" t="str">
            <v>Plano Oi Completo Medium</v>
          </cell>
          <cell r="C1288" t="str">
            <v>Template de desconto percentual FLAT Móvel - Conta Total - Varejo - Ganho Tributário Cross</v>
          </cell>
          <cell r="D1288">
            <v>0.58719999999999994</v>
          </cell>
          <cell r="E1288" t="str">
            <v>MKT-1-10033063401</v>
          </cell>
          <cell r="F1288" t="str">
            <v>0T3T_PAI17_PCS-4P4pi_FLAT_MÓVEL_GT_58.72%</v>
          </cell>
          <cell r="G1288">
            <v>58.72</v>
          </cell>
        </row>
        <row r="1289">
          <cell r="A1289" t="str">
            <v>Oi Total Fixo + Pós 250 + Banda Larga0.4942Template de desconto percentual FLAT Móvel - Conta Total - Varejo - Ganho Tributário Cross</v>
          </cell>
          <cell r="B1289" t="str">
            <v>Plano Oi Completo Medium</v>
          </cell>
          <cell r="C1289" t="str">
            <v>Template de desconto percentual FLAT Móvel - Conta Total - Varejo - Ganho Tributário Cross</v>
          </cell>
          <cell r="D1289">
            <v>0.49420000000000003</v>
          </cell>
          <cell r="E1289" t="str">
            <v>MKT-1-10033078311</v>
          </cell>
          <cell r="F1289" t="str">
            <v>0T3T_PAI17_PCS-4P4pi_FLAT_MÓVEL_GT_49.42%</v>
          </cell>
          <cell r="G1289">
            <v>49.42</v>
          </cell>
        </row>
        <row r="1290">
          <cell r="A1290" t="str">
            <v>Oi Total Fixo + Pós 250 + Banda Larga0.4502Template de desconto percentual FLAT Móvel - Conta Total - Varejo - Ganho Tributário Cross</v>
          </cell>
          <cell r="B1290" t="str">
            <v>Plano Oi Completo Medium</v>
          </cell>
          <cell r="C1290" t="str">
            <v>Template de desconto percentual FLAT Móvel - Conta Total - Varejo - Ganho Tributário Cross</v>
          </cell>
          <cell r="D1290">
            <v>0.45020000000000004</v>
          </cell>
          <cell r="E1290" t="str">
            <v>MKT-1-10033078521</v>
          </cell>
          <cell r="F1290" t="str">
            <v>0T3T_PAI17_PCS-4P4pi_FLAT_MÓVEL_GT_45.02%</v>
          </cell>
          <cell r="G1290">
            <v>45.02</v>
          </cell>
        </row>
        <row r="1291">
          <cell r="A1291" t="str">
            <v>Oi Total Fixo + Pós 500 + Banda Larga0.7001Template de desconto percentual FLAT Móvel - Conta Total - Varejo - Ganho Tributário Cross</v>
          </cell>
          <cell r="B1291" t="str">
            <v>Plano Oi Completo Large</v>
          </cell>
          <cell r="C1291" t="str">
            <v>Template de desconto percentual FLAT Móvel - Conta Total - Varejo - Ganho Tributário Cross</v>
          </cell>
          <cell r="D1291">
            <v>0.70010000000000006</v>
          </cell>
          <cell r="E1291" t="str">
            <v>MKT-1-10033113780</v>
          </cell>
          <cell r="F1291" t="str">
            <v>0T3T_PAI17_PCS-4P5pi_FLAT_MÓVEL_GT_70.01%</v>
          </cell>
          <cell r="G1291">
            <v>70.010000000000005</v>
          </cell>
        </row>
        <row r="1292">
          <cell r="A1292" t="str">
            <v>Oi Total Fixo + Pós 500 + Banda Larga0.6505Template de desconto percentual FLAT Móvel - Conta Total - Varejo - Ganho Tributário Cross</v>
          </cell>
          <cell r="B1292" t="str">
            <v>Plano Oi Completo Large</v>
          </cell>
          <cell r="C1292" t="str">
            <v>Template de desconto percentual FLAT Móvel - Conta Total - Varejo - Ganho Tributário Cross</v>
          </cell>
          <cell r="D1292">
            <v>0.65049999999999997</v>
          </cell>
          <cell r="E1292" t="str">
            <v>MKT-1-10033113981</v>
          </cell>
          <cell r="F1292" t="str">
            <v>0T3T_PAI17_PCS-4P5pi_FLAT_MÓVEL_GT_65.05%</v>
          </cell>
          <cell r="G1292">
            <v>65.05</v>
          </cell>
        </row>
        <row r="1293">
          <cell r="A1293" t="str">
            <v>Oi Total Fixo + Pós 500 + Banda Larga0.6129Template de desconto percentual FLAT Móvel - Conta Total - Varejo - Ganho Tributário Cross</v>
          </cell>
          <cell r="B1293" t="str">
            <v>Plano Oi Completo Large</v>
          </cell>
          <cell r="C1293" t="str">
            <v>Template de desconto percentual FLAT Móvel - Conta Total - Varejo - Ganho Tributário Cross</v>
          </cell>
          <cell r="D1293">
            <v>0.6129</v>
          </cell>
          <cell r="E1293" t="str">
            <v>MKT-1-10033114191</v>
          </cell>
          <cell r="F1293" t="str">
            <v>0T3T_PAI17_PCS-4P5pi_FLAT_MÓVEL_GT_61.29%</v>
          </cell>
          <cell r="G1293">
            <v>61.29</v>
          </cell>
        </row>
        <row r="1294">
          <cell r="A1294" t="str">
            <v>Oi Total Fixo + Pós 800 + Banda Larga0.7229Template de desconto percentual FLAT Móvel - Conta Total - Varejo - Ganho Tributário Cross</v>
          </cell>
          <cell r="B1294" t="str">
            <v>Plano Oi Completo XLarge</v>
          </cell>
          <cell r="C1294" t="str">
            <v>Template de desconto percentual FLAT Móvel - Conta Total - Varejo - Ganho Tributário Cross</v>
          </cell>
          <cell r="D1294">
            <v>0.7229000000000001</v>
          </cell>
          <cell r="E1294" t="str">
            <v>MKT-1-10033167881</v>
          </cell>
          <cell r="F1294" t="str">
            <v>0T3T_PAI17_PCS-4P6pi_FLAT_MÓVEL_GT_72.29%</v>
          </cell>
          <cell r="G1294">
            <v>72.290000000000006</v>
          </cell>
        </row>
        <row r="1295">
          <cell r="A1295" t="str">
            <v>Oi Total Fixo + Pós 500 + Banda Larga0.5845Template de desconto percentual FLAT Móvel - Conta Total - Varejo - Ganho Tributário Cross</v>
          </cell>
          <cell r="B1295" t="str">
            <v>Plano Oi Completo Large</v>
          </cell>
          <cell r="C1295" t="str">
            <v>Template de desconto percentual FLAT Móvel - Conta Total - Varejo - Ganho Tributário Cross</v>
          </cell>
          <cell r="D1295">
            <v>0.58450000000000002</v>
          </cell>
          <cell r="E1295" t="str">
            <v>MKT-1-10033171401</v>
          </cell>
          <cell r="F1295" t="str">
            <v>0T3T_PAI17_PCS-4P5pi_FLAT_MÓVEL_GT_58.45%</v>
          </cell>
          <cell r="G1295">
            <v>58.45</v>
          </cell>
        </row>
        <row r="1296">
          <cell r="A1296" t="str">
            <v>Oi Total Fixo + Pós 800 + Banda Larga0.7411Template de desconto percentual FLAT Móvel - Conta Total - Varejo - Ganho Tributário Cross</v>
          </cell>
          <cell r="B1296" t="str">
            <v>Plano Oi Completo XLarge</v>
          </cell>
          <cell r="C1296" t="str">
            <v>Template de desconto percentual FLAT Móvel - Conta Total - Varejo - Ganho Tributário Cross</v>
          </cell>
          <cell r="D1296">
            <v>0.74109999999999998</v>
          </cell>
          <cell r="E1296" t="str">
            <v>MKT-1-10033171611</v>
          </cell>
          <cell r="F1296" t="str">
            <v>0T3T_PAI17_PCS-4P6pi_FLAT_MÓVEL_GT_74.11%</v>
          </cell>
          <cell r="G1296">
            <v>74.11</v>
          </cell>
        </row>
        <row r="1297">
          <cell r="A1297" t="str">
            <v>Oi Total Fixo + Pós 800 + Banda Larga0.7069Template de desconto percentual FLAT Móvel - Conta Total - Varejo - Ganho Tributário Cross</v>
          </cell>
          <cell r="B1297" t="str">
            <v>Plano Oi Completo XLarge</v>
          </cell>
          <cell r="C1297" t="str">
            <v>Template de desconto percentual FLAT Móvel - Conta Total - Varejo - Ganho Tributário Cross</v>
          </cell>
          <cell r="D1297">
            <v>0.70689999999999997</v>
          </cell>
          <cell r="E1297" t="str">
            <v>MKT-1-10033171821</v>
          </cell>
          <cell r="F1297" t="str">
            <v>0T3T_PAI17_PCS-4P6pi_FLAT_MÓVEL_GT_70.69%</v>
          </cell>
          <cell r="G1297">
            <v>70.69</v>
          </cell>
        </row>
        <row r="1298">
          <cell r="A1298" t="str">
            <v>Oi Total Fixo + Pós Conectado 500 + Banda Larga0.6863Template de desconto percentual FLAT Móvel - Conta Total - Varejo - Ganho Tributário Cross</v>
          </cell>
          <cell r="B1298" t="str">
            <v>Plano Oi Completo 500</v>
          </cell>
          <cell r="C1298" t="str">
            <v>Template de desconto percentual FLAT Móvel - Conta Total - Varejo - Ganho Tributário Cross</v>
          </cell>
          <cell r="D1298">
            <v>0.68629999999999991</v>
          </cell>
          <cell r="E1298" t="str">
            <v>MKT-1-10033172031</v>
          </cell>
          <cell r="F1298" t="str">
            <v>0T3T_PAI17_PCS-4P8pi_FLAT_MÓVEL_GT_68.63%</v>
          </cell>
          <cell r="G1298">
            <v>68.63</v>
          </cell>
        </row>
        <row r="1299">
          <cell r="A1299" t="str">
            <v>Oi Total Fixo + Pós Conectado 500 + Banda Larga0.7267Template de desconto percentual FLAT Móvel - Conta Total - Varejo - Ganho Tributário Cross</v>
          </cell>
          <cell r="B1299" t="str">
            <v>Plano Oi Completo 500</v>
          </cell>
          <cell r="C1299" t="str">
            <v>Template de desconto percentual FLAT Móvel - Conta Total - Varejo - Ganho Tributário Cross</v>
          </cell>
          <cell r="D1299">
            <v>0.72670000000000001</v>
          </cell>
          <cell r="E1299" t="str">
            <v>MKT-1-10033172241</v>
          </cell>
          <cell r="F1299" t="str">
            <v>0T3T_PAI17_PCS-4P8pi_FLAT_MÓVEL_GT_72.67%</v>
          </cell>
          <cell r="G1299">
            <v>72.67</v>
          </cell>
        </row>
        <row r="1300">
          <cell r="A1300" t="str">
            <v>Oi Total Fixo + Pós Conectado 500 + Banda Larga0.6852Template de desconto percentual FLAT Móvel - Conta Total - Varejo - Ganho Tributário Cross</v>
          </cell>
          <cell r="B1300" t="str">
            <v>Plano Oi Completo 500</v>
          </cell>
          <cell r="C1300" t="str">
            <v>Template de desconto percentual FLAT Móvel - Conta Total - Varejo - Ganho Tributário Cross</v>
          </cell>
          <cell r="D1300">
            <v>0.68519999999999992</v>
          </cell>
          <cell r="E1300" t="str">
            <v>MKT-1-10033196451</v>
          </cell>
          <cell r="F1300" t="str">
            <v>0T3T_PAI17_PCS-4P8pi_FLAT_MÓVEL_GT_68.52%</v>
          </cell>
          <cell r="G1300">
            <v>68.52</v>
          </cell>
        </row>
        <row r="1301">
          <cell r="A1301" t="str">
            <v>Oi Total Fixo + Pós Conectado 500 + Banda Larga0.5501Template de desconto percentual FLAT Móvel - Conta Total - Varejo - Ganho Tributário Cross</v>
          </cell>
          <cell r="B1301" t="str">
            <v>Plano Oi Completo 500</v>
          </cell>
          <cell r="C1301" t="str">
            <v>Template de desconto percentual FLAT Móvel - Conta Total - Varejo - Ganho Tributário Cross</v>
          </cell>
          <cell r="D1301">
            <v>0.55010000000000003</v>
          </cell>
          <cell r="E1301" t="str">
            <v>MKT-1-10033203491</v>
          </cell>
          <cell r="F1301" t="str">
            <v>0T3T_PAI17_PCS-4P8pi_FLAT_MÓVEL_GT_55.01%</v>
          </cell>
          <cell r="G1301">
            <v>55.01</v>
          </cell>
        </row>
        <row r="1302">
          <cell r="A1302" t="str">
            <v>Oi Total Fixo + Pós Conectado 500 + Banda Larga0.6509Template de desconto percentual FLAT Móvel - Conta Total - Varejo - Ganho Tributário Cross</v>
          </cell>
          <cell r="B1302" t="str">
            <v>Plano Oi Completo 500</v>
          </cell>
          <cell r="C1302" t="str">
            <v>Template de desconto percentual FLAT Móvel - Conta Total - Varejo - Ganho Tributário Cross</v>
          </cell>
          <cell r="D1302">
            <v>0.65090000000000003</v>
          </cell>
          <cell r="E1302" t="str">
            <v>MKT-1-10033203701</v>
          </cell>
          <cell r="F1302" t="str">
            <v>0T3T_PAI17_PCS-4P8pi_FLAT_MÓVEL_GT_65.09%</v>
          </cell>
          <cell r="G1302">
            <v>65.09</v>
          </cell>
        </row>
        <row r="1303">
          <cell r="A1303" t="str">
            <v>Oi Total Fixo + Pós Conectado 500 + Banda Larga0.7729Template de desconto percentual FLAT Móvel - Conta Total - Varejo - Ganho Tributário Cross</v>
          </cell>
          <cell r="B1303" t="str">
            <v>Plano Oi Completo 500</v>
          </cell>
          <cell r="C1303" t="str">
            <v>Template de desconto percentual FLAT Móvel - Conta Total - Varejo - Ganho Tributário Cross</v>
          </cell>
          <cell r="D1303">
            <v>0.77290000000000003</v>
          </cell>
          <cell r="E1303" t="str">
            <v>MKT-1-10033218541</v>
          </cell>
          <cell r="F1303" t="str">
            <v>0T3T_PAI17_PCS-4P8pi_FLAT_MÓVEL_GT_77.29%.</v>
          </cell>
          <cell r="G1303">
            <v>77.290000000000006</v>
          </cell>
        </row>
        <row r="1304">
          <cell r="A1304" t="str">
            <v>Oi Total Fixo + Pós Conectado 500 + Banda Larga0.6232Template de desconto percentual FLAT Móvel - Conta Total - Varejo - Ganho Tributário Cross</v>
          </cell>
          <cell r="B1304" t="str">
            <v>Plano Oi Completo 500</v>
          </cell>
          <cell r="C1304" t="str">
            <v>Template de desconto percentual FLAT Móvel - Conta Total - Varejo - Ganho Tributário Cross</v>
          </cell>
          <cell r="D1304">
            <v>0.62319999999999998</v>
          </cell>
          <cell r="E1304" t="str">
            <v>MKT-1-10033218811</v>
          </cell>
          <cell r="F1304" t="str">
            <v>0T3T_PAI17_PCS-4P8pi_FLAT_MÓVEL_GT_62.32%</v>
          </cell>
          <cell r="G1304">
            <v>62.32</v>
          </cell>
        </row>
        <row r="1305">
          <cell r="A1305" t="str">
            <v>Oi Total Fixo + Pós Conectado 500 + Banda Larga0.5611Template de desconto percentual FLAT Móvel - Conta Total - Varejo - Ganho Tributário Cross</v>
          </cell>
          <cell r="B1305" t="str">
            <v>Plano Oi Completo 500</v>
          </cell>
          <cell r="C1305" t="str">
            <v>Template de desconto percentual FLAT Móvel - Conta Total - Varejo - Ganho Tributário Cross</v>
          </cell>
          <cell r="D1305">
            <v>0.56110000000000004</v>
          </cell>
          <cell r="E1305" t="str">
            <v>MKT-1-10033219021</v>
          </cell>
          <cell r="F1305" t="str">
            <v>0T3T_PAI17_PCS-4P8pi_FLAT_MÓVEL_GT_56.11%</v>
          </cell>
          <cell r="G1305">
            <v>56.11</v>
          </cell>
        </row>
        <row r="1306">
          <cell r="A1306" t="str">
            <v>Oi Total Fixo + Pós Conectado 500 + Banda Larga0.5103Template de desconto percentual FLAT Móvel - Conta Total - Varejo - Ganho Tributário Cross</v>
          </cell>
          <cell r="B1306" t="str">
            <v>Plano Oi Completo 500</v>
          </cell>
          <cell r="C1306" t="str">
            <v>Template de desconto percentual FLAT Móvel - Conta Total - Varejo - Ganho Tributário Cross</v>
          </cell>
          <cell r="D1306">
            <v>0.51029999999999998</v>
          </cell>
          <cell r="E1306" t="str">
            <v>MKT-1-10033219231</v>
          </cell>
          <cell r="F1306" t="str">
            <v>0T3T_PAI17_PCS-4P8pi_FLAT_MÓVEL_GT_51.03%</v>
          </cell>
          <cell r="G1306">
            <v>51.03</v>
          </cell>
        </row>
        <row r="1307">
          <cell r="A1307" t="str">
            <v>Oi Total Fixo + Pós Conectado 500 + Banda Larga0.7314Template de desconto percentual FLAT Móvel - Conta Total - Varejo - Ganho Tributário Cross</v>
          </cell>
          <cell r="B1307" t="str">
            <v>Plano Oi Completo 500</v>
          </cell>
          <cell r="C1307" t="str">
            <v>Template de desconto percentual FLAT Móvel - Conta Total - Varejo - Ganho Tributário Cross</v>
          </cell>
          <cell r="D1307">
            <v>0.73140000000000005</v>
          </cell>
          <cell r="E1307" t="str">
            <v>MKT-1-10033314911</v>
          </cell>
          <cell r="F1307" t="str">
            <v>0T3T_PAI17_PCS-4P8pi_FLAT_MÓVEL_GT_73.14%</v>
          </cell>
          <cell r="G1307">
            <v>73.14</v>
          </cell>
        </row>
        <row r="1308">
          <cell r="A1308" t="str">
            <v>Oi Total Fixo + Pós Conectado 500 + Banda Larga0.6971Template de desconto percentual FLAT Móvel - Conta Total - Varejo - Ganho Tributário Cross</v>
          </cell>
          <cell r="B1308" t="str">
            <v>Plano Oi Completo 500</v>
          </cell>
          <cell r="C1308" t="str">
            <v>Template de desconto percentual FLAT Móvel - Conta Total - Varejo - Ganho Tributário Cross</v>
          </cell>
          <cell r="D1308">
            <v>0.69709999999999994</v>
          </cell>
          <cell r="E1308" t="str">
            <v>MKT-1-10033322031</v>
          </cell>
          <cell r="F1308" t="str">
            <v>0T3T_PAI17_PCS-4P8pi_FLAT_MÓVEL_GT_69.71%</v>
          </cell>
          <cell r="G1308">
            <v>69.709999999999994</v>
          </cell>
        </row>
        <row r="1309">
          <cell r="A1309" t="str">
            <v>Oi Total Fixo + Pós Conectado 500 + Banda Larga0.6573Template de desconto percentual FLAT Móvel - Conta Total - Varejo - Ganho Tributário Cross</v>
          </cell>
          <cell r="B1309" t="str">
            <v>Plano Oi Completo 500</v>
          </cell>
          <cell r="C1309" t="str">
            <v>Template de desconto percentual FLAT Móvel - Conta Total - Varejo - Ganho Tributário Cross</v>
          </cell>
          <cell r="D1309">
            <v>0.6573</v>
          </cell>
          <cell r="E1309" t="str">
            <v>MKT-1-10033334561</v>
          </cell>
          <cell r="F1309" t="str">
            <v>0T3T_PAI17_PCS-4P8pi_FLAT_MÓVEL_GT_65.73%</v>
          </cell>
          <cell r="G1309">
            <v>65.73</v>
          </cell>
        </row>
        <row r="1310">
          <cell r="A1310" t="str">
            <v>Oi Total Fixo + Pós Conectado 500 + Banda Larga0.6112Template de desconto percentual FLAT Móvel - Conta Total - Varejo - Ganho Tributário Cross</v>
          </cell>
          <cell r="B1310" t="str">
            <v>Plano Oi Completo 500</v>
          </cell>
          <cell r="C1310" t="str">
            <v>Template de desconto percentual FLAT Móvel - Conta Total - Varejo - Ganho Tributário Cross</v>
          </cell>
          <cell r="D1310">
            <v>0.61119999999999997</v>
          </cell>
          <cell r="E1310" t="str">
            <v>MKT-1-10033334771</v>
          </cell>
          <cell r="F1310" t="str">
            <v>0T3T_PAI17_PCS-4P8pi_FLAT_MÓVEL_GT_61.12%</v>
          </cell>
          <cell r="G1310">
            <v>61.12</v>
          </cell>
        </row>
        <row r="1311">
          <cell r="A1311" t="str">
            <v>Oi Total Fixo + Pós Conectado 500 + Banda Larga0.5038Template de desconto percentual FLAT Móvel - Conta Total - Varejo - Ganho Tributário Cross</v>
          </cell>
          <cell r="B1311" t="str">
            <v>Plano Oi Completo 500</v>
          </cell>
          <cell r="C1311" t="str">
            <v>Template de desconto percentual FLAT Móvel - Conta Total - Varejo - Ganho Tributário Cross</v>
          </cell>
          <cell r="D1311">
            <v>0.50380000000000003</v>
          </cell>
          <cell r="E1311" t="str">
            <v>MKT-1-10033335021</v>
          </cell>
          <cell r="F1311" t="str">
            <v>0T3T_PAI17_PCS-4P8pi_FLAT_MÓVEL_GT_50.38%</v>
          </cell>
          <cell r="G1311">
            <v>50.38</v>
          </cell>
        </row>
        <row r="1312">
          <cell r="A1312" t="str">
            <v>Oi Total Fixo + Pós Conectado 500 + Banda Larga0.6397Template de desconto percentual FLAT Móvel - Conta Total - Varejo - Ganho Tributário Cross</v>
          </cell>
          <cell r="B1312" t="str">
            <v>Plano Oi Completo 500</v>
          </cell>
          <cell r="C1312" t="str">
            <v>Template de desconto percentual FLAT Móvel - Conta Total - Varejo - Ganho Tributário Cross</v>
          </cell>
          <cell r="D1312">
            <v>0.63969999999999994</v>
          </cell>
          <cell r="E1312" t="str">
            <v>MKT-1-10033338311</v>
          </cell>
          <cell r="F1312" t="str">
            <v>0T3T_PAI17_PCS-4P8pi_FLAT_MÓVEL_GT_63.97%</v>
          </cell>
          <cell r="G1312">
            <v>63.97</v>
          </cell>
        </row>
        <row r="1313">
          <cell r="A1313" t="str">
            <v>Oi Total Fixo + Pós Conectado 500 + Banda Larga0.5963Template de desconto percentual FLAT Móvel - Conta Total - Varejo - Ganho Tributário Cross</v>
          </cell>
          <cell r="B1313" t="str">
            <v>Plano Oi Completo 500</v>
          </cell>
          <cell r="C1313" t="str">
            <v>Template de desconto percentual FLAT Móvel - Conta Total - Varejo - Ganho Tributário Cross</v>
          </cell>
          <cell r="D1313">
            <v>0.59630000000000005</v>
          </cell>
          <cell r="E1313" t="str">
            <v>MKT-1-10033338781</v>
          </cell>
          <cell r="F1313" t="str">
            <v>0T3T_PAI17_PCS-4P8pi_FLAT_MÓVEL_GT_59.63%</v>
          </cell>
          <cell r="G1313">
            <v>59.63</v>
          </cell>
        </row>
        <row r="1314">
          <cell r="A1314" t="str">
            <v>Oi Total Fixo + Pós Conectado 500 + Banda Larga0.6169Template de desconto percentual FLAT Móvel - Conta Total - Varejo - Ganho Tributário Cross</v>
          </cell>
          <cell r="B1314" t="str">
            <v>Plano Oi Completo 500</v>
          </cell>
          <cell r="C1314" t="str">
            <v>Template de desconto percentual FLAT Móvel - Conta Total - Varejo - Ganho Tributário Cross</v>
          </cell>
          <cell r="D1314">
            <v>0.6169</v>
          </cell>
          <cell r="E1314" t="str">
            <v>MKT-1-10033355541</v>
          </cell>
          <cell r="F1314" t="str">
            <v>0T3T_PAI17_PCS-4P8pi_FLAT_MÓVEL_GT_61.69%</v>
          </cell>
          <cell r="G1314">
            <v>61.69</v>
          </cell>
        </row>
        <row r="1315">
          <cell r="A1315" t="str">
            <v>Oi Total Fixo + Pós Conectado 500 + Banda Larga0.7082Template de desconto percentual FLAT Móvel - Conta Total - Varejo - Ganho Tributário Cross</v>
          </cell>
          <cell r="B1315" t="str">
            <v>Plano Oi Completo 500</v>
          </cell>
          <cell r="C1315" t="str">
            <v>Template de desconto percentual FLAT Móvel - Conta Total - Varejo - Ganho Tributário Cross</v>
          </cell>
          <cell r="D1315">
            <v>0.70819999999999994</v>
          </cell>
          <cell r="E1315" t="str">
            <v>MKT-1-10033355881</v>
          </cell>
          <cell r="F1315" t="str">
            <v>0T3T_PAI17_PCS-4P8pi_FLAT_MÓVEL_GT_70.82%</v>
          </cell>
          <cell r="G1315">
            <v>70.819999999999993</v>
          </cell>
        </row>
        <row r="1316">
          <cell r="A1316" t="str">
            <v>Oi Total Fixo + Pós Conectado 500 + Banda Larga0.6621Template de desconto percentual FLAT Móvel - Conta Total - Varejo - Ganho Tributário Cross</v>
          </cell>
          <cell r="B1316" t="str">
            <v>Plano Oi Completo 500</v>
          </cell>
          <cell r="C1316" t="str">
            <v>Template de desconto percentual FLAT Móvel - Conta Total - Varejo - Ganho Tributário Cross</v>
          </cell>
          <cell r="D1316">
            <v>0.66209999999999991</v>
          </cell>
          <cell r="E1316" t="str">
            <v>MKT-1-10033356171</v>
          </cell>
          <cell r="F1316" t="str">
            <v>0T3T_PAI17_PCS-4P8pi_FLAT_MÓVEL_GT_66.21%</v>
          </cell>
          <cell r="G1316">
            <v>66.209999999999994</v>
          </cell>
        </row>
        <row r="1317">
          <cell r="A1317" t="str">
            <v>Oi Total Fixo + Pós Conectado Mais + Banda Larga0.7087Template de desconto percentual FLAT Móvel - Conta Total - Varejo - Ganho Tributário Cross</v>
          </cell>
          <cell r="B1317" t="str">
            <v>Plano Oi Completo Mais</v>
          </cell>
          <cell r="C1317" t="str">
            <v>Template de desconto percentual FLAT Móvel - Conta Total - Varejo - Ganho Tributário Cross</v>
          </cell>
          <cell r="D1317">
            <v>0.7087</v>
          </cell>
          <cell r="E1317" t="str">
            <v>MKT-1-10033417281</v>
          </cell>
          <cell r="F1317" t="str">
            <v>0T3T_PAI17_PCS-4P9pi_FLAT_MÓVEL_GT_70.87%</v>
          </cell>
          <cell r="G1317">
            <v>70.87</v>
          </cell>
        </row>
        <row r="1318">
          <cell r="A1318" t="str">
            <v>Oi Total Fixo + Pós Conectado 500 + Banda Larga0.5723Template de desconto percentual FLAT Móvel - Conta Total - Varejo - Ganho Tributário Cross</v>
          </cell>
          <cell r="B1318" t="str">
            <v>Plano Oi Completo 500</v>
          </cell>
          <cell r="C1318" t="str">
            <v>Template de desconto percentual FLAT Móvel - Conta Total - Varejo - Ganho Tributário Cross</v>
          </cell>
          <cell r="D1318">
            <v>0.57229999999999992</v>
          </cell>
          <cell r="E1318" t="str">
            <v>MKT-1-10033420451</v>
          </cell>
          <cell r="F1318" t="str">
            <v>0T3T_PAI17_PCS-4P8pi_FLAT_MÓVEL_GT_57.23%</v>
          </cell>
          <cell r="G1318">
            <v>57.23</v>
          </cell>
        </row>
        <row r="1319">
          <cell r="A1319" t="str">
            <v>Oi Total Fixo + Pós Conectado Mais + Banda Larga0.6781Template de desconto percentual FLAT Móvel - Conta Total - Varejo - Ganho Tributário Cross</v>
          </cell>
          <cell r="B1319" t="str">
            <v>Plano Oi Completo Mais</v>
          </cell>
          <cell r="C1319" t="str">
            <v>Template de desconto percentual FLAT Móvel - Conta Total - Varejo - Ganho Tributário Cross</v>
          </cell>
          <cell r="D1319">
            <v>0.67810000000000004</v>
          </cell>
          <cell r="E1319" t="str">
            <v>MKT-1-10033420671</v>
          </cell>
          <cell r="F1319" t="str">
            <v>0T3T_PAI17_PCS-4P9pi_FLAT_MÓVEL_GT_67.81%</v>
          </cell>
          <cell r="G1319">
            <v>67.81</v>
          </cell>
        </row>
        <row r="1320">
          <cell r="A1320" t="str">
            <v>Oi Total Fixo + Pós Conectado 500 + Banda Larga0.453Template de desconto percentual FLAT Móvel - Conta Total - Varejo - Ganho Tributário Cross</v>
          </cell>
          <cell r="B1320" t="str">
            <v>Plano Oi Completo 500</v>
          </cell>
          <cell r="C1320" t="str">
            <v>Template de desconto percentual FLAT Móvel - Conta Total - Varejo - Ganho Tributário Cross</v>
          </cell>
          <cell r="D1320">
            <v>0.45299999999999996</v>
          </cell>
          <cell r="E1320" t="str">
            <v>MKT-1-10033443451</v>
          </cell>
          <cell r="F1320" t="str">
            <v>0T3T_PAI17_PCS-4P8pi_FLAT_MÓVEL_GT_45.30%</v>
          </cell>
          <cell r="G1320">
            <v>45.3</v>
          </cell>
        </row>
        <row r="1321">
          <cell r="A1321" t="str">
            <v>Oi Total Fixo + Pós Conectado Mais + Banda Larga0.7309Template de desconto percentual FLAT Móvel - Conta Total - Varejo - Ganho Tributário Cross</v>
          </cell>
          <cell r="B1321" t="str">
            <v>Plano Oi Completo Mais</v>
          </cell>
          <cell r="C1321" t="str">
            <v>Template de desconto percentual FLAT Móvel - Conta Total - Varejo - Ganho Tributário Cross</v>
          </cell>
          <cell r="D1321">
            <v>0.73089999999999999</v>
          </cell>
          <cell r="E1321" t="str">
            <v>MKT-1-10033443661</v>
          </cell>
          <cell r="F1321" t="str">
            <v>0T3T_PAI17_PCS-4P9pi_FLAT_MÓVEL_GT_73.09%</v>
          </cell>
          <cell r="G1321">
            <v>73.09</v>
          </cell>
        </row>
        <row r="1322">
          <cell r="A1322" t="str">
            <v>Oi Total Fixo + Pós Conectado Mais + Banda Larga0.7562Template de desconto percentual FLAT Móvel - Conta Total - Varejo - Ganho Tributário Cross</v>
          </cell>
          <cell r="B1322" t="str">
            <v>Plano Oi Completo Mais</v>
          </cell>
          <cell r="C1322" t="str">
            <v>Template de desconto percentual FLAT Móvel - Conta Total - Varejo - Ganho Tributário Cross</v>
          </cell>
          <cell r="D1322">
            <v>0.75620000000000009</v>
          </cell>
          <cell r="E1322" t="str">
            <v>MKT-1-10033443871</v>
          </cell>
          <cell r="F1322" t="str">
            <v>0T3T_PAI17_PCS-4P9pi_FLAT_MÓVEL_GT_75.62%</v>
          </cell>
          <cell r="G1322">
            <v>75.62</v>
          </cell>
        </row>
        <row r="1323">
          <cell r="A1323" t="str">
            <v>Oi Total Fixo + Pós Conectado Mais + Banda Larga0.7302Template de desconto percentual FLAT Móvel - Conta Total - Varejo - Ganho Tributário Cross</v>
          </cell>
          <cell r="B1323" t="str">
            <v>Plano Oi Completo Mais</v>
          </cell>
          <cell r="C1323" t="str">
            <v>Template de desconto percentual FLAT Móvel - Conta Total - Varejo - Ganho Tributário Cross</v>
          </cell>
          <cell r="D1323">
            <v>0.73019999999999996</v>
          </cell>
          <cell r="E1323" t="str">
            <v>MKT-1-10033444081</v>
          </cell>
          <cell r="F1323" t="str">
            <v>0T3T_PAI17_PCS-4P9pi_FLAT_MÓVEL_GT_73.02%</v>
          </cell>
          <cell r="G1323">
            <v>73.02</v>
          </cell>
        </row>
        <row r="1324">
          <cell r="A1324" t="str">
            <v>Oi Total Fixo + Pós Conectado Mais + Banda Larga0.6455Template de desconto percentual FLAT Móvel - Conta Total - Varejo - Ganho Tributário Cross</v>
          </cell>
          <cell r="B1324" t="str">
            <v>Plano Oi Completo Mais</v>
          </cell>
          <cell r="C1324" t="str">
            <v>Template de desconto percentual FLAT Móvel - Conta Total - Varejo - Ganho Tributário Cross</v>
          </cell>
          <cell r="D1324">
            <v>0.64549999999999996</v>
          </cell>
          <cell r="E1324" t="str">
            <v>MKT-1-10033444291</v>
          </cell>
          <cell r="F1324" t="str">
            <v>0T3T_PAI17_PCS-4P9pi_FLAT_MÓVEL_GT_64.55%</v>
          </cell>
          <cell r="G1324">
            <v>64.55</v>
          </cell>
        </row>
        <row r="1325">
          <cell r="A1325" t="str">
            <v>Oi Total Fixo + Pós Conectado Mais + Banda Larga0.6727Template de desconto percentual FLAT Móvel - Conta Total - Varejo - Ganho Tributário Cross</v>
          </cell>
          <cell r="B1325" t="str">
            <v>Plano Oi Completo Mais</v>
          </cell>
          <cell r="C1325" t="str">
            <v>Template de desconto percentual FLAT Móvel - Conta Total - Varejo - Ganho Tributário Cross</v>
          </cell>
          <cell r="D1325">
            <v>0.67269999999999996</v>
          </cell>
          <cell r="E1325" t="str">
            <v>MKT-1-10033460561</v>
          </cell>
          <cell r="F1325" t="str">
            <v>0T3T_PAI17_PCS-4P9pi_FLAT_MÓVEL_GT_67.27%</v>
          </cell>
          <cell r="G1325">
            <v>67.27</v>
          </cell>
        </row>
        <row r="1326">
          <cell r="A1326" t="str">
            <v>Oi Total Fixo + Pós Conectado Mais + Banda Larga0.6537Template de desconto percentual FLAT Móvel - Conta Total - Varejo - Ganho Tributário Cross</v>
          </cell>
          <cell r="B1326" t="str">
            <v>Plano Oi Completo Mais</v>
          </cell>
          <cell r="C1326" t="str">
            <v>Template de desconto percentual FLAT Móvel - Conta Total - Varejo - Ganho Tributário Cross</v>
          </cell>
          <cell r="D1326">
            <v>0.65370000000000006</v>
          </cell>
          <cell r="E1326" t="str">
            <v>MKT-1-10033461241</v>
          </cell>
          <cell r="F1326" t="str">
            <v>0T3T_PAI17_PCS-4P9pi_FLAT_MÓVEL_GT_65.37%</v>
          </cell>
          <cell r="G1326">
            <v>65.37</v>
          </cell>
        </row>
        <row r="1327">
          <cell r="A1327" t="str">
            <v>Oi Total Fixo + Pós Conectado Mais + Banda Larga0.6817Template de desconto percentual FLAT Móvel - Conta Total - Varejo - Ganho Tributário Cross</v>
          </cell>
          <cell r="B1327" t="str">
            <v>Plano Oi Completo Mais</v>
          </cell>
          <cell r="C1327" t="str">
            <v>Template de desconto percentual FLAT Móvel - Conta Total - Varejo - Ganho Tributário Cross</v>
          </cell>
          <cell r="D1327">
            <v>0.68169999999999997</v>
          </cell>
          <cell r="E1327" t="str">
            <v>MKT-1-10033466501</v>
          </cell>
          <cell r="F1327" t="str">
            <v>0T3T_PAI17_PCS-4P9pi_FLAT_MÓVEL_GT_68.17%</v>
          </cell>
          <cell r="G1327">
            <v>68.17</v>
          </cell>
        </row>
        <row r="1328">
          <cell r="A1328" t="str">
            <v>Oi Total Fixo + Pós Conectado Mais + Banda Larga0.707Template de desconto percentual FLAT Móvel - Conta Total - Varejo - Ganho Tributário Cross</v>
          </cell>
          <cell r="B1328" t="str">
            <v>Plano Oi Completo Mais</v>
          </cell>
          <cell r="C1328" t="str">
            <v>Template de desconto percentual FLAT Móvel - Conta Total - Varejo - Ganho Tributário Cross</v>
          </cell>
          <cell r="D1328">
            <v>0.70700000000000007</v>
          </cell>
          <cell r="E1328" t="str">
            <v>MKT-1-10033466711</v>
          </cell>
          <cell r="F1328" t="str">
            <v>0T3T_PAI17_PCS-4P9pi_FLAT_MÓVEL_GT_70.70%</v>
          </cell>
          <cell r="G1328">
            <v>70.7</v>
          </cell>
        </row>
        <row r="1329">
          <cell r="A1329" t="str">
            <v>Oi Total Fixo + Pós Conectado Mais + Banda Larga0.5789Template de desconto percentual FLAT Móvel - Conta Total - Varejo - Ganho Tributário Cross</v>
          </cell>
          <cell r="B1329" t="str">
            <v>Plano Oi Completo Mais</v>
          </cell>
          <cell r="C1329" t="str">
            <v>Template de desconto percentual FLAT Móvel - Conta Total - Varejo - Ganho Tributário Cross</v>
          </cell>
          <cell r="D1329">
            <v>0.57889999999999997</v>
          </cell>
          <cell r="E1329" t="str">
            <v>MKT-1-10033466921</v>
          </cell>
          <cell r="F1329" t="str">
            <v>0T3T_PAI17_PCS-4P9pi_FLAT_MÓVEL_GT_57.89%</v>
          </cell>
          <cell r="G1329">
            <v>57.89</v>
          </cell>
        </row>
        <row r="1330">
          <cell r="A1330" t="str">
            <v>Oi Total Fixo + Pós Conectado 1.000 + Banda Larga0.7752Template de desconto percentual FLAT Móvel - Conta Total - Varejo - Ganho Tributário Cross</v>
          </cell>
          <cell r="B1330" t="str">
            <v>Plano Oi Completo 1.000</v>
          </cell>
          <cell r="C1330" t="str">
            <v>Template de desconto percentual FLAT Móvel - Conta Total - Varejo - Ganho Tributário Cross</v>
          </cell>
          <cell r="D1330">
            <v>0.7752</v>
          </cell>
          <cell r="E1330" t="str">
            <v>MKT-1-10033467131</v>
          </cell>
          <cell r="F1330" t="str">
            <v>0T3T_PAI17_PCS-4P10pi_FLAT_MÓVEL_GT_77.52%</v>
          </cell>
          <cell r="G1330">
            <v>77.52</v>
          </cell>
        </row>
        <row r="1331">
          <cell r="A1331" t="str">
            <v>Oi Total Fixo + Pós Conectado Mais + Banda Larga0.6148Template de desconto percentual FLAT Móvel - Conta Total - Varejo - Ganho Tributário Cross</v>
          </cell>
          <cell r="B1331" t="str">
            <v>Plano Oi Completo Mais</v>
          </cell>
          <cell r="C1331" t="str">
            <v>Template de desconto percentual FLAT Móvel - Conta Total - Varejo - Ganho Tributário Cross</v>
          </cell>
          <cell r="D1331">
            <v>0.61480000000000001</v>
          </cell>
          <cell r="E1331" t="str">
            <v>MKT-1-10033477551</v>
          </cell>
          <cell r="F1331" t="str">
            <v>0T3T_PAI17_PCS-4P9pi_FLAT_MÓVEL_GT_61.48%</v>
          </cell>
          <cell r="G1331">
            <v>61.48</v>
          </cell>
        </row>
        <row r="1332">
          <cell r="A1332" t="str">
            <v>Oi Total Fixo + Pós Conectado 1.000 + Banda Larga0.7404Template de desconto percentual FLAT Móvel - Conta Total - Varejo - Ganho Tributário Cross</v>
          </cell>
          <cell r="B1332" t="str">
            <v>Plano Oi Completo 1.000</v>
          </cell>
          <cell r="C1332" t="str">
            <v>Template de desconto percentual FLAT Móvel - Conta Total - Varejo - Ganho Tributário Cross</v>
          </cell>
          <cell r="D1332">
            <v>0.74040000000000006</v>
          </cell>
          <cell r="E1332" t="str">
            <v>MKT-1-10033494431</v>
          </cell>
          <cell r="F1332" t="str">
            <v>0T3T_PAI17_PCS-4P10pi_FLAT_MÓVEL_GT_74.04%</v>
          </cell>
          <cell r="G1332">
            <v>74.040000000000006</v>
          </cell>
        </row>
        <row r="1333">
          <cell r="A1333" t="str">
            <v>Oi Total Fixo + Pós Conectado 1.000 + Banda Larga0.8072Template de desconto percentual FLAT Móvel - Conta Total - Varejo - Ganho Tributário Cross</v>
          </cell>
          <cell r="B1333" t="str">
            <v>Plano Oi Completo 1.000</v>
          </cell>
          <cell r="C1333" t="str">
            <v>Template de desconto percentual FLAT Móvel - Conta Total - Varejo - Ganho Tributário Cross</v>
          </cell>
          <cell r="D1333">
            <v>0.80720000000000003</v>
          </cell>
          <cell r="E1333" t="str">
            <v>MKT-1-10033494831</v>
          </cell>
          <cell r="F1333" t="str">
            <v>0T3T_PAI17_PCS-4P10pi_FLAT_MÓVEL_GT_80.72%</v>
          </cell>
          <cell r="G1333">
            <v>80.72</v>
          </cell>
        </row>
        <row r="1334">
          <cell r="A1334" t="str">
            <v>Oi Total Fixo + Pós Conectado 1.000 + Banda Larga0.7396Template de desconto percentual FLAT Móvel - Conta Total - Varejo - Ganho Tributário Cross</v>
          </cell>
          <cell r="B1334" t="str">
            <v>Plano Oi Completo 1.000</v>
          </cell>
          <cell r="C1334" t="str">
            <v>Template de desconto percentual FLAT Móvel - Conta Total - Varejo - Ganho Tributário Cross</v>
          </cell>
          <cell r="D1334">
            <v>0.73959999999999992</v>
          </cell>
          <cell r="E1334" t="str">
            <v>MKT-1-10033504761</v>
          </cell>
          <cell r="F1334" t="str">
            <v>0T3T_PAI17_PCS-4P10pi_FLAT_MÓVEL_GT_73.96%</v>
          </cell>
          <cell r="G1334">
            <v>73.959999999999994</v>
          </cell>
        </row>
        <row r="1335">
          <cell r="A1335" t="str">
            <v>Oi Total Fixo + Pós Conectado 1.000 + Banda Larga0.7488Template de desconto percentual FLAT Móvel - Conta Total - Varejo - Ganho Tributário Cross</v>
          </cell>
          <cell r="B1335" t="str">
            <v>Plano Oi Completo 1.000</v>
          </cell>
          <cell r="C1335" t="str">
            <v>Template de desconto percentual FLAT Móvel - Conta Total - Varejo - Ganho Tributário Cross</v>
          </cell>
          <cell r="D1335">
            <v>0.74879999999999991</v>
          </cell>
          <cell r="E1335" t="str">
            <v>MKT-1-10033505161</v>
          </cell>
          <cell r="F1335" t="str">
            <v>0T3T_PAI17_PCS-4P10pi_FLAT_MÓVEL_GT_74.88%</v>
          </cell>
          <cell r="G1335">
            <v>74.88</v>
          </cell>
        </row>
        <row r="1336">
          <cell r="A1336" t="str">
            <v>Oi Total Fixo + Pós Conectado 1.000 + Banda Larga0.6711Template de desconto percentual FLAT Móvel - Conta Total - Varejo - Ganho Tributário Cross</v>
          </cell>
          <cell r="B1336" t="str">
            <v>Plano Oi Completo 1.000</v>
          </cell>
          <cell r="C1336" t="str">
            <v>Template de desconto percentual FLAT Móvel - Conta Total - Varejo - Ganho Tributário Cross</v>
          </cell>
          <cell r="D1336">
            <v>0.67110000000000003</v>
          </cell>
          <cell r="E1336" t="str">
            <v>MKT-1-10033507341</v>
          </cell>
          <cell r="F1336" t="str">
            <v>0T3T_PAI17_PCS-4P10pi_FLAT_MÓVEL_GT_67.11%</v>
          </cell>
          <cell r="G1336">
            <v>67.11</v>
          </cell>
        </row>
        <row r="1337">
          <cell r="A1337" t="str">
            <v>Oi Total Fixo + Pós Conectado 1.000 + Banda Larga0.7573Template de desconto percentual FLAT Móvel - Conta Total - Varejo - Ganho Tributário Cross</v>
          </cell>
          <cell r="B1337" t="str">
            <v>Plano Oi Completo 1.000</v>
          </cell>
          <cell r="C1337" t="str">
            <v>Template de desconto percentual FLAT Móvel - Conta Total - Varejo - Ganho Tributário Cross</v>
          </cell>
          <cell r="D1337">
            <v>0.75730000000000008</v>
          </cell>
          <cell r="E1337" t="str">
            <v>MKT-1-10033507601</v>
          </cell>
          <cell r="F1337" t="str">
            <v>0T3T_PAI17_PCS-4P10pi_FLAT_MÓVEL_GT_75.73%</v>
          </cell>
          <cell r="G1337">
            <v>75.73</v>
          </cell>
        </row>
        <row r="1338">
          <cell r="A1338" t="str">
            <v>Oi Total Fixo + Pós Conectado 1.000 + Banda Larga0.7181Template de desconto percentual FLAT Móvel - Conta Total - Varejo - Ganho Tributário Cross</v>
          </cell>
          <cell r="B1338" t="str">
            <v>Plano Oi Completo 1.000</v>
          </cell>
          <cell r="C1338" t="str">
            <v>Template de desconto percentual FLAT Móvel - Conta Total - Varejo - Ganho Tributário Cross</v>
          </cell>
          <cell r="D1338">
            <v>0.71810000000000007</v>
          </cell>
          <cell r="E1338" t="str">
            <v>MKT-1-10033507815</v>
          </cell>
          <cell r="F1338" t="str">
            <v>0T3T_PAI17_PCS-4P10pi_FLAT_MÓVEL_GT_71.81%</v>
          </cell>
          <cell r="G1338">
            <v>71.81</v>
          </cell>
        </row>
        <row r="1339">
          <cell r="A1339" t="str">
            <v>Oi Total Fixo + Pós Conectado 1.000 + Banda Larga0.7218Template de desconto percentual FLAT Móvel - Conta Total - Varejo - Ganho Tributário Cross</v>
          </cell>
          <cell r="B1339" t="str">
            <v>Plano Oi Completo 1.000</v>
          </cell>
          <cell r="C1339" t="str">
            <v>Template de desconto percentual FLAT Móvel - Conta Total - Varejo - Ganho Tributário Cross</v>
          </cell>
          <cell r="D1339">
            <v>0.72180000000000011</v>
          </cell>
          <cell r="E1339" t="str">
            <v>MKT-1-10033508021</v>
          </cell>
          <cell r="F1339" t="str">
            <v>0T3T_PAI17_PCS-4P10pi_FLAT_MÓVEL_GT_72.18%</v>
          </cell>
          <cell r="G1339">
            <v>72.180000000000007</v>
          </cell>
        </row>
        <row r="1340">
          <cell r="A1340" t="str">
            <v>Oi Total Fixo + Pós Conectado 1.000 + Banda Larga0.5607Template de desconto percentual FLAT Móvel - Conta Total - Varejo - Ganho Tributário Cross</v>
          </cell>
          <cell r="B1340" t="str">
            <v>Plano Oi Completo 1.000</v>
          </cell>
          <cell r="C1340" t="str">
            <v>Template de desconto percentual FLAT Móvel - Conta Total - Varejo - Ganho Tributário Cross</v>
          </cell>
          <cell r="D1340">
            <v>0.56069999999999998</v>
          </cell>
          <cell r="E1340" t="str">
            <v>MKT-1-10033508236</v>
          </cell>
          <cell r="F1340" t="str">
            <v>0T3T_PAI17_PCS-4P10pi_FLAT_MÓVEL_GT_56.07%</v>
          </cell>
          <cell r="G1340">
            <v>56.07</v>
          </cell>
        </row>
        <row r="1341">
          <cell r="A1341" t="str">
            <v>Oi Total Fixo + Pós Conectado 1.000 + Banda Larga0.7045Template de desconto percentual FLAT Móvel - Conta Total - Varejo - Ganho Tributário Cross</v>
          </cell>
          <cell r="B1341" t="str">
            <v>Plano Oi Completo 1.000</v>
          </cell>
          <cell r="C1341" t="str">
            <v>Template de desconto percentual FLAT Móvel - Conta Total - Varejo - Ganho Tributário Cross</v>
          </cell>
          <cell r="D1341">
            <v>0.70450000000000002</v>
          </cell>
          <cell r="E1341" t="str">
            <v>MKT-1-10033517571</v>
          </cell>
          <cell r="F1341" t="str">
            <v>0T3T_PAI17_PCS-4P10pi_FLAT_MÓVEL_GT_70.45%</v>
          </cell>
          <cell r="G1341">
            <v>70.45</v>
          </cell>
        </row>
        <row r="1342">
          <cell r="A1342" t="str">
            <v>Oi Total Fixo + Pós Conectado 1.000 + Banda Larga0.687Template de desconto percentual FLAT Móvel - Conta Total - Varejo - Ganho Tributário Cross</v>
          </cell>
          <cell r="B1342" t="str">
            <v>Plano Oi Completo 1.000</v>
          </cell>
          <cell r="C1342" t="str">
            <v>Template de desconto percentual FLAT Móvel - Conta Total - Varejo - Ganho Tributário Cross</v>
          </cell>
          <cell r="D1342">
            <v>0.68700000000000006</v>
          </cell>
          <cell r="E1342" t="str">
            <v>MKT-1-10033518121</v>
          </cell>
          <cell r="F1342" t="str">
            <v>0T3T_PAI17_PCS-4P10pi_FLAT_MÓVEL_GT_68.70%</v>
          </cell>
          <cell r="G1342">
            <v>68.7</v>
          </cell>
        </row>
        <row r="1343">
          <cell r="A1343" t="str">
            <v>Oi Total Fixo + Pós Conectado 1.000 + Banda Larga0.6826Template de desconto percentual FLAT Móvel - Conta Total - Varejo - Ganho Tributário Cross</v>
          </cell>
          <cell r="B1343" t="str">
            <v>Plano Oi Completo 1.000</v>
          </cell>
          <cell r="C1343" t="str">
            <v>Template de desconto percentual FLAT Móvel - Conta Total - Varejo - Ganho Tributário Cross</v>
          </cell>
          <cell r="D1343">
            <v>0.6826000000000001</v>
          </cell>
          <cell r="E1343" t="str">
            <v>MKT-1-10033574341</v>
          </cell>
          <cell r="F1343" t="str">
            <v>0T3T_PAI17_PCS-4P10pi_FLAT_MÓVEL_GT_68.26%</v>
          </cell>
          <cell r="G1343">
            <v>68.260000000000005</v>
          </cell>
        </row>
        <row r="1344">
          <cell r="A1344" t="str">
            <v>Oi Total Fixo + Pós Conectado 1.000 + Banda Larga0.6918Template de desconto percentual FLAT Móvel - Conta Total - Varejo - Ganho Tributário Cross</v>
          </cell>
          <cell r="B1344" t="str">
            <v>Plano Oi Completo 1.000</v>
          </cell>
          <cell r="C1344" t="str">
            <v>Template de desconto percentual FLAT Móvel - Conta Total - Varejo - Ganho Tributário Cross</v>
          </cell>
          <cell r="D1344">
            <v>0.69180000000000008</v>
          </cell>
          <cell r="E1344" t="str">
            <v>MKT-1-10033574551</v>
          </cell>
          <cell r="F1344" t="str">
            <v>0T3T_PAI17_PCS-4P10pi_FLAT_MÓVEL_GT_69.18%</v>
          </cell>
          <cell r="G1344">
            <v>69.180000000000007</v>
          </cell>
        </row>
        <row r="1345">
          <cell r="A1345" t="str">
            <v>Oi Total Fixo + Pós Conectado 1.000 + Banda Larga0.6526Template de desconto percentual FLAT Móvel - Conta Total - Varejo - Ganho Tributário Cross</v>
          </cell>
          <cell r="B1345" t="str">
            <v>Plano Oi Completo 1.000</v>
          </cell>
          <cell r="C1345" t="str">
            <v>Template de desconto percentual FLAT Móvel - Conta Total - Varejo - Ganho Tributário Cross</v>
          </cell>
          <cell r="D1345">
            <v>0.65260000000000007</v>
          </cell>
          <cell r="E1345" t="str">
            <v>MKT-1-10033574771</v>
          </cell>
          <cell r="F1345" t="str">
            <v>0T3T_PAI17_PCS-4P10pi_FLAT_MÓVEL_GT_65.26%</v>
          </cell>
          <cell r="G1345">
            <v>65.260000000000005</v>
          </cell>
        </row>
        <row r="1346">
          <cell r="A1346" t="str">
            <v>Oi Total Fixo + Pós Conectado 1.000 + Banda Larga0.644Template de desconto percentual FLAT Móvel - Conta Total - Varejo - Ganho Tributário Cross</v>
          </cell>
          <cell r="B1346" t="str">
            <v>Plano Oi Completo 1.000</v>
          </cell>
          <cell r="C1346" t="str">
            <v>Template de desconto percentual FLAT Móvel - Conta Total - Varejo - Ganho Tributário Cross</v>
          </cell>
          <cell r="D1346">
            <v>0.64400000000000002</v>
          </cell>
          <cell r="E1346" t="str">
            <v>MKT-1-10033574981</v>
          </cell>
          <cell r="F1346" t="str">
            <v>0T3T_PAI17_PCS-4P10pi_FLAT_MÓVEL_GT_64.40%</v>
          </cell>
          <cell r="G1346">
            <v>64.400000000000006</v>
          </cell>
        </row>
        <row r="1347">
          <cell r="A1347" t="str">
            <v>Oi Total Fixo + Pós Conectado 1.000 + Banda Larga0.5999Template de desconto percentual FLAT Móvel - Conta Total - Varejo - Ganho Tributário Cross</v>
          </cell>
          <cell r="B1347" t="str">
            <v>Plano Oi Completo 1.000</v>
          </cell>
          <cell r="C1347" t="str">
            <v>Template de desconto percentual FLAT Móvel - Conta Total - Varejo - Ganho Tributário Cross</v>
          </cell>
          <cell r="D1347">
            <v>0.59989999999999999</v>
          </cell>
          <cell r="E1347" t="str">
            <v>MKT-1-10033575191</v>
          </cell>
          <cell r="F1347" t="str">
            <v>0T3T_PAI17_PCS-4P10pi_FLAT_MÓVEL_GT_59.99%</v>
          </cell>
          <cell r="G1347">
            <v>59.99</v>
          </cell>
        </row>
        <row r="1348">
          <cell r="A1348" t="str">
            <v>Oi Total Fixo + Pós Conectado 1.000 + Banda Larga0.6048Template de desconto percentual FLAT Móvel - Conta Total - Varejo - Ganho Tributário Cross</v>
          </cell>
          <cell r="B1348" t="str">
            <v>Plano Oi Completo 1.000</v>
          </cell>
          <cell r="C1348" t="str">
            <v>Template de desconto percentual FLAT Móvel - Conta Total - Varejo - Ganho Tributário Cross</v>
          </cell>
          <cell r="D1348">
            <v>0.6048</v>
          </cell>
          <cell r="E1348" t="str">
            <v>MKT-1-10033622401</v>
          </cell>
          <cell r="F1348" t="str">
            <v>0T3T_PAI17_PCS-4P10pi_FLAT_MÓVEL_GT_60.48%</v>
          </cell>
          <cell r="G1348">
            <v>60.48</v>
          </cell>
        </row>
        <row r="1349">
          <cell r="A1349" t="str">
            <v>Oi Total Fixo + Pós 50 + Banda Larga0.4388Template de desconto percentual FLAT Móvel - Conta Total - Varejo - Ganho Tributário Cross</v>
          </cell>
          <cell r="B1349" t="str">
            <v>Plano Oi Completo XSmall</v>
          </cell>
          <cell r="C1349" t="str">
            <v>Template de desconto percentual FLAT Móvel - Conta Total - Varejo - Ganho Tributário Cross</v>
          </cell>
          <cell r="D1349">
            <v>0.43880000000000002</v>
          </cell>
          <cell r="E1349" t="str">
            <v>MKT-1-10033622611</v>
          </cell>
          <cell r="F1349" t="str">
            <v>0T3T_PAI17_PCS-4P2pi_FLAT_MÓVEL_GT_43.88%</v>
          </cell>
          <cell r="G1349">
            <v>43.88</v>
          </cell>
        </row>
        <row r="1350">
          <cell r="A1350" t="str">
            <v>Oi Total Fixo + Pós 50 + Banda Larga0.3363Template de desconto percentual FLAT Móvel - Conta Total - Varejo - Ganho Tributário Cross</v>
          </cell>
          <cell r="B1350" t="str">
            <v>Plano Oi Completo XSmall</v>
          </cell>
          <cell r="C1350" t="str">
            <v>Template de desconto percentual FLAT Móvel - Conta Total - Varejo - Ganho Tributário Cross</v>
          </cell>
          <cell r="D1350">
            <v>0.33630000000000004</v>
          </cell>
          <cell r="E1350" t="str">
            <v>MKT-1-10033622821</v>
          </cell>
          <cell r="F1350" t="str">
            <v>0T3T_PAI17_PCS-4P2pi_FLAT_MÓVEL_GT_33.63%</v>
          </cell>
          <cell r="G1350">
            <v>33.630000000000003</v>
          </cell>
        </row>
        <row r="1351">
          <cell r="A1351" t="str">
            <v>Oi Total Fixo + Pós 50 + Banda Larga0.2516Template de desconto percentual FLAT Móvel - Conta Total - Varejo - Ganho Tributário Cross</v>
          </cell>
          <cell r="B1351" t="str">
            <v>Plano Oi Completo XSmall</v>
          </cell>
          <cell r="C1351" t="str">
            <v>Template de desconto percentual FLAT Móvel - Conta Total - Varejo - Ganho Tributário Cross</v>
          </cell>
          <cell r="D1351">
            <v>0.25159999999999999</v>
          </cell>
          <cell r="E1351" t="str">
            <v>MKT-1-10033623031</v>
          </cell>
          <cell r="F1351" t="str">
            <v>0T3T_PAI17_PCS-4P2pi_FLAT_MÓVEL_GT_25.16%</v>
          </cell>
          <cell r="G1351">
            <v>25.16</v>
          </cell>
        </row>
        <row r="1352">
          <cell r="A1352" t="str">
            <v>Oi Total Fixo + Pós 50 + Banda Larga0.1533Template de desconto percentual FLAT Móvel - Conta Total - Varejo - Ganho Tributário Cross</v>
          </cell>
          <cell r="B1352" t="str">
            <v>Plano Oi Completo XSmall</v>
          </cell>
          <cell r="C1352" t="str">
            <v>Template de desconto percentual FLAT Móvel - Conta Total - Varejo - Ganho Tributário Cross</v>
          </cell>
          <cell r="D1352">
            <v>0.15329999999999999</v>
          </cell>
          <cell r="E1352" t="str">
            <v>MKT-1-10033623241</v>
          </cell>
          <cell r="F1352" t="str">
            <v>0T3T_PAI17_PCS-4P2pi_FLAT_MÓVEL_GT_15.33%</v>
          </cell>
          <cell r="G1352">
            <v>15.33</v>
          </cell>
        </row>
        <row r="1353">
          <cell r="A1353" t="str">
            <v>Oi Total Fixo + Pós 50 + Banda Larga0.1096Template de desconto percentual FLAT Móvel - Conta Total - Varejo - Ganho Tributário Cross</v>
          </cell>
          <cell r="B1353" t="str">
            <v>Plano Oi Completo XSmall</v>
          </cell>
          <cell r="C1353" t="str">
            <v>Template de desconto percentual FLAT Móvel - Conta Total - Varejo - Ganho Tributário Cross</v>
          </cell>
          <cell r="D1353">
            <v>0.1096</v>
          </cell>
          <cell r="E1353" t="str">
            <v>MKT-1-10033627441</v>
          </cell>
          <cell r="F1353" t="str">
            <v>0T3T_PAI17_PCS-4P2pi_FLAT_MÓVEL_GT_10.96%</v>
          </cell>
          <cell r="G1353">
            <v>10.96</v>
          </cell>
        </row>
        <row r="1354">
          <cell r="A1354" t="str">
            <v>Oi Total Fixo + Pós 50 + Banda Larga0.2248Template de desconto percentual FLAT Móvel - Conta Total - Varejo - Ganho Tributário Cross</v>
          </cell>
          <cell r="B1354" t="str">
            <v>Plano Oi Completo XSmall</v>
          </cell>
          <cell r="C1354" t="str">
            <v>Template de desconto percentual FLAT Móvel - Conta Total - Varejo - Ganho Tributário Cross</v>
          </cell>
          <cell r="D1354">
            <v>0.2248</v>
          </cell>
          <cell r="E1354" t="str">
            <v>MKT-1-10033627656</v>
          </cell>
          <cell r="F1354" t="str">
            <v>0T3T_PAI17_PCS-4P2pi_FLAT_MÓVEL_GT_22.48%</v>
          </cell>
          <cell r="G1354">
            <v>22.48</v>
          </cell>
        </row>
        <row r="1355">
          <cell r="A1355" t="str">
            <v>Oi Total Fixo + Pós 50 + Banda Larga0.2789Template de desconto percentual FLAT Móvel - Conta Total - Varejo - Ganho Tributário Cross</v>
          </cell>
          <cell r="B1355" t="str">
            <v>Plano Oi Completo XSmall</v>
          </cell>
          <cell r="C1355" t="str">
            <v>Template de desconto percentual FLAT Móvel - Conta Total - Varejo - Ganho Tributário Cross</v>
          </cell>
          <cell r="D1355">
            <v>0.27889999999999998</v>
          </cell>
          <cell r="E1355" t="str">
            <v>MKT-1-10033627861</v>
          </cell>
          <cell r="F1355" t="str">
            <v>0T3T_PAI17_PCS-4P2pi_FLAT_MÓVEL_GT_27.89%</v>
          </cell>
          <cell r="G1355">
            <v>27.89</v>
          </cell>
        </row>
        <row r="1356">
          <cell r="A1356" t="str">
            <v>Oi Total Fixo + Pós 50 + Banda Larga0.165Template de desconto percentual FLAT Móvel - Conta Total - Varejo - Ganho Tributário Cross</v>
          </cell>
          <cell r="B1356" t="str">
            <v>Plano Oi Completo XSmall</v>
          </cell>
          <cell r="C1356" t="str">
            <v>Template de desconto percentual FLAT Móvel - Conta Total - Varejo - Ganho Tributário Cross</v>
          </cell>
          <cell r="D1356">
            <v>0.16500000000000001</v>
          </cell>
          <cell r="E1356" t="str">
            <v>MKT-1-10033628071</v>
          </cell>
          <cell r="F1356" t="str">
            <v>0T3T_PAI17_PCS-4P2pi_FLAT_MÓVEL_GT_16.50%</v>
          </cell>
          <cell r="G1356">
            <v>16.5</v>
          </cell>
        </row>
        <row r="1357">
          <cell r="A1357" t="str">
            <v>Oi Total Fixo + Pós 50 + Banda Larga0.0394Template de desconto percentual FLAT Móvel - Conta Total - Varejo - Ganho Tributário Cross</v>
          </cell>
          <cell r="B1357" t="str">
            <v>Plano Oi Completo XSmall</v>
          </cell>
          <cell r="C1357" t="str">
            <v>Template de desconto percentual FLAT Móvel - Conta Total - Varejo - Ganho Tributário Cross</v>
          </cell>
          <cell r="D1357">
            <v>3.9399999999999998E-2</v>
          </cell>
          <cell r="E1357" t="str">
            <v>MKT-1-10033628281</v>
          </cell>
          <cell r="F1357" t="str">
            <v>0T3T_PAI17_PCS-4P2pi_FLAT_MÓVEL_GT_03.94%</v>
          </cell>
          <cell r="G1357">
            <v>3.94</v>
          </cell>
        </row>
        <row r="1358">
          <cell r="A1358" t="str">
            <v>Oi Total Fixo + Pós 50 + Banda Larga0.1717Template de desconto percentual FLAT Móvel - Conta Total - Varejo - Ganho Tributário Cross</v>
          </cell>
          <cell r="B1358" t="str">
            <v>Plano Oi Completo XSmall</v>
          </cell>
          <cell r="C1358" t="str">
            <v>Template de desconto percentual FLAT Móvel - Conta Total - Varejo - Ganho Tributário Cross</v>
          </cell>
          <cell r="D1358">
            <v>0.17170000000000002</v>
          </cell>
          <cell r="E1358" t="str">
            <v>MKT-1-10033650451</v>
          </cell>
          <cell r="F1358" t="str">
            <v>0T3T_PAI17_PCS-4P2pi_FLAT_MÓVEL_GT_17.17%</v>
          </cell>
          <cell r="G1358">
            <v>17.170000000000002</v>
          </cell>
        </row>
        <row r="1359">
          <cell r="A1359" t="str">
            <v>Oi Total Fixo + Pós 50 + Banda Larga0.1439Template de desconto percentual FLAT Móvel - Conta Total - Varejo - Ganho Tributário Cross</v>
          </cell>
          <cell r="B1359" t="str">
            <v>Plano Oi Completo XSmall</v>
          </cell>
          <cell r="C1359" t="str">
            <v>Template de desconto percentual FLAT Móvel - Conta Total - Varejo - Ganho Tributário Cross</v>
          </cell>
          <cell r="D1359">
            <v>0.1439</v>
          </cell>
          <cell r="E1359" t="str">
            <v>MKT-1-10033650661</v>
          </cell>
          <cell r="F1359" t="str">
            <v>0T3T_PAI17_PCS-4P2pi_FLAT_MÓVEL_GT_14.39%</v>
          </cell>
          <cell r="G1359">
            <v>14.39</v>
          </cell>
        </row>
        <row r="1360">
          <cell r="A1360" t="str">
            <v>Oi Total Fixo + Pós 50 + Banda Larga0.0183Template de desconto percentual FLAT Móvel - Conta Total - Varejo - Ganho Tributário Cross</v>
          </cell>
          <cell r="B1360" t="str">
            <v>Plano Oi Completo XSmall</v>
          </cell>
          <cell r="C1360" t="str">
            <v>Template de desconto percentual FLAT Móvel - Conta Total - Varejo - Ganho Tributário Cross</v>
          </cell>
          <cell r="D1360">
            <v>1.83E-2</v>
          </cell>
          <cell r="E1360" t="str">
            <v>MKT-1-10033651031</v>
          </cell>
          <cell r="F1360" t="str">
            <v>0T3T_PAI17_PCS-4P2pi_FLAT_MÓVEL_GT_01.83%.</v>
          </cell>
          <cell r="G1360">
            <v>1.83</v>
          </cell>
        </row>
        <row r="1361">
          <cell r="A1361" t="str">
            <v>Oi Total Fixo + Pós 50 + Banda Larga0.0024Template de desconto percentual FLAT Móvel - Conta Total - Varejo - Ganho Tributário Cross</v>
          </cell>
          <cell r="B1361" t="str">
            <v>Plano Oi Completo XSmall</v>
          </cell>
          <cell r="C1361" t="str">
            <v>Template de desconto percentual FLAT Móvel - Conta Total - Varejo - Ganho Tributário Cross</v>
          </cell>
          <cell r="D1361">
            <v>2.3999999999999998E-3</v>
          </cell>
          <cell r="E1361" t="str">
            <v>MKT-1-10033651246</v>
          </cell>
          <cell r="F1361" t="str">
            <v>0T3T_PAI17_PCS-4P2pi_FLAT_MÓVEL_GT_00.24%</v>
          </cell>
          <cell r="G1361">
            <v>0.24</v>
          </cell>
        </row>
        <row r="1362">
          <cell r="A1362" t="str">
            <v>Oi Total Fixo + Pós 50 + Banda Larga0.0689Template de desconto percentual FLAT Móvel - Conta Total - Varejo - Ganho Tributário Cross</v>
          </cell>
          <cell r="B1362" t="str">
            <v>Plano Oi Completo XSmall</v>
          </cell>
          <cell r="C1362" t="str">
            <v>Template de desconto percentual FLAT Móvel - Conta Total - Varejo - Ganho Tributário Cross</v>
          </cell>
          <cell r="D1362">
            <v>6.8900000000000003E-2</v>
          </cell>
          <cell r="E1362" t="str">
            <v>MKT-1-10033656491</v>
          </cell>
          <cell r="F1362" t="str">
            <v>0T3T_PAI17_PCS-4P2pi_FLAT_MÓVEL_GT_06.89%</v>
          </cell>
          <cell r="G1362">
            <v>6.89</v>
          </cell>
        </row>
        <row r="1363">
          <cell r="A1363" t="str">
            <v>Oi Total Fixo + Pós 50 + Banda Larga0.1052Template de desconto percentual FLAT Móvel - Conta Total - Varejo - Ganho Tributário Cross</v>
          </cell>
          <cell r="B1363" t="str">
            <v>Plano Oi Completo XSmall</v>
          </cell>
          <cell r="C1363" t="str">
            <v>Template de desconto percentual FLAT Móvel - Conta Total - Varejo - Ganho Tributário Cross</v>
          </cell>
          <cell r="D1363">
            <v>0.1052</v>
          </cell>
          <cell r="E1363" t="str">
            <v>MKT-1-10033656701</v>
          </cell>
          <cell r="F1363" t="str">
            <v>0T3T_PAI17_PCS-4P2pi_FLAT_MÓVEL_GT_10.52%</v>
          </cell>
          <cell r="G1363">
            <v>10.52</v>
          </cell>
        </row>
        <row r="1364">
          <cell r="A1364" t="str">
            <v>Oi Total Fixo + Pós 100 + Banda Larga0.5072Template de desconto percentual FLAT Móvel - Conta Total - Varejo - Ganho Tributário Cross</v>
          </cell>
          <cell r="B1364" t="str">
            <v>Plano Oi Completo Small</v>
          </cell>
          <cell r="C1364" t="str">
            <v>Template de desconto percentual FLAT Móvel - Conta Total - Varejo - Ganho Tributário Cross</v>
          </cell>
          <cell r="D1364">
            <v>0.50719999999999998</v>
          </cell>
          <cell r="E1364" t="str">
            <v>MKT-1-10033656916</v>
          </cell>
          <cell r="F1364" t="str">
            <v>0T3T_PAI17_PCS-4P3pi_FLAT_MÓVEL_GT_50.72%</v>
          </cell>
          <cell r="G1364">
            <v>50.72</v>
          </cell>
        </row>
        <row r="1365">
          <cell r="A1365" t="str">
            <v>Oi Total Fixo + Pós 100 + Banda Larga0.5773Template de desconto percentual FLAT Móvel - Conta Total - Varejo - Ganho Tributário Cross</v>
          </cell>
          <cell r="B1365" t="str">
            <v>Plano Oi Completo Small</v>
          </cell>
          <cell r="C1365" t="str">
            <v>Template de desconto percentual FLAT Móvel - Conta Total - Varejo - Ganho Tributário Cross</v>
          </cell>
          <cell r="D1365">
            <v>0.57729999999999992</v>
          </cell>
          <cell r="E1365" t="str">
            <v>MKT-1-10033696451</v>
          </cell>
          <cell r="F1365" t="str">
            <v>0T3T_PAI17_PCS-4P3pi_FLAT_MÓVEL_GT_57.73%</v>
          </cell>
          <cell r="G1365">
            <v>57.73</v>
          </cell>
        </row>
        <row r="1366">
          <cell r="A1366" t="str">
            <v>Oi Total Fixo + Pós 100 + Banda Larga0.4493Template de desconto percentual FLAT Móvel - Conta Total - Varejo - Ganho Tributário Cross</v>
          </cell>
          <cell r="B1366" t="str">
            <v>Plano Oi Completo Small</v>
          </cell>
          <cell r="C1366" t="str">
            <v>Template de desconto percentual FLAT Móvel - Conta Total - Varejo - Ganho Tributário Cross</v>
          </cell>
          <cell r="D1366">
            <v>0.44929999999999998</v>
          </cell>
          <cell r="E1366" t="str">
            <v>MKT-1-10033894301</v>
          </cell>
          <cell r="F1366" t="str">
            <v>0T3T_PAI17_PCS-4P3pi_FLAT_MÓVEL_GT_44.93%</v>
          </cell>
          <cell r="G1366">
            <v>44.93</v>
          </cell>
        </row>
        <row r="1367">
          <cell r="A1367" t="str">
            <v>Oi Total Fixo + Pós 100 + Banda Larga0.3522Template de desconto percentual FLAT Móvel - Conta Total - Varejo - Ganho Tributário Cross</v>
          </cell>
          <cell r="B1367" t="str">
            <v>Plano Oi Completo Small</v>
          </cell>
          <cell r="C1367" t="str">
            <v>Template de desconto percentual FLAT Móvel - Conta Total - Varejo - Ganho Tributário Cross</v>
          </cell>
          <cell r="D1367">
            <v>0.35220000000000001</v>
          </cell>
          <cell r="E1367" t="str">
            <v>MKT-1-10033914351</v>
          </cell>
          <cell r="F1367" t="str">
            <v>0T3T_PAI17_PCS-4P3pi_FLAT_MÓVEL_GT_35.22%</v>
          </cell>
          <cell r="G1367">
            <v>35.22</v>
          </cell>
        </row>
        <row r="1368">
          <cell r="A1368" t="str">
            <v>Oi Total Fixo + Pós 100 + Banda Larga0.2789Template de desconto percentual FLAT Móvel - Conta Total - Varejo - Ganho Tributário Cross</v>
          </cell>
          <cell r="B1368" t="str">
            <v>Plano Oi Completo Small</v>
          </cell>
          <cell r="C1368" t="str">
            <v>Template de desconto percentual FLAT Móvel - Conta Total - Varejo - Ganho Tributário Cross</v>
          </cell>
          <cell r="D1368">
            <v>0.27889999999999998</v>
          </cell>
          <cell r="E1368" t="str">
            <v>MKT-1-10033939301</v>
          </cell>
          <cell r="F1368" t="str">
            <v>0T3T_PAI17_PCS-4P3pi_FLAT_MÓVEL_GT_27.89%</v>
          </cell>
          <cell r="G1368">
            <v>27.89</v>
          </cell>
        </row>
        <row r="1369">
          <cell r="A1369" t="str">
            <v>Oi Total Fixo + Pós 100 + Banda Larga0.3138Template de desconto percentual FLAT Móvel - Conta Total - Varejo - Ganho Tributário Cross</v>
          </cell>
          <cell r="B1369" t="str">
            <v>Plano Oi Completo Small</v>
          </cell>
          <cell r="C1369" t="str">
            <v>Template de desconto percentual FLAT Móvel - Conta Total - Varejo - Ganho Tributário Cross</v>
          </cell>
          <cell r="D1369">
            <v>0.31379999999999997</v>
          </cell>
          <cell r="E1369" t="str">
            <v>MKT-1-10033945321</v>
          </cell>
          <cell r="F1369" t="str">
            <v>0T3T_PAI17_PCS-4P3pi_FLAT_MÓVEL_GT_31.38%</v>
          </cell>
          <cell r="G1369">
            <v>31.38</v>
          </cell>
        </row>
        <row r="1370">
          <cell r="A1370" t="str">
            <v>Oi Total Fixo + Pós 100 + Banda Larga0.4679Template de desconto percentual FLAT Móvel - Conta Total - Varejo - Ganho Tributário Cross</v>
          </cell>
          <cell r="B1370" t="str">
            <v>Plano Oi Completo Small</v>
          </cell>
          <cell r="C1370" t="str">
            <v>Template de desconto percentual FLAT Móvel - Conta Total - Varejo - Ganho Tributário Cross</v>
          </cell>
          <cell r="D1370">
            <v>0.46789999999999998</v>
          </cell>
          <cell r="E1370" t="str">
            <v>MKT-1-10033945531</v>
          </cell>
          <cell r="F1370" t="str">
            <v>0T3T_PAI17_PCS-4P3pi_FLAT_MÓVEL_GT_46.79%</v>
          </cell>
          <cell r="G1370">
            <v>46.79</v>
          </cell>
        </row>
        <row r="1371">
          <cell r="A1371" t="str">
            <v>Oi Total Fixo + Pós 100 + Banda Larga0.3901Template de desconto percentual FLAT Móvel - Conta Total - Varejo - Ganho Tributário Cross</v>
          </cell>
          <cell r="B1371" t="str">
            <v>Plano Oi Completo Small</v>
          </cell>
          <cell r="C1371" t="str">
            <v>Template de desconto percentual FLAT Móvel - Conta Total - Varejo - Ganho Tributário Cross</v>
          </cell>
          <cell r="D1371">
            <v>0.3901</v>
          </cell>
          <cell r="E1371" t="str">
            <v>MKT-1-10033945741</v>
          </cell>
          <cell r="F1371" t="str">
            <v>0T3T_PAI17_PCS-4P3pi_FLAT_MÓVEL_GT_39.01%</v>
          </cell>
          <cell r="G1371">
            <v>39.01</v>
          </cell>
        </row>
        <row r="1372">
          <cell r="A1372" t="str">
            <v>Oi Total Fixo + Pós 100 + Banda Larga0.3042Template de desconto percentual FLAT Móvel - Conta Total - Varejo - Ganho Tributário Cross</v>
          </cell>
          <cell r="B1372" t="str">
            <v>Plano Oi Completo Small</v>
          </cell>
          <cell r="C1372" t="str">
            <v>Template de desconto percentual FLAT Móvel - Conta Total - Varejo - Ganho Tributário Cross</v>
          </cell>
          <cell r="D1372">
            <v>0.30420000000000003</v>
          </cell>
          <cell r="E1372" t="str">
            <v>MKT-1-10033945951</v>
          </cell>
          <cell r="F1372" t="str">
            <v>0T3T_PAI17_PCS-4P3pi_FLAT_MÓVEL_GT_30.42%</v>
          </cell>
          <cell r="G1372">
            <v>30.42</v>
          </cell>
        </row>
        <row r="1373">
          <cell r="A1373" t="str">
            <v>Oi Total Fixo + Pós 100 + Banda Larga0.1336Template de desconto percentual FLAT Móvel - Conta Total - Varejo - Ganho Tributário Cross</v>
          </cell>
          <cell r="B1373" t="str">
            <v>Plano Oi Completo Small</v>
          </cell>
          <cell r="C1373" t="str">
            <v>Template de desconto percentual FLAT Móvel - Conta Total - Varejo - Ganho Tributário Cross</v>
          </cell>
          <cell r="D1373">
            <v>0.1336</v>
          </cell>
          <cell r="E1373" t="str">
            <v>MKT-1-10033946251</v>
          </cell>
          <cell r="F1373" t="str">
            <v>0T3T_PAI17_PCS-4P3pi_FLAT_MÓVEL_GT_13.36%</v>
          </cell>
          <cell r="G1373">
            <v>13.36</v>
          </cell>
        </row>
        <row r="1374">
          <cell r="A1374" t="str">
            <v>Oi Total Fixo + Pós 100 + Banda Larga0.3821Template de desconto percentual FLAT Móvel - Conta Total - Varejo - Ganho Tributário Cross</v>
          </cell>
          <cell r="B1374" t="str">
            <v>Plano Oi Completo Small</v>
          </cell>
          <cell r="C1374" t="str">
            <v>Template de desconto percentual FLAT Móvel - Conta Total - Varejo - Ganho Tributário Cross</v>
          </cell>
          <cell r="D1374">
            <v>0.3821</v>
          </cell>
          <cell r="E1374" t="str">
            <v>MKT-1-10033946361</v>
          </cell>
          <cell r="F1374" t="str">
            <v>0T3T_PAI17_PCS-4P3pi_FLAT_MÓVEL_GT_38.21%</v>
          </cell>
          <cell r="G1374">
            <v>38.21</v>
          </cell>
        </row>
        <row r="1375">
          <cell r="A1375" t="str">
            <v>Oi Total Fixo + Pós 100 + Banda Larga0.3244Template de desconto percentual FLAT Móvel - Conta Total - Varejo - Ganho Tributário Cross</v>
          </cell>
          <cell r="B1375" t="str">
            <v>Plano Oi Completo Small</v>
          </cell>
          <cell r="C1375" t="str">
            <v>Template de desconto percentual FLAT Móvel - Conta Total - Varejo - Ganho Tributário Cross</v>
          </cell>
          <cell r="D1375">
            <v>0.32439999999999997</v>
          </cell>
          <cell r="E1375" t="str">
            <v>MKT-1-10033946661</v>
          </cell>
          <cell r="F1375" t="str">
            <v>0T3T_PAI17_PCS-4P3pi_FLAT_MÓVEL_GT_32.44%</v>
          </cell>
          <cell r="G1375">
            <v>32.44</v>
          </cell>
        </row>
        <row r="1376">
          <cell r="A1376" t="str">
            <v>Oi Total Fixo + Pós 100 + Banda Larga0.2385Template de desconto percentual FLAT Móvel - Conta Total - Varejo - Ganho Tributário Cross</v>
          </cell>
          <cell r="B1376" t="str">
            <v>Plano Oi Completo Small</v>
          </cell>
          <cell r="C1376" t="str">
            <v>Template de desconto percentual FLAT Móvel - Conta Total - Varejo - Ganho Tributário Cross</v>
          </cell>
          <cell r="D1376">
            <v>0.23850000000000002</v>
          </cell>
          <cell r="E1376" t="str">
            <v>MKT-1-10033946871</v>
          </cell>
          <cell r="F1376" t="str">
            <v>0T3T_PAI17_PCS-4P3pi_FLAT_MÓVEL_GT_23.85%</v>
          </cell>
          <cell r="G1376">
            <v>23.85</v>
          </cell>
        </row>
        <row r="1377">
          <cell r="A1377" t="str">
            <v>Oi Total Fixo + Pós 100 + Banda Larga0.2195Template de desconto percentual FLAT Móvel - Conta Total - Varejo - Ganho Tributário Cross</v>
          </cell>
          <cell r="B1377" t="str">
            <v>Plano Oi Completo Small</v>
          </cell>
          <cell r="C1377" t="str">
            <v>Template de desconto percentual FLAT Móvel - Conta Total - Varejo - Ganho Tributário Cross</v>
          </cell>
          <cell r="D1377">
            <v>0.2195</v>
          </cell>
          <cell r="E1377" t="str">
            <v>MKT-1-10033947081</v>
          </cell>
          <cell r="F1377" t="str">
            <v>0T3T_PAI17_PCS-4P3pi_FLAT_MÓVEL_GT_21.95%</v>
          </cell>
          <cell r="G1377">
            <v>21.95</v>
          </cell>
        </row>
        <row r="1378">
          <cell r="A1378" t="str">
            <v>Oi Total Fixo + Pós 100 + Banda Larga0.1227Template de desconto percentual FLAT Móvel - Conta Total - Varejo - Ganho Tributário Cross</v>
          </cell>
          <cell r="B1378" t="str">
            <v>Plano Oi Completo Small</v>
          </cell>
          <cell r="C1378" t="str">
            <v>Template de desconto percentual FLAT Móvel - Conta Total - Varejo - Ganho Tributário Cross</v>
          </cell>
          <cell r="D1378">
            <v>0.12269999999999999</v>
          </cell>
          <cell r="E1378" t="str">
            <v>MKT-1-10034053461</v>
          </cell>
          <cell r="F1378" t="str">
            <v>0T3T_PAI17_PCS-4P3pi_FLAT_MÓVEL_GT_12.27%</v>
          </cell>
          <cell r="G1378">
            <v>12.27</v>
          </cell>
        </row>
        <row r="1379">
          <cell r="A1379" t="str">
            <v>Oi Total Fixo + Pós 100 + Banda Larga0.0369Template de desconto percentual FLAT Móvel - Conta Total - Varejo - Ganho Tributário Cross</v>
          </cell>
          <cell r="B1379" t="str">
            <v>Plano Oi Completo Small</v>
          </cell>
          <cell r="C1379" t="str">
            <v>Template de desconto percentual FLAT Móvel - Conta Total - Varejo - Ganho Tributário Cross</v>
          </cell>
          <cell r="D1379">
            <v>3.6900000000000002E-2</v>
          </cell>
          <cell r="E1379" t="str">
            <v>MKT-1-10042956652</v>
          </cell>
          <cell r="F1379" t="str">
            <v>0T3T_PAI17_PCS-4P3pi_FLAT_MÓVEL_GT_03.69%</v>
          </cell>
          <cell r="G1379">
            <v>3.69</v>
          </cell>
        </row>
        <row r="1380">
          <cell r="A1380" t="str">
            <v>Oi Total Fixo + Pós 250 + Banda Larga0.5411Template de desconto percentual FLAT Móvel - Conta Total - Varejo - Ganho Tributário Cross</v>
          </cell>
          <cell r="B1380" t="str">
            <v>Plano Oi Completo Medium</v>
          </cell>
          <cell r="C1380" t="str">
            <v>Template de desconto percentual FLAT Móvel - Conta Total - Varejo - Ganho Tributário Cross</v>
          </cell>
          <cell r="D1380">
            <v>0.54110000000000003</v>
          </cell>
          <cell r="E1380" t="str">
            <v>MKT-1-10042956961</v>
          </cell>
          <cell r="F1380" t="str">
            <v>0T3T_PAI17_PCS-4P4pi_FLAT_MÓVEL_GT_54.11%</v>
          </cell>
          <cell r="G1380">
            <v>54.11</v>
          </cell>
        </row>
        <row r="1381">
          <cell r="A1381" t="str">
            <v>Oi Total Fixo + Pós 250 + Banda Larga0.5993Template de desconto percentual FLAT Móvel - Conta Total - Varejo - Ganho Tributário Cross</v>
          </cell>
          <cell r="B1381" t="str">
            <v>Plano Oi Completo Medium</v>
          </cell>
          <cell r="C1381" t="str">
            <v>Template de desconto percentual FLAT Móvel - Conta Total - Varejo - Ganho Tributário Cross</v>
          </cell>
          <cell r="D1381">
            <v>0.59929999999999994</v>
          </cell>
          <cell r="E1381" t="str">
            <v>MKT-1-10043964101</v>
          </cell>
          <cell r="F1381" t="str">
            <v>0T3T_PAI17_PCS-4P4pi_FLAT_MÓVEL_GT_59.93%</v>
          </cell>
          <cell r="G1381">
            <v>59.93</v>
          </cell>
        </row>
        <row r="1382">
          <cell r="A1382" t="str">
            <v>Oi Total Fixo + Pós 250 + Banda Larga0.6761Template de desconto percentual FLAT Móvel - Conta Total - Varejo - Ganho Tributário Cross</v>
          </cell>
          <cell r="B1382" t="str">
            <v>Plano Oi Completo Medium</v>
          </cell>
          <cell r="C1382" t="str">
            <v>Template de desconto percentual FLAT Móvel - Conta Total - Varejo - Ganho Tributário Cross</v>
          </cell>
          <cell r="D1382">
            <v>0.67610000000000003</v>
          </cell>
          <cell r="E1382" t="str">
            <v>MKT-1-10044311341</v>
          </cell>
          <cell r="F1382" t="str">
            <v>0T3T_PAI17_PCS-4P4pi_FLAT_MÓVEL_GT_67.61%</v>
          </cell>
          <cell r="G1382">
            <v>67.61</v>
          </cell>
        </row>
        <row r="1383">
          <cell r="A1383" t="str">
            <v>Oi Total Fixo + Pós 250 + Banda Larga0.6341Template de desconto percentual FLAT Móvel - Conta Total - Varejo - Ganho Tributário Cross</v>
          </cell>
          <cell r="B1383" t="str">
            <v>Plano Oi Completo Medium</v>
          </cell>
          <cell r="C1383" t="str">
            <v>Template de desconto percentual FLAT Móvel - Conta Total - Varejo - Ganho Tributário Cross</v>
          </cell>
          <cell r="D1383">
            <v>0.6341</v>
          </cell>
          <cell r="E1383" t="str">
            <v>MKT-1-10044311751</v>
          </cell>
          <cell r="F1383" t="str">
            <v>0T3T_PAI17_PCS-4P4pi_FLAT_MÓVEL_GT_63.41%</v>
          </cell>
          <cell r="G1383">
            <v>63.41</v>
          </cell>
        </row>
        <row r="1384">
          <cell r="A1384" t="str">
            <v>Oi Total Fixo + Pós 250 + Banda Larga0.5086Template de desconto percentual FLAT Móvel - Conta Total - Varejo - Ganho Tributário Cross</v>
          </cell>
          <cell r="B1384" t="str">
            <v>Plano Oi Completo Medium</v>
          </cell>
          <cell r="C1384" t="str">
            <v>Template de desconto percentual FLAT Móvel - Conta Total - Varejo - Ganho Tributário Cross</v>
          </cell>
          <cell r="D1384">
            <v>0.50859999999999994</v>
          </cell>
          <cell r="E1384" t="str">
            <v>MKT-1-10044311991</v>
          </cell>
          <cell r="F1384" t="str">
            <v>0T3T_PAI17_PCS-4P4pi_FLAT_MÓVEL_GT_50.86%</v>
          </cell>
          <cell r="G1384">
            <v>50.86</v>
          </cell>
        </row>
        <row r="1385">
          <cell r="A1385" t="str">
            <v>Oi Total Fixo + Pós 250 + Banda Larga0.6011Template de desconto percentual FLAT Móvel - Conta Total - Varejo - Ganho Tributário Cross</v>
          </cell>
          <cell r="B1385" t="str">
            <v>Plano Oi Completo Medium</v>
          </cell>
          <cell r="C1385" t="str">
            <v>Template de desconto percentual FLAT Móvel - Conta Total - Varejo - Ganho Tributário Cross</v>
          </cell>
          <cell r="D1385">
            <v>0.60109999999999997</v>
          </cell>
          <cell r="E1385" t="str">
            <v>MKT-1-10044312211</v>
          </cell>
          <cell r="F1385" t="str">
            <v>0T3T_PAI17_PCS-4P4pi_FLAT_MÓVEL_GT_60.11%</v>
          </cell>
          <cell r="G1385">
            <v>60.11</v>
          </cell>
        </row>
        <row r="1386">
          <cell r="A1386" t="str">
            <v>Oi Total Fixo + Pós 250 + Banda Larga0.4971Template de desconto percentual FLAT Móvel - Conta Total - Varejo - Ganho Tributário Cross</v>
          </cell>
          <cell r="B1386" t="str">
            <v>Plano Oi Completo Medium</v>
          </cell>
          <cell r="C1386" t="str">
            <v>Template de desconto percentual FLAT Móvel - Conta Total - Varejo - Ganho Tributário Cross</v>
          </cell>
          <cell r="D1386">
            <v>0.49709999999999999</v>
          </cell>
          <cell r="E1386" t="str">
            <v>MKT-1-10044341761</v>
          </cell>
          <cell r="F1386" t="str">
            <v>0T3T_PAI17_PCS-4P4pi_FLAT_MÓVEL_GT_49.71%</v>
          </cell>
          <cell r="G1386">
            <v>49.71</v>
          </cell>
        </row>
        <row r="1387">
          <cell r="A1387" t="str">
            <v>Oi Total Fixo + Pós 250 + Banda Larga0.5197Template de desconto percentual FLAT Móvel - Conta Total - Varejo - Ganho Tributário Cross</v>
          </cell>
          <cell r="B1387" t="str">
            <v>Plano Oi Completo Medium</v>
          </cell>
          <cell r="C1387" t="str">
            <v>Template de desconto percentual FLAT Móvel - Conta Total - Varejo - Ganho Tributário Cross</v>
          </cell>
          <cell r="D1387">
            <v>0.51969999999999994</v>
          </cell>
          <cell r="E1387" t="str">
            <v>MKT-1-10044342251</v>
          </cell>
          <cell r="F1387" t="str">
            <v>0T3T_PAI17_PCS-4P4pi_FLAT_MÓVEL_GT_51.97%</v>
          </cell>
          <cell r="G1387">
            <v>51.97</v>
          </cell>
        </row>
        <row r="1388">
          <cell r="A1388" t="str">
            <v>Oi Total Fixo + Pós 50 + Banda Larga0.1166Template de desconto percentual FLAT Móvel - Conta Total - Varejo - Ganho Tributário Cross</v>
          </cell>
          <cell r="B1388" t="str">
            <v>Plano Oi Completo XSmall</v>
          </cell>
          <cell r="C1388" t="str">
            <v>Template de desconto percentual FLAT Móvel - Conta Total - Varejo - Ganho Tributário Cross</v>
          </cell>
          <cell r="D1388">
            <v>0.1166</v>
          </cell>
          <cell r="E1388" t="str">
            <v>MKT-1-10044408309</v>
          </cell>
          <cell r="F1388" t="str">
            <v>0T3T_PAI17_PCS-4P2pi_FLAT_MÓVEL_GT_11.66%.</v>
          </cell>
          <cell r="G1388">
            <v>11.66</v>
          </cell>
        </row>
        <row r="1389">
          <cell r="A1389" t="str">
            <v>Oi Total Fixo + Pós 250 + Banda Larga0.5496Template de desconto percentual FLAT Móvel - Conta Total - Varejo - Ganho Tributário Cross</v>
          </cell>
          <cell r="B1389" t="str">
            <v>Plano Oi Completo Medium</v>
          </cell>
          <cell r="C1389" t="str">
            <v>Template de desconto percentual FLAT Móvel - Conta Total - Varejo - Ganho Tributário Cross</v>
          </cell>
          <cell r="D1389">
            <v>0.54959999999999998</v>
          </cell>
          <cell r="E1389" t="str">
            <v>MKT-1-10044408311</v>
          </cell>
          <cell r="F1389" t="str">
            <v>0T3T_PAI17_PCS-4P4pi_FLAT_MÓVEL_GT_54.96%</v>
          </cell>
          <cell r="G1389">
            <v>54.96</v>
          </cell>
        </row>
        <row r="1390">
          <cell r="A1390" t="str">
            <v>Oi Total Fixo + Pós 250 + Banda Larga0.5544Template de desconto percentual FLAT Móvel - Conta Total - Varejo - Ganho Tributário Cross</v>
          </cell>
          <cell r="B1390" t="str">
            <v>Plano Oi Completo Medium</v>
          </cell>
          <cell r="C1390" t="str">
            <v>Template de desconto percentual FLAT Móvel - Conta Total - Varejo - Ganho Tributário Cross</v>
          </cell>
          <cell r="D1390">
            <v>0.5544</v>
          </cell>
          <cell r="E1390" t="str">
            <v>MKT-1-10044408521</v>
          </cell>
          <cell r="F1390" t="str">
            <v>0T3T_PAI17_PCS-4P4pi_FLAT_MÓVEL_GT_55.44%</v>
          </cell>
          <cell r="G1390">
            <v>55.44</v>
          </cell>
        </row>
        <row r="1391">
          <cell r="A1391" t="str">
            <v>Oi Total Fixo + Pós 250 + Banda Larga0.5076Template de desconto percentual FLAT Móvel - Conta Total - Varejo - Ganho Tributário Cross</v>
          </cell>
          <cell r="B1391" t="str">
            <v>Plano Oi Completo Medium</v>
          </cell>
          <cell r="C1391" t="str">
            <v>Template de desconto percentual FLAT Móvel - Conta Total - Varejo - Ganho Tributário Cross</v>
          </cell>
          <cell r="D1391">
            <v>0.50759999999999994</v>
          </cell>
          <cell r="E1391" t="str">
            <v>MKT-1-10044457431</v>
          </cell>
          <cell r="F1391" t="str">
            <v>0T3T_PAI17_PCS-4P4pi_FLAT_MÓVEL_GT_50.76%</v>
          </cell>
          <cell r="G1391">
            <v>50.76</v>
          </cell>
        </row>
        <row r="1392">
          <cell r="A1392" t="str">
            <v>Oi Total Fixo + Pós 500 + Banda Larga0.6737Template de desconto percentual FLAT Móvel - Conta Total - Varejo - Ganho Tributário Cross</v>
          </cell>
          <cell r="B1392" t="str">
            <v>Plano Oi Completo Large</v>
          </cell>
          <cell r="C1392" t="str">
            <v>Template de desconto percentual FLAT Móvel - Conta Total - Varejo - Ganho Tributário Cross</v>
          </cell>
          <cell r="D1392">
            <v>0.67370000000000008</v>
          </cell>
          <cell r="E1392" t="str">
            <v>MKT-1-10044457701</v>
          </cell>
          <cell r="F1392" t="str">
            <v>0T3T_PAI17_PCS-4P5pi_FLAT_MÓVEL_GT_67.37%..</v>
          </cell>
          <cell r="G1392">
            <v>67.37</v>
          </cell>
        </row>
        <row r="1393">
          <cell r="A1393" t="str">
            <v>Oi Total Fixo + Pós 250 + Banda Larga0.4681Template de desconto percentual FLAT Móvel - Conta Total - Varejo - Ganho Tributário Cross</v>
          </cell>
          <cell r="B1393" t="str">
            <v>Plano Oi Completo Medium</v>
          </cell>
          <cell r="C1393" t="str">
            <v>Template de desconto percentual FLAT Móvel - Conta Total - Varejo - Ganho Tributário Cross</v>
          </cell>
          <cell r="D1393">
            <v>0.46810000000000002</v>
          </cell>
          <cell r="E1393" t="str">
            <v>MKT-1-10044508511</v>
          </cell>
          <cell r="F1393" t="str">
            <v>0T3T_PAI17_PCS-4P4pi_FLAT_MÓVEL_GT_46.81%</v>
          </cell>
          <cell r="G1393">
            <v>46.81</v>
          </cell>
        </row>
        <row r="1394">
          <cell r="A1394" t="str">
            <v>Oi Total Fixo + Pós 250 + Banda Larga0.452Template de desconto percentual FLAT Móvel - Conta Total - Varejo - Ganho Tributário Cross</v>
          </cell>
          <cell r="B1394" t="str">
            <v>Plano Oi Completo Medium</v>
          </cell>
          <cell r="C1394" t="str">
            <v>Template de desconto percentual FLAT Móvel - Conta Total - Varejo - Ganho Tributário Cross</v>
          </cell>
          <cell r="D1394">
            <v>0.45200000000000001</v>
          </cell>
          <cell r="E1394" t="str">
            <v>MKT-1-10044508721</v>
          </cell>
          <cell r="F1394" t="str">
            <v>0T3T_PAI17_PCS-4P4pi_FLAT_MÓVEL_GT_45.20%</v>
          </cell>
          <cell r="G1394">
            <v>45.2</v>
          </cell>
        </row>
        <row r="1395">
          <cell r="A1395" t="str">
            <v>Oi Total Fixo + Pós 250 + Banda Larga0.3472Template de desconto percentual FLAT Móvel - Conta Total - Varejo - Ganho Tributário Cross</v>
          </cell>
          <cell r="B1395" t="str">
            <v>Plano Oi Completo Medium</v>
          </cell>
          <cell r="C1395" t="str">
            <v>Template de desconto percentual FLAT Móvel - Conta Total - Varejo - Ganho Tributário Cross</v>
          </cell>
          <cell r="D1395">
            <v>0.34720000000000001</v>
          </cell>
          <cell r="E1395" t="str">
            <v>MKT-1-10044578621</v>
          </cell>
          <cell r="F1395" t="str">
            <v>0T3T_PAI17_PCS-4P4pi_FLAT_MÓVEL_GT_34.72%</v>
          </cell>
          <cell r="G1395">
            <v>34.72</v>
          </cell>
        </row>
        <row r="1396">
          <cell r="A1396" t="str">
            <v>Oi Total Fixo + Pós 250 + Banda Larga0.4005Template de desconto percentual FLAT Móvel - Conta Total - Varejo - Ganho Tributário Cross</v>
          </cell>
          <cell r="B1396" t="str">
            <v>Plano Oi Completo Medium</v>
          </cell>
          <cell r="C1396" t="str">
            <v>Template de desconto percentual FLAT Móvel - Conta Total - Varejo - Ganho Tributário Cross</v>
          </cell>
          <cell r="D1396">
            <v>0.40049999999999997</v>
          </cell>
          <cell r="E1396" t="str">
            <v>MKT-1-10045405621</v>
          </cell>
          <cell r="F1396" t="str">
            <v>0T3T_PAI17_PCS-4P4pi_FLAT_MÓVEL_GT_40.05%</v>
          </cell>
          <cell r="G1396">
            <v>40.049999999999997</v>
          </cell>
        </row>
        <row r="1397">
          <cell r="A1397" t="str">
            <v>Oi Total Fixo + Pós 250 + Banda Larga0.394Template de desconto percentual FLAT Móvel - Conta Total - Varejo - Ganho Tributário Cross</v>
          </cell>
          <cell r="B1397" t="str">
            <v>Plano Oi Completo Medium</v>
          </cell>
          <cell r="C1397" t="str">
            <v>Template de desconto percentual FLAT Móvel - Conta Total - Varejo - Ganho Tributário Cross</v>
          </cell>
          <cell r="D1397">
            <v>0.39399999999999996</v>
          </cell>
          <cell r="E1397" t="str">
            <v>MKT-1-10045584781</v>
          </cell>
          <cell r="F1397" t="str">
            <v>0T3T_PAI17_PCS-4P4pi_FLAT_MÓVEL_GT_39.40%</v>
          </cell>
          <cell r="G1397">
            <v>39.4</v>
          </cell>
        </row>
        <row r="1398">
          <cell r="A1398" t="str">
            <v>Oi Total Fixo + Pós 500 + Banda Larga0.6192Template de desconto percentual FLAT Móvel - Conta Total - Varejo - Ganho Tributário Cross</v>
          </cell>
          <cell r="B1398" t="str">
            <v>Plano Oi Completo Large</v>
          </cell>
          <cell r="C1398" t="str">
            <v>Template de desconto percentual FLAT Móvel - Conta Total - Varejo - Ganho Tributário Cross</v>
          </cell>
          <cell r="D1398">
            <v>0.61919999999999997</v>
          </cell>
          <cell r="E1398" t="str">
            <v>MKT-1-10046291091</v>
          </cell>
          <cell r="F1398" t="str">
            <v>0T3T_PAI17_PCS-4P5pi_FLAT_MÓVEL_GT_61.92%</v>
          </cell>
          <cell r="G1398">
            <v>61.92</v>
          </cell>
        </row>
        <row r="1399">
          <cell r="A1399" t="str">
            <v>Oi Total Fixo + Pós 500 + Banda Larga0.6457Template de desconto percentual FLAT Móvel - Conta Total - Varejo - Ganho Tributário Cross</v>
          </cell>
          <cell r="B1399" t="str">
            <v>Plano Oi Completo Large</v>
          </cell>
          <cell r="C1399" t="str">
            <v>Template de desconto percentual FLAT Móvel - Conta Total - Varejo - Ganho Tributário Cross</v>
          </cell>
          <cell r="D1399">
            <v>0.64569999999999994</v>
          </cell>
          <cell r="E1399" t="str">
            <v>MKT-1-10046333071</v>
          </cell>
          <cell r="F1399" t="str">
            <v>0T3T_PAI17_PCS-4P5pi_FLAT_MÓVEL_GT_64.57%</v>
          </cell>
          <cell r="G1399">
            <v>64.569999999999993</v>
          </cell>
        </row>
        <row r="1400">
          <cell r="A1400" t="str">
            <v>Oi Total Fixo + Pós 500 + Banda Larga0.59Template de desconto percentual FLAT Móvel - Conta Total - Varejo - Ganho Tributário Cross</v>
          </cell>
          <cell r="B1400" t="str">
            <v>Plano Oi Completo Large</v>
          </cell>
          <cell r="C1400" t="str">
            <v>Template de desconto percentual FLAT Móvel - Conta Total - Varejo - Ganho Tributário Cross</v>
          </cell>
          <cell r="D1400">
            <v>0.59</v>
          </cell>
          <cell r="E1400" t="str">
            <v>MKT-1-10046333281</v>
          </cell>
          <cell r="F1400" t="str">
            <v>0T3T_PAI17_PCS-4P5pi_FLAT_MÓVEL_GT_59.00%</v>
          </cell>
          <cell r="G1400">
            <v>59</v>
          </cell>
        </row>
        <row r="1401">
          <cell r="A1401" t="str">
            <v>Oi Total Fixo + Pós 50 + Banda Larga0.2308Template de desconto percentual FLAT Móvel - Conta Total - Varejo - Ganho Tributário Cross</v>
          </cell>
          <cell r="B1401" t="str">
            <v>Plano Oi Completo XSmall</v>
          </cell>
          <cell r="C1401" t="str">
            <v>Template de desconto percentual FLAT Móvel - Conta Total - Varejo - Ganho Tributário Cross</v>
          </cell>
          <cell r="D1401">
            <v>0.23079999999999998</v>
          </cell>
          <cell r="E1401" t="str">
            <v>MKT-1-10046378311</v>
          </cell>
          <cell r="F1401" t="str">
            <v>0T3T_PAI17_PCS-4P2pi_FLAT_MÓVEL_GT_23.08%</v>
          </cell>
          <cell r="G1401">
            <v>23.08</v>
          </cell>
        </row>
        <row r="1402">
          <cell r="A1402" t="str">
            <v>Oi Total Fixo + Pós 800 + Banda Larga0.6791Template de desconto percentual FLAT Móvel - Conta Total - Varejo - Ganho Tributário Cross</v>
          </cell>
          <cell r="B1402" t="str">
            <v>Plano Oi Completo XLarge</v>
          </cell>
          <cell r="C1402" t="str">
            <v>Template de desconto percentual FLAT Móvel - Conta Total - Varejo - Ganho Tributário Cross</v>
          </cell>
          <cell r="D1402">
            <v>0.67909999999999993</v>
          </cell>
          <cell r="E1402" t="str">
            <v>MKT-1-10046378701</v>
          </cell>
          <cell r="F1402" t="str">
            <v>0T3T_PAI17_PCS-4P6pi_FLAT_MÓVEL_GT_67.91%</v>
          </cell>
          <cell r="G1402">
            <v>67.91</v>
          </cell>
        </row>
        <row r="1403">
          <cell r="A1403" t="str">
            <v>Oi Total Fixo + Pós 800 + Banda Larga0.661Template de desconto percentual FLAT Móvel - Conta Total - Varejo - Ganho Tributário Cross</v>
          </cell>
          <cell r="B1403" t="str">
            <v>Plano Oi Completo XLarge</v>
          </cell>
          <cell r="C1403" t="str">
            <v>Template de desconto percentual FLAT Móvel - Conta Total - Varejo - Ganho Tributário Cross</v>
          </cell>
          <cell r="D1403">
            <v>0.66099999999999992</v>
          </cell>
          <cell r="E1403" t="str">
            <v>MKT-1-10046378941</v>
          </cell>
          <cell r="F1403" t="str">
            <v>0T3T_PAI17_PCS-4P6pi_FLAT_MÓVEL_GT_66.10%.</v>
          </cell>
          <cell r="G1403">
            <v>66.099999999999994</v>
          </cell>
        </row>
        <row r="1404">
          <cell r="A1404" t="str">
            <v>Oi Total Fixo + Pós 800 + Banda Larga0.6072Template de desconto percentual FLAT Móvel - Conta Total - Varejo - Ganho Tributário Cross</v>
          </cell>
          <cell r="B1404" t="str">
            <v>Plano Oi Completo XLarge</v>
          </cell>
          <cell r="C1404" t="str">
            <v>Template de desconto percentual FLAT Móvel - Conta Total - Varejo - Ganho Tributário Cross</v>
          </cell>
          <cell r="D1404">
            <v>0.60719999999999996</v>
          </cell>
          <cell r="E1404" t="str">
            <v>MKT-1-10046379152</v>
          </cell>
          <cell r="F1404" t="str">
            <v>0T3T_PAI17_PCS-4P6pi_FLAT_MÓVEL_GT_60.72%.</v>
          </cell>
          <cell r="G1404">
            <v>60.72</v>
          </cell>
        </row>
        <row r="1405">
          <cell r="A1405" t="str">
            <v>Oi Total Fixo + Pós 500 + Banda Larga0.6155Template de desconto percentual FLAT Móvel - Conta Total - Varejo - Ganho Tributário Cross</v>
          </cell>
          <cell r="B1405" t="str">
            <v>Plano Oi Completo Large</v>
          </cell>
          <cell r="C1405" t="str">
            <v>Template de desconto percentual FLAT Móvel - Conta Total - Varejo - Ganho Tributário Cross</v>
          </cell>
          <cell r="D1405">
            <v>0.61549999999999994</v>
          </cell>
          <cell r="E1405" t="str">
            <v>MKT-1-10046650301</v>
          </cell>
          <cell r="F1405" t="str">
            <v>0T3T_PAI17_PCS-4P5pi_FLAT_MÓVEL_GT_61.55%</v>
          </cell>
          <cell r="G1405">
            <v>61.55</v>
          </cell>
        </row>
        <row r="1406">
          <cell r="A1406" t="str">
            <v>Oi Total Fixo + Pós 500 + Banda Larga0.5464Template de desconto percentual FLAT Móvel - Conta Total - Varejo - Ganho Tributário Cross</v>
          </cell>
          <cell r="B1406" t="str">
            <v>Plano Oi Completo Large</v>
          </cell>
          <cell r="C1406" t="str">
            <v>Template de desconto percentual FLAT Móvel - Conta Total - Varejo - Ganho Tributário Cross</v>
          </cell>
          <cell r="D1406">
            <v>0.5464</v>
          </cell>
          <cell r="E1406" t="str">
            <v>MKT-1-10046650511</v>
          </cell>
          <cell r="F1406" t="str">
            <v>0T3T_PAI17_PCS-4P5pi_FLAT_MÓVEL_GT_54.64%</v>
          </cell>
          <cell r="G1406">
            <v>54.64</v>
          </cell>
        </row>
        <row r="1407">
          <cell r="A1407" t="str">
            <v>Oi Total Fixo + Pós 500 + Banda Larga0.5119Template de desconto percentual FLAT Móvel - Conta Total - Varejo - Ganho Tributário Cross</v>
          </cell>
          <cell r="B1407" t="str">
            <v>Plano Oi Completo Large</v>
          </cell>
          <cell r="C1407" t="str">
            <v>Template de desconto percentual FLAT Móvel - Conta Total - Varejo - Ganho Tributário Cross</v>
          </cell>
          <cell r="D1407">
            <v>0.51190000000000002</v>
          </cell>
          <cell r="E1407" t="str">
            <v>MKT-1-10046656491</v>
          </cell>
          <cell r="F1407" t="str">
            <v>0T3T_PAI17_PCS-4P5pi_FLAT_MÓVEL_GT_51.19%</v>
          </cell>
          <cell r="G1407">
            <v>51.19</v>
          </cell>
        </row>
        <row r="1408">
          <cell r="A1408" t="str">
            <v>Oi Total Fixo + Pós 800 + Banda Larga0.6765Template de desconto percentual FLAT Móvel - Conta Total - Varejo - Ganho Tributário Cross</v>
          </cell>
          <cell r="B1408" t="str">
            <v>Plano Oi Completo XLarge</v>
          </cell>
          <cell r="C1408" t="str">
            <v>Template de desconto percentual FLAT Móvel - Conta Total - Varejo - Ganho Tributário Cross</v>
          </cell>
          <cell r="D1408">
            <v>0.6765000000000001</v>
          </cell>
          <cell r="E1408" t="str">
            <v>MKT-1-10046656701</v>
          </cell>
          <cell r="F1408" t="str">
            <v>0T3T_PAI17_PCS-4P6pi_FLAT_MÓVEL_GT_67.65%</v>
          </cell>
          <cell r="G1408">
            <v>67.650000000000006</v>
          </cell>
        </row>
        <row r="1409">
          <cell r="A1409" t="str">
            <v>Oi Total Fixo + Pós 800 + Banda Larga0.6973Template de desconto percentual FLAT Móvel - Conta Total - Varejo - Ganho Tributário Cross</v>
          </cell>
          <cell r="B1409" t="str">
            <v>Plano Oi Completo XLarge</v>
          </cell>
          <cell r="C1409" t="str">
            <v>Template de desconto percentual FLAT Móvel - Conta Total - Varejo - Ganho Tributário Cross</v>
          </cell>
          <cell r="D1409">
            <v>0.69730000000000003</v>
          </cell>
          <cell r="E1409" t="str">
            <v>MKT-1-10046657071</v>
          </cell>
          <cell r="F1409" t="str">
            <v>0T3T_PAI17_PCS-4P6pi_FLAT_MÓVEL_GT_69.73%</v>
          </cell>
          <cell r="G1409">
            <v>69.73</v>
          </cell>
        </row>
        <row r="1410">
          <cell r="A1410" t="str">
            <v>Oi Total Fixo + Pós 800 + Banda Larga0.6309Template de desconto percentual FLAT Móvel - Conta Total - Varejo - Ganho Tributário Cross</v>
          </cell>
          <cell r="B1410" t="str">
            <v>Plano Oi Completo XLarge</v>
          </cell>
          <cell r="C1410" t="str">
            <v>Template de desconto percentual FLAT Móvel - Conta Total - Varejo - Ganho Tributário Cross</v>
          </cell>
          <cell r="D1410">
            <v>0.63090000000000002</v>
          </cell>
          <cell r="E1410" t="str">
            <v>MKT-1-10046657291</v>
          </cell>
          <cell r="F1410" t="str">
            <v>0T3T_PAI17_PCS-4P6pi_FLAT_MÓVEL_GT_63.09%</v>
          </cell>
          <cell r="G1410">
            <v>63.09</v>
          </cell>
        </row>
        <row r="1411">
          <cell r="A1411" t="str">
            <v>Oi Total Fixo + Banda Larga 30.9999Template Desc. % sobre Serviço SVA B2C</v>
          </cell>
          <cell r="B1411" t="str">
            <v>Oi Total Fixo + Banda Larga 3</v>
          </cell>
          <cell r="C1411" t="str">
            <v>Template Desc. % sobre Serviço SVA B2C</v>
          </cell>
          <cell r="D1411">
            <v>0.9998999999999999</v>
          </cell>
          <cell r="E1411" t="str">
            <v>MKT-1-10120769701</v>
          </cell>
          <cell r="F1411" t="str">
            <v>0T0T_NAT17_DET_SVA_BL_99.99%</v>
          </cell>
          <cell r="G1411">
            <v>99.99</v>
          </cell>
        </row>
        <row r="1412">
          <cell r="A1412" t="str">
            <v>Oi Total Fixo + Pós Conectado Mais + Banda Larga0.861Template de desconto percentual FLAT Móvel - Conta Total - Varejo - Ganho Tributário Cross</v>
          </cell>
          <cell r="B1412" t="str">
            <v>Plano Oi Completo Mais</v>
          </cell>
          <cell r="C1412" t="str">
            <v>Template de desconto percentual FLAT Móvel - Conta Total - Varejo - Ganho Tributário Cross</v>
          </cell>
          <cell r="D1412">
            <v>0.86099999999999999</v>
          </cell>
          <cell r="E1412" t="str">
            <v>MKT-1-10118721331</v>
          </cell>
          <cell r="F1412" t="str">
            <v>0T3T_NAT17_PCS-4P9pi_FLAT_MÓVEL_GT_86.10%</v>
          </cell>
          <cell r="G1412">
            <v>86.1</v>
          </cell>
        </row>
        <row r="1413">
          <cell r="A1413" t="str">
            <v>Oi Total Fixo + Pós Conectado Mais + Banda Larga0.8755Template de desconto percentual FLAT Móvel - Conta Total - Varejo - Ganho Tributário Cross</v>
          </cell>
          <cell r="B1413" t="str">
            <v>Plano Oi Completo Mais</v>
          </cell>
          <cell r="C1413" t="str">
            <v>Template de desconto percentual FLAT Móvel - Conta Total - Varejo - Ganho Tributário Cross</v>
          </cell>
          <cell r="D1413">
            <v>0.87549999999999994</v>
          </cell>
          <cell r="E1413" t="str">
            <v>MKT-1-10119645221</v>
          </cell>
          <cell r="F1413" t="str">
            <v>0T3T_NAT17_PCS-4P9pi_FLAT_MÓVEL_GT_87.55%</v>
          </cell>
          <cell r="G1413">
            <v>87.55</v>
          </cell>
        </row>
        <row r="1414">
          <cell r="A1414" t="str">
            <v>Oi Internet pra Celular 3GB0.2972Template Flat Instância Dados</v>
          </cell>
          <cell r="B1414" t="str">
            <v>Oi Internet pra Celular 3GB</v>
          </cell>
          <cell r="C1414" t="str">
            <v>Template Flat Instância Dados</v>
          </cell>
          <cell r="D1414">
            <v>0.29719999999999996</v>
          </cell>
          <cell r="E1414" t="str">
            <v>MKT-1-10119768091</v>
          </cell>
          <cell r="F1414" t="str">
            <v>0T3T_NAT17_INTCEL-3G_29.72%</v>
          </cell>
          <cell r="G1414">
            <v>29.72</v>
          </cell>
        </row>
        <row r="1415">
          <cell r="A1415" t="str">
            <v>Oi Internet pra Celular 2GB0.2972Template Flat Instância Dados</v>
          </cell>
          <cell r="B1415" t="str">
            <v>Oi Internet pra Celular 2GB</v>
          </cell>
          <cell r="C1415" t="str">
            <v>Template Flat Instância Dados</v>
          </cell>
          <cell r="D1415">
            <v>0.29719999999999996</v>
          </cell>
          <cell r="E1415" t="str">
            <v>MKT-1-10120913441</v>
          </cell>
          <cell r="F1415" t="str">
            <v>0T3T_NAT17_INTCEL-2G_29.72%</v>
          </cell>
          <cell r="G1415">
            <v>29.72</v>
          </cell>
        </row>
        <row r="1416">
          <cell r="A1416" t="str">
            <v>Oi Internet pra Celular 10GB0.2972Template Flat Instância Dados</v>
          </cell>
          <cell r="B1416" t="str">
            <v>Oi Internet pra Celular 10GB</v>
          </cell>
          <cell r="C1416" t="str">
            <v>Template Flat Instância Dados</v>
          </cell>
          <cell r="D1416">
            <v>0.29719999999999996</v>
          </cell>
          <cell r="E1416" t="str">
            <v>MKT-1-10120913821</v>
          </cell>
          <cell r="F1416" t="str">
            <v>0T3T_NAT17_INTCEL-10G_29.72%</v>
          </cell>
          <cell r="G1416">
            <v>29.72</v>
          </cell>
        </row>
        <row r="1417">
          <cell r="A1417" t="str">
            <v>Oi Internet pra Celular 3GB0.0072Template Flat Instância Dados</v>
          </cell>
          <cell r="B1417" t="str">
            <v>Oi Internet pra Celular 3GB</v>
          </cell>
          <cell r="C1417" t="str">
            <v>Template Flat Instância Dados</v>
          </cell>
          <cell r="D1417">
            <v>7.1999999999999998E-3</v>
          </cell>
          <cell r="E1417" t="str">
            <v>MKT-1-10120914201</v>
          </cell>
          <cell r="F1417" t="str">
            <v>0T3T_NAT17_INTCEL-3G_00.72%</v>
          </cell>
          <cell r="G1417">
            <v>0.72</v>
          </cell>
        </row>
        <row r="1418">
          <cell r="A1418" t="str">
            <v>Oi Internet pra Celular 2GB0.0072Template Flat Instância Dados</v>
          </cell>
          <cell r="B1418" t="str">
            <v>Oi Internet pra Celular 2GB</v>
          </cell>
          <cell r="C1418" t="str">
            <v>Template Flat Instância Dados</v>
          </cell>
          <cell r="D1418">
            <v>7.1999999999999998E-3</v>
          </cell>
          <cell r="E1418" t="str">
            <v>MKT-1-10121011471</v>
          </cell>
          <cell r="F1418" t="str">
            <v>0T3T_NAT17_INTCEL-2G_00.72%</v>
          </cell>
          <cell r="G1418">
            <v>0.72</v>
          </cell>
        </row>
        <row r="1419">
          <cell r="A1419" t="str">
            <v>Oi Internet pra Celular 5GB0.0072Template Flat Instância Dados</v>
          </cell>
          <cell r="B1419" t="str">
            <v>Oi Internet pra Celular 5GB</v>
          </cell>
          <cell r="C1419" t="str">
            <v>Template Flat Instância Dados</v>
          </cell>
          <cell r="D1419">
            <v>7.1999999999999998E-3</v>
          </cell>
          <cell r="E1419" t="str">
            <v>MKT-1-10121011851</v>
          </cell>
          <cell r="F1419" t="str">
            <v>0T3T_NAT17_INTCEL-5G_00.72%</v>
          </cell>
          <cell r="G1419">
            <v>0.72</v>
          </cell>
        </row>
        <row r="1420">
          <cell r="A1420" t="str">
            <v>Oi Internet pra Celular 10GB0.3324Template Flat Instância Dados</v>
          </cell>
          <cell r="B1420" t="str">
            <v>Oi Internet pra Celular 10GB</v>
          </cell>
          <cell r="C1420" t="str">
            <v>Template Flat Instância Dados</v>
          </cell>
          <cell r="D1420">
            <v>0.33240000000000003</v>
          </cell>
          <cell r="E1420" t="str">
            <v>MKT-1-10121012231</v>
          </cell>
          <cell r="F1420" t="str">
            <v>0T3T_NAT17_INTCEL-10G_33.24%</v>
          </cell>
          <cell r="G1420">
            <v>33.24</v>
          </cell>
        </row>
        <row r="1421">
          <cell r="A1421" t="str">
            <v>Oi Internet pra Celular 10GB0.0001Template Desconto % SVA DADOS B2C</v>
          </cell>
          <cell r="B1421" t="str">
            <v>Oi Internet pra Celular 10GB</v>
          </cell>
          <cell r="C1421" t="str">
            <v>Template Desconto % SVA DADOS B2C</v>
          </cell>
          <cell r="D1421">
            <v>1E-4</v>
          </cell>
          <cell r="E1421" t="str">
            <v>MKT-1-10120769541</v>
          </cell>
          <cell r="F1421" t="str">
            <v>0T0T_NAT17_SVA_DADOS_00.01%</v>
          </cell>
          <cell r="G1421">
            <v>0.01</v>
          </cell>
        </row>
        <row r="1422">
          <cell r="A1422" t="str">
            <v>Oi Total Fixo + Pós Conectado Mais + Banda Larga0.3821Template de desconto FLAT bundle - Velox XDSL - Varejo</v>
          </cell>
          <cell r="B1422" t="str">
            <v>Plano Oi Completo Mais</v>
          </cell>
          <cell r="C1422" t="str">
            <v>Template de desconto FLAT bundle - Velox XDSL - Varejo</v>
          </cell>
          <cell r="D1422">
            <v>0.3821</v>
          </cell>
          <cell r="E1422" t="str">
            <v>MKT-1-10121487471</v>
          </cell>
          <cell r="F1422" t="str">
            <v>0T3T_NAT17_PCS-4P9pi_FLAT_BL_38.21%</v>
          </cell>
          <cell r="G1422">
            <v>38.21</v>
          </cell>
        </row>
        <row r="1423">
          <cell r="A1423" t="str">
            <v>Oi Total Fixo + Pós Conectado Mais + Banda Larga0.3904Template de desconto FLAT bundle - Velox XDSL - Varejo</v>
          </cell>
          <cell r="B1423" t="str">
            <v>Plano Oi Completo Mais</v>
          </cell>
          <cell r="C1423" t="str">
            <v>Template de desconto FLAT bundle - Velox XDSL - Varejo</v>
          </cell>
          <cell r="D1423">
            <v>0.39039999999999997</v>
          </cell>
          <cell r="E1423" t="str">
            <v>MKT-1-10121487571</v>
          </cell>
          <cell r="F1423" t="str">
            <v>0T3T_NAT17_PCS-4P9pi_FLAT_BL_39.04%</v>
          </cell>
          <cell r="G1423">
            <v>39.04</v>
          </cell>
        </row>
        <row r="1424">
          <cell r="A1424" t="str">
            <v>Oi Total Fixo + Pós Conectado Mais + Banda Larga0.5377Template de desconto FLAT bundle - Velox XDSL - Varejo</v>
          </cell>
          <cell r="B1424" t="str">
            <v>Plano Oi Completo Mais</v>
          </cell>
          <cell r="C1424" t="str">
            <v>Template de desconto FLAT bundle - Velox XDSL - Varejo</v>
          </cell>
          <cell r="D1424">
            <v>0.53770000000000007</v>
          </cell>
          <cell r="E1424" t="str">
            <v>MKT-1-10121487791</v>
          </cell>
          <cell r="F1424" t="str">
            <v>0T3T_NAT17_PCS-4P9pi_FLAT_BL_53.77%</v>
          </cell>
          <cell r="G1424">
            <v>53.77</v>
          </cell>
        </row>
        <row r="1425">
          <cell r="A1425" t="str">
            <v>Oi Total Fixo + Pós Conectado Mais + Banda Larga0.4222Template de desconto FLAT bundle - Velox XDSL - Varejo</v>
          </cell>
          <cell r="B1425" t="str">
            <v>Plano Oi Completo Mais</v>
          </cell>
          <cell r="C1425" t="str">
            <v>Template de desconto FLAT bundle - Velox XDSL - Varejo</v>
          </cell>
          <cell r="D1425">
            <v>0.42219999999999996</v>
          </cell>
          <cell r="E1425" t="str">
            <v>MKT-1-10121551571</v>
          </cell>
          <cell r="F1425" t="str">
            <v>0T3T_NAT17_PCS-4P9pi_FLAT_BL_42.22%</v>
          </cell>
          <cell r="G1425">
            <v>42.22</v>
          </cell>
        </row>
        <row r="1426">
          <cell r="A1426" t="str">
            <v>Oi Total Fixo + Pós Conectado Mais + Banda Larga0.4864Template de desconto FLAT bundle - Velox XDSL - Varejo</v>
          </cell>
          <cell r="B1426" t="str">
            <v>Plano Oi Completo Mais</v>
          </cell>
          <cell r="C1426" t="str">
            <v>Template de desconto FLAT bundle - Velox XDSL - Varejo</v>
          </cell>
          <cell r="D1426">
            <v>0.4864</v>
          </cell>
          <cell r="E1426" t="str">
            <v>MKT-1-10121551671</v>
          </cell>
          <cell r="F1426" t="str">
            <v>0T3T_NAT17_PCS-4P9pi_FLAT_BL_48.64%</v>
          </cell>
          <cell r="G1426">
            <v>48.64</v>
          </cell>
        </row>
        <row r="1427">
          <cell r="A1427" t="str">
            <v>Oi Total Fixo + Pós Conectado Mais + Banda Larga0.6086Template de desconto FLAT bundle - Velox XDSL - Varejo</v>
          </cell>
          <cell r="B1427" t="str">
            <v>Plano Oi Completo Mais</v>
          </cell>
          <cell r="C1427" t="str">
            <v>Template de desconto FLAT bundle - Velox XDSL - Varejo</v>
          </cell>
          <cell r="D1427">
            <v>0.60860000000000003</v>
          </cell>
          <cell r="E1427" t="str">
            <v>MKT-1-10121551851</v>
          </cell>
          <cell r="F1427" t="str">
            <v>0T3T_NAT17_PCS-4P9pi_FLAT_BL_60.86%</v>
          </cell>
          <cell r="G1427">
            <v>60.86</v>
          </cell>
        </row>
        <row r="1428">
          <cell r="A1428" t="str">
            <v>Oi Total Fixo + Pós Conectado Mais + Banda Larga0.6442Template de desconto FLAT bundle - Velox XDSL - Varejo</v>
          </cell>
          <cell r="B1428" t="str">
            <v>Plano Oi Completo Mais</v>
          </cell>
          <cell r="C1428" t="str">
            <v>Template de desconto FLAT bundle - Velox XDSL - Varejo</v>
          </cell>
          <cell r="D1428">
            <v>0.64419999999999999</v>
          </cell>
          <cell r="E1428" t="str">
            <v>MKT-1-10121551951</v>
          </cell>
          <cell r="F1428" t="str">
            <v>0T3T_NAT17_PCS-4P9pi_FLAT_BL_64.42%</v>
          </cell>
          <cell r="G1428">
            <v>64.42</v>
          </cell>
        </row>
        <row r="1429">
          <cell r="A1429" t="str">
            <v>Oi Total Fixo + Pós Conectado Mais + Banda Larga0.5296Template de desconto FLAT bundle - Velox XDSL - Varejo</v>
          </cell>
          <cell r="B1429" t="str">
            <v>Plano Oi Completo Mais</v>
          </cell>
          <cell r="C1429" t="str">
            <v>Template de desconto FLAT bundle - Velox XDSL - Varejo</v>
          </cell>
          <cell r="D1429">
            <v>0.52959999999999996</v>
          </cell>
          <cell r="E1429" t="str">
            <v>MKT-1-10121552051</v>
          </cell>
          <cell r="F1429" t="str">
            <v>0T3T_NAT17_PCS-4P9pi_FLAT_BL_52.96%</v>
          </cell>
          <cell r="G1429">
            <v>52.96</v>
          </cell>
        </row>
        <row r="1430">
          <cell r="A1430" t="str">
            <v>Oi Total Fixo + Pós Conectado Mais + Banda Larga0.6444Template de desconto FLAT bundle - Velox XDSL - Varejo</v>
          </cell>
          <cell r="B1430" t="str">
            <v>Plano Oi Completo Mais</v>
          </cell>
          <cell r="C1430" t="str">
            <v>Template de desconto FLAT bundle - Velox XDSL - Varejo</v>
          </cell>
          <cell r="D1430">
            <v>0.64439999999999997</v>
          </cell>
          <cell r="E1430" t="str">
            <v>MKT-1-10121552191</v>
          </cell>
          <cell r="F1430" t="str">
            <v>0T3T_NAT17_PCS-4P9pi_FLAT_BL_64.44%</v>
          </cell>
          <cell r="G1430">
            <v>64.44</v>
          </cell>
        </row>
        <row r="1431">
          <cell r="A1431" t="str">
            <v>Oi Total Fixo + Pós Conectado Mais + Banda Larga0.1778Template de desconto FLAT bundle - Velox XDSL - Varejo</v>
          </cell>
          <cell r="B1431" t="str">
            <v>Plano Oi Completo Mais</v>
          </cell>
          <cell r="C1431" t="str">
            <v>Template de desconto FLAT bundle - Velox XDSL - Varejo</v>
          </cell>
          <cell r="D1431">
            <v>0.17780000000000001</v>
          </cell>
          <cell r="E1431" t="str">
            <v>MKT-1-10121552331</v>
          </cell>
          <cell r="F1431" t="str">
            <v>0T3T_NAT17_PCS-4P9pi_FLAT_BL_17.78%</v>
          </cell>
          <cell r="G1431">
            <v>17.78</v>
          </cell>
        </row>
        <row r="1432">
          <cell r="A1432" t="str">
            <v>Oi Total Fixo + Pós Conectado Mais + Banda Larga0.1334Template de desconto FLAT bundle - Velox XDSL - Varejo</v>
          </cell>
          <cell r="B1432" t="str">
            <v>Plano Oi Completo Mais</v>
          </cell>
          <cell r="C1432" t="str">
            <v>Template de desconto FLAT bundle - Velox XDSL - Varejo</v>
          </cell>
          <cell r="D1432">
            <v>0.13339999999999999</v>
          </cell>
          <cell r="E1432" t="str">
            <v>MKT-1-10121922351</v>
          </cell>
          <cell r="F1432" t="str">
            <v>0T3T_NAT17_PCS-4P9pi_FLAT_BL_13.34%</v>
          </cell>
          <cell r="G1432">
            <v>13.34</v>
          </cell>
        </row>
        <row r="1433">
          <cell r="A1433" t="str">
            <v>Oi Total Fixo + Pós Conectado Mais + Banda Larga0.7333Template de desconto FLAT bundle - Velox XDSL - Varejo</v>
          </cell>
          <cell r="B1433" t="str">
            <v>Plano Oi Completo Mais</v>
          </cell>
          <cell r="C1433" t="str">
            <v>Template de desconto FLAT bundle - Velox XDSL - Varejo</v>
          </cell>
          <cell r="D1433">
            <v>0.73329999999999995</v>
          </cell>
          <cell r="E1433" t="str">
            <v>MKT-1-10122680261</v>
          </cell>
          <cell r="F1433" t="str">
            <v>0T3T_NAT17_PCS-4P9pi_FLAT_BL_73.33%</v>
          </cell>
          <cell r="G1433">
            <v>73.33</v>
          </cell>
        </row>
        <row r="1434">
          <cell r="A1434" t="str">
            <v>Oi Total Fixo + Pós Conectado Mais + Banda Larga0.1522Template de desconto FLAT bundle - Velox XDSL - Varejo</v>
          </cell>
          <cell r="B1434" t="str">
            <v>Plano Oi Completo Mais</v>
          </cell>
          <cell r="C1434" t="str">
            <v>Template de desconto FLAT bundle - Velox XDSL - Varejo</v>
          </cell>
          <cell r="D1434">
            <v>0.1522</v>
          </cell>
          <cell r="E1434" t="str">
            <v>MKT-1-10122695251</v>
          </cell>
          <cell r="F1434" t="str">
            <v>0T3T_NAT17_PCS-4P9pi_FLAT_BL_15.22%</v>
          </cell>
          <cell r="G1434">
            <v>15.22</v>
          </cell>
        </row>
        <row r="1435">
          <cell r="A1435" t="str">
            <v>Oi Total Fixo + Pós Conectado Mais + Banda Larga0.136Template de desconto FLAT bundle - Velox XDSL - Varejo</v>
          </cell>
          <cell r="B1435" t="str">
            <v>Plano Oi Completo Mais</v>
          </cell>
          <cell r="C1435" t="str">
            <v>Template de desconto FLAT bundle - Velox XDSL - Varejo</v>
          </cell>
          <cell r="D1435">
            <v>0.13600000000000001</v>
          </cell>
          <cell r="E1435" t="str">
            <v>MKT-1-10122695351</v>
          </cell>
          <cell r="F1435" t="str">
            <v>0T3T_NAT17_PCS-4P9pi_FLAT_BL_13.60%</v>
          </cell>
          <cell r="G1435">
            <v>13.6</v>
          </cell>
        </row>
        <row r="1436">
          <cell r="A1436" t="str">
            <v>Oi Total Fixo + Pós Conectado Mais + Banda Larga0.6977Template de desconto FLAT bundle - Velox XDSL - Varejo</v>
          </cell>
          <cell r="B1436" t="str">
            <v>Plano Oi Completo Mais</v>
          </cell>
          <cell r="C1436" t="str">
            <v>Template de desconto FLAT bundle - Velox XDSL - Varejo</v>
          </cell>
          <cell r="D1436">
            <v>0.69769999999999999</v>
          </cell>
          <cell r="E1436" t="str">
            <v>MKT-1-10122823451</v>
          </cell>
          <cell r="F1436" t="str">
            <v>0T3T_NAT17_PCS-4P9pi_FLAT_BL_69.77%</v>
          </cell>
          <cell r="G1436">
            <v>69.77</v>
          </cell>
        </row>
        <row r="1437">
          <cell r="A1437" t="str">
            <v>Oi Total Fixo + Pós Conectado Mais + Banda Larga0.1242Template de desconto FLAT bundle - Velox XDSL - Varejo</v>
          </cell>
          <cell r="B1437" t="str">
            <v>Plano Oi Completo Mais</v>
          </cell>
          <cell r="C1437" t="str">
            <v>Template de desconto FLAT bundle - Velox XDSL - Varejo</v>
          </cell>
          <cell r="D1437">
            <v>0.1242</v>
          </cell>
          <cell r="E1437" t="str">
            <v>MKT-1-10122823551</v>
          </cell>
          <cell r="F1437" t="str">
            <v>0T3T_NAT17_PCS-4P9pi_FLAT_BL_12.42%</v>
          </cell>
          <cell r="G1437">
            <v>12.42</v>
          </cell>
        </row>
        <row r="1438">
          <cell r="A1438" t="str">
            <v>Oi Total Fixo + Pós Conectado Mais + Banda Larga0.3596Template de desconto FLAT bundle - Velox XDSL - Varejo</v>
          </cell>
          <cell r="B1438" t="str">
            <v>Plano Oi Completo Mais</v>
          </cell>
          <cell r="C1438" t="str">
            <v>Template de desconto FLAT bundle - Velox XDSL - Varejo</v>
          </cell>
          <cell r="D1438">
            <v>0.35960000000000003</v>
          </cell>
          <cell r="E1438" t="str">
            <v>MKT-1-10122823651</v>
          </cell>
          <cell r="F1438" t="str">
            <v>0T3T_NAT17_PCS-4P9pi_FLAT_BL_35.96%</v>
          </cell>
          <cell r="G1438">
            <v>35.96</v>
          </cell>
        </row>
        <row r="1439">
          <cell r="A1439" t="str">
            <v>Oi Total Fixo + Pós Conectado Mais + Banda Larga0.1996Template de desconto FLAT bundle - Velox XDSL - Varejo</v>
          </cell>
          <cell r="B1439" t="str">
            <v>Plano Oi Completo Mais</v>
          </cell>
          <cell r="C1439" t="str">
            <v>Template de desconto FLAT bundle - Velox XDSL - Varejo</v>
          </cell>
          <cell r="D1439">
            <v>0.1996</v>
          </cell>
          <cell r="E1439" t="str">
            <v>MKT-1-10122836451</v>
          </cell>
          <cell r="F1439" t="str">
            <v>0T3T_NAT17_PCS-4P9pi_FLAT_BL_19.96%</v>
          </cell>
          <cell r="G1439">
            <v>19.96</v>
          </cell>
        </row>
        <row r="1440">
          <cell r="A1440" t="str">
            <v>Oi Total Fixo + Pós Conectado Mais + Banda Larga0.2885Template de desconto FLAT bundle - Velox XDSL - Varejo</v>
          </cell>
          <cell r="B1440" t="str">
            <v>Plano Oi Completo Mais</v>
          </cell>
          <cell r="C1440" t="str">
            <v>Template de desconto FLAT bundle - Velox XDSL - Varejo</v>
          </cell>
          <cell r="D1440">
            <v>0.28850000000000003</v>
          </cell>
          <cell r="E1440" t="str">
            <v>MKT-1-10122836551</v>
          </cell>
          <cell r="F1440" t="str">
            <v>0T3T_NAT17_PCS-4P9pi_FLAT_BL_28.85%</v>
          </cell>
          <cell r="G1440">
            <v>28.85</v>
          </cell>
        </row>
        <row r="1441">
          <cell r="A1441" t="str">
            <v>Oi Total Fixo + Pós Conectado Mais + Banda Larga0.1778Template de desconto percentual Bundle - Velox XDSL - Varejo</v>
          </cell>
          <cell r="B1441" t="str">
            <v>Plano Oi Completo Mais</v>
          </cell>
          <cell r="C1441" t="str">
            <v>Template de desconto percentual Bundle - Velox XDSL - Varejo</v>
          </cell>
          <cell r="D1441">
            <v>0.17780000000000001</v>
          </cell>
          <cell r="E1441" t="str">
            <v>MKT-1-10120901371</v>
          </cell>
          <cell r="F1441" t="str">
            <v>0T3T_NAT17_PCS-4P9pi_DET_BL_17.78%</v>
          </cell>
          <cell r="G1441">
            <v>17.78</v>
          </cell>
        </row>
        <row r="1442">
          <cell r="A1442" t="str">
            <v>Oi Total Fixo + Pós Conectado Mais + Banda Larga0.1334Template de desconto percentual Bundle - Velox XDSL - Varejo</v>
          </cell>
          <cell r="B1442" t="str">
            <v>Plano Oi Completo Mais</v>
          </cell>
          <cell r="C1442" t="str">
            <v>Template de desconto percentual Bundle - Velox XDSL - Varejo</v>
          </cell>
          <cell r="D1442">
            <v>0.13339999999999999</v>
          </cell>
          <cell r="E1442" t="str">
            <v>MKT-1-10121487691</v>
          </cell>
          <cell r="F1442" t="str">
            <v>0T3T_NAT17_PCS-4P9pi_DET_BL_13.34%</v>
          </cell>
          <cell r="G1442">
            <v>13.34</v>
          </cell>
        </row>
        <row r="1443">
          <cell r="A1443" t="str">
            <v>Oi Total Fixo + Pós Conectado Mais + Banda Larga0.1512Template de desconto percentual Bundle - Velox XDSL - Varejo</v>
          </cell>
          <cell r="B1443" t="str">
            <v>Plano Oi Completo Mais</v>
          </cell>
          <cell r="C1443" t="str">
            <v>Template de desconto percentual Bundle - Velox XDSL - Varejo</v>
          </cell>
          <cell r="D1443">
            <v>0.1512</v>
          </cell>
          <cell r="E1443" t="str">
            <v>MKT-1-10121551471</v>
          </cell>
          <cell r="F1443" t="str">
            <v>0T3T_NAT17_PCS-4P9pi_DET_BL_15.12%</v>
          </cell>
          <cell r="G1443">
            <v>15.12</v>
          </cell>
        </row>
        <row r="1444">
          <cell r="A1444" t="str">
            <v>Oi Internet pra Celular 10GB0.0072Template Flat Instância Dados</v>
          </cell>
          <cell r="B1444" t="str">
            <v>Oi Internet pra Celular 10GB</v>
          </cell>
          <cell r="C1444" t="str">
            <v>Template Flat Instância Dados</v>
          </cell>
          <cell r="D1444">
            <v>7.1999999999999998E-3</v>
          </cell>
          <cell r="E1444" t="str">
            <v>MKT-1-10121736251</v>
          </cell>
          <cell r="F1444" t="str">
            <v>0T3T_NAT17_INTCEL-10G_00.72%</v>
          </cell>
          <cell r="G1444">
            <v>0.72</v>
          </cell>
        </row>
        <row r="1445">
          <cell r="A1445" t="str">
            <v>Oi Internet pra Celular 5GB0.2972Template Flat Instância Dados</v>
          </cell>
          <cell r="B1445" t="str">
            <v>Oi Internet pra Celular 5GB</v>
          </cell>
          <cell r="C1445" t="str">
            <v>Template Flat Instância Dados</v>
          </cell>
          <cell r="D1445">
            <v>0.29719999999999996</v>
          </cell>
          <cell r="E1445" t="str">
            <v>MKT-1-10122679421</v>
          </cell>
          <cell r="F1445" t="str">
            <v>0T3T_NAT17_INTCEL-5G_29.72%</v>
          </cell>
          <cell r="G1445">
            <v>29.72</v>
          </cell>
        </row>
        <row r="1446">
          <cell r="A1446" t="str">
            <v>Oi Internet pra Celular 5GB0.3324Template Flat Instância Dados</v>
          </cell>
          <cell r="B1446" t="str">
            <v>Oi Internet pra Celular 5GB</v>
          </cell>
          <cell r="C1446" t="str">
            <v>Template Flat Instância Dados</v>
          </cell>
          <cell r="D1446">
            <v>0.33240000000000003</v>
          </cell>
          <cell r="E1446" t="str">
            <v>MKT-1-10122679801</v>
          </cell>
          <cell r="F1446" t="str">
            <v>0T3T_NAT17_INTCEL-5G_33.24%</v>
          </cell>
          <cell r="G1446">
            <v>33.24</v>
          </cell>
        </row>
        <row r="1447">
          <cell r="A1447" t="str">
            <v>Oi Internet pra Celular 5GB0.3334Template Flat Instância Dados</v>
          </cell>
          <cell r="B1447" t="str">
            <v>Oi Internet pra Celular 5GB</v>
          </cell>
          <cell r="C1447" t="str">
            <v>Template Flat Instância Dados</v>
          </cell>
          <cell r="D1447">
            <v>0.33340000000000003</v>
          </cell>
          <cell r="E1447" t="str">
            <v>MKT-1-10122694631</v>
          </cell>
          <cell r="F1447" t="str">
            <v>0T3T_NAT17_INTCEL-5G_33.34%</v>
          </cell>
          <cell r="G1447">
            <v>33.340000000000003</v>
          </cell>
        </row>
        <row r="1448">
          <cell r="A1448" t="str">
            <v>Oi Internet pra Celular 5GB0.0001Template Desconto % SVA DADOS B2C</v>
          </cell>
          <cell r="B1448" t="str">
            <v>Oi Internet pra Celular 5GB</v>
          </cell>
          <cell r="C1448" t="str">
            <v>Template Desconto % SVA DADOS B2C</v>
          </cell>
          <cell r="D1448">
            <v>1E-4</v>
          </cell>
          <cell r="E1448" t="str">
            <v>MKT-1-10120769541</v>
          </cell>
          <cell r="F1448" t="str">
            <v>0T0T_NAT17_SVA_DADOS_00.01%</v>
          </cell>
          <cell r="G1448">
            <v>0.01</v>
          </cell>
        </row>
        <row r="1449">
          <cell r="A1449" t="str">
            <v>Oi Internet pra Celular 3GB0.0001Template Desconto % SVA DADOS B2C</v>
          </cell>
          <cell r="B1449" t="str">
            <v>Oi Internet pra Celular 3GB</v>
          </cell>
          <cell r="C1449" t="str">
            <v>Template Desconto % SVA DADOS B2C</v>
          </cell>
          <cell r="D1449">
            <v>1E-4</v>
          </cell>
          <cell r="E1449" t="str">
            <v>MKT-1-10120769541</v>
          </cell>
          <cell r="F1449" t="str">
            <v>0T0T_NAT17_SVA_DADOS_00.01%</v>
          </cell>
          <cell r="G1449">
            <v>0.01</v>
          </cell>
        </row>
        <row r="1450">
          <cell r="A1450" t="str">
            <v>Oi Internet pra Celular 2GB0.0001Template Desconto % SVA DADOS B2C</v>
          </cell>
          <cell r="B1450" t="str">
            <v>Oi Internet pra Celular 2GB</v>
          </cell>
          <cell r="C1450" t="str">
            <v>Template Desconto % SVA DADOS B2C</v>
          </cell>
          <cell r="D1450">
            <v>1E-4</v>
          </cell>
          <cell r="E1450" t="str">
            <v>MKT-1-10120769541</v>
          </cell>
          <cell r="F1450" t="str">
            <v>0T0T_NAT17_SVA_DADOS_00.01%</v>
          </cell>
          <cell r="G1450">
            <v>0.01</v>
          </cell>
        </row>
        <row r="1451">
          <cell r="A1451" t="str">
            <v>Oi Internet pra Celular 1GB0.0001Template Desconto % SVA DADOS B2C</v>
          </cell>
          <cell r="B1451" t="str">
            <v>Oi Internet pra Celular 1GB</v>
          </cell>
          <cell r="C1451" t="str">
            <v>Template Desconto % SVA DADOS B2C</v>
          </cell>
          <cell r="D1451">
            <v>1E-4</v>
          </cell>
          <cell r="E1451" t="str">
            <v>MKT-1-10120769541</v>
          </cell>
          <cell r="F1451" t="str">
            <v>0T0T_NAT17_SVA_DADOS_00.01%</v>
          </cell>
          <cell r="G1451">
            <v>0.01</v>
          </cell>
        </row>
        <row r="1452">
          <cell r="A1452" t="str">
            <v>Oi Internet pra Celular 500MB0.0001Template Desconto % SVA DADOS B2C</v>
          </cell>
          <cell r="B1452" t="str">
            <v>Oi Internet pra Celular 500MB</v>
          </cell>
          <cell r="C1452" t="str">
            <v>Template Desconto % SVA DADOS B2C</v>
          </cell>
          <cell r="D1452">
            <v>1E-4</v>
          </cell>
          <cell r="E1452" t="str">
            <v>MKT-1-10120769541</v>
          </cell>
          <cell r="F1452" t="str">
            <v>0T0T_NAT17_SVA_DADOS_00.01%</v>
          </cell>
          <cell r="G1452">
            <v>0.01</v>
          </cell>
        </row>
        <row r="1453">
          <cell r="A1453" t="str">
            <v>Oi Internet pra Celular 300MB0.0001Template Desconto % SVA DADOS B2C</v>
          </cell>
          <cell r="B1453" t="str">
            <v>Oi Internet pra Celular 300MB</v>
          </cell>
          <cell r="C1453" t="str">
            <v>Template Desconto % SVA DADOS B2C</v>
          </cell>
          <cell r="D1453">
            <v>1E-4</v>
          </cell>
          <cell r="E1453" t="str">
            <v>MKT-1-10120769541</v>
          </cell>
          <cell r="F1453" t="str">
            <v>0T0T_NAT17_SVA_DADOS_00.01%</v>
          </cell>
          <cell r="G1453">
            <v>0.01</v>
          </cell>
        </row>
        <row r="1454">
          <cell r="A1454" t="str">
            <v>Oi Total Fixo + Pós Conectado Mais + Banda Larga1Template de desconto FLAT bundle - Fixo - Varejo</v>
          </cell>
          <cell r="B1454" t="str">
            <v>Plano Oi Completo Mais</v>
          </cell>
          <cell r="C1454" t="str">
            <v>Template de desconto FLAT bundle - Fixo - Varejo</v>
          </cell>
          <cell r="D1454">
            <v>1</v>
          </cell>
          <cell r="E1454" t="str">
            <v>MKT-1-10123421691</v>
          </cell>
          <cell r="F1454" t="str">
            <v>0T3T_NAT17_PCS-4P9pi_FLAT_FIXO_100.00%</v>
          </cell>
          <cell r="G1454">
            <v>100</v>
          </cell>
        </row>
        <row r="1455">
          <cell r="A1455" t="str">
            <v>Oi Total Fixo + Pós Conectado Mais + Banda Larga0.5256Template de desconto FLAT bundle - Velox XDSL - Varejo</v>
          </cell>
          <cell r="B1455" t="str">
            <v>Plano Oi Completo Mais</v>
          </cell>
          <cell r="C1455" t="str">
            <v>Template de desconto FLAT bundle - Velox XDSL - Varejo</v>
          </cell>
          <cell r="D1455">
            <v>0.52560000000000007</v>
          </cell>
          <cell r="E1455" t="str">
            <v>MKT-1-10126527891</v>
          </cell>
          <cell r="F1455" t="str">
            <v>0T3T_NAT17_PCS-4P9pi_FLAT_BL_52.56%</v>
          </cell>
          <cell r="G1455">
            <v>52.56</v>
          </cell>
        </row>
        <row r="1456">
          <cell r="A1456" t="str">
            <v>Oi Total Fixo + Pós Conectado Mais + Banda Larga0.0723Template desconto FLAT Plano Principal Oi TV nível conta</v>
          </cell>
          <cell r="B1456" t="str">
            <v>Plano Oi Completo Mais</v>
          </cell>
          <cell r="C1456" t="str">
            <v>Template desconto FLAT Plano Principal Oi TV nível conta</v>
          </cell>
          <cell r="D1456">
            <v>7.2300000000000003E-2</v>
          </cell>
          <cell r="E1456" t="str">
            <v>MKT-1-10140866431</v>
          </cell>
          <cell r="F1456" t="str">
            <v>0T3T_NAT17_PCS-4P9pi_FLAT_TV_07.23%</v>
          </cell>
        </row>
        <row r="1457">
          <cell r="A1457" t="str">
            <v>Oi Total Fixo + Pós Conectado Mais + Banda Larga0.2895Template desconto FLAT Plano Principal Oi TV nível conta</v>
          </cell>
          <cell r="B1457" t="str">
            <v>Plano Oi Completo Mais</v>
          </cell>
          <cell r="C1457" t="str">
            <v>Template desconto FLAT Plano Principal Oi TV nível conta</v>
          </cell>
          <cell r="D1457">
            <v>0.28949999999999998</v>
          </cell>
          <cell r="E1457" t="str">
            <v>MKT-1-10140866731</v>
          </cell>
          <cell r="F1457" t="str">
            <v>0T3T_NAT17_PCS-4P9pi_FLAT_TV_28.95%</v>
          </cell>
        </row>
        <row r="1458">
          <cell r="A1458" t="str">
            <v>Oi Total Fixo + Pós Conectado Mais + Banda Larga0.0687Template desconto FLAT Plano Principal Oi TV nível conta</v>
          </cell>
          <cell r="B1458" t="str">
            <v>Plano Oi Completo Mais</v>
          </cell>
          <cell r="C1458" t="str">
            <v>Template desconto FLAT Plano Principal Oi TV nível conta</v>
          </cell>
          <cell r="D1458">
            <v>6.8699999999999997E-2</v>
          </cell>
          <cell r="E1458" t="str">
            <v>MKT-1-10140935771</v>
          </cell>
          <cell r="F1458" t="str">
            <v>0T3T_NAT17_PCS-4P9pi_FLAT_TV_06.87%</v>
          </cell>
        </row>
        <row r="1459">
          <cell r="A1459" t="str">
            <v>Oi Total Fixo + Banda Larga + TV 30.3017Template desconto FLAT Plano Principal Oi TV nível conta</v>
          </cell>
          <cell r="B1459" t="str">
            <v>Plano Oi Convergente High</v>
          </cell>
          <cell r="C1459" t="str">
            <v>Template desconto FLAT Plano Principal Oi TV nível conta</v>
          </cell>
          <cell r="D1459">
            <v>0.30170000000000002</v>
          </cell>
          <cell r="E1459" t="str">
            <v>MKT-1-10140936051</v>
          </cell>
          <cell r="F1459" t="str">
            <v>0T3T_NAT17_PCS-3PHipi_FLAT_TV_30.17%</v>
          </cell>
        </row>
        <row r="1460">
          <cell r="A1460" t="str">
            <v>Oi Total Fixo + Pós Conectado Mais + Banda Larga0.3886Template desconto FLAT Plano Principal Oi TV nível conta</v>
          </cell>
          <cell r="B1460" t="str">
            <v>Plano Oi Completo Mais</v>
          </cell>
          <cell r="C1460" t="str">
            <v>Template desconto FLAT Plano Principal Oi TV nível conta</v>
          </cell>
          <cell r="D1460">
            <v>0.3886</v>
          </cell>
          <cell r="E1460" t="str">
            <v>MKT-1-10140936321</v>
          </cell>
          <cell r="F1460" t="str">
            <v>0T3T_NAT17_PCS-4P9pi_FLAT_TV_38.86%</v>
          </cell>
        </row>
        <row r="1461">
          <cell r="A1461" t="str">
            <v>Oi Total Fixo + Banda Larga + TV 10.1425Template desconto FLAT Plano Principal Oi TV nível conta</v>
          </cell>
          <cell r="B1461" t="str">
            <v>Plano Oi Convergente Low</v>
          </cell>
          <cell r="C1461" t="str">
            <v>Template desconto FLAT Plano Principal Oi TV nível conta</v>
          </cell>
          <cell r="D1461">
            <v>0.14249999999999999</v>
          </cell>
          <cell r="E1461" t="str">
            <v>MKT-1-10140955511</v>
          </cell>
          <cell r="F1461" t="str">
            <v>0T3T_NAT17_PCS-3PLowpi_FLAT_TV_14.25%</v>
          </cell>
        </row>
        <row r="1462">
          <cell r="A1462" t="str">
            <v>Oi Total Fixo + Pós Conectado Mais + Banda Larga0.3516Template desconto FLAT Plano Principal Oi TV nível conta</v>
          </cell>
          <cell r="B1462" t="str">
            <v>Plano Oi Completo Mais</v>
          </cell>
          <cell r="C1462" t="str">
            <v>Template desconto FLAT Plano Principal Oi TV nível conta</v>
          </cell>
          <cell r="D1462">
            <v>0.35160000000000002</v>
          </cell>
          <cell r="E1462" t="str">
            <v>MKT-1-10140955781</v>
          </cell>
          <cell r="F1462" t="str">
            <v>0T3T_NAT17_PCS-4P9pi_FLAT_TV_35.16%</v>
          </cell>
        </row>
        <row r="1463">
          <cell r="A1463" t="str">
            <v>Oi Total Fixo + Banda Larga + TV 30.3433Template desconto FLAT Plano Principal Oi TV nível conta</v>
          </cell>
          <cell r="B1463" t="str">
            <v>Plano Oi Convergente High</v>
          </cell>
          <cell r="C1463" t="str">
            <v>Template desconto FLAT Plano Principal Oi TV nível conta</v>
          </cell>
          <cell r="D1463">
            <v>0.34329999999999999</v>
          </cell>
          <cell r="E1463" t="str">
            <v>MKT-1-10140956051</v>
          </cell>
          <cell r="F1463" t="str">
            <v>0T3T_NAT17_PCS-3PHipi_FLAT_TV_34.33%</v>
          </cell>
        </row>
        <row r="1464">
          <cell r="A1464" t="str">
            <v>Oi Total Fixo + Banda Larga + TV 30.0687Template desconto FLAT Plano Principal Oi TV nível conta</v>
          </cell>
          <cell r="B1464" t="str">
            <v>Plano Oi Convergente High</v>
          </cell>
          <cell r="C1464" t="str">
            <v>Template desconto FLAT Plano Principal Oi TV nível conta</v>
          </cell>
          <cell r="D1464">
            <v>6.8699999999999997E-2</v>
          </cell>
          <cell r="E1464" t="str">
            <v>MKT-1-10140956321</v>
          </cell>
          <cell r="F1464" t="str">
            <v>0T3T_NAT17_PCS-3PHipi_FLAT_TV_06.87%</v>
          </cell>
        </row>
        <row r="1465">
          <cell r="A1465" t="str">
            <v>Oi Total Fixo + Banda Larga + TV 30.2639Template desconto FLAT Plano Principal Oi TV nível conta</v>
          </cell>
          <cell r="B1465" t="str">
            <v>Plano Oi Convergente High</v>
          </cell>
          <cell r="C1465" t="str">
            <v>Template desconto FLAT Plano Principal Oi TV nível conta</v>
          </cell>
          <cell r="D1465">
            <v>0.26390000000000002</v>
          </cell>
          <cell r="E1465" t="str">
            <v>MKT-1-10140957431</v>
          </cell>
          <cell r="F1465" t="str">
            <v>0T3T_NAT17_PCS-3PHipi_FLAT_TV_26.39%</v>
          </cell>
        </row>
        <row r="1466">
          <cell r="A1466" t="str">
            <v>Oi Total Fixo + Pós Conectado Mais + Banda Larga0.1731Template desconto FLAT Plano Principal Oi TV nível conta</v>
          </cell>
          <cell r="B1466" t="str">
            <v>Plano Oi Completo Mais</v>
          </cell>
          <cell r="C1466" t="str">
            <v>Template desconto FLAT Plano Principal Oi TV nível conta</v>
          </cell>
          <cell r="D1466">
            <v>0.1731</v>
          </cell>
          <cell r="E1466" t="str">
            <v>MKT-1-10140957791</v>
          </cell>
          <cell r="F1466" t="str">
            <v>0T3T_NAT17_PCS-4P9pi_FLAT_TV_17.31%</v>
          </cell>
        </row>
        <row r="1467">
          <cell r="A1467" t="str">
            <v>Oi Total Fixo + Pós Conectado Mais + Banda Larga0.1847Template desconto FLAT Plano Principal Oi TV nível conta</v>
          </cell>
          <cell r="B1467" t="str">
            <v>Plano Oi Completo Mais</v>
          </cell>
          <cell r="C1467" t="str">
            <v>Template desconto FLAT Plano Principal Oi TV nível conta</v>
          </cell>
          <cell r="D1467">
            <v>0.1847</v>
          </cell>
          <cell r="E1467" t="str">
            <v>MKT-1-10140958061</v>
          </cell>
          <cell r="F1467" t="str">
            <v>0T3T_NAT17_PCS-4P9pi_FLAT_TV_18.47%</v>
          </cell>
        </row>
        <row r="1468">
          <cell r="A1468" t="str">
            <v>Oi Total Fixo + Banda Larga + TV 30.3701Template desconto FLAT Plano Principal Oi TV nível conta</v>
          </cell>
          <cell r="B1468" t="str">
            <v>Plano Oi Convergente High</v>
          </cell>
          <cell r="C1468" t="str">
            <v>Template desconto FLAT Plano Principal Oi TV nível conta</v>
          </cell>
          <cell r="D1468">
            <v>0.37009999999999998</v>
          </cell>
          <cell r="E1468" t="str">
            <v>MKT-1-10140958331</v>
          </cell>
          <cell r="F1468" t="str">
            <v>0T3T_NAT17_PCS-3PHipi_FLAT_TV_37.01%</v>
          </cell>
        </row>
        <row r="1469">
          <cell r="A1469" t="str">
            <v>Oi Total Fixo + Pós Conectado Mais + Banda Larga0.2885Template desconto FLAT Plano Principal Oi TV nível conta</v>
          </cell>
          <cell r="B1469" t="str">
            <v>Plano Oi Completo Mais</v>
          </cell>
          <cell r="C1469" t="str">
            <v>Template desconto FLAT Plano Principal Oi TV nível conta</v>
          </cell>
          <cell r="D1469">
            <v>0.28849999999999998</v>
          </cell>
          <cell r="E1469" t="str">
            <v>MKT-1-10141145601</v>
          </cell>
          <cell r="F1469" t="str">
            <v>0T3T_NAT17_PCS-4P9pi_FLAT_TV_28.85%</v>
          </cell>
        </row>
        <row r="1470">
          <cell r="A1470" t="str">
            <v>Oi Total Fixo + Pós Conectado Mais + Banda Larga0.3626Template desconto FLAT Plano Principal Oi TV nível conta</v>
          </cell>
          <cell r="B1470" t="str">
            <v>Plano Oi Completo Mais</v>
          </cell>
          <cell r="C1470" t="str">
            <v>Template desconto FLAT Plano Principal Oi TV nível conta</v>
          </cell>
          <cell r="D1470">
            <v>0.36259999999999998</v>
          </cell>
          <cell r="E1470" t="str">
            <v>MKT-1-10141146591</v>
          </cell>
          <cell r="F1470" t="str">
            <v>0T3T_NAT17_PCS-4P9pi_FLAT_TV_36.26%</v>
          </cell>
        </row>
        <row r="1471">
          <cell r="A1471" t="str">
            <v>Oi Total Fixo + Pós Conectado Mais + Banda Larga0.25Template desconto FLAT Plano Principal Oi TV nível conta</v>
          </cell>
          <cell r="B1471" t="str">
            <v>Plano Oi Completo Mais</v>
          </cell>
          <cell r="C1471" t="str">
            <v>Template desconto FLAT Plano Principal Oi TV nível conta</v>
          </cell>
          <cell r="D1471">
            <v>0.25</v>
          </cell>
          <cell r="E1471" t="str">
            <v>MKT-1-10141147131</v>
          </cell>
          <cell r="F1471" t="str">
            <v>0T3T_NAT17_PCS-4P9pi_FLAT_TV_25.00%</v>
          </cell>
        </row>
        <row r="1472">
          <cell r="A1472" t="str">
            <v>Oi Total Fixo + Banda Larga + TV 30.1847Template desconto FLAT Plano Principal Oi TV nível conta</v>
          </cell>
          <cell r="B1472" t="str">
            <v>Plano Oi Convergente High</v>
          </cell>
          <cell r="C1472" t="str">
            <v>Template desconto FLAT Plano Principal Oi TV nível conta</v>
          </cell>
          <cell r="D1472">
            <v>0.1847</v>
          </cell>
          <cell r="E1472" t="str">
            <v>MKT-1-10141149591</v>
          </cell>
          <cell r="F1472" t="str">
            <v>0T3T_NAT17_PCS-3PHipi_FLAT_TV_18.47%</v>
          </cell>
        </row>
        <row r="1473">
          <cell r="A1473" t="str">
            <v>Oi Total Fixo + Pós Conectado Mais + Banda Larga0.294Template desconto FLAT Plano Principal Oi TV nível conta</v>
          </cell>
          <cell r="B1473" t="str">
            <v>Plano Oi Completo Mais</v>
          </cell>
          <cell r="C1473" t="str">
            <v>Template desconto FLAT Plano Principal Oi TV nível conta</v>
          </cell>
          <cell r="D1473">
            <v>0.29399999999999998</v>
          </cell>
          <cell r="E1473" t="str">
            <v>MKT-1-10141149861</v>
          </cell>
          <cell r="F1473" t="str">
            <v>0T3T_NAT17_PCS-4P9pi_FLAT_TV_29.40%</v>
          </cell>
        </row>
        <row r="1474">
          <cell r="A1474" t="str">
            <v>Oi Total Fixo + Pós Conectado Mais + Banda Larga0.325Template desconto FLAT Plano Principal Oi TV nível conta</v>
          </cell>
          <cell r="B1474" t="str">
            <v>Plano Oi Completo Mais</v>
          </cell>
          <cell r="C1474" t="str">
            <v>Template desconto FLAT Plano Principal Oi TV nível conta</v>
          </cell>
          <cell r="D1474">
            <v>0.32500000000000001</v>
          </cell>
          <cell r="E1474" t="str">
            <v>MKT-1-10141545381</v>
          </cell>
          <cell r="F1474" t="str">
            <v>0T3T_NAT17_PCS-4P9pi_FLAT_TV_32.50%.</v>
          </cell>
        </row>
        <row r="1475">
          <cell r="A1475" t="str">
            <v>Oi Total Fixo + Pós Conectado Mais + Banda Larga0.8265Template de desconto percentual FLAT Móvel - Conta Total - Varejo - Ganho Tributário Cross</v>
          </cell>
          <cell r="B1475" t="str">
            <v>Plano Oi Completo Mais</v>
          </cell>
          <cell r="C1475" t="str">
            <v>Template de desconto percentual FLAT Móvel - Conta Total - Varejo - Ganho Tributário Cross</v>
          </cell>
          <cell r="D1475">
            <v>0.82650000000000001</v>
          </cell>
          <cell r="E1475" t="str">
            <v>MKT-1-10140847201</v>
          </cell>
          <cell r="F1475" t="str">
            <v>0T3T_NAT17_PCS-4P9pi_FLAT_MÓVEL_GT_82.65%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W19"/>
  <sheetViews>
    <sheetView tabSelected="1" topLeftCell="LJ1" workbookViewId="0">
      <selection activeCell="LW14" sqref="LW14"/>
    </sheetView>
  </sheetViews>
  <sheetFormatPr defaultRowHeight="15" x14ac:dyDescent="0.25"/>
  <sheetData>
    <row r="1" spans="1:335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" t="s">
        <v>5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5" t="s">
        <v>6</v>
      </c>
      <c r="AJ1" s="5"/>
      <c r="AK1" s="5"/>
      <c r="AL1" s="6" t="s">
        <v>7</v>
      </c>
      <c r="AM1" s="6"/>
      <c r="AN1" s="6" t="s">
        <v>8</v>
      </c>
      <c r="AO1" s="6"/>
      <c r="AP1" s="6"/>
      <c r="AQ1" s="6"/>
      <c r="AR1" s="6"/>
      <c r="AS1" s="6"/>
      <c r="AT1" s="6"/>
      <c r="AU1" s="6" t="s">
        <v>9</v>
      </c>
      <c r="AV1" s="6"/>
      <c r="AW1" s="6"/>
      <c r="AX1" s="2" t="s">
        <v>10</v>
      </c>
      <c r="AY1" s="3"/>
      <c r="AZ1" s="7"/>
      <c r="BA1" s="8" t="s">
        <v>11</v>
      </c>
      <c r="BB1" s="9"/>
      <c r="BC1" s="9"/>
      <c r="BD1" s="10"/>
      <c r="BE1" s="11" t="str">
        <f>"Preço Fixo
"&amp;DOLLAR([1]ARBOR!C2,2)</f>
        <v>Preço Fixo
$75.84</v>
      </c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8" t="s">
        <v>12</v>
      </c>
      <c r="BS1" s="9"/>
      <c r="BT1" s="9"/>
      <c r="BU1" s="10"/>
      <c r="BV1" s="13" t="str">
        <f>"Produtos - Assinatura Velox 300Kb (PCS-30874g)
"&amp;DOLLAR(VLOOKUP("PCS-30874g",[1]ARBOR!$A:$C,3,0),2)</f>
        <v>Produtos - Assinatura Velox 300Kb (PCS-30874g)
$96.93</v>
      </c>
      <c r="BW1" s="14"/>
      <c r="BX1" s="14"/>
      <c r="BY1" s="15"/>
      <c r="BZ1" s="13" t="str">
        <f>"Produtos - Assinatura Velox 600Kb (PCS-30577g)
"&amp;DOLLAR(VLOOKUP("PCS-30577g",[1]ARBOR!$A:$C,3,0),2)</f>
        <v>Produtos - Assinatura Velox 600Kb (PCS-30577g)
$96.93</v>
      </c>
      <c r="CA1" s="14"/>
      <c r="CB1" s="14"/>
      <c r="CC1" s="15"/>
      <c r="CD1" s="13" t="str">
        <f>"Produtos - Assinatura Velox 1Mb (PCS-30604g)
"&amp;DOLLAR(VLOOKUP("PCS-30604g",[1]ARBOR!$A:$C,3,0),2)</f>
        <v>Produtos - Assinatura Velox 1Mb (PCS-30604g)
$96.93</v>
      </c>
      <c r="CE1" s="14"/>
      <c r="CF1" s="14"/>
      <c r="CG1" s="15"/>
      <c r="CH1" s="13" t="str">
        <f>"Produtos - Assinatura Velox 2Mb (PCS-30631g)
"&amp;DOLLAR(VLOOKUP("PCS-30631g",[1]ARBOR!$A:$C,3,0),2)</f>
        <v>Produtos - Assinatura Velox 2Mb (PCS-30631g)
$98.26</v>
      </c>
      <c r="CI1" s="14"/>
      <c r="CJ1" s="14"/>
      <c r="CK1" s="15"/>
      <c r="CL1" s="13" t="str">
        <f>"Produtos - Assinatura Velox 5Mb (PCS-30658g)
"&amp;DOLLAR(VLOOKUP("PCS-30658g",[1]ARBOR!$A:$C,3,0),2)</f>
        <v>Produtos - Assinatura Velox 5Mb (PCS-30658g)
$112.31</v>
      </c>
      <c r="CM1" s="14"/>
      <c r="CN1" s="14"/>
      <c r="CO1" s="15"/>
      <c r="CP1" s="13" t="str">
        <f>"Produtos - Assinatura Velox 10Mb (PCS-30685g)
"&amp;DOLLAR(VLOOKUP("PCS-30685g",[1]ARBOR!$A:$C,3,0),2)</f>
        <v>Produtos - Assinatura Velox 10Mb (PCS-30685g)
$126.34</v>
      </c>
      <c r="CQ1" s="14"/>
      <c r="CR1" s="14"/>
      <c r="CS1" s="15"/>
      <c r="CT1" s="13" t="str">
        <f>"Produtos - Assinatura Velox 15Mb (PCS-30712g)
"&amp;DOLLAR(VLOOKUP("PCS-30712g",[1]ARBOR!$A:$C,3,0),2)</f>
        <v>Produtos - Assinatura Velox 15Mb (PCS-30712g)
$140.38</v>
      </c>
      <c r="CU1" s="14"/>
      <c r="CV1" s="14"/>
      <c r="CW1" s="15"/>
      <c r="CX1" s="13" t="str">
        <f>"Produtos - Assinatura Velox 20Mb (PCS-30739g)
"&amp;DOLLAR(VLOOKUP("PCS-30739g",[1]ARBOR!$A:$C,3,0),2)</f>
        <v>Produtos - Assinatura Velox 20Mb (PCS-30739g)
$210.58</v>
      </c>
      <c r="CY1" s="14"/>
      <c r="CZ1" s="14"/>
      <c r="DA1" s="14"/>
      <c r="DB1" s="14"/>
      <c r="DC1" s="14"/>
      <c r="DD1" s="14"/>
      <c r="DE1" s="15"/>
      <c r="DF1" s="13" t="str">
        <f>"Produtos - Assinatura Velox 25Mb (PCS-30766g)
"&amp;DOLLAR(VLOOKUP("PCS-30766g",[1]ARBOR!$A:$C,3,0),2)</f>
        <v>Produtos - Assinatura Velox 25Mb (PCS-30766g)
$280.77</v>
      </c>
      <c r="DG1" s="14"/>
      <c r="DH1" s="14"/>
      <c r="DI1" s="14"/>
      <c r="DJ1" s="14"/>
      <c r="DK1" s="14"/>
      <c r="DL1" s="14"/>
      <c r="DM1" s="15"/>
      <c r="DN1" s="13" t="str">
        <f>"Produtos - Assinatura Velox 30Mb (PCS-30793g)
"&amp;DOLLAR(VLOOKUP("PCS-30793g",[1]ARBOR!$A:$C,3,0),2)</f>
        <v>Produtos - Assinatura Velox 30Mb (PCS-30793g)
$280.77</v>
      </c>
      <c r="DO1" s="14"/>
      <c r="DP1" s="14"/>
      <c r="DQ1" s="14"/>
      <c r="DR1" s="14"/>
      <c r="DS1" s="14"/>
      <c r="DT1" s="14"/>
      <c r="DU1" s="15"/>
      <c r="DV1" s="11" t="str">
        <f>"Produtos - Assinatura Velox 35Mb (PCS-30820g)
"&amp;DOLLAR(VLOOKUP("PCS-30820g",[1]ARBOR!$A:$C,3,0),2)</f>
        <v>Produtos - Assinatura Velox 35Mb (PCS-30820g)
$280.77</v>
      </c>
      <c r="DW1" s="12"/>
      <c r="DX1" s="12"/>
      <c r="DY1" s="12"/>
      <c r="DZ1" s="12"/>
      <c r="EA1" s="12"/>
      <c r="EB1" s="12"/>
      <c r="EC1" s="16"/>
      <c r="ED1" s="11" t="str">
        <f>"Oi Internet Móvel Substituta 10GB (PCS-21448p2)
"&amp;DOLLAR(VLOOKUP("PCS-21448p2",[1]ARBOR!$A:$C,3,0),2)</f>
        <v>Oi Internet Móvel Substituta 10GB (PCS-21448p2)
$127.90</v>
      </c>
      <c r="EE1" s="12"/>
      <c r="EF1" s="12"/>
      <c r="EG1" s="17" t="str">
        <f>"Benefício SVA Velox (Antivírus + Oi Cloud + Educa)
"&amp;DOLLAR(VLOOKUP("SVA",[1]ARBOR!$A:$C,3,0),2)</f>
        <v>Benefício SVA Velox (Antivírus + Oi Cloud + Educa)
$21.43</v>
      </c>
      <c r="EH1" s="18"/>
      <c r="EI1" s="18"/>
      <c r="EJ1" s="18"/>
      <c r="EK1" s="18"/>
      <c r="EL1" s="18"/>
      <c r="EM1" s="18"/>
      <c r="EN1" s="19" t="str">
        <f>"Produtos - Oi TV Start HD (PCS-OzTL40)
"&amp;DOLLAR(VLOOKUP("PCS-OzTL40",[1]ARBOR!$A:$C,3,0),2)</f>
        <v>Produtos - Oi TV Start HD (PCS-OzTL40)
$99.00</v>
      </c>
      <c r="EO1" s="20"/>
      <c r="EP1" s="20"/>
      <c r="EQ1" s="19" t="str">
        <f>"Produtos - Oi TV Mix HD (PCS-OzTL41)
"&amp;DOLLAR(VLOOKUP("PCS-OzTL41",[1]ARBOR!$A:$C,3,0),2)</f>
        <v>Produtos - Oi TV Mix HD (PCS-OzTL41)
$121.03</v>
      </c>
      <c r="ER1" s="20"/>
      <c r="ES1" s="20"/>
      <c r="ET1" s="19" t="str">
        <f>"Produtos - Oi TV Mix HBO Max HD (PCS-OzTL44)
"&amp;DOLLAR(VLOOKUP("PCS-OzTL44",[1]ARBOR!$A:$C,3,0),2)</f>
        <v>Produtos - Oi TV Mix HBO Max HD (PCS-OzTL44)
$192.61</v>
      </c>
      <c r="EU1" s="20"/>
      <c r="EV1" s="20"/>
      <c r="EW1" s="19" t="str">
        <f>"Produtos - Oi TV Mix Telecine HD (PCS-OzTL43)
"&amp;DOLLAR(VLOOKUP("PCS-OzTL43",[1]ARBOR!$A:$C,3,0),2)</f>
        <v>Produtos - Oi TV Mix Telecine HD (PCS-OzTL43)
$203.63</v>
      </c>
      <c r="EX1" s="20"/>
      <c r="EY1" s="20"/>
      <c r="EZ1" s="19" t="str">
        <f>"Produtos - Oi TV Mix Cinema HD (PCS-OzTL45)
"&amp;DOLLAR(VLOOKUP("PCS-OzTL45",[1]ARBOR!$A:$C,3,0),2)</f>
        <v>Produtos - Oi TV Mix Cinema HD (PCS-OzTL45)
$209.13</v>
      </c>
      <c r="FA1" s="20"/>
      <c r="FB1" s="20"/>
      <c r="FC1" s="19" t="str">
        <f>"Produtos - Oi TV Mix HD DVR (PCS-OzTL741)
"&amp;DOLLAR(VLOOKUP("PCS-OzTL741",[1]ARBOR!$A:$C,3,0),2)</f>
        <v>Produtos - Oi TV Mix HD DVR (PCS-OzTL741)
$176.09</v>
      </c>
      <c r="FD1" s="20"/>
      <c r="FE1" s="20"/>
      <c r="FF1" s="19" t="str">
        <f>"Produtos - Oi TV Mix HBOMax HD DVR (PCS-OzTL744)
"&amp;DOLLAR(VLOOKUP("PCS-OzTL744",[1]ARBOR!$A:$C,3,0),2)</f>
        <v>Produtos - Oi TV Mix HBOMax HD DVR (PCS-OzTL744)
$209.13</v>
      </c>
      <c r="FG1" s="20"/>
      <c r="FH1" s="20"/>
      <c r="FI1" s="19" t="str">
        <f>"Produtos - Oi TV Mix Telecine HD DVR (PCS-OzTL743)
"&amp;DOLLAR(VLOOKUP("PCS-OzTL743",[1]ARBOR!$A:$C,3,0),2)</f>
        <v>Produtos - Oi TV Mix Telecine HD DVR (PCS-OzTL743)
$220.14</v>
      </c>
      <c r="FJ1" s="20"/>
      <c r="FK1" s="20"/>
      <c r="FL1" s="19" t="str">
        <f>"Produtos - Oi TV Mix Cinema HD DVR (PCS-OzTL745)
"&amp;DOLLAR(VLOOKUP("PCS-OzTL745",[1]ARBOR!$A:$C,3,0),2)</f>
        <v>Produtos - Oi TV Mix Cinema HD DVR (PCS-OzTL745)
$253.18</v>
      </c>
      <c r="FM1" s="20"/>
      <c r="FN1" s="20"/>
      <c r="FO1" s="19" t="str">
        <f>"Produtos - Oi TV Total HD (PCS-OzTL42)
"&amp;DOLLAR(VLOOKUP("PCS-OzTL42",[1]ARBOR!$A:$C,3,0),2)</f>
        <v>Produtos - Oi TV Total HD (PCS-OzTL42)
$165.08</v>
      </c>
      <c r="FP1" s="20"/>
      <c r="FQ1" s="20"/>
      <c r="FR1" s="19" t="str">
        <f>"Produtos - Oi TV Total HBO Max HD (PCS-OzTL47)
"&amp;DOLLAR(VLOOKUP("PCS-OzTL47",[1]ARBOR!$A:$C,3,0),2)</f>
        <v>Produtos - Oi TV Total HBO Max HD (PCS-OzTL47)
$203.63</v>
      </c>
      <c r="FS1" s="20"/>
      <c r="FT1" s="20"/>
      <c r="FU1" s="19" t="str">
        <f>"Produtos - Oi TV Total Telecine HD (PCS-OzTL46)
"&amp;DOLLAR(VLOOKUP("PCS-OzTL46",[1]ARBOR!$A:$C,3,0),2)</f>
        <v>Produtos - Oi TV Total Telecine HD (PCS-OzTL46)
$214.64</v>
      </c>
      <c r="FV1" s="20"/>
      <c r="FW1" s="20"/>
      <c r="FX1" s="19" t="str">
        <f>"Produtos - Oi TV Total Cinema HD (PCS-OzTL48)
"&amp;DOLLAR(VLOOKUP("PCS-OzTL48",[1]ARBOR!$A:$C,3,0),2)</f>
        <v>Produtos - Oi TV Total Cinema HD (PCS-OzTL48)
$253.18</v>
      </c>
      <c r="FY1" s="20"/>
      <c r="FZ1" s="20"/>
      <c r="GA1" s="19" t="str">
        <f>"Produtos - Oi TV Total HD DVR (PCS-OzTL742)
"&amp;DOLLAR(VLOOKUP("PCS-OzTL742",[1]ARBOR!$A:$C,3,0),2)</f>
        <v>Produtos - Oi TV Total HD DVR (PCS-OzTL742)
$220.14</v>
      </c>
      <c r="GB1" s="20"/>
      <c r="GC1" s="20"/>
      <c r="GD1" s="19" t="str">
        <f>"Produtos - Oi TV Total HBOMax HD DVR (PCS-OzTL747)
"&amp;DOLLAR(VLOOKUP("PCS-OzTL747",[1]ARBOR!$A:$C,3,0),2)</f>
        <v>Produtos - Oi TV Total HBOMax HD DVR (PCS-OzTL747)
$258.69</v>
      </c>
      <c r="GE1" s="20"/>
      <c r="GF1" s="20"/>
      <c r="GG1" s="19" t="str">
        <f>"Produtos - Oi TV Total Telecine HD DVR (PCS-OzTL746)
"&amp;DOLLAR(VLOOKUP("PCS-OzTL746",[1]ARBOR!$A:$C,3,0),2)</f>
        <v>Produtos - Oi TV Total Telecine HD DVR (PCS-OzTL746)
$269.70</v>
      </c>
      <c r="GH1" s="20"/>
      <c r="GI1" s="20"/>
      <c r="GJ1" s="19" t="str">
        <f>"Produtos - Oi TV Total Cinema HD DVR (PCS-OzTL748)
"&amp;DOLLAR(VLOOKUP("PCS-OzTL748",[1]ARBOR!$A:$C,3,0),2)</f>
        <v>Produtos - Oi TV Total Cinema HD DVR (PCS-OzTL748)
$308.25</v>
      </c>
      <c r="GK1" s="20"/>
      <c r="GL1" s="20"/>
      <c r="GM1" s="19" t="str">
        <f>"Produtos - Oi TV Combate (PCS-OzTL34)
"&amp;DOLLAR(VLOOKUP("PCS-OzTL34",[1]ARBOR!$A:$C,3,0),2)</f>
        <v>Produtos - Oi TV Combate (PCS-OzTL34)
$110.13</v>
      </c>
      <c r="GN1" s="20"/>
      <c r="GO1" s="21"/>
      <c r="GP1" s="19" t="str">
        <f>"Produtos - Oi TV Sexy Hot (PCS-OzTL31)
"&amp;DOLLAR(VLOOKUP("PCS-OzTL31",[1]ARBOR!$A:$C,3,0),2)</f>
        <v>Produtos - Oi TV Sexy Hot (PCS-OzTL31)
$21.91</v>
      </c>
      <c r="GQ1" s="20"/>
      <c r="GR1" s="21"/>
      <c r="GS1" s="19" t="str">
        <f>"Produtos - Oi TV Playboy (PCS-OzTL32)
"&amp;DOLLAR(VLOOKUP("PCS-OzTL32",[1]ARBOR!$A:$C,3,0),2)</f>
        <v>Produtos - Oi TV Playboy (PCS-OzTL32)
$21.91</v>
      </c>
      <c r="GT1" s="20"/>
      <c r="GU1" s="21"/>
      <c r="GV1" s="19" t="str">
        <f>"Produtos - Oi TV Sexy Hot + Playboy (PCS-OzTL33)
"&amp;DOLLAR(VLOOKUP("PCS-OzTL33",[1]ARBOR!$A:$C,3,0),2)</f>
        <v>Produtos - Oi TV Sexy Hot + Playboy (PCS-OzTL33)
$32.92</v>
      </c>
      <c r="GW1" s="20"/>
      <c r="GX1" s="21"/>
      <c r="GY1" s="19" t="str">
        <f>"Produtos - Oi TV SexPrivê (PCS-OzTL503)
"&amp;DOLLAR(VLOOKUP("PCS-OzTL503",[1]ARBOR!$A:$C,3,0),2)</f>
        <v>Produtos - Oi TV SexPrivê (PCS-OzTL503)
$16.40</v>
      </c>
      <c r="GZ1" s="20"/>
      <c r="HA1" s="21"/>
      <c r="HB1" s="19" t="str">
        <f>"Produtos - Oi TV Étnicos (PCS-OzTL500)
"&amp;DOLLAR(VLOOKUP("PCS-OzTL500",[1]ARBOR!$A:$C,3,0),2)</f>
        <v>Produtos - Oi TV Étnicos (PCS-OzTL500)
$11.01</v>
      </c>
      <c r="HC1" s="20"/>
      <c r="HD1" s="21"/>
      <c r="HE1" s="19" t="str">
        <f>"Produtos - Coleção OI (PCS-OzTL50)
"&amp;DOLLAR(VLOOKUP("PCS-OzTL50",[1]ARBOR!$A:$C,3,0),2)</f>
        <v>Produtos - Coleção OI (PCS-OzTL50)
$0.00</v>
      </c>
      <c r="HF1" s="20"/>
      <c r="HG1" s="21"/>
      <c r="HH1" s="19" t="str">
        <f>"Produtos - Fox Premium (PCS-OzTL51)
"&amp;DOLLAR(VLOOKUP("PCS-OzTL51",[1]ARBOR!$A:$C,3,0),2)</f>
        <v>Produtos - Fox Premium (PCS-OzTL51)
$24.90</v>
      </c>
      <c r="HI1" s="20"/>
      <c r="HJ1" s="21"/>
      <c r="HK1" s="19" t="str">
        <f>"Produtos - PenVr (PCS-OzTL52)
"&amp;DOLLAR(VLOOKUP("PCS-OzTL52",[1]ARBOR!$A:$C,3,0),2)</f>
        <v>Produtos - PenVr (PCS-OzTL52)
$10.00</v>
      </c>
      <c r="HL1" s="20"/>
      <c r="HM1" s="21"/>
      <c r="HN1" s="19" t="str">
        <f>"Produtos - PFC Completo (PCS-OzTL53)
"&amp;DOLLAR(VLOOKUP("PCS-OzTL53",[1]ARBOR!$A:$C,3,0),2)</f>
        <v>Produtos - PFC Completo (PCS-OzTL53)
$104.90</v>
      </c>
      <c r="HO1" s="20"/>
      <c r="HP1" s="21"/>
      <c r="HQ1" s="19" t="str">
        <f>"Produtos - PFC Básico (PCS-OzTL54)
"&amp;DOLLAR(VLOOKUP("PCS-OzTL54",[1]ARBOR!$A:$C,3,0),2)</f>
        <v>Produtos - PFC Básico (PCS-OzTL54)
$64.90</v>
      </c>
      <c r="HR1" s="20"/>
      <c r="HS1" s="21"/>
      <c r="HT1" s="19" t="str">
        <f>"Produtos - Oi TV Ponto Adicional (PCS-OzTL99)
"&amp;DOLLAR(VLOOKUP("PCS-OzTL99",[1]ARBOR!$A:$C,3,0),2)</f>
        <v>Produtos - Oi TV Ponto Adicional (PCS-OzTL99)
$29.90</v>
      </c>
      <c r="HU1" s="20"/>
      <c r="HV1" s="20"/>
      <c r="HW1" s="20"/>
      <c r="HX1" s="21"/>
      <c r="HY1" s="22" t="s">
        <v>13</v>
      </c>
      <c r="HZ1" s="23"/>
      <c r="IA1" s="23"/>
      <c r="IB1" s="23"/>
      <c r="IC1" s="23"/>
      <c r="ID1" s="23"/>
      <c r="IE1" s="23"/>
      <c r="IF1" s="23"/>
      <c r="IG1" s="22" t="s">
        <v>14</v>
      </c>
      <c r="IH1" s="23"/>
      <c r="II1" s="23"/>
      <c r="IJ1" s="23"/>
      <c r="IK1" s="23"/>
      <c r="IL1" s="23"/>
      <c r="IM1" s="24" t="s">
        <v>15</v>
      </c>
      <c r="IN1" s="25"/>
      <c r="IO1" s="26" t="str">
        <f>"Oi Internet pra Celular 300MB (PCS-813566)
"&amp;DOLLAR(VLOOKUP("PCS-813566",[1]ARBOR!$A:$C,3,0),2)</f>
        <v>Oi Internet pra Celular 300MB (PCS-813566)
$18.92</v>
      </c>
      <c r="IP1" s="27"/>
      <c r="IQ1" s="27"/>
      <c r="IR1" s="27" t="str">
        <f>"SVA Dados 300MB (Bancas)
" &amp;DOLLAR(VLOOKUP("sva_bancas",[1]ARBOR!$A:$C,3,0),2)</f>
        <v>SVA Dados 300MB (Bancas)
$6.00</v>
      </c>
      <c r="IS1" s="27"/>
      <c r="IT1" s="28"/>
      <c r="IU1" s="26" t="str">
        <f>"Oi Internet pra Celular 500MB (PCS-813564)
"&amp;DOLLAR(VLOOKUP("PCS-813564",[1]ARBOR!$A:$C,3,0),2)</f>
        <v>Oi Internet pra Celular 500MB (PCS-813564)
$28.44</v>
      </c>
      <c r="IV1" s="27"/>
      <c r="IW1" s="27"/>
      <c r="IX1" s="27" t="str">
        <f>"SVA Dados 500MB (Bancas - Livros Narrados)
" &amp;DOLLAR(VLOOKUP("sva_livros",[1]ARBOR!$A:$C,3,0),2)</f>
        <v>SVA Dados 500MB (Bancas - Livros Narrados)
$14.00</v>
      </c>
      <c r="IY1" s="27"/>
      <c r="IZ1" s="28"/>
      <c r="JA1" s="26" t="str">
        <f>"Oi Internet pra Celular 1GB (PCS-10357)
"&amp;DOLLAR(VLOOKUP("PCS-10357",[1]ARBOR!$A:$C,3,0),2)</f>
        <v>Oi Internet pra Celular 1GB (PCS-10357)
$65.68</v>
      </c>
      <c r="JB1" s="27"/>
      <c r="JC1" s="27"/>
      <c r="JD1" s="27" t="str">
        <f>"SVA Dados 1GB (Bancas - Livros Narrados)
" &amp;DOLLAR(VLOOKUP("sva_livros",[1]ARBOR!$A:$C,3,0),2)</f>
        <v>SVA Dados 1GB (Bancas - Livros Narrados)
$14.00</v>
      </c>
      <c r="JE1" s="27"/>
      <c r="JF1" s="28"/>
      <c r="JG1" s="26" t="str">
        <f>"Oi Internet pra Celular 2GB (PCS-813565)
"&amp;DOLLAR(VLOOKUP("PCS-813565",[1]ARBOR!$A:$C,3,0),2)</f>
        <v>Oi Internet pra Celular 2GB (PCS-813565)
$37.95</v>
      </c>
      <c r="JH1" s="27"/>
      <c r="JI1" s="27"/>
      <c r="JJ1" s="27" t="str">
        <f>"SVA Dados 2GB (Bancas - Livros Narrados)
" &amp;DOLLAR(VLOOKUP("sva_livros",[1]ARBOR!$A:$C,3,0),2)</f>
        <v>SVA Dados 2GB (Bancas - Livros Narrados)
$14.00</v>
      </c>
      <c r="JK1" s="27"/>
      <c r="JL1" s="28"/>
      <c r="JM1" s="26" t="str">
        <f>"Oi Internet pra Celular 3GB (PCS-7171B)
"&amp;DOLLAR(VLOOKUP("PCS-7171B",[1]ARBOR!$A:$C,3,0),2)</f>
        <v>Oi Internet pra Celular 3GB (PCS-7171B)
$98.15</v>
      </c>
      <c r="JN1" s="27"/>
      <c r="JO1" s="27"/>
      <c r="JP1" s="27" t="str">
        <f>"SVA Dados 3GB (Bancas - Livros Narrados)
" &amp;DOLLAR(VLOOKUP("sva_livros",[1]ARBOR!$A:$C,3,0),2)</f>
        <v>SVA Dados 3GB (Bancas - Livros Narrados)
$14.00</v>
      </c>
      <c r="JQ1" s="27"/>
      <c r="JR1" s="28"/>
      <c r="JS1" s="26" t="str">
        <f>"Oi Internet pra Celular 5GB (PCS-51793o08)
"&amp;DOLLAR(VLOOKUP("PCS-51793o08",[1]ARBOR!$A:$C,3,0),2)</f>
        <v>Oi Internet pra Celular 5GB (PCS-51793o08)
$142.15</v>
      </c>
      <c r="JT1" s="27"/>
      <c r="JU1" s="27"/>
      <c r="JV1" s="27" t="str">
        <f>"SVA Dados 5GB (Bancas - Livros Narrados - Video Curtas)
" &amp;DOLLAR(VLOOKUP("sva_curtas",[1]ARBOR!$A:$C,3,0),2)</f>
        <v>SVA Dados 5GB (Bancas - Livros Narrados - Video Curtas)
$20.35</v>
      </c>
      <c r="JW1" s="27"/>
      <c r="JX1" s="28"/>
      <c r="JY1" s="26" t="str">
        <f>"Oi Internet pra Celular 10GB (PCS-7171A)
"&amp;DOLLAR(VLOOKUP("PCS-7171A",[1]ARBOR!$A:$C,3,0),2)</f>
        <v>Oi Internet pra Celular 10GB (PCS-7171A)
$196.31</v>
      </c>
      <c r="JZ1" s="27"/>
      <c r="KA1" s="27"/>
      <c r="KB1" s="27" t="str">
        <f>"SVA Dados 10GB (Bancas - Livros Narrados - Video Curtas)
" &amp;DOLLAR(VLOOKUP("sva_curtas",[1]ARBOR!$A:$C,3,0),2)</f>
        <v>SVA Dados 10GB (Bancas - Livros Narrados - Video Curtas)
$20.35</v>
      </c>
      <c r="KC1" s="27"/>
      <c r="KD1" s="28"/>
      <c r="KE1" s="29" t="s">
        <v>16</v>
      </c>
      <c r="KF1" s="29"/>
      <c r="KG1" s="6" t="s">
        <v>17</v>
      </c>
      <c r="KH1" s="6"/>
      <c r="KI1" s="6"/>
      <c r="KJ1" s="6"/>
      <c r="KK1" s="6"/>
      <c r="KL1" s="6"/>
      <c r="KM1" s="6"/>
      <c r="KN1" s="30" t="s">
        <v>18</v>
      </c>
      <c r="KO1" s="31"/>
      <c r="KP1" s="31"/>
      <c r="KQ1" s="30" t="s">
        <v>19</v>
      </c>
      <c r="KR1" s="31"/>
      <c r="KS1" s="31"/>
      <c r="KT1" s="32" t="s">
        <v>20</v>
      </c>
      <c r="KU1" s="33" t="s">
        <v>21</v>
      </c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5"/>
      <c r="LL1" s="36" t="s">
        <v>22</v>
      </c>
      <c r="LM1" s="37"/>
      <c r="LN1" s="37"/>
      <c r="LO1" s="37"/>
      <c r="LP1" s="37"/>
      <c r="LQ1" s="37"/>
      <c r="LR1" s="37"/>
      <c r="LS1" s="37"/>
      <c r="LT1" s="37"/>
      <c r="LU1" s="38"/>
      <c r="LV1" s="39"/>
      <c r="LW1" s="39"/>
    </row>
    <row r="2" spans="1:335" ht="157.5" customHeight="1" thickBot="1" x14ac:dyDescent="0.3">
      <c r="A2" s="40" t="s">
        <v>23</v>
      </c>
      <c r="B2" s="40" t="s">
        <v>24</v>
      </c>
      <c r="C2" s="40" t="s">
        <v>25</v>
      </c>
      <c r="D2" s="40" t="s">
        <v>26</v>
      </c>
      <c r="E2" s="41" t="s">
        <v>27</v>
      </c>
      <c r="F2" s="41" t="s">
        <v>28</v>
      </c>
      <c r="G2" s="41" t="s">
        <v>29</v>
      </c>
      <c r="H2" s="42" t="s">
        <v>30</v>
      </c>
      <c r="I2" s="41" t="s">
        <v>31</v>
      </c>
      <c r="J2" s="41" t="s">
        <v>32</v>
      </c>
      <c r="K2" s="41" t="s">
        <v>33</v>
      </c>
      <c r="L2" s="41" t="s">
        <v>34</v>
      </c>
      <c r="M2" s="41" t="s">
        <v>35</v>
      </c>
      <c r="N2" s="41" t="s">
        <v>36</v>
      </c>
      <c r="O2" s="41" t="s">
        <v>37</v>
      </c>
      <c r="P2" s="42" t="s">
        <v>38</v>
      </c>
      <c r="Q2" s="43"/>
      <c r="R2" s="43"/>
      <c r="S2" s="44" t="s">
        <v>39</v>
      </c>
      <c r="T2" s="44" t="s">
        <v>40</v>
      </c>
      <c r="U2" s="44" t="s">
        <v>41</v>
      </c>
      <c r="V2" s="44" t="s">
        <v>42</v>
      </c>
      <c r="W2" s="44" t="s">
        <v>43</v>
      </c>
      <c r="X2" s="44" t="s">
        <v>44</v>
      </c>
      <c r="Y2" s="45" t="s">
        <v>45</v>
      </c>
      <c r="Z2" s="44" t="s">
        <v>46</v>
      </c>
      <c r="AA2" s="44" t="s">
        <v>47</v>
      </c>
      <c r="AB2" s="44" t="s">
        <v>48</v>
      </c>
      <c r="AC2" s="44" t="s">
        <v>49</v>
      </c>
      <c r="AD2" s="44" t="s">
        <v>50</v>
      </c>
      <c r="AE2" s="44" t="s">
        <v>51</v>
      </c>
      <c r="AF2" s="44" t="s">
        <v>52</v>
      </c>
      <c r="AG2" s="46"/>
      <c r="AH2" s="46"/>
      <c r="AI2" s="47" t="s">
        <v>53</v>
      </c>
      <c r="AJ2" s="40" t="s">
        <v>54</v>
      </c>
      <c r="AK2" s="40" t="s">
        <v>55</v>
      </c>
      <c r="AL2" s="40" t="s">
        <v>56</v>
      </c>
      <c r="AM2" s="40" t="s">
        <v>57</v>
      </c>
      <c r="AN2" s="47" t="s">
        <v>58</v>
      </c>
      <c r="AO2" s="47" t="s">
        <v>59</v>
      </c>
      <c r="AP2" s="47" t="s">
        <v>60</v>
      </c>
      <c r="AQ2" s="47" t="s">
        <v>61</v>
      </c>
      <c r="AR2" s="47" t="s">
        <v>62</v>
      </c>
      <c r="AS2" s="47" t="s">
        <v>63</v>
      </c>
      <c r="AT2" s="47" t="s">
        <v>64</v>
      </c>
      <c r="AU2" s="48" t="s">
        <v>65</v>
      </c>
      <c r="AV2" s="49" t="s">
        <v>66</v>
      </c>
      <c r="AW2" s="49" t="s">
        <v>67</v>
      </c>
      <c r="AX2" s="47" t="s">
        <v>68</v>
      </c>
      <c r="AY2" s="40" t="s">
        <v>69</v>
      </c>
      <c r="AZ2" s="47" t="s">
        <v>70</v>
      </c>
      <c r="BA2" s="50" t="s">
        <v>71</v>
      </c>
      <c r="BB2" s="47" t="s">
        <v>72</v>
      </c>
      <c r="BC2" s="51" t="s">
        <v>73</v>
      </c>
      <c r="BD2" s="52" t="s">
        <v>74</v>
      </c>
      <c r="BE2" s="51" t="s">
        <v>75</v>
      </c>
      <c r="BF2" s="53" t="s">
        <v>76</v>
      </c>
      <c r="BG2" s="51" t="s">
        <v>77</v>
      </c>
      <c r="BH2" s="53" t="s">
        <v>78</v>
      </c>
      <c r="BI2" s="47" t="s">
        <v>72</v>
      </c>
      <c r="BJ2" s="51" t="s">
        <v>79</v>
      </c>
      <c r="BK2" s="53" t="s">
        <v>80</v>
      </c>
      <c r="BL2" s="51" t="s">
        <v>81</v>
      </c>
      <c r="BM2" s="53" t="s">
        <v>82</v>
      </c>
      <c r="BN2" s="54" t="s">
        <v>83</v>
      </c>
      <c r="BO2" s="47" t="s">
        <v>72</v>
      </c>
      <c r="BP2" s="53" t="s">
        <v>84</v>
      </c>
      <c r="BQ2" s="47" t="s">
        <v>72</v>
      </c>
      <c r="BR2" s="50" t="s">
        <v>71</v>
      </c>
      <c r="BS2" s="47" t="s">
        <v>72</v>
      </c>
      <c r="BT2" s="51" t="s">
        <v>73</v>
      </c>
      <c r="BU2" s="52" t="s">
        <v>74</v>
      </c>
      <c r="BV2" s="47" t="s">
        <v>85</v>
      </c>
      <c r="BW2" s="40" t="s">
        <v>86</v>
      </c>
      <c r="BX2" s="40" t="s">
        <v>87</v>
      </c>
      <c r="BY2" s="47" t="s">
        <v>72</v>
      </c>
      <c r="BZ2" s="47" t="s">
        <v>85</v>
      </c>
      <c r="CA2" s="40" t="s">
        <v>86</v>
      </c>
      <c r="CB2" s="40" t="s">
        <v>87</v>
      </c>
      <c r="CC2" s="47" t="s">
        <v>72</v>
      </c>
      <c r="CD2" s="47" t="s">
        <v>85</v>
      </c>
      <c r="CE2" s="40" t="s">
        <v>86</v>
      </c>
      <c r="CF2" s="40" t="s">
        <v>87</v>
      </c>
      <c r="CG2" s="47" t="s">
        <v>72</v>
      </c>
      <c r="CH2" s="47" t="s">
        <v>85</v>
      </c>
      <c r="CI2" s="40" t="s">
        <v>86</v>
      </c>
      <c r="CJ2" s="40" t="s">
        <v>87</v>
      </c>
      <c r="CK2" s="47" t="s">
        <v>72</v>
      </c>
      <c r="CL2" s="47" t="s">
        <v>85</v>
      </c>
      <c r="CM2" s="40" t="s">
        <v>86</v>
      </c>
      <c r="CN2" s="40" t="s">
        <v>87</v>
      </c>
      <c r="CO2" s="47" t="s">
        <v>72</v>
      </c>
      <c r="CP2" s="47" t="s">
        <v>85</v>
      </c>
      <c r="CQ2" s="40" t="s">
        <v>86</v>
      </c>
      <c r="CR2" s="40" t="s">
        <v>87</v>
      </c>
      <c r="CS2" s="47" t="s">
        <v>72</v>
      </c>
      <c r="CT2" s="47" t="s">
        <v>85</v>
      </c>
      <c r="CU2" s="40" t="s">
        <v>86</v>
      </c>
      <c r="CV2" s="40" t="s">
        <v>87</v>
      </c>
      <c r="CW2" s="47" t="s">
        <v>72</v>
      </c>
      <c r="CX2" s="47" t="s">
        <v>85</v>
      </c>
      <c r="CY2" s="40" t="s">
        <v>86</v>
      </c>
      <c r="CZ2" s="40" t="s">
        <v>87</v>
      </c>
      <c r="DA2" s="47" t="s">
        <v>88</v>
      </c>
      <c r="DB2" s="54" t="s">
        <v>86</v>
      </c>
      <c r="DC2" s="54" t="s">
        <v>89</v>
      </c>
      <c r="DD2" s="54" t="s">
        <v>87</v>
      </c>
      <c r="DE2" s="47" t="s">
        <v>90</v>
      </c>
      <c r="DF2" s="47" t="s">
        <v>85</v>
      </c>
      <c r="DG2" s="40" t="s">
        <v>86</v>
      </c>
      <c r="DH2" s="40" t="s">
        <v>87</v>
      </c>
      <c r="DI2" s="47" t="s">
        <v>88</v>
      </c>
      <c r="DJ2" s="54" t="s">
        <v>86</v>
      </c>
      <c r="DK2" s="54" t="s">
        <v>89</v>
      </c>
      <c r="DL2" s="54" t="s">
        <v>87</v>
      </c>
      <c r="DM2" s="47" t="s">
        <v>90</v>
      </c>
      <c r="DN2" s="47" t="s">
        <v>85</v>
      </c>
      <c r="DO2" s="40" t="s">
        <v>86</v>
      </c>
      <c r="DP2" s="40" t="s">
        <v>87</v>
      </c>
      <c r="DQ2" s="47" t="s">
        <v>88</v>
      </c>
      <c r="DR2" s="54" t="s">
        <v>86</v>
      </c>
      <c r="DS2" s="54" t="s">
        <v>89</v>
      </c>
      <c r="DT2" s="54" t="s">
        <v>87</v>
      </c>
      <c r="DU2" s="47" t="s">
        <v>90</v>
      </c>
      <c r="DV2" s="47" t="s">
        <v>85</v>
      </c>
      <c r="DW2" s="40" t="s">
        <v>86</v>
      </c>
      <c r="DX2" s="40" t="s">
        <v>87</v>
      </c>
      <c r="DY2" s="47" t="s">
        <v>88</v>
      </c>
      <c r="DZ2" s="54" t="s">
        <v>86</v>
      </c>
      <c r="EA2" s="54" t="s">
        <v>89</v>
      </c>
      <c r="EB2" s="54" t="s">
        <v>87</v>
      </c>
      <c r="EC2" s="47" t="s">
        <v>90</v>
      </c>
      <c r="ED2" s="55" t="s">
        <v>86</v>
      </c>
      <c r="EE2" s="55" t="s">
        <v>91</v>
      </c>
      <c r="EF2" s="47" t="s">
        <v>72</v>
      </c>
      <c r="EG2" s="56" t="s">
        <v>86</v>
      </c>
      <c r="EH2" s="57" t="s">
        <v>87</v>
      </c>
      <c r="EI2" s="57" t="s">
        <v>72</v>
      </c>
      <c r="EJ2" s="56" t="s">
        <v>92</v>
      </c>
      <c r="EK2" s="56" t="s">
        <v>83</v>
      </c>
      <c r="EL2" s="57" t="s">
        <v>87</v>
      </c>
      <c r="EM2" s="57" t="s">
        <v>72</v>
      </c>
      <c r="EN2" s="40" t="s">
        <v>86</v>
      </c>
      <c r="EO2" s="53" t="s">
        <v>91</v>
      </c>
      <c r="EP2" s="47" t="s">
        <v>72</v>
      </c>
      <c r="EQ2" s="40" t="s">
        <v>86</v>
      </c>
      <c r="ER2" s="53" t="s">
        <v>91</v>
      </c>
      <c r="ES2" s="47" t="s">
        <v>72</v>
      </c>
      <c r="ET2" s="40" t="s">
        <v>86</v>
      </c>
      <c r="EU2" s="53" t="s">
        <v>91</v>
      </c>
      <c r="EV2" s="47" t="s">
        <v>72</v>
      </c>
      <c r="EW2" s="40" t="s">
        <v>86</v>
      </c>
      <c r="EX2" s="53" t="s">
        <v>91</v>
      </c>
      <c r="EY2" s="47" t="s">
        <v>72</v>
      </c>
      <c r="EZ2" s="51" t="s">
        <v>86</v>
      </c>
      <c r="FA2" s="40" t="s">
        <v>91</v>
      </c>
      <c r="FB2" s="47" t="s">
        <v>72</v>
      </c>
      <c r="FC2" s="51" t="s">
        <v>86</v>
      </c>
      <c r="FD2" s="40" t="s">
        <v>91</v>
      </c>
      <c r="FE2" s="47" t="s">
        <v>72</v>
      </c>
      <c r="FF2" s="40" t="s">
        <v>86</v>
      </c>
      <c r="FG2" s="53" t="s">
        <v>91</v>
      </c>
      <c r="FH2" s="47" t="s">
        <v>72</v>
      </c>
      <c r="FI2" s="40" t="s">
        <v>86</v>
      </c>
      <c r="FJ2" s="53" t="s">
        <v>91</v>
      </c>
      <c r="FK2" s="47" t="s">
        <v>72</v>
      </c>
      <c r="FL2" s="51" t="s">
        <v>86</v>
      </c>
      <c r="FM2" s="40" t="s">
        <v>91</v>
      </c>
      <c r="FN2" s="47" t="s">
        <v>72</v>
      </c>
      <c r="FO2" s="40" t="s">
        <v>86</v>
      </c>
      <c r="FP2" s="53" t="s">
        <v>91</v>
      </c>
      <c r="FQ2" s="47" t="s">
        <v>72</v>
      </c>
      <c r="FR2" s="40" t="s">
        <v>86</v>
      </c>
      <c r="FS2" s="40" t="s">
        <v>91</v>
      </c>
      <c r="FT2" s="47" t="s">
        <v>72</v>
      </c>
      <c r="FU2" s="51" t="s">
        <v>86</v>
      </c>
      <c r="FV2" s="53" t="s">
        <v>91</v>
      </c>
      <c r="FW2" s="47" t="s">
        <v>72</v>
      </c>
      <c r="FX2" s="58" t="s">
        <v>86</v>
      </c>
      <c r="FY2" s="40" t="s">
        <v>91</v>
      </c>
      <c r="FZ2" s="47" t="s">
        <v>72</v>
      </c>
      <c r="GA2" s="40" t="s">
        <v>86</v>
      </c>
      <c r="GB2" s="59" t="s">
        <v>91</v>
      </c>
      <c r="GC2" s="47" t="s">
        <v>72</v>
      </c>
      <c r="GD2" s="40" t="s">
        <v>86</v>
      </c>
      <c r="GE2" s="59" t="s">
        <v>91</v>
      </c>
      <c r="GF2" s="47" t="s">
        <v>72</v>
      </c>
      <c r="GG2" s="40" t="s">
        <v>86</v>
      </c>
      <c r="GH2" s="59" t="s">
        <v>91</v>
      </c>
      <c r="GI2" s="47" t="s">
        <v>72</v>
      </c>
      <c r="GJ2" s="40" t="s">
        <v>86</v>
      </c>
      <c r="GK2" s="59" t="s">
        <v>91</v>
      </c>
      <c r="GL2" s="47" t="s">
        <v>72</v>
      </c>
      <c r="GM2" s="40" t="s">
        <v>86</v>
      </c>
      <c r="GN2" s="40" t="s">
        <v>87</v>
      </c>
      <c r="GO2" s="47" t="s">
        <v>72</v>
      </c>
      <c r="GP2" s="40" t="s">
        <v>86</v>
      </c>
      <c r="GQ2" s="40" t="s">
        <v>87</v>
      </c>
      <c r="GR2" s="47" t="s">
        <v>72</v>
      </c>
      <c r="GS2" s="40" t="s">
        <v>86</v>
      </c>
      <c r="GT2" s="40" t="s">
        <v>87</v>
      </c>
      <c r="GU2" s="47" t="s">
        <v>72</v>
      </c>
      <c r="GV2" s="40" t="s">
        <v>86</v>
      </c>
      <c r="GW2" s="40" t="s">
        <v>87</v>
      </c>
      <c r="GX2" s="47" t="s">
        <v>72</v>
      </c>
      <c r="GY2" s="40" t="s">
        <v>86</v>
      </c>
      <c r="GZ2" s="40" t="s">
        <v>87</v>
      </c>
      <c r="HA2" s="47" t="s">
        <v>72</v>
      </c>
      <c r="HB2" s="40" t="s">
        <v>86</v>
      </c>
      <c r="HC2" s="40" t="s">
        <v>87</v>
      </c>
      <c r="HD2" s="47" t="s">
        <v>72</v>
      </c>
      <c r="HE2" s="40" t="s">
        <v>86</v>
      </c>
      <c r="HF2" s="40" t="s">
        <v>87</v>
      </c>
      <c r="HG2" s="47" t="s">
        <v>72</v>
      </c>
      <c r="HH2" s="40" t="s">
        <v>86</v>
      </c>
      <c r="HI2" s="40" t="s">
        <v>87</v>
      </c>
      <c r="HJ2" s="47" t="s">
        <v>72</v>
      </c>
      <c r="HK2" s="40" t="s">
        <v>86</v>
      </c>
      <c r="HL2" s="40" t="s">
        <v>87</v>
      </c>
      <c r="HM2" s="47" t="s">
        <v>72</v>
      </c>
      <c r="HN2" s="40" t="s">
        <v>86</v>
      </c>
      <c r="HO2" s="40" t="s">
        <v>87</v>
      </c>
      <c r="HP2" s="47" t="s">
        <v>72</v>
      </c>
      <c r="HQ2" s="40" t="s">
        <v>86</v>
      </c>
      <c r="HR2" s="40" t="s">
        <v>87</v>
      </c>
      <c r="HS2" s="47" t="s">
        <v>72</v>
      </c>
      <c r="HT2" s="40" t="s">
        <v>86</v>
      </c>
      <c r="HU2" s="40" t="s">
        <v>87</v>
      </c>
      <c r="HV2" s="47" t="s">
        <v>72</v>
      </c>
      <c r="HW2" s="60" t="s">
        <v>93</v>
      </c>
      <c r="HX2" s="61" t="s">
        <v>72</v>
      </c>
      <c r="HY2" s="62" t="s">
        <v>94</v>
      </c>
      <c r="HZ2" s="40" t="s">
        <v>95</v>
      </c>
      <c r="IA2" s="40" t="s">
        <v>96</v>
      </c>
      <c r="IB2" s="47" t="s">
        <v>97</v>
      </c>
      <c r="IC2" s="47" t="s">
        <v>72</v>
      </c>
      <c r="ID2" s="40" t="s">
        <v>98</v>
      </c>
      <c r="IE2" s="40" t="s">
        <v>87</v>
      </c>
      <c r="IF2" s="47" t="s">
        <v>72</v>
      </c>
      <c r="IG2" s="40" t="s">
        <v>99</v>
      </c>
      <c r="IH2" s="47" t="s">
        <v>100</v>
      </c>
      <c r="II2" s="47" t="s">
        <v>72</v>
      </c>
      <c r="IJ2" s="40" t="s">
        <v>101</v>
      </c>
      <c r="IK2" s="47" t="s">
        <v>100</v>
      </c>
      <c r="IL2" s="47" t="s">
        <v>72</v>
      </c>
      <c r="IM2" s="63" t="s">
        <v>102</v>
      </c>
      <c r="IN2" s="64" t="s">
        <v>103</v>
      </c>
      <c r="IO2" s="40" t="s">
        <v>86</v>
      </c>
      <c r="IP2" s="40" t="s">
        <v>104</v>
      </c>
      <c r="IQ2" s="47" t="s">
        <v>72</v>
      </c>
      <c r="IR2" s="40" t="s">
        <v>86</v>
      </c>
      <c r="IS2" s="40" t="s">
        <v>87</v>
      </c>
      <c r="IT2" s="47" t="s">
        <v>72</v>
      </c>
      <c r="IU2" s="40" t="s">
        <v>86</v>
      </c>
      <c r="IV2" s="40" t="s">
        <v>104</v>
      </c>
      <c r="IW2" s="47" t="s">
        <v>72</v>
      </c>
      <c r="IX2" s="40" t="s">
        <v>86</v>
      </c>
      <c r="IY2" s="40" t="s">
        <v>87</v>
      </c>
      <c r="IZ2" s="47" t="s">
        <v>72</v>
      </c>
      <c r="JA2" s="40" t="s">
        <v>86</v>
      </c>
      <c r="JB2" s="40" t="s">
        <v>104</v>
      </c>
      <c r="JC2" s="47" t="s">
        <v>72</v>
      </c>
      <c r="JD2" s="40" t="s">
        <v>86</v>
      </c>
      <c r="JE2" s="40" t="s">
        <v>87</v>
      </c>
      <c r="JF2" s="47" t="s">
        <v>72</v>
      </c>
      <c r="JG2" s="40" t="s">
        <v>86</v>
      </c>
      <c r="JH2" s="40" t="s">
        <v>104</v>
      </c>
      <c r="JI2" s="47" t="s">
        <v>72</v>
      </c>
      <c r="JJ2" s="40" t="s">
        <v>86</v>
      </c>
      <c r="JK2" s="40" t="s">
        <v>87</v>
      </c>
      <c r="JL2" s="47" t="s">
        <v>72</v>
      </c>
      <c r="JM2" s="40" t="s">
        <v>86</v>
      </c>
      <c r="JN2" s="40" t="s">
        <v>104</v>
      </c>
      <c r="JO2" s="47" t="s">
        <v>72</v>
      </c>
      <c r="JP2" s="40" t="s">
        <v>86</v>
      </c>
      <c r="JQ2" s="40" t="s">
        <v>87</v>
      </c>
      <c r="JR2" s="47" t="s">
        <v>72</v>
      </c>
      <c r="JS2" s="40" t="s">
        <v>86</v>
      </c>
      <c r="JT2" s="40" t="s">
        <v>104</v>
      </c>
      <c r="JU2" s="47" t="s">
        <v>72</v>
      </c>
      <c r="JV2" s="40" t="s">
        <v>86</v>
      </c>
      <c r="JW2" s="40" t="s">
        <v>87</v>
      </c>
      <c r="JX2" s="47" t="s">
        <v>72</v>
      </c>
      <c r="JY2" s="40" t="s">
        <v>86</v>
      </c>
      <c r="JZ2" s="40" t="s">
        <v>104</v>
      </c>
      <c r="KA2" s="47" t="s">
        <v>72</v>
      </c>
      <c r="KB2" s="40" t="s">
        <v>86</v>
      </c>
      <c r="KC2" s="40" t="s">
        <v>87</v>
      </c>
      <c r="KD2" s="47" t="s">
        <v>72</v>
      </c>
      <c r="KE2" s="65" t="s">
        <v>105</v>
      </c>
      <c r="KF2" s="47" t="s">
        <v>106</v>
      </c>
      <c r="KG2" s="40" t="s">
        <v>107</v>
      </c>
      <c r="KH2" s="66" t="s">
        <v>108</v>
      </c>
      <c r="KI2" s="40" t="s">
        <v>109</v>
      </c>
      <c r="KJ2" s="65" t="s">
        <v>110</v>
      </c>
      <c r="KK2" s="47" t="s">
        <v>111</v>
      </c>
      <c r="KL2" s="67" t="s">
        <v>112</v>
      </c>
      <c r="KM2" s="47" t="s">
        <v>113</v>
      </c>
      <c r="KN2" s="65" t="s">
        <v>114</v>
      </c>
      <c r="KO2" s="67" t="s">
        <v>115</v>
      </c>
      <c r="KP2" s="67" t="s">
        <v>72</v>
      </c>
      <c r="KQ2" s="65" t="s">
        <v>114</v>
      </c>
      <c r="KR2" s="67" t="s">
        <v>115</v>
      </c>
      <c r="KS2" s="67" t="s">
        <v>72</v>
      </c>
      <c r="KT2" s="68" t="s">
        <v>116</v>
      </c>
      <c r="KU2" s="69" t="s">
        <v>117</v>
      </c>
      <c r="KV2" s="70" t="s">
        <v>118</v>
      </c>
      <c r="KW2" s="70" t="s">
        <v>119</v>
      </c>
      <c r="KX2" s="70" t="s">
        <v>120</v>
      </c>
      <c r="KY2" s="70" t="s">
        <v>121</v>
      </c>
      <c r="KZ2" s="70" t="s">
        <v>122</v>
      </c>
      <c r="LA2" s="70" t="s">
        <v>123</v>
      </c>
      <c r="LB2" s="70" t="s">
        <v>124</v>
      </c>
      <c r="LC2" s="70" t="s">
        <v>125</v>
      </c>
      <c r="LD2" s="70" t="s">
        <v>126</v>
      </c>
      <c r="LE2" s="70" t="s">
        <v>127</v>
      </c>
      <c r="LF2" s="70" t="s">
        <v>128</v>
      </c>
      <c r="LG2" s="70" t="s">
        <v>129</v>
      </c>
      <c r="LH2" s="70" t="s">
        <v>130</v>
      </c>
      <c r="LI2" s="70" t="s">
        <v>131</v>
      </c>
      <c r="LJ2" s="70" t="s">
        <v>132</v>
      </c>
      <c r="LK2" s="71" t="s">
        <v>133</v>
      </c>
      <c r="LL2" s="72" t="s">
        <v>134</v>
      </c>
      <c r="LM2" s="73" t="s">
        <v>135</v>
      </c>
      <c r="LN2" s="73" t="s">
        <v>136</v>
      </c>
      <c r="LO2" s="73" t="s">
        <v>137</v>
      </c>
      <c r="LP2" s="73" t="s">
        <v>138</v>
      </c>
      <c r="LQ2" s="73" t="s">
        <v>139</v>
      </c>
      <c r="LR2" s="73" t="s">
        <v>140</v>
      </c>
      <c r="LS2" s="73" t="s">
        <v>141</v>
      </c>
      <c r="LT2" s="73" t="s">
        <v>142</v>
      </c>
      <c r="LU2" s="74" t="s">
        <v>143</v>
      </c>
      <c r="LV2" s="74" t="s">
        <v>144</v>
      </c>
      <c r="LW2" s="74" t="s">
        <v>145</v>
      </c>
    </row>
    <row r="3" spans="1:335" x14ac:dyDescent="0.25">
      <c r="A3" s="75" t="s">
        <v>146</v>
      </c>
      <c r="B3" s="76" t="s">
        <v>147</v>
      </c>
      <c r="C3" s="76" t="s">
        <v>148</v>
      </c>
      <c r="D3" s="77" t="s">
        <v>149</v>
      </c>
      <c r="E3" s="78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80"/>
      <c r="R3" s="80"/>
      <c r="S3" s="81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82"/>
      <c r="AF3" s="79"/>
      <c r="AG3" s="79"/>
      <c r="AH3" s="83"/>
      <c r="AI3" s="84" t="s">
        <v>150</v>
      </c>
      <c r="AJ3" s="85" t="s">
        <v>151</v>
      </c>
      <c r="AK3" s="86" t="s">
        <v>152</v>
      </c>
      <c r="AL3" s="87">
        <v>43039</v>
      </c>
      <c r="AM3" s="88">
        <v>43159</v>
      </c>
      <c r="AN3" s="89" t="s">
        <v>153</v>
      </c>
      <c r="AO3" s="90" t="s">
        <v>153</v>
      </c>
      <c r="AP3" s="91"/>
      <c r="AQ3" s="91" t="s">
        <v>154</v>
      </c>
      <c r="AR3" s="91">
        <v>20</v>
      </c>
      <c r="AS3" s="91">
        <v>10000</v>
      </c>
      <c r="AT3" s="92" t="s">
        <v>155</v>
      </c>
      <c r="AU3" s="93" t="s">
        <v>149</v>
      </c>
      <c r="AV3" s="94" t="s">
        <v>156</v>
      </c>
      <c r="AW3" s="95" t="s">
        <v>156</v>
      </c>
      <c r="AX3" s="96" t="s">
        <v>150</v>
      </c>
      <c r="AY3" s="97" t="s">
        <v>157</v>
      </c>
      <c r="AZ3" s="98" t="str">
        <f>IF(ISERROR(VLOOKUP(AY3,[1]PLANOS!B:C,2,0)),"",VLOOKUP(AY3,[1]PLANOS!B:C,2,0))</f>
        <v>PCS-3PLowpi</v>
      </c>
      <c r="BA3" s="99" t="s">
        <v>156</v>
      </c>
      <c r="BB3" s="100" t="str">
        <f>IF(BA3="Sim","OI-17101-1","")</f>
        <v/>
      </c>
      <c r="BC3" s="101"/>
      <c r="BD3" s="102"/>
      <c r="BE3" s="103">
        <v>55.11</v>
      </c>
      <c r="BF3" s="104">
        <f>IF(BE3=0,"",IF(BE3=VLOOKUP("FIXO",[1]ARBOR!$A:$C,3,0),0.0001,IF(BE3&gt;VLOOKUP("FIXO",[1]ARBOR!$A:$C,3,0),"Maior que CAP!",IF((DOLLAR(BE3+(VLOOKUP("FIXO",[1]ARBOR!$A:$C,3,0)*-TRUNC(BE3/VLOOKUP("FIXO",[1]ARBOR!$A:$C,3,0)-1,4)),6))&lt;&gt;(DOLLAR(VLOOKUP("FIXO",[1]ARBOR!$A:$C,3,0),6)),-TRUNC(BE3/VLOOKUP("FIXO",[1]ARBOR!$A:$C,3,0)-1,4)+0.0001,-TRUNC(BE3/VLOOKUP("FIXO",[1]ARBOR!$A:$C,3,0)-1,4)))))</f>
        <v>0.27339999999999998</v>
      </c>
      <c r="BG3" s="105"/>
      <c r="BH3" s="104" t="str">
        <f>IF(BG3=0,"",IF(BG3=VLOOKUP("FIXO",[1]ARBOR!$A:$C,3,0),0.0001,IF(BG3&gt;VLOOKUP("FIXO",[1]ARBOR!$A:$C,3,0),"Maior que CAP!",IF((DOLLAR(BG3+(VLOOKUP("FIXO",[1]ARBOR!$A:$C,3,0)*-TRUNC(BG3/VLOOKUP("FIXO",[1]ARBOR!$A:$C,3,0)-1,4)),6))&lt;&gt;(DOLLAR(VLOOKUP("FIXO",[1]ARBOR!$A:$C,3,0),6)),-TRUNC(BG3/VLOOKUP("FIXO",[1]ARBOR!$A:$C,3,0)-1,4)+0.0001,-TRUNC(BG3/VLOOKUP("FIXO",[1]ARBOR!$A:$C,3,0)-1,4)))))</f>
        <v/>
      </c>
      <c r="BI3" s="106" t="str">
        <f>IF(ISERROR(IF(BF3="","",VLOOKUP(($AY3&amp;BF3&amp;"Template de desconto FLAT bundle - Fixo - Varejo - Ganho Tributário Cross"),[1]BENEFICIOS!$A:$E,5,0))),"Criar",IF(BF3="","",VLOOKUP(($AY3&amp;BF3&amp;"Template de desconto FLAT bundle - Fixo - Varejo - Ganho Tributário Cross"),[1]BENEFICIOS!$A:$E,5,0)))</f>
        <v>MKT-1-9825728397</v>
      </c>
      <c r="BJ3" s="107"/>
      <c r="BK3" s="104" t="str">
        <f>IF(BL3&lt;&gt;"",0.0001,"")</f>
        <v/>
      </c>
      <c r="BL3" s="108"/>
      <c r="BM3" s="104" t="str">
        <f>IF(BL3=0,"",IF(BL3=VLOOKUP("FIXO",[1]ARBOR!$A:$C,3,0),0.0001,IF(BL3&gt;VLOOKUP("FIXO",[1]ARBOR!$A:$C,3,0),"Maior que CAP!",IF(BF3&lt;&gt;"",-ROUND(BL3/VLOOKUP("FIXO",[1]ARBOR!$A:$C,3,0)-1,4)-BF3,-ROUND(BL3/VLOOKUP("FIXO",[1]ARBOR!$A:$C,3,0)-1,4)))))</f>
        <v/>
      </c>
      <c r="BN3" s="109"/>
      <c r="BO3" s="104" t="str">
        <f>IF(ISERROR(IF(BK3="","",VLOOKUP(($AY3&amp;BK3&amp;"Template de desconto FLAT bundle - Fixo - Varejo - Ganho Tributário Cross"),[1]BENEFICIOS!$A:$E,5,0))),"Criar",IF(BK3="","",VLOOKUP(($AY3&amp;BK3&amp;"Template de desconto FLAT bundle - Fixo - Varejo - Ganho Tributário Cross"),[1]BENEFICIOS!$A:$E,5,0)))</f>
        <v/>
      </c>
      <c r="BP3" s="110" t="s">
        <v>158</v>
      </c>
      <c r="BQ3" s="111" t="s">
        <v>159</v>
      </c>
      <c r="BR3" s="112" t="s">
        <v>156</v>
      </c>
      <c r="BS3" s="113" t="str">
        <f t="shared" ref="BS3:BS19" si="0">IF(BR3="Sim","OI-17101-2","")</f>
        <v/>
      </c>
      <c r="BT3" s="101"/>
      <c r="BU3" s="114"/>
      <c r="BV3" s="115" t="s">
        <v>86</v>
      </c>
      <c r="BW3" s="116">
        <v>44.9</v>
      </c>
      <c r="BX3" s="104">
        <f>IF(BW3=0,"",IF(BW3=VLOOKUP("PCS-30874g",[1]ARBOR!$A:$C,3,0),0.0001,IF(BW3&gt;VLOOKUP("PCS-30874g",[1]ARBOR!$A:$C,3,0),"Maior que CAP!",IF((DOLLAR(BW3+(VLOOKUP("PCS-30874g",[1]ARBOR!$A:$C,3,0)*-TRUNC(BW3/VLOOKUP("PCS-30874g",[1]ARBOR!$A:$C,3,0)-1,4)),6))&lt;&gt;(DOLLAR(VLOOKUP("PCS-30874g",[1]ARBOR!$A:$C,3,0),6)),-TRUNC(BW3/VLOOKUP("PCS-30874g",[1]ARBOR!$A:$C,3,0)-1,4)+0.0001,-TRUNC(BW3/VLOOKUP("PCS-30874g",[1]ARBOR!$A:$C,3,0)-1,4)))))</f>
        <v>0.53679999999999994</v>
      </c>
      <c r="BY3" s="111" t="str">
        <f>IF(ISERROR(IF(BX3="","",VLOOKUP(($AY3&amp;BX3&amp;"Template de desconto FLAT bundle - Velox XDSL - Varejo"),[1]BENEFICIOS!$A:$E,5,0))),"Criar",IF(BX3="","",VLOOKUP(($AY3&amp;BX3&amp;"Template de desconto FLAT bundle - Velox XDSL - Varejo"),[1]BENEFICIOS!$A:$E,5,0)))</f>
        <v>MKT-1-9831719752</v>
      </c>
      <c r="BZ3" s="115" t="s">
        <v>86</v>
      </c>
      <c r="CA3" s="116">
        <v>44.9</v>
      </c>
      <c r="CB3" s="104">
        <f>IF(CA3=0,"",IF(CA3=VLOOKUP("PCS-30577g",[1]ARBOR!$A:$C,3,0),0.0001,IF(CA3&gt;VLOOKUP("PCS-30577g",[1]ARBOR!$A:$C,3,0),"Maior que CAP!",IF((DOLLAR(CA3+(VLOOKUP("PCS-30577g",[1]ARBOR!$A:$C,3,0)*-TRUNC(CA3/VLOOKUP("PCS-30577g",[1]ARBOR!$A:$C,3,0)-1,4)),6))&lt;&gt;(DOLLAR(VLOOKUP("PCS-30577g",[1]ARBOR!$A:$C,3,0),6)),-TRUNC(CA3/VLOOKUP("PCS-30577g",[1]ARBOR!$A:$C,3,0)-1,4)+0.0001,-TRUNC(CA3/VLOOKUP("PCS-30577g",[1]ARBOR!$A:$C,3,0)-1,4)))))</f>
        <v>0.53679999999999994</v>
      </c>
      <c r="CC3" s="111" t="str">
        <f>IF(ISERROR(IF(CB3="","",VLOOKUP(($AY3&amp;CB3&amp;"Template de desconto FLAT bundle - Velox XDSL - Varejo"),[1]BENEFICIOS!$A:$E,5,0))),"Criar",IF(CB3="","",VLOOKUP(($AY3&amp;CB3&amp;"Template de desconto FLAT bundle - Velox XDSL - Varejo"),[1]BENEFICIOS!$A:$E,5,0)))</f>
        <v>MKT-1-9831719752</v>
      </c>
      <c r="CD3" s="115" t="s">
        <v>86</v>
      </c>
      <c r="CE3" s="116">
        <v>44.9</v>
      </c>
      <c r="CF3" s="104">
        <f>IF(CE3=0,"",IF(CE3=VLOOKUP("PCS-30604g",[1]ARBOR!$A:$C,3,0),0.0001,IF(CE3&gt;VLOOKUP("PCS-30604g",[1]ARBOR!$A:$C,3,0),"Maior que CAP!",IF((DOLLAR(CE3+(VLOOKUP("PCS-30604g",[1]ARBOR!$A:$C,3,0)*-TRUNC(CE3/VLOOKUP("PCS-30604g",[1]ARBOR!$A:$C,3,0)-1,4)),6))&lt;&gt;(DOLLAR(VLOOKUP("PCS-30604g",[1]ARBOR!$A:$C,3,0),6)),-TRUNC(CE3/VLOOKUP("PCS-30604g",[1]ARBOR!$A:$C,3,0)-1,4)+0.0001,-TRUNC(CE3/VLOOKUP("PCS-30604g",[1]ARBOR!$A:$C,3,0)-1,4)))))</f>
        <v>0.53679999999999994</v>
      </c>
      <c r="CG3" s="111" t="str">
        <f>IF(ISERROR(IF(CF3="","",VLOOKUP(($AY3&amp;CF3&amp;"Template de desconto FLAT bundle - Velox XDSL - Varejo"),[1]BENEFICIOS!$A:$E,5,0))),"Criar",IF(CF3="","",VLOOKUP(($AY3&amp;CF3&amp;"Template de desconto FLAT bundle - Velox XDSL - Varejo"),[1]BENEFICIOS!$A:$E,5,0)))</f>
        <v>MKT-1-9831719752</v>
      </c>
      <c r="CH3" s="115" t="s">
        <v>86</v>
      </c>
      <c r="CI3" s="116">
        <v>44.9</v>
      </c>
      <c r="CJ3" s="104">
        <f>IF(CI3=0,"",IF(CI3=VLOOKUP("PCS-30631g",[1]ARBOR!$A:$C,3,0),0.0001,IF(CI3&gt;VLOOKUP("PCS-30631g",[1]ARBOR!$A:$C,3,0),"Maior que CAP!",IF((DOLLAR(CI3+(VLOOKUP("PCS-30631g",[1]ARBOR!$A:$C,3,0)*-TRUNC(CI3/VLOOKUP("PCS-30631g",[1]ARBOR!$A:$C,3,0)-1,4)),6))&lt;&gt;(DOLLAR(VLOOKUP("PCS-30631g",[1]ARBOR!$A:$C,3,0),6)),-TRUNC(CI3/VLOOKUP("PCS-30631g",[1]ARBOR!$A:$C,3,0)-1,4)+0.0001,-TRUNC(CI3/VLOOKUP("PCS-30631g",[1]ARBOR!$A:$C,3,0)-1,4)))))</f>
        <v>0.54310000000000003</v>
      </c>
      <c r="CK3" s="111" t="str">
        <f>IF(ISERROR(IF(CJ3="","",VLOOKUP(($AY3&amp;CJ3&amp;"Template de desconto FLAT bundle - Velox XDSL - Varejo"),[1]BENEFICIOS!$A:$E,5,0))),"Criar",IF(CJ3="","",VLOOKUP(($AY3&amp;CJ3&amp;"Template de desconto FLAT bundle - Velox XDSL - Varejo"),[1]BENEFICIOS!$A:$E,5,0)))</f>
        <v>MKT-1-9828191673</v>
      </c>
      <c r="CL3" s="115"/>
      <c r="CM3" s="116"/>
      <c r="CN3" s="104" t="str">
        <f>IF(CM3=0,"",IF(CM3=VLOOKUP("PCS-30658g",[1]ARBOR!$A:$C,3,0),0.0001,IF(CM3&gt;VLOOKUP("PCS-30658g",[1]ARBOR!$A:$C,3,0),"Maior que CAP!",IF((DOLLAR(CM3+(VLOOKUP("PCS-30658g",[1]ARBOR!$A:$C,3,0)*-TRUNC(CM3/VLOOKUP("PCS-30658g",[1]ARBOR!$A:$C,3,0)-1,4)),6))&lt;&gt;(DOLLAR(VLOOKUP("PCS-30658g",[1]ARBOR!$A:$C,3,0),6)),-TRUNC(CM3/VLOOKUP("PCS-30658g",[1]ARBOR!$A:$C,3,0)-1,4)+0.0001,-TRUNC(CM3/VLOOKUP("PCS-30658g",[1]ARBOR!$A:$C,3,0)-1,4)))))</f>
        <v/>
      </c>
      <c r="CO3" s="111" t="str">
        <f>IF(ISERROR(IF(CN3="","",VLOOKUP(($AY3&amp;CN3&amp;"Template de desconto FLAT bundle - Velox XDSL - Varejo"),[1]BENEFICIOS!$A:$E,5,0))),"Criar",IF(CN3="","",VLOOKUP(($AY3&amp;CN3&amp;"Template de desconto FLAT bundle - Velox XDSL - Varejo"),[1]BENEFICIOS!$A:$E,5,0)))</f>
        <v/>
      </c>
      <c r="CP3" s="115"/>
      <c r="CQ3" s="116"/>
      <c r="CR3" s="104" t="str">
        <f>IF(CQ3=0,"",IF(CQ3=VLOOKUP("PCS-30685g",[1]ARBOR!$A:$C,3,0),0.0001,IF(CQ3&gt;VLOOKUP("PCS-30685g",[1]ARBOR!$A:$C,3,0),"Maior que CAP!",IF((DOLLAR(CQ3+(VLOOKUP("PCS-30685g",[1]ARBOR!$A:$C,3,0)*-TRUNC(CQ3/VLOOKUP("PCS-30685g",[1]ARBOR!$A:$C,3,0)-1,4)),6))&lt;&gt;(DOLLAR(VLOOKUP("PCS-30685g",[1]ARBOR!$A:$C,3,0),6)),-TRUNC(CQ3/VLOOKUP("PCS-30685g",[1]ARBOR!$A:$C,3,0)-1,4)+0.0001,-TRUNC(CQ3/VLOOKUP("PCS-30685g",[1]ARBOR!$A:$C,3,0)-1,4)))))</f>
        <v/>
      </c>
      <c r="CS3" s="111" t="str">
        <f>IF(ISERROR(IF(CR3="","",VLOOKUP(($AY3&amp;CR3&amp;"Template de desconto FLAT bundle - Velox XDSL - Varejo"),[1]BENEFICIOS!$A:$E,5,0))),"Criar",IF(CR3="","",VLOOKUP(($AY3&amp;CR3&amp;"Template de desconto FLAT bundle - Velox XDSL - Varejo"),[1]BENEFICIOS!$A:$E,5,0)))</f>
        <v/>
      </c>
      <c r="CT3" s="115"/>
      <c r="CU3" s="116"/>
      <c r="CV3" s="104" t="str">
        <f>IF(CU3=0,"",IF(CU3=VLOOKUP("PCS-30712g",[1]ARBOR!$A:$C,3,0),0.0001,IF(CU3&gt;VLOOKUP("PCS-30712g",[1]ARBOR!$A:$C,3,0),"Maior que CAP!",IF((DOLLAR(CU3+(VLOOKUP("PCS-30712g",[1]ARBOR!$A:$C,3,0)*-TRUNC(CU3/VLOOKUP("PCS-30712g",[1]ARBOR!$A:$C,3,0)-1,4)),6))&lt;&gt;(DOLLAR(VLOOKUP("PCS-30712g",[1]ARBOR!$A:$C,3,0),6)),-TRUNC(CU3/VLOOKUP("PCS-30712g",[1]ARBOR!$A:$C,3,0)-1,4)+0.0001,-TRUNC(CU3/VLOOKUP("PCS-30712g",[1]ARBOR!$A:$C,3,0)-1,4)))))</f>
        <v/>
      </c>
      <c r="CW3" s="111" t="str">
        <f>IF(ISERROR(IF(CV3="","",VLOOKUP(($AY3&amp;CV3&amp;"Template de desconto FLAT bundle - Velox XDSL - Varejo"),[1]BENEFICIOS!$A:$E,5,0))),"Criar",IF(CV3="","",VLOOKUP(($AY3&amp;CV3&amp;"Template de desconto FLAT bundle - Velox XDSL - Varejo"),[1]BENEFICIOS!$A:$E,5,0)))</f>
        <v/>
      </c>
      <c r="CX3" s="115"/>
      <c r="CY3" s="116"/>
      <c r="CZ3" s="104" t="str">
        <f>IF(CY3=0,"",IF(CY3=VLOOKUP("PCS-30739g",[1]ARBOR!$A:$C,3,0),0.0001,IF(CY3&gt;VLOOKUP("PCS-30739g",[1]ARBOR!$A:$C,3,0),"Maior que CAP!",IF((DOLLAR(CY3+(VLOOKUP("PCS-30739g",[1]ARBOR!$A:$C,3,0)*-TRUNC(CY3/VLOOKUP("PCS-30739g",[1]ARBOR!$A:$C,3,0)-1,4)),6))&lt;&gt;(DOLLAR(VLOOKUP("PCS-30739g",[1]ARBOR!$A:$C,3,0),6)),-TRUNC(CY3/VLOOKUP("PCS-30739g",[1]ARBOR!$A:$C,3,0)-1,4)+0.0001,-TRUNC(CY3/VLOOKUP("PCS-30739g",[1]ARBOR!$A:$C,3,0)-1,4)))))</f>
        <v/>
      </c>
      <c r="DA3" s="117" t="str">
        <f>IF(ISERROR(IF(CZ3="","",VLOOKUP(($AY3&amp;CZ3&amp;"Template de desconto FLAT bundle - Velox XDSL - Varejo"),[1]BENEFICIOS!$A:$E,5,0))),"Criar",IF(CZ3="","",VLOOKUP(($AY3&amp;CZ3&amp;"Template de desconto FLAT bundle - Velox XDSL - Varejo"),[1]BENEFICIOS!$A:$E,5,0)))</f>
        <v/>
      </c>
      <c r="DB3" s="118"/>
      <c r="DC3" s="119"/>
      <c r="DD3" s="104" t="str">
        <f>IF(DB3=0,"",IF(DB3=VLOOKUP("PCS-30739g",[1]ARBOR!$A:$C,3,0),0.0001,IF(DB3&gt;VLOOKUP("PCS-30739g",[1]ARBOR!$A:$C,3,0),"Maior que CAP!",IF((DOLLAR(DB3+(VLOOKUP("PCS-30739g",[1]ARBOR!$A:$C,3,0)*-TRUNC(DB3/VLOOKUP("PCS-30739g",[1]ARBOR!$A:$C,3,0)-1,4)),6))&lt;&gt;(DOLLAR(VLOOKUP("PCS-30739g",[1]ARBOR!$A:$C,3,0),6)),(-TRUNC(DB3/VLOOKUP("PCS-30739g",[1]ARBOR!$A:$C,3,0)-1,4)+0.0001)-CZ3,-TRUNC(DB3/VLOOKUP("PCS-30739g",[1]ARBOR!$A:$C,3,0)-1,4)-CZ3))))</f>
        <v/>
      </c>
      <c r="DE3" s="111" t="str">
        <f>IF(ISERROR(IF(DD3="","",VLOOKUP(($AY3&amp;DD3&amp;"Template de desconto percentual Bundle - Velox XDSL - Varejo"),[1]BENEFICIOS!$A:$E,5,0))),"Criar",IF(DD3="","",VLOOKUP(($AY3&amp;DD3&amp;"Template de desconto percentual Bundle - Velox XDSL - Varejo"),[1]BENEFICIOS!$A:$E,5,0)))</f>
        <v/>
      </c>
      <c r="DF3" s="115"/>
      <c r="DG3" s="116"/>
      <c r="DH3" s="104" t="str">
        <f>IF(DG3=0,"",IF(DG3=VLOOKUP("PCS-30766g",[1]ARBOR!$A:$C,3,0),0.0001,IF(DG3&gt;VLOOKUP("PCS-30766g",[1]ARBOR!$A:$C,3,0),"Maior que CAP!",IF((DOLLAR(DG3+(VLOOKUP("PCS-30766g",[1]ARBOR!$A:$C,3,0)*-TRUNC(DG3/VLOOKUP("PCS-30766g",[1]ARBOR!$A:$C,3,0)-1,4)),6))&lt;&gt;(DOLLAR(VLOOKUP("PCS-30766g",[1]ARBOR!$A:$C,3,0),6)),-TRUNC(DG3/VLOOKUP("PCS-30766g",[1]ARBOR!$A:$C,3,0)-1,4)+0.0001,-TRUNC(DG3/VLOOKUP("PCS-30766g",[1]ARBOR!$A:$C,3,0)-1,4)))))</f>
        <v/>
      </c>
      <c r="DI3" s="117" t="str">
        <f>IF(ISERROR(IF(DH3="","",VLOOKUP(($AY3&amp;DH3&amp;"Template de desconto FLAT bundle - Velox XDSL - Varejo"),[1]BENEFICIOS!$A:$E,5,0))),"Criar",IF(DH3="","",VLOOKUP(($AY3&amp;DH3&amp;"Template de desconto FLAT bundle - Velox XDSL - Varejo"),[1]BENEFICIOS!$A:$E,5,0)))</f>
        <v/>
      </c>
      <c r="DJ3" s="118"/>
      <c r="DK3" s="119"/>
      <c r="DL3" s="104" t="str">
        <f>IF(DJ3=0,"",IF(DJ3=VLOOKUP("PCS-30766g",[1]ARBOR!$A:$C,3,0),0.0001,IF(DJ3&gt;VLOOKUP("PCS-30766g",[1]ARBOR!$A:$C,3,0),"Maior que CAP!",IF((DOLLAR(DJ3+(VLOOKUP("PCS-30766g",[1]ARBOR!$A:$C,3,0)*-TRUNC(DJ3/VLOOKUP("PCS-30766g",[1]ARBOR!$A:$C,3,0)-1,4)),6))&lt;&gt;(DOLLAR(VLOOKUP("PCS-30766g",[1]ARBOR!$A:$C,3,0),6)),(-TRUNC(DJ3/VLOOKUP("PCS-30766g",[1]ARBOR!$A:$C,3,0)-1,4)+0.0001)-DH3,-TRUNC(DJ3/VLOOKUP("PCS-30766g",[1]ARBOR!$A:$C,3,0)-1,4)-DH3))))</f>
        <v/>
      </c>
      <c r="DM3" s="111" t="str">
        <f>IF(ISERROR(IF(DL3="","",VLOOKUP(($AY3&amp;DL3&amp;"Template de desconto percentual Bundle - Velox XDSL - Varejo"),[1]BENEFICIOS!$A:$E,5,0))),"Criar",IF(DL3="","",VLOOKUP(($AY3&amp;DL3&amp;"Template de desconto percentual Bundle - Velox XDSL - Varejo"),[1]BENEFICIOS!$A:$E,5,0)))</f>
        <v/>
      </c>
      <c r="DN3" s="115"/>
      <c r="DO3" s="116"/>
      <c r="DP3" s="104" t="str">
        <f>IF(DO3=0,"",IF(DO3=VLOOKUP("PCS-30793g",[1]ARBOR!$A:$C,3,0),0.0001,IF(DO3&gt;VLOOKUP("PCS-30793g",[1]ARBOR!$A:$C,3,0),"Maior que CAP!",IF((DOLLAR(DO3+(VLOOKUP("PCS-30793g",[1]ARBOR!$A:$C,3,0)*-TRUNC(DO3/VLOOKUP("PCS-30793g",[1]ARBOR!$A:$C,3,0)-1,4)),6))&lt;&gt;(DOLLAR(VLOOKUP("PCS-30793g",[1]ARBOR!$A:$C,3,0),6)),-TRUNC(DO3/VLOOKUP("PCS-30793g",[1]ARBOR!$A:$C,3,0)-1,4)+0.0001,-TRUNC(DO3/VLOOKUP("PCS-30793g",[1]ARBOR!$A:$C,3,0)-1,4)))))</f>
        <v/>
      </c>
      <c r="DQ3" s="117" t="str">
        <f>IF(ISERROR(IF(DP3="","",VLOOKUP(($AY3&amp;DP3&amp;"Template de desconto FLAT bundle - Velox XDSL - Varejo"),[1]BENEFICIOS!$A:$E,5,0))),"Criar",IF(DP3="","",VLOOKUP(($AY3&amp;DP3&amp;"Template de desconto FLAT bundle - Velox XDSL - Varejo"),[1]BENEFICIOS!$A:$E,5,0)))</f>
        <v/>
      </c>
      <c r="DR3" s="118"/>
      <c r="DS3" s="119"/>
      <c r="DT3" s="104" t="str">
        <f>IF(DR3=0,"",IF(DR3=VLOOKUP("PCS-30793g",[1]ARBOR!$A:$C,3,0),0.0001,IF(DR3&gt;VLOOKUP("PCS-30793g",[1]ARBOR!$A:$C,3,0),"Maior que CAP!",IF((DOLLAR(DR3+(VLOOKUP("PCS-30793g",[1]ARBOR!$A:$C,3,0)*-TRUNC(DR3/VLOOKUP("PCS-30793g",[1]ARBOR!$A:$C,3,0)-1,4)),6))&lt;&gt;(DOLLAR(VLOOKUP("PCS-30793g",[1]ARBOR!$A:$C,3,0),6)),(-TRUNC(DR3/VLOOKUP("PCS-30793g",[1]ARBOR!$A:$C,3,0)-1,4)+0.0001)-DP3,-TRUNC(DR3/VLOOKUP("PCS-30793g",[1]ARBOR!$A:$C,3,0)-1,4)-DP3))))</f>
        <v/>
      </c>
      <c r="DU3" s="111" t="str">
        <f>IF(ISERROR(IF(DT3="","",VLOOKUP(($AY3&amp;DT3&amp;"Template de desconto percentual Bundle - Velox XDSL - Varejo"),[1]BENEFICIOS!$A:$E,5,0))),"Criar",IF(DT3="","",VLOOKUP(($AY3&amp;DT3&amp;"Template de desconto percentual Bundle - Velox XDSL - Varejo"),[1]BENEFICIOS!$A:$E,5,0)))</f>
        <v/>
      </c>
      <c r="DV3" s="115"/>
      <c r="DW3" s="116"/>
      <c r="DX3" s="104" t="str">
        <f>IF(DW3=0,"",IF(DW3=VLOOKUP("PCS-30820g",[1]ARBOR!$A:$C,3,0),0.0001,IF(DW3&gt;VLOOKUP("PCS-30820g",[1]ARBOR!$A:$C,3,0),"Maior que CAP!",IF((DOLLAR(DW3+(VLOOKUP("PCS-30820g",[1]ARBOR!$A:$C,3,0)*-TRUNC(DW3/VLOOKUP("PCS-30820g",[1]ARBOR!$A:$C,3,0)-1,4)),6))&lt;&gt;(DOLLAR(VLOOKUP("PCS-30820g",[1]ARBOR!$A:$C,3,0),6)),-TRUNC(DW3/VLOOKUP("PCS-30820g",[1]ARBOR!$A:$C,3,0)-1,4)+0.0001,-TRUNC(DW3/VLOOKUP("PCS-30820g",[1]ARBOR!$A:$C,3,0)-1,4)))))</f>
        <v/>
      </c>
      <c r="DY3" s="117" t="str">
        <f>IF(ISERROR(IF(DX3="","",VLOOKUP(($AY3&amp;DX3&amp;"Template de desconto FLAT bundle - Velox XDSL - Varejo"),[1]BENEFICIOS!$A:$E,5,0))),"Criar",IF(DX3="","",VLOOKUP(($AY3&amp;DX3&amp;"Template de desconto FLAT bundle - Velox XDSL - Varejo"),[1]BENEFICIOS!$A:$E,5,0)))</f>
        <v/>
      </c>
      <c r="DZ3" s="118"/>
      <c r="EA3" s="119"/>
      <c r="EB3" s="104" t="str">
        <f>IF(DZ3=0,"",IF(DZ3=VLOOKUP("PCS-30820g",[1]ARBOR!$A:$C,3,0),0.0001,IF(DZ3&gt;VLOOKUP("PCS-30820g",[1]ARBOR!$A:$C,3,0),"Maior que CAP!",IF((DOLLAR(DZ3+(VLOOKUP("PCS-30820g",[1]ARBOR!$A:$C,3,0)*-TRUNC(DZ3/VLOOKUP("PCS-30820g",[1]ARBOR!$A:$C,3,0)-1,4)),6))&lt;&gt;(DOLLAR(VLOOKUP("PCS-30820g",[1]ARBOR!$A:$C,3,0),6)),(-TRUNC(DZ3/VLOOKUP("PCS-30820g",[1]ARBOR!$A:$C,3,0)-1,4)+0.0001)-DX3,-TRUNC(DZ3/VLOOKUP("PCS-30820g",[1]ARBOR!$A:$C,3,0)-1,4)-DX3))))</f>
        <v/>
      </c>
      <c r="EC3" s="111" t="str">
        <f>IF(ISERROR(IF(EB3="","",VLOOKUP(($AY3&amp;EB3&amp;"Template de desconto percentual Bundle - Velox XDSL - Varejo"),[1]BENEFICIOS!$A:$E,5,0))),"Criar",IF(EB3="","",VLOOKUP(($AY3&amp;EB3&amp;"Template de desconto percentual Bundle - Velox XDSL - Varejo"),[1]BENEFICIOS!$A:$E,5,0)))</f>
        <v/>
      </c>
      <c r="ED3" s="120">
        <v>44.9</v>
      </c>
      <c r="EE3" s="104">
        <f>IF(ED3=0,"",IF(ED3=VLOOKUP("PCS-21448p2",[1]ARBOR!$A:$C,3,0),0.0001,IF(ED3&gt;VLOOKUP("PCS-21448p2",[1]ARBOR!$A:$C,3,0),"Maior que CAP!",IF((DOLLAR(ED3+(VLOOKUP("PCS-21448p2",[1]ARBOR!$A:$C,3,0)*-TRUNC(ED3/VLOOKUP("PCS-21448p2",[1]ARBOR!$A:$C,3,0)-1,4)),6))&lt;&gt;(DOLLAR(VLOOKUP("PCS-21448p2",[1]ARBOR!$A:$C,3,0),6)),-TRUNC(ED3/VLOOKUP("PCS-21448p2",[1]ARBOR!$A:$C,3,0)-1,4)+0.0001,-TRUNC(ED3/VLOOKUP("PCS-21448p2",[1]ARBOR!$A:$C,3,0)-1,4)))))</f>
        <v>0.64900000000000002</v>
      </c>
      <c r="EF3" s="104" t="str">
        <f>IF(ISERROR(IF(EE3="","",VLOOKUP(("Oi Conta Total Plug 10GB Downgrade"&amp;EE3&amp;"Template de desconto percentual BL Móvel - Internet Total - Varejo"),[1]BENEFICIOS!$A:$E,5,0))),"Criar",IF(EE3="","",VLOOKUP(("Oi Conta Total Plug 10GB Downgrade"&amp;EE3&amp;"Template de desconto percentual BL Móvel - Internet Total - Varejo"),[1]BENEFICIOS!$A:$E,5,0)))</f>
        <v>MKT-1-9825544790</v>
      </c>
      <c r="EG3" s="121">
        <v>16.5</v>
      </c>
      <c r="EH3" s="122">
        <f>IF(EG3=0,"",IF(EG3=VLOOKUP("SVA",[1]ARBOR!$A:$C,3,0),0.0001,IF(EG3&gt;VLOOKUP("SVA",[1]ARBOR!$A:$C,3,0),"Maior que CAP!",IF((DOLLAR(EG3+(VLOOKUP("SVA",[1]ARBOR!$A:$C,3,0)*-TRUNC(EG3/VLOOKUP("SVA",[1]ARBOR!$A:$C,3,0)-1,4)),6))&lt;&gt;(DOLLAR(VLOOKUP("SVA",[1]ARBOR!$A:$C,3,0),6)),-TRUNC(EG3/VLOOKUP("SVA",[1]ARBOR!$A:$C,3,0)-1,4)+0.0001,-TRUNC(EG3/VLOOKUP("SVA",[1]ARBOR!$A:$C,3,0)-1,4)))))</f>
        <v>0.2301</v>
      </c>
      <c r="EI3" s="122" t="s">
        <v>160</v>
      </c>
      <c r="EJ3" s="123"/>
      <c r="EK3" s="124"/>
      <c r="EL3" s="125" t="str">
        <f>IF(EJ3="Grátis",1-EH3,"")</f>
        <v/>
      </c>
      <c r="EM3" s="122" t="str">
        <f>IF(EL3="S/Desc","S/Desc",IF(ISERROR(IF(EL3="","",VLOOKUP(($BX3&amp;EL3&amp;"Template Desc. % sobre Serviço SVA B2C"),[1]BENEFICIOS!$A:$G,5,0))),"Criar",IF(EL3="","",VLOOKUP(($BX3&amp;EL3&amp;"Template Desc. % sobre Serviço SVA B2C"),[1]BENEFICIOS!$A:$G,5,0))))</f>
        <v/>
      </c>
      <c r="EN3" s="126">
        <v>84.9</v>
      </c>
      <c r="EO3" s="127">
        <f>IF(EN3=0,"",IF(EN3=VLOOKUP("PCS-OzTL40",[1]ARBOR!$A:$C,3,0),0.0001,IF(EN3&gt;VLOOKUP("PCS-OzTL40",[1]ARBOR!$A:$C,3,0),"Maior que CAP!",IF((DOLLAR(EN3+(VLOOKUP("PCS-OzTL40",[1]ARBOR!$A:$C,3,0)*-TRUNC(EN3/VLOOKUP("PCS-OzTL40",[1]ARBOR!$A:$C,3,0)-1,4)),6))&lt;&gt;(DOLLAR(VLOOKUP("PCS-OzTL40",[1]ARBOR!$A:$C,3,0),6)),-TRUNC(EN3/VLOOKUP("PCS-OzTL40",[1]ARBOR!$A:$C,3,0)-1,4)+0.0001,-TRUNC(EN3/VLOOKUP("PCS-OzTL40",[1]ARBOR!$A:$C,3,0)-1,4)))))</f>
        <v>0.14249999999999999</v>
      </c>
      <c r="EP3" s="111" t="str">
        <f>IF(ISERROR(IF(EO3="","",VLOOKUP(($AY3&amp;EO3&amp;"Template desconto FLAT Plano Principal Oi TV nível conta"),[1]BENEFICIOS!$A:$G,5,0))),"Criar",IF(EO3="","",VLOOKUP(($AY3&amp;EO3&amp;"Template desconto FLAT Plano Principal Oi TV nível conta"),[1]BENEFICIOS!$A:$G,5,0)))</f>
        <v>MKT-1-10140955511</v>
      </c>
      <c r="EQ3" s="126"/>
      <c r="ER3" s="127" t="str">
        <f>IF(EQ3=0,"",IF(EQ3=VLOOKUP("PCS-OzTL41",[1]ARBOR!$A:$C,3,0),0.0001,IF(EQ3&gt;VLOOKUP("PCS-OzTL41",[1]ARBOR!$A:$C,3,0),"Maior que CAP!",IF((DOLLAR(EQ3+(VLOOKUP("PCS-OzTL41",[1]ARBOR!$A:$C,3,0)*-TRUNC(EQ3/VLOOKUP("PCS-OzTL41",[1]ARBOR!$A:$C,3,0)-1,4)),6))&lt;&gt;(DOLLAR(VLOOKUP("PCS-OzTL41",[1]ARBOR!$A:$C,3,0),6)),-TRUNC(EQ3/VLOOKUP("PCS-OzTL41",[1]ARBOR!$A:$C,3,0)-1,4)+0.0001,-TRUNC(EQ3/VLOOKUP("PCS-OzTL41",[1]ARBOR!$A:$C,3,0)-1,4)))))</f>
        <v/>
      </c>
      <c r="ES3" s="128" t="str">
        <f>IF(ISERROR(IF(ER3="","",VLOOKUP(($AY3&amp;ER3&amp;"Template desconto FLAT Plano Principal Oi TV nível conta"),[1]BENEFICIOS!$A:$G,5,0))),"Criar",IF(ER3="","",VLOOKUP(($AY3&amp;ER3&amp;"Template desconto FLAT Plano Principal Oi TV nível conta"),[1]BENEFICIOS!$A:$G,5,0)))</f>
        <v/>
      </c>
      <c r="ET3" s="126"/>
      <c r="EU3" s="127" t="str">
        <f>IF(ET3=0,"",IF(ET3=VLOOKUP("PCS-OzTL44",[1]ARBOR!$A:$C,3,0),0.0001,IF(ET3&gt;VLOOKUP("PCS-OzTL44",[1]ARBOR!$A:$C,3,0),"Maior que CAP!",IF((DOLLAR(ET3+(VLOOKUP("PCS-OzTL44",[1]ARBOR!$A:$C,3,0)*-TRUNC(ET3/VLOOKUP("PCS-OzTL44",[1]ARBOR!$A:$C,3,0)-1,4)),6))&lt;&gt;(DOLLAR(VLOOKUP("PCS-OzTL44",[1]ARBOR!$A:$C,3,0),6)),-TRUNC(ET3/VLOOKUP("PCS-OzTL44",[1]ARBOR!$A:$C,3,0)-1,4)+0.0001,-TRUNC(ET3/VLOOKUP("PCS-OzTL44",[1]ARBOR!$A:$C,3,0)-1,4)))))</f>
        <v/>
      </c>
      <c r="EV3" s="128" t="str">
        <f>IF(ISERROR(IF(EU3="","",VLOOKUP(($AY3&amp;EU3&amp;"Template desconto FLAT Plano Principal Oi TV nível conta"),[1]BENEFICIOS!$A:$G,5,0))),"Criar",IF(EU3="","",VLOOKUP(($AY3&amp;EU3&amp;"Template desconto FLAT Plano Principal Oi TV nível conta"),[1]BENEFICIOS!$A:$G,5,0)))</f>
        <v/>
      </c>
      <c r="EW3" s="129"/>
      <c r="EX3" s="127" t="str">
        <f>IF(EW3=0,"",IF(EW3=VLOOKUP("PCS-OzTL43",[1]ARBOR!$A:$C,3,0),0.0001,IF(EW3&gt;VLOOKUP("PCS-OzTL43",[1]ARBOR!$A:$C,3,0),"Maior que CAP!",IF((DOLLAR(EW3+(VLOOKUP("PCS-OzTL43",[1]ARBOR!$A:$C,3,0)*-TRUNC(EW3/VLOOKUP("PCS-OzTL43",[1]ARBOR!$A:$C,3,0)-1,4)),6))&lt;&gt;(DOLLAR(VLOOKUP("PCS-OzTL43",[1]ARBOR!$A:$C,3,0),6)),-TRUNC(EW3/VLOOKUP("PCS-OzTL43",[1]ARBOR!$A:$C,3,0)-1,4)+0.0001,-TRUNC(EW3/VLOOKUP("PCS-OzTL43",[1]ARBOR!$A:$C,3,0)-1,4)))))</f>
        <v/>
      </c>
      <c r="EY3" s="128" t="str">
        <f>IF(ISERROR(IF(EX3="","",VLOOKUP(($AY3&amp;EX3&amp;"Template desconto FLAT Plano Principal Oi TV nível conta"),[1]BENEFICIOS!$A:$G,5,0))),"Criar",IF(EX3="","",VLOOKUP(($AY3&amp;EX3&amp;"Template desconto FLAT Plano Principal Oi TV nível conta"),[1]BENEFICIOS!$A:$G,5,0)))</f>
        <v/>
      </c>
      <c r="EZ3" s="129"/>
      <c r="FA3" s="127" t="str">
        <f>IF(EZ3=0,"",IF(EZ3=VLOOKUP("PCS-OzTL45",[1]ARBOR!$A:$C,3,0),0.0001,IF(EZ3&gt;VLOOKUP("PCS-OzTL45",[1]ARBOR!$A:$C,3,0),"Maior que CAP!",IF((DOLLAR(EZ3+(VLOOKUP("PCS-OzTL45",[1]ARBOR!$A:$C,3,0)*-TRUNC(EZ3/VLOOKUP("PCS-OzTL45",[1]ARBOR!$A:$C,3,0)-1,4)),6))&lt;&gt;(DOLLAR(VLOOKUP("PCS-OzTL45",[1]ARBOR!$A:$C,3,0),6)),-TRUNC(EZ3/VLOOKUP("PCS-OzTL45",[1]ARBOR!$A:$C,3,0)-1,4)+0.0001,-TRUNC(EZ3/VLOOKUP("PCS-OzTL45",[1]ARBOR!$A:$C,3,0)-1,4)))))</f>
        <v/>
      </c>
      <c r="FB3" s="128" t="str">
        <f>IF(ISERROR(IF(FA3="","",VLOOKUP(($AY3&amp;FA3&amp;"Template desconto FLAT Plano Principal Oi TV nível conta"),[1]BENEFICIOS!$A:$G,5,0))),"Criar",IF(FA3="","",VLOOKUP(($AY3&amp;FA3&amp;"Template desconto FLAT Plano Principal Oi TV nível conta"),[1]BENEFICIOS!$A:$G,5,0)))</f>
        <v/>
      </c>
      <c r="FC3" s="129"/>
      <c r="FD3" s="127" t="str">
        <f>IF(FC3=0,"",IF(FC3=VLOOKUP("PCS-OzTL741",[1]ARBOR!$A:$C,3,0),0.0001,IF(FC3&gt;VLOOKUP("PCS-OzTL741",[1]ARBOR!$A:$C,3,0),"Maior que CAP!",IF((DOLLAR(FC3+(VLOOKUP("PCS-OzTL741",[1]ARBOR!$A:$C,3,0)*-TRUNC(FC3/VLOOKUP("PCS-OzTL741",[1]ARBOR!$A:$C,3,0)-1,4)),6))&lt;&gt;(DOLLAR(VLOOKUP("PCS-OzTL741",[1]ARBOR!$A:$C,3,0),6)),-TRUNC(FC3/VLOOKUP("PCS-OzTL741",[1]ARBOR!$A:$C,3,0)-1,4)+0.0001,-TRUNC(FC3/VLOOKUP("PCS-OzTL741",[1]ARBOR!$A:$C,3,0)-1,4)))))</f>
        <v/>
      </c>
      <c r="FE3" s="128" t="str">
        <f>IF(ISERROR(IF(FD3="","",VLOOKUP(($AY3&amp;FD3&amp;"Template desconto FLAT Plano Principal Oi TV nível conta"),[1]BENEFICIOS!$A:$G,5,0))),"Criar",IF(FD3="","",VLOOKUP(($AY3&amp;FD3&amp;"Template desconto FLAT Plano Principal Oi TV nível conta"),[1]BENEFICIOS!$A:$G,5,0)))</f>
        <v/>
      </c>
      <c r="FF3" s="129"/>
      <c r="FG3" s="127" t="str">
        <f>IF(FF3=0,"",IF(FF3=VLOOKUP("PCS-OzTL744",[1]ARBOR!$A:$C,3,0),0.0001,IF(FF3&gt;VLOOKUP("PCS-OzTL744",[1]ARBOR!$A:$C,3,0),"Maior que CAP!",IF((DOLLAR(FF3+(VLOOKUP("PCS-OzTL744",[1]ARBOR!$A:$C,3,0)*-TRUNC(FF3/VLOOKUP("PCS-OzTL744",[1]ARBOR!$A:$C,3,0)-1,4)),6))&lt;&gt;(DOLLAR(VLOOKUP("PCS-OzTL744",[1]ARBOR!$A:$C,3,0),6)),-TRUNC(FF3/VLOOKUP("PCS-OzTL744",[1]ARBOR!$A:$C,3,0)-1,4)+0.0001,-TRUNC(FF3/VLOOKUP("PCS-OzTL744",[1]ARBOR!$A:$C,3,0)-1,4)))))</f>
        <v/>
      </c>
      <c r="FH3" s="128" t="str">
        <f>IF(ISERROR(IF(FG3="","",VLOOKUP(($AY3&amp;FG3&amp;"Template desconto FLAT Plano Principal Oi TV nível conta"),[1]BENEFICIOS!$A:$G,5,0))),"Criar",IF(FG3="","",VLOOKUP(($AY3&amp;FG3&amp;"Template desconto FLAT Plano Principal Oi TV nível conta"),[1]BENEFICIOS!$A:$G,5,0)))</f>
        <v/>
      </c>
      <c r="FI3" s="129"/>
      <c r="FJ3" s="127" t="str">
        <f>IF(FI3=0,"",IF(FI3=VLOOKUP("PCS-OzTL743",[1]ARBOR!$A:$C,3,0),0.0001,IF(FI3&gt;VLOOKUP("PCS-OzTL743",[1]ARBOR!$A:$C,3,0),"Maior que CAP!",IF((DOLLAR(FI3+(VLOOKUP("PCS-OzTL743",[1]ARBOR!$A:$C,3,0)*-TRUNC(FI3/VLOOKUP("PCS-OzTL743",[1]ARBOR!$A:$C,3,0)-1,4)),6))&lt;&gt;(DOLLAR(VLOOKUP("PCS-OzTL743",[1]ARBOR!$A:$C,3,0),6)),-TRUNC(FI3/VLOOKUP("PCS-OzTL743",[1]ARBOR!$A:$C,3,0)-1,4)+0.0001,-TRUNC(FI3/VLOOKUP("PCS-OzTL743",[1]ARBOR!$A:$C,3,0)-1,4)))))</f>
        <v/>
      </c>
      <c r="FK3" s="128" t="str">
        <f>IF(ISERROR(IF(FJ3="","",VLOOKUP(($AY3&amp;FJ3&amp;"Template desconto FLAT Plano Principal Oi TV nível conta"),[1]BENEFICIOS!$A:$G,5,0))),"Criar",IF(FJ3="","",VLOOKUP(($AY3&amp;FJ3&amp;"Template desconto FLAT Plano Principal Oi TV nível conta"),[1]BENEFICIOS!$A:$G,5,0)))</f>
        <v/>
      </c>
      <c r="FL3" s="129"/>
      <c r="FM3" s="127" t="str">
        <f>IF(FL3=0,"",IF(FL3=VLOOKUP("PCS-OzTL745",[1]ARBOR!$A:$C,3,0),0.0001,IF(FL3&gt;VLOOKUP("PCS-OzTL745",[1]ARBOR!$A:$C,3,0),"Maior que CAP!",IF((DOLLAR(FL3+(VLOOKUP("PCS-OzTL745",[1]ARBOR!$A:$C,3,0)*-TRUNC(FL3/VLOOKUP("PCS-OzTL745",[1]ARBOR!$A:$C,3,0)-1,4)),6))&lt;&gt;(DOLLAR(VLOOKUP("PCS-OzTL745",[1]ARBOR!$A:$C,3,0),6)),-TRUNC(FL3/VLOOKUP("PCS-OzTL745",[1]ARBOR!$A:$C,3,0)-1,4)+0.0001,-TRUNC(FL3/VLOOKUP("PCS-OzTL745",[1]ARBOR!$A:$C,3,0)-1,4)))))</f>
        <v/>
      </c>
      <c r="FN3" s="128" t="str">
        <f>IF(ISERROR(IF(FM3="","",VLOOKUP(($AY3&amp;FM3&amp;"Template desconto FLAT Plano Principal Oi TV nível conta"),[1]BENEFICIOS!$A:$G,5,0))),"Criar",IF(FM3="","",VLOOKUP(($AY3&amp;FM3&amp;"Template desconto FLAT Plano Principal Oi TV nível conta"),[1]BENEFICIOS!$A:$G,5,0)))</f>
        <v/>
      </c>
      <c r="FO3" s="129"/>
      <c r="FP3" s="127" t="str">
        <f>IF(FO3=0,"",IF(FO3=VLOOKUP("PCS-OzTL42",[1]ARBOR!$A:$C,3,0),0.0001,IF(FO3&gt;VLOOKUP("PCS-OzTL42",[1]ARBOR!$A:$C,3,0),"Maior que CAP!",IF((DOLLAR(FO3+(VLOOKUP("PCS-OzTL42",[1]ARBOR!$A:$C,3,0)*-TRUNC(FO3/VLOOKUP("PCS-OzTL42",[1]ARBOR!$A:$C,3,0)-1,4)),6))&lt;&gt;(DOLLAR(VLOOKUP("PCS-OzTL42",[1]ARBOR!$A:$C,3,0),6)),-TRUNC(FO3/VLOOKUP("PCS-OzTL42",[1]ARBOR!$A:$C,3,0)-1,4)+0.0001,-TRUNC(FO3/VLOOKUP("PCS-OzTL42",[1]ARBOR!$A:$C,3,0)-1,4)))))</f>
        <v/>
      </c>
      <c r="FQ3" s="128" t="str">
        <f>IF(ISERROR(IF(FP3="","",VLOOKUP(($AY3&amp;FP3&amp;"Template desconto FLAT Plano Principal Oi TV nível conta"),[1]BENEFICIOS!$A:$G,5,0))),"Criar",IF(FP3="","",VLOOKUP(($AY3&amp;FP3&amp;"Template desconto FLAT Plano Principal Oi TV nível conta"),[1]BENEFICIOS!$A:$G,5,0)))</f>
        <v/>
      </c>
      <c r="FR3" s="129"/>
      <c r="FS3" s="127" t="str">
        <f>IF(FR3=0,"",IF(FR3=VLOOKUP("PCS-OzTL47",[1]ARBOR!$A:$C,3,0),0.0001,IF(FR3&gt;VLOOKUP("PCS-OzTL47",[1]ARBOR!$A:$C,3,0),"Maior que CAP!",IF((DOLLAR(FR3+(VLOOKUP("PCS-OzTL47",[1]ARBOR!$A:$C,3,0)*-TRUNC(FR3/VLOOKUP("PCS-OzTL47",[1]ARBOR!$A:$C,3,0)-1,4)),6))&lt;&gt;(DOLLAR(VLOOKUP("PCS-OzTL47",[1]ARBOR!$A:$C,3,0),6)),-TRUNC(FR3/VLOOKUP("PCS-OzTL47",[1]ARBOR!$A:$C,3,0)-1,4)+0.0001,-TRUNC(FR3/VLOOKUP("PCS-OzTL47",[1]ARBOR!$A:$C,3,0)-1,4)))))</f>
        <v/>
      </c>
      <c r="FT3" s="128" t="str">
        <f>IF(ISERROR(IF(FS3="","",VLOOKUP(($AY3&amp;FS3&amp;"Template desconto FLAT Plano Principal Oi TV nível conta"),[1]BENEFICIOS!$A:$G,5,0))),"Criar",IF(FS3="","",VLOOKUP(($AY3&amp;FS3&amp;"Template desconto FLAT Plano Principal Oi TV nível conta"),[1]BENEFICIOS!$A:$G,5,0)))</f>
        <v/>
      </c>
      <c r="FU3" s="129"/>
      <c r="FV3" s="127" t="str">
        <f>IF(FU3=0,"",IF(FU3=VLOOKUP("PCS-OzTL46",[1]ARBOR!$A:$C,3,0),0.0001,IF(FU3&gt;VLOOKUP("PCS-OzTL46",[1]ARBOR!$A:$C,3,0),"Maior que CAP!",IF((DOLLAR(FU3+(VLOOKUP("PCS-OzTL46",[1]ARBOR!$A:$C,3,0)*-TRUNC(FU3/VLOOKUP("PCS-OzTL46",[1]ARBOR!$A:$C,3,0)-1,4)),6))&lt;&gt;(DOLLAR(VLOOKUP("PCS-OzTL46",[1]ARBOR!$A:$C,3,0),6)),-TRUNC(FU3/VLOOKUP("PCS-OzTL46",[1]ARBOR!$A:$C,3,0)-1,4)+0.0001,-TRUNC(FU3/VLOOKUP("PCS-OzTL46",[1]ARBOR!$A:$C,3,0)-1,4)))))</f>
        <v/>
      </c>
      <c r="FW3" s="128" t="str">
        <f>IF(ISERROR(IF(FV3="","",VLOOKUP(($AY3&amp;FV3&amp;"Template desconto FLAT Plano Principal Oi TV nível conta"),[1]BENEFICIOS!$A:$G,5,0))),"Criar",IF(FV3="","",VLOOKUP(($AY3&amp;FV3&amp;"Template desconto FLAT Plano Principal Oi TV nível conta"),[1]BENEFICIOS!$A:$G,5,0)))</f>
        <v/>
      </c>
      <c r="FX3" s="129"/>
      <c r="FY3" s="127" t="str">
        <f>IF(FX3=0,"",IF(FX3=VLOOKUP("PCS-OzTL48",[1]ARBOR!$A:$C,3,0),0.0001,IF(FX3&gt;VLOOKUP("PCS-OzTL48",[1]ARBOR!$A:$C,3,0),"Maior que CAP!",IF((DOLLAR(FX3+(VLOOKUP("PCS-OzTL48",[1]ARBOR!$A:$C,3,0)*-TRUNC(FX3/VLOOKUP("PCS-OzTL48",[1]ARBOR!$A:$C,3,0)-1,4)),6))&lt;&gt;(DOLLAR(VLOOKUP("PCS-OzTL48",[1]ARBOR!$A:$C,3,0),6)),-TRUNC(FX3/VLOOKUP("PCS-OzTL48",[1]ARBOR!$A:$C,3,0)-1,4)+0.0001,-TRUNC(FX3/VLOOKUP("PCS-OzTL48",[1]ARBOR!$A:$C,3,0)-1,4)))))</f>
        <v/>
      </c>
      <c r="FZ3" s="128" t="str">
        <f>IF(ISERROR(IF(FY3="","",VLOOKUP(($AY3&amp;FY3&amp;"Template desconto FLAT Plano Principal Oi TV nível conta"),[1]BENEFICIOS!$A:$G,5,0))),"Criar",IF(FY3="","",VLOOKUP(($AY3&amp;FY3&amp;"Template desconto FLAT Plano Principal Oi TV nível conta"),[1]BENEFICIOS!$A:$G,5,0)))</f>
        <v/>
      </c>
      <c r="GA3" s="129"/>
      <c r="GB3" s="127" t="str">
        <f>IF(GA3=0,"",IF(GA3=VLOOKUP("PCS-OzTL742",[1]ARBOR!$A:$C,3,0),0.0001,IF(GA3&gt;VLOOKUP("PCS-OzTL742",[1]ARBOR!$A:$C,3,0),"Maior que CAP!",IF((DOLLAR(GA3+(VLOOKUP("PCS-OzTL742",[1]ARBOR!$A:$C,3,0)*-TRUNC(GA3/VLOOKUP("PCS-OzTL742",[1]ARBOR!$A:$C,3,0)-1,4)),6))&lt;&gt;(DOLLAR(VLOOKUP("PCS-OzTL742",[1]ARBOR!$A:$C,3,0),6)),-TRUNC(GA3/VLOOKUP("PCS-OzTL742",[1]ARBOR!$A:$C,3,0)-1,4)+0.0001,-TRUNC(GA3/VLOOKUP("PCS-OzTL742",[1]ARBOR!$A:$C,3,0)-1,4)))))</f>
        <v/>
      </c>
      <c r="GC3" s="128" t="str">
        <f>IF(ISERROR(IF(GB3="","",VLOOKUP(($AY3&amp;GB3&amp;"Template desconto FLAT Plano Principal Oi TV nível conta"),[1]BENEFICIOS!$A:$G,5,0))),"Criar",IF(GB3="","",VLOOKUP(($AY3&amp;GB3&amp;"Template desconto FLAT Plano Principal Oi TV nível conta"),[1]BENEFICIOS!$A:$G,5,0)))</f>
        <v/>
      </c>
      <c r="GD3" s="129"/>
      <c r="GE3" s="127" t="str">
        <f>IF(GD3=0,"",IF(GD3=VLOOKUP("PCS-OzTL747",[1]ARBOR!$A:$C,3,0),0.0001,IF(GD3&gt;VLOOKUP("PCS-OzTL747",[1]ARBOR!$A:$C,3,0),"Maior que CAP!",IF((DOLLAR(GD3+(VLOOKUP("PCS-OzTL747",[1]ARBOR!$A:$C,3,0)*-TRUNC(GD3/VLOOKUP("PCS-OzTL747",[1]ARBOR!$A:$C,3,0)-1,4)),6))&lt;&gt;(DOLLAR(VLOOKUP("PCS-OzTL747",[1]ARBOR!$A:$C,3,0),6)),-TRUNC(GD3/VLOOKUP("PCS-OzTL747",[1]ARBOR!$A:$C,3,0)-1,4)+0.0001,-TRUNC(GD3/VLOOKUP("PCS-OzTL747",[1]ARBOR!$A:$C,3,0)-1,4)))))</f>
        <v/>
      </c>
      <c r="GF3" s="128" t="str">
        <f>IF(ISERROR(IF(GE3="","",VLOOKUP(($AY3&amp;GE3&amp;"Template desconto FLAT Plano Principal Oi TV nível conta"),[1]BENEFICIOS!$A:$G,5,0))),"Criar",IF(GE3="","",VLOOKUP(($AY3&amp;GE3&amp;"Template desconto FLAT Plano Principal Oi TV nível conta"),[1]BENEFICIOS!$A:$G,5,0)))</f>
        <v/>
      </c>
      <c r="GG3" s="129"/>
      <c r="GH3" s="127" t="str">
        <f>IF(GG3=0,"",IF(GG3=VLOOKUP("PCS-OzTL746",[1]ARBOR!$A:$C,3,0),0.0001,IF(GG3&gt;VLOOKUP("PCS-OzTL746",[1]ARBOR!$A:$C,3,0),"Maior que CAP!",IF((DOLLAR(GG3+(VLOOKUP("PCS-OzTL746",[1]ARBOR!$A:$C,3,0)*-TRUNC(GG3/VLOOKUP("PCS-OzTL746",[1]ARBOR!$A:$C,3,0)-1,4)),6))&lt;&gt;(DOLLAR(VLOOKUP("PCS-OzTL746",[1]ARBOR!$A:$C,3,0),6)),-TRUNC(GG3/VLOOKUP("PCS-OzTL746",[1]ARBOR!$A:$C,3,0)-1,4)+0.0001,-TRUNC(GG3/VLOOKUP("PCS-OzTL746",[1]ARBOR!$A:$C,3,0)-1,4)))))</f>
        <v/>
      </c>
      <c r="GI3" s="128" t="str">
        <f>IF(ISERROR(IF(GH3="","",VLOOKUP(($AY3&amp;GH3&amp;"Template desconto FLAT Plano Principal Oi TV nível conta"),[1]BENEFICIOS!$A:$G,5,0))),"Criar",IF(GH3="","",VLOOKUP(($AY3&amp;GH3&amp;"Template desconto FLAT Plano Principal Oi TV nível conta"),[1]BENEFICIOS!$A:$G,5,0)))</f>
        <v/>
      </c>
      <c r="GJ3" s="129"/>
      <c r="GK3" s="127" t="str">
        <f>IF(GJ3=0,"",IF(GJ3=VLOOKUP("PCS-OzTL748",[1]ARBOR!$A:$C,3,0),0.0001,IF(GJ3&gt;VLOOKUP("PCS-OzTL748",[1]ARBOR!$A:$C,3,0),"Maior que CAP!",IF((DOLLAR(GJ3+(VLOOKUP("PCS-OzTL748",[1]ARBOR!$A:$C,3,0)*-TRUNC(GJ3/VLOOKUP("PCS-OzTL748",[1]ARBOR!$A:$C,3,0)-1,4)),6))&lt;&gt;(DOLLAR(VLOOKUP("PCS-OzTL748",[1]ARBOR!$A:$C,3,0),6)),-TRUNC(GJ3/VLOOKUP("PCS-OzTL748",[1]ARBOR!$A:$C,3,0)-1,4)+0.0001,-TRUNC(GJ3/VLOOKUP("PCS-OzTL748",[1]ARBOR!$A:$C,3,0)-1,4)))))</f>
        <v/>
      </c>
      <c r="GL3" s="128" t="str">
        <f>IF(ISERROR(IF(GK3="","",VLOOKUP(($AY3&amp;GK3&amp;"Template desconto FLAT Plano Principal Oi TV nível conta"),[1]BENEFICIOS!$A:$G,5,0))),"Criar",IF(GK3="","",VLOOKUP(($AY3&amp;GK3&amp;"Template desconto FLAT Plano Principal Oi TV nível conta"),[1]BENEFICIOS!$A:$G,5,0)))</f>
        <v/>
      </c>
      <c r="GM3" s="129">
        <v>75</v>
      </c>
      <c r="GN3" s="127">
        <f>IF(GM3=0,"",IF(GM3=VLOOKUP("PCS-OzTL34",[1]ARBOR!$A:$C,3,0),0.0001,IF(GM3&gt;VLOOKUP("PCS-OzTL34",[1]ARBOR!$A:$C,3,0),"Maior que CAP!",IF((DOLLAR(GM3+(VLOOKUP("PCS-OzTL34",[1]ARBOR!$A:$C,3,0)*-TRUNC(GM3/VLOOKUP("PCS-OzTL34",[1]ARBOR!$A:$C,3,0)-1,4)),6))&lt;&gt;(DOLLAR(VLOOKUP("PCS-OzTL34",[1]ARBOR!$A:$C,3,0),6)),-TRUNC(GM3/VLOOKUP("PCS-OzTL34",[1]ARBOR!$A:$C,3,0)-1,4)+0.0001,-TRUNC(GM3/VLOOKUP("PCS-OzTL34",[1]ARBOR!$A:$C,3,0)-1,4)))))</f>
        <v>0.31900000000000001</v>
      </c>
      <c r="GO3" s="128" t="s">
        <v>161</v>
      </c>
      <c r="GP3" s="129">
        <v>19.899999999999999</v>
      </c>
      <c r="GQ3" s="127">
        <f>IF(GP3=0,"",IF(GP3=VLOOKUP("PCS-OzTL31",[1]ARBOR!$A:$C,3,0),0.0001,IF(GP3&gt;VLOOKUP("PCS-OzTL31",[1]ARBOR!$A:$C,3,0),"Maior que CAP!",IF((DOLLAR(GP3+(VLOOKUP("PCS-OzTL31",[1]ARBOR!$A:$C,3,0)*-TRUNC(GP3/VLOOKUP("PCS-OzTL31",[1]ARBOR!$A:$C,3,0)-1,4)),6))&lt;&gt;(DOLLAR(VLOOKUP("PCS-OzTL31",[1]ARBOR!$A:$C,3,0),6)),-TRUNC(GP3/VLOOKUP("PCS-OzTL31",[1]ARBOR!$A:$C,3,0)-1,4)+0.0001,-TRUNC(GP3/VLOOKUP("PCS-OzTL31",[1]ARBOR!$A:$C,3,0)-1,4)))))</f>
        <v>9.1800000000000007E-2</v>
      </c>
      <c r="GR3" s="128" t="s">
        <v>162</v>
      </c>
      <c r="GS3" s="129">
        <v>19.899999999999999</v>
      </c>
      <c r="GT3" s="127">
        <f>IF(GS3=0,"",IF(GS3=VLOOKUP("PCS-OzTL32",[1]ARBOR!$A:$C,3,0),0.0001,IF(GS3&gt;VLOOKUP("PCS-OzTL32",[1]ARBOR!$A:$C,3,0),"Maior que CAP!",IF((DOLLAR(GS3+(VLOOKUP("PCS-OzTL32",[1]ARBOR!$A:$C,3,0)*-TRUNC(GS3/VLOOKUP("PCS-OzTL32",[1]ARBOR!$A:$C,3,0)-1,4)),6))&lt;&gt;(DOLLAR(VLOOKUP("PCS-OzTL32",[1]ARBOR!$A:$C,3,0),6)),-TRUNC(GS3/VLOOKUP("PCS-OzTL32",[1]ARBOR!$A:$C,3,0)-1,4)+0.0001,-TRUNC(GS3/VLOOKUP("PCS-OzTL32",[1]ARBOR!$A:$C,3,0)-1,4)))))</f>
        <v>9.1800000000000007E-2</v>
      </c>
      <c r="GU3" s="128" t="s">
        <v>163</v>
      </c>
      <c r="GV3" s="129">
        <v>29.9</v>
      </c>
      <c r="GW3" s="127">
        <f>IF(GV3=0,"",IF(GV3=VLOOKUP("PCS-OzTL33",[1]ARBOR!$A:$C,3,0),0.0001,IF(GV3&gt;VLOOKUP("PCS-OzTL33",[1]ARBOR!$A:$C,3,0),"Maior que CAP!",IF((DOLLAR(GV3+(VLOOKUP("PCS-OzTL33",[1]ARBOR!$A:$C,3,0)*-TRUNC(GV3/VLOOKUP("PCS-OzTL33",[1]ARBOR!$A:$C,3,0)-1,4)),6))&lt;&gt;(DOLLAR(VLOOKUP("PCS-OzTL33",[1]ARBOR!$A:$C,3,0),6)),-TRUNC(GV3/VLOOKUP("PCS-OzTL33",[1]ARBOR!$A:$C,3,0)-1,4)+0.0001,-TRUNC(GV3/VLOOKUP("PCS-OzTL33",[1]ARBOR!$A:$C,3,0)-1,4)))))</f>
        <v>9.1800000000000007E-2</v>
      </c>
      <c r="GX3" s="128" t="s">
        <v>164</v>
      </c>
      <c r="GY3" s="129">
        <v>14.9</v>
      </c>
      <c r="GZ3" s="127">
        <f>IF(GY3=0,"",IF(GY3=VLOOKUP("PCS-OzTL503",[1]ARBOR!$A:$C,3,0),0.0001,IF(GY3&gt;VLOOKUP("PCS-OzTL503",[1]ARBOR!$A:$C,3,0),"Maior que CAP!",IF((DOLLAR(GY3+(VLOOKUP("PCS-OzTL503",[1]ARBOR!$A:$C,3,0)*-TRUNC(GY3/VLOOKUP("PCS-OzTL503",[1]ARBOR!$A:$C,3,0)-1,4)),6))&lt;&gt;(DOLLAR(VLOOKUP("PCS-OzTL503",[1]ARBOR!$A:$C,3,0),6)),-TRUNC(GY3/VLOOKUP("PCS-OzTL503",[1]ARBOR!$A:$C,3,0)-1,4)+0.0001,-TRUNC(GY3/VLOOKUP("PCS-OzTL503",[1]ARBOR!$A:$C,3,0)-1,4)))))</f>
        <v>9.1499999999999998E-2</v>
      </c>
      <c r="HA3" s="128" t="s">
        <v>165</v>
      </c>
      <c r="HB3" s="129">
        <v>10</v>
      </c>
      <c r="HC3" s="127">
        <f>IF(HB3=0,"",IF(HB3=VLOOKUP("PCS-OzTL500",[1]ARBOR!$A:$C,3,0),0.0001,IF(HB3&gt;VLOOKUP("PCS-OzTL500",[1]ARBOR!$A:$C,3,0),"Maior que CAP!",IF((DOLLAR(HB3+(VLOOKUP("PCS-OzTL500",[1]ARBOR!$A:$C,3,0)*-TRUNC(HB3/VLOOKUP("PCS-OzTL500",[1]ARBOR!$A:$C,3,0)-1,4)),6))&lt;&gt;(DOLLAR(VLOOKUP("PCS-OzTL500",[1]ARBOR!$A:$C,3,0),6)),-TRUNC(HB3/VLOOKUP("PCS-OzTL500",[1]ARBOR!$A:$C,3,0)-1,4)+0.0001,-TRUNC(HB3/VLOOKUP("PCS-OzTL500",[1]ARBOR!$A:$C,3,0)-1,4)))))</f>
        <v>9.1800000000000007E-2</v>
      </c>
      <c r="HD3" s="128" t="s">
        <v>166</v>
      </c>
      <c r="HE3" s="129" t="s">
        <v>167</v>
      </c>
      <c r="HF3" s="127"/>
      <c r="HG3" s="128"/>
      <c r="HH3" s="129" t="s">
        <v>168</v>
      </c>
      <c r="HI3" s="127"/>
      <c r="HJ3" s="128"/>
      <c r="HK3" s="129" t="s">
        <v>169</v>
      </c>
      <c r="HL3" s="127"/>
      <c r="HM3" s="128"/>
      <c r="HN3" s="129" t="s">
        <v>170</v>
      </c>
      <c r="HO3" s="127"/>
      <c r="HP3" s="128"/>
      <c r="HQ3" s="129" t="s">
        <v>171</v>
      </c>
      <c r="HR3" s="127"/>
      <c r="HS3" s="128"/>
      <c r="HT3" s="129">
        <v>24.9</v>
      </c>
      <c r="HU3" s="127">
        <f>IF(HT3=0,"",IF(HT3=VLOOKUP("PCS-OzTL99",[1]ARBOR!$A:$C,3,0),0.0001,IF(HT3&gt;VLOOKUP("PCS-OzTL99",[1]ARBOR!$A:$C,3,0),"Maior que CAP!",IF((DOLLAR(HT3+(VLOOKUP("PCS-OzTL99",[1]ARBOR!$A:$C,3,0)*-TRUNC(HT3/VLOOKUP("PCS-OzTL99",[1]ARBOR!$A:$C,3,0)-1,4)),6))&lt;&gt;(DOLLAR(VLOOKUP("PCS-OzTL99",[1]ARBOR!$A:$C,3,0),6)),-TRUNC(HT3/VLOOKUP("PCS-OzTL99",[1]ARBOR!$A:$C,3,0)-1,4)+0.0001,-TRUNC(HT3/VLOOKUP("PCS-OzTL99",[1]ARBOR!$A:$C,3,0)-1,4)))))</f>
        <v>0.16729999999999998</v>
      </c>
      <c r="HV3" s="130" t="s">
        <v>172</v>
      </c>
      <c r="HW3" s="118" t="s">
        <v>156</v>
      </c>
      <c r="HX3" s="128" t="str">
        <f>IF(HW3="Sim","PCS-34704","")</f>
        <v/>
      </c>
      <c r="HY3" s="131" t="str">
        <f>IFERROR((IF(AZ3="","",VLOOKUP(AZ3,[1]ARBOR!A:C,3,0))),"")</f>
        <v/>
      </c>
      <c r="HZ3" s="132"/>
      <c r="IA3" s="104" t="str">
        <f>IF(HZ3="","",ROUND(1-(HZ3/VLOOKUP(AZ3&amp;"ASS",[1]ARBOR!A:C,3,0)),4))</f>
        <v/>
      </c>
      <c r="IB3" s="105"/>
      <c r="IC3" s="133"/>
      <c r="ID3" s="134"/>
      <c r="IE3" s="104" t="str">
        <f>IF(ID3="","",ROUND(IF(ID3=0,"",IF(ID3=HY3,0.0001,1-((ID3+(VLOOKUP(AZ3&amp;"ASS",[1]ARBOR!A:C,3,0)-HZ3))/HY3))),4))</f>
        <v/>
      </c>
      <c r="IF3" s="104" t="str">
        <f>IF(ISERROR(IF(IE3="","",VLOOKUP(($AY3&amp;IE3&amp;"Template de desconto percentual FLAT Móvel - Conta Total - Varejo - Ganho Tributário Cross"),[1]BENEFICIOS!$A:$E,5,0))),"Criar",IF(IE3="","",VLOOKUP(($AY3&amp;IE3&amp;"Template de desconto percentual FLAT Móvel - Conta Total - Varejo - Ganho Tributário Cross"),[1]BENEFICIOS!$A:$E,5,0)))</f>
        <v/>
      </c>
      <c r="IG3" s="115"/>
      <c r="IH3" s="104"/>
      <c r="II3" s="135"/>
      <c r="IJ3" s="136"/>
      <c r="IK3" s="104"/>
      <c r="IL3" s="104"/>
      <c r="IM3" s="137"/>
      <c r="IN3" s="137"/>
      <c r="IO3" s="138"/>
      <c r="IP3" s="139" t="str">
        <f>IF(IO3=0,"",IF(IO3=VLOOKUP("PCS-813566",[1]ARBOR!$A:$C,3,0),0.0001,IF(IO3&gt;VLOOKUP("PCS-813566",[1]ARBOR!$A:$C,3,0),"Maior que CAP!",ROUND(-1*(IO3/VLOOKUP("PCS-813566",[1]ARBOR!$A:$C,3,0)-1),4))))</f>
        <v/>
      </c>
      <c r="IQ3" s="140" t="str">
        <f>IF(ISERROR(IF(IP3="","",VLOOKUP(("Oi Internet Pra Celular 300MB"&amp;IP3&amp;"Template Flat Instância Dados"),[1]BENEFICIOS!$A:$E,5,0))),"Criar",IF(IP3="","",VLOOKUP(("Oi Internet Pra Celular 300MB"&amp;IP3&amp;"Template Flat Instância Dados"),[1]BENEFICIOS!$A:$E,5,0)))</f>
        <v/>
      </c>
      <c r="IR3" s="141"/>
      <c r="IS3" s="142" t="str">
        <f>IF(IR3=0,"",IF(IR3=VLOOKUP("sva_bancas",[1]ARBOR!$A:$C,3,0),0.0001,IF(IR3&gt;VLOOKUP("sva_livros",[1]ARBOR!$A:$C,3,0),"Maior que CAP!",ROUND(-1*(IR3/VLOOKUP("sva_bancas",[1]ARBOR!$A:$C,3,0)-1),4))))</f>
        <v/>
      </c>
      <c r="IT3" s="143" t="str">
        <f>IF(ISERROR(IF(IS3="","",VLOOKUP(("Oi Internet Pra Celular 300MB"&amp;IS3&amp;"Template Desconto % SVA DADOS B2C"),[1]BENEFICIOS!$A:$E,5,0))),"Criar",IF(IS3="","",VLOOKUP(("Oi Internet Pra Celular 300MB"&amp;IS3&amp;"Template Desconto % SVA DADOS B2C"),[1]BENEFICIOS!$A:$E,5,0)))</f>
        <v/>
      </c>
      <c r="IU3" s="138"/>
      <c r="IV3" s="139" t="str">
        <f>IF(IU3=0,"",IF(IU3=VLOOKUP("PCS-813564",[1]ARBOR!$A:$C,3,0),0.0001,IF(IU3&gt;VLOOKUP("PCS-813564",[1]ARBOR!$A:$C,3,0),"Maior que CAP!",ROUND(-1*(IU3/VLOOKUP("PCS-813564",[1]ARBOR!$A:$C,3,0)-1),4))))</f>
        <v/>
      </c>
      <c r="IW3" s="140" t="str">
        <f>IF(ISERROR(IF(IV3="","",VLOOKUP(("Oi Internet Pra Celular 500MB"&amp;IV3&amp;"Template Flat Instância Dados"),[1]BENEFICIOS!$A:$E,5,0))),"Criar",IF(IV3="","",VLOOKUP(("Oi Internet Pra Celular 500MB"&amp;IV3&amp;"Template Flat Instância Dados"),[1]BENEFICIOS!$A:$E,5,0)))</f>
        <v/>
      </c>
      <c r="IX3" s="141"/>
      <c r="IY3" s="142" t="str">
        <f>IF(IX3=0,"",IF(IX3=VLOOKUP("sva_livros",[1]ARBOR!$A:$C,3,0),0.0001,IF(IX3&gt;VLOOKUP("sva_livros",[1]ARBOR!$A:$C,3,0),"Maior que CAP!",ROUND(-1*(IX3/VLOOKUP("sva_livros",[1]ARBOR!$A:$C,3,0)-1),4))))</f>
        <v/>
      </c>
      <c r="IZ3" s="143" t="str">
        <f>IF(ISERROR(IF(IY3="","",VLOOKUP(("Oi Internet Pra Celular 500MB"&amp;IY3&amp;"Template Desconto % SVA DADOS B2C"),[1]BENEFICIOS!$A:$E,5,0))),"Criar",IF(IY3="","",VLOOKUP(("Oi Internet Pra Celular 500MB"&amp;IY3&amp;"Template Desconto % SVA DADOS B2C"),[1]BENEFICIOS!$A:$E,5,0)))</f>
        <v/>
      </c>
      <c r="JA3" s="138"/>
      <c r="JB3" s="139" t="str">
        <f>IF(JA3=0,"",IF(JA3=VLOOKUP("PCS-10357",[1]ARBOR!$A:$C,3,0),0.0001,IF(JA3&gt;VLOOKUP("PCS-10357",[1]ARBOR!$A:$C,3,0),"Maior que CAP!",ROUND(-1*(JA3/VLOOKUP("PCS-10357",[1]ARBOR!$A:$C,3,0)-1),4))))</f>
        <v/>
      </c>
      <c r="JC3" s="140" t="str">
        <f>IF(ISERROR(IF(JB3="","",VLOOKUP(("Oi Internet Pra Celular 1GB"&amp;JB3&amp;"Template Flat Instância Dados"),[1]BENEFICIOS!$A:$E,5,0))),"Criar",IF(JB3="","",VLOOKUP(("Oi Internet Pra Celular 1GB"&amp;JB3&amp;"Template Flat Instância Dados"),[1]BENEFICIOS!$A:$E,5,0)))</f>
        <v/>
      </c>
      <c r="JD3" s="141"/>
      <c r="JE3" s="142" t="str">
        <f>IF(JD3=0,"",IF(JD3=VLOOKUP("sva_livros",[1]ARBOR!$A:$C,3,0),0.0001,IF(JD3&gt;VLOOKUP("sva_livros",[1]ARBOR!$A:$C,3,0),"Maior que CAP!",ROUND(-1*(JD3/VLOOKUP("sva_livros",[1]ARBOR!$A:$C,3,0)-1),4))))</f>
        <v/>
      </c>
      <c r="JF3" s="143" t="str">
        <f>IF(ISERROR(IF(JE3="","",VLOOKUP(("Oi Internet Pra Celular 1GB"&amp;JE3&amp;"Template Desconto % SVA DADOS B2C"),[1]BENEFICIOS!$A:$E,5,0))),"Criar",IF(JE3="","",VLOOKUP(("Oi Internet Pra Celular 1GB"&amp;JE3&amp;"Template Desconto % SVA DADOS B2C"),[1]BENEFICIOS!$A:$E,5,0)))</f>
        <v/>
      </c>
      <c r="JG3" s="138"/>
      <c r="JH3" s="139" t="str">
        <f>IF(JG3=0,"",IF(JG3=VLOOKUP("PCS-813565",[1]ARBOR!$A:$C,3,0),0.0001,IF(JG3&gt;VLOOKUP("PCS-813565",[1]ARBOR!$A:$C,3,0),"Maior que CAP!",ROUND(-1*(JG3/VLOOKUP("PCS-813565",[1]ARBOR!$A:$C,3,0)-1),4))))</f>
        <v/>
      </c>
      <c r="JI3" s="140" t="str">
        <f>IF(ISERROR(IF(JH3="","",VLOOKUP(("Oi Internet Pra Celular 2GB"&amp;JH3&amp;"Template Flat Instância Dados"),[1]BENEFICIOS!$A:$E,5,0))),"Criar",IF(JH3="","",VLOOKUP(("Oi Internet Pra Celular 2GB"&amp;JH3&amp;"Template Flat Instância Dados"),[1]BENEFICIOS!$A:$E,5,0)))</f>
        <v/>
      </c>
      <c r="JJ3" s="141"/>
      <c r="JK3" s="142" t="str">
        <f>IF(JJ3=0,"",IF(JJ3=VLOOKUP("sva_livros",[1]ARBOR!$A:$C,3,0),0.0001,IF(JJ3&gt;VLOOKUP("sva_livros",[1]ARBOR!$A:$C,3,0),"Maior que CAP!",ROUND(-1*(JJ3/VLOOKUP("sva_livros",[1]ARBOR!$A:$C,3,0)-1),4))))</f>
        <v/>
      </c>
      <c r="JL3" s="143" t="str">
        <f>IF(ISERROR(IF(JK3="","",VLOOKUP(("Oi Internet Pra Celular 2GB"&amp;JK3&amp;"Template Desconto % SVA DADOS B2C"),[1]BENEFICIOS!$A:$E,5,0))),"Criar",IF(JK3="","",VLOOKUP(("Oi Internet Pra Celular 2GB"&amp;JK3&amp;"Template Desconto % SVA DADOS B2C"),[1]BENEFICIOS!$A:$E,5,0)))</f>
        <v/>
      </c>
      <c r="JM3" s="138"/>
      <c r="JN3" s="139" t="str">
        <f>IF(JM3=0,"",IF(JM3=VLOOKUP("PCS-7171B",[1]ARBOR!$A:$C,3,0),0.0001,IF(JM3&gt;VLOOKUP("PCS-7171B",[1]ARBOR!$A:$C,3,0),"Maior que CAP!",ROUND(-1*(JM3/VLOOKUP("PCS-7171B",[1]ARBOR!$A:$C,3,0)-1),4))))</f>
        <v/>
      </c>
      <c r="JO3" s="140" t="str">
        <f>IF(ISERROR(IF(JN3="","",VLOOKUP(("Oi Internet Pra Celular 3GB"&amp;JN3&amp;"Template Flat Instância Dados"),[1]BENEFICIOS!$A:$E,5,0))),"Criar",IF(JN3="","",VLOOKUP(("Oi Internet Pra Celular 3GB"&amp;JN3&amp;"Template Flat Instância Dados"),[1]BENEFICIOS!$A:$E,5,0)))</f>
        <v/>
      </c>
      <c r="JP3" s="141"/>
      <c r="JQ3" s="142" t="str">
        <f>IF(JP3=0,"",IF(JP3=VLOOKUP("sva_livros",[1]ARBOR!$A:$C,3,0),0.0001,IF(JP3&gt;VLOOKUP("sva_livros",[1]ARBOR!$A:$C,3,0),"Maior que CAP!",ROUND(-1*(JP3/VLOOKUP("sva_livros",[1]ARBOR!$A:$C,3,0)-1),4))))</f>
        <v/>
      </c>
      <c r="JR3" s="143" t="str">
        <f>IF(ISERROR(IF(JQ3="","",VLOOKUP(("Oi Internet Pra Celular 3GB"&amp;JQ3&amp;"Template Desconto % SVA DADOS B2C"),[1]BENEFICIOS!$A:$E,5,0))),"Criar",IF(JQ3="","",VLOOKUP(("Oi Internet Pra Celular 3GB"&amp;JQ3&amp;"Template Desconto % SVA DADOS B2C"),[1]BENEFICIOS!$A:$E,5,0)))</f>
        <v/>
      </c>
      <c r="JS3" s="138"/>
      <c r="JT3" s="139" t="str">
        <f>IF(JS3=0,"",IF(JS3=VLOOKUP("PCS-51793o08",[1]ARBOR!$A:$C,3,0),0.0001,IF(JS3&gt;VLOOKUP("PCS-51793o08",[1]ARBOR!$A:$C,3,0),"Maior que CAP!",ROUND(-1*(JS3/VLOOKUP("PCS-51793o08",[1]ARBOR!$A:$C,3,0)-1),4))))</f>
        <v/>
      </c>
      <c r="JU3" s="140" t="str">
        <f>IF(ISERROR(IF(JT3="","",VLOOKUP(("Oi Internet Pra Celular 5GB"&amp;JT3&amp;"Template Flat Instância Dados"),[1]BENEFICIOS!$A:$E,5,0))),"Criar",IF(JT3="","",VLOOKUP(("Oi Internet Pra Celular 5GB"&amp;JT3&amp;"Template Flat Instância Dados"),[1]BENEFICIOS!$A:$E,5,0)))</f>
        <v/>
      </c>
      <c r="JV3" s="141"/>
      <c r="JW3" s="142" t="str">
        <f>IF(JV3=0,"",IF(JV3=VLOOKUP("sva_curtas",[1]ARBOR!$A:$C,3,0),0.0001,IF(JV3&gt;VLOOKUP("sva_curtas",[1]ARBOR!$A:$C,3,0),"Maior que CAP!",ROUND(-1*(JV3/VLOOKUP("sva_curtas",[1]ARBOR!$A:$C,3,0)-1),4))))</f>
        <v/>
      </c>
      <c r="JX3" s="143" t="str">
        <f>IF(ISERROR(IF(JW3="","",VLOOKUP(("Oi Internet Pra Celular 5GB"&amp;JW3&amp;"Template Desconto % SVA DADOS B2C"),[1]BENEFICIOS!$A:$E,5,0))),"Criar",IF(JW3="","",VLOOKUP(("Oi Internet Pra Celular 5GB"&amp;JW3&amp;"Template Desconto % SVA DADOS B2C"),[1]BENEFICIOS!$A:$E,5,0)))</f>
        <v/>
      </c>
      <c r="JY3" s="138"/>
      <c r="JZ3" s="139" t="str">
        <f>IF(JY3=0,"",IF(JY3=VLOOKUP("PCS-7171A",[1]ARBOR!$A:$C,3,0),0.0001,IF(JY3&gt;VLOOKUP("PCS-7171A",[1]ARBOR!$A:$C,3,0),"Maior que CAP!",ROUND(-1*(JY3/VLOOKUP("PCS-7171A",[1]ARBOR!$A:$C,3,0)-1),4))))</f>
        <v/>
      </c>
      <c r="KA3" s="144" t="str">
        <f>IF(ISERROR(IF(JZ3="","",VLOOKUP(("Oi Internet Pra Celular 10GB"&amp;JZ3&amp;"Template Flat Instância Dados"),[1]BENEFICIOS!$A:$E,5,0))),"Criar",IF(JZ3="","",VLOOKUP(("Oi Internet Pra Celular 10GB"&amp;JZ3&amp;"Template Flat Instância Dados"),[1]BENEFICIOS!$A:$E,5,0)))</f>
        <v/>
      </c>
      <c r="KB3" s="141"/>
      <c r="KC3" s="142" t="str">
        <f>IF(KB3=0,"",IF(KB3=VLOOKUP("sva_curtas",[1]ARBOR!$A:$C,3,0),0.0001,IF(KB3&gt;VLOOKUP("sva_curtas",[1]ARBOR!$A:$C,3,0),"Maior que CAP!",ROUND(-1*(KB3/VLOOKUP("sva_curtas",[1]ARBOR!$A:$C,3,0)-1),4))))</f>
        <v/>
      </c>
      <c r="KD3" s="143" t="str">
        <f>IF(ISERROR(IF(KC3="","",VLOOKUP(("Oi Internet Pra Celular 10GB"&amp;KC3&amp;"Template Desconto % SVA DADOS B2C"),[1]BENEFICIOS!$A:$E,5,0))),"Criar",IF(KC3="","",VLOOKUP(("Oi Internet Pra Celular 10GB"&amp;KC3&amp;"Template Desconto % SVA DADOS B2C"),[1]BENEFICIOS!$A:$E,5,0)))</f>
        <v/>
      </c>
      <c r="KE3" s="145"/>
      <c r="KF3" s="146"/>
      <c r="KG3" s="147" t="s">
        <v>149</v>
      </c>
      <c r="KH3" s="148" t="s">
        <v>173</v>
      </c>
      <c r="KI3" s="149">
        <v>599</v>
      </c>
      <c r="KJ3" s="148">
        <v>12</v>
      </c>
      <c r="KK3" s="150" t="str">
        <f>IF(KH3="Benefício","Oi benefício fidelização Multiprodutos","")</f>
        <v>Oi benefício fidelização Multiprodutos</v>
      </c>
      <c r="KL3" s="151" t="str">
        <f>IF(KH3="Benefício","PCS-Fk83324","")</f>
        <v>PCS-Fk83324</v>
      </c>
      <c r="KM3" s="151" t="str">
        <f>IF(KG3="Sim","PCS-SBL553142","")</f>
        <v>PCS-SBL553142</v>
      </c>
      <c r="KN3" s="152" t="s">
        <v>174</v>
      </c>
      <c r="KO3" s="153" t="s">
        <v>175</v>
      </c>
      <c r="KP3" s="153" t="s">
        <v>176</v>
      </c>
      <c r="KQ3" s="152" t="s">
        <v>177</v>
      </c>
      <c r="KR3" s="150" t="s">
        <v>178</v>
      </c>
      <c r="KS3" s="151" t="s">
        <v>179</v>
      </c>
      <c r="KT3" s="154" t="s">
        <v>180</v>
      </c>
      <c r="KU3" s="155">
        <v>130.01</v>
      </c>
      <c r="KV3" s="155" t="s">
        <v>181</v>
      </c>
      <c r="KW3" s="155" t="s">
        <v>181</v>
      </c>
      <c r="KX3" s="155" t="s">
        <v>181</v>
      </c>
      <c r="KY3" s="155" t="s">
        <v>181</v>
      </c>
      <c r="KZ3" s="155" t="s">
        <v>181</v>
      </c>
      <c r="LA3" s="155" t="s">
        <v>181</v>
      </c>
      <c r="LB3" s="155" t="s">
        <v>181</v>
      </c>
      <c r="LC3" s="155" t="s">
        <v>181</v>
      </c>
      <c r="LD3" s="155" t="s">
        <v>181</v>
      </c>
      <c r="LE3" s="155" t="s">
        <v>181</v>
      </c>
      <c r="LF3" s="155" t="s">
        <v>181</v>
      </c>
      <c r="LG3" s="155" t="s">
        <v>181</v>
      </c>
      <c r="LH3" s="155" t="s">
        <v>181</v>
      </c>
      <c r="LI3" s="155" t="s">
        <v>181</v>
      </c>
      <c r="LJ3" s="155" t="s">
        <v>181</v>
      </c>
      <c r="LK3" s="156" t="s">
        <v>181</v>
      </c>
      <c r="LL3" s="157"/>
      <c r="LM3" s="158"/>
      <c r="LN3" s="158"/>
      <c r="LO3" s="158"/>
      <c r="LP3" s="158"/>
      <c r="LQ3" s="158"/>
      <c r="LR3" s="158"/>
      <c r="LS3" s="158"/>
      <c r="LT3" s="158"/>
      <c r="LU3" s="159"/>
      <c r="LV3" t="s">
        <v>182</v>
      </c>
      <c r="LW3" t="s">
        <v>183</v>
      </c>
    </row>
    <row r="4" spans="1:335" x14ac:dyDescent="0.25">
      <c r="A4" s="160" t="s">
        <v>146</v>
      </c>
      <c r="B4" s="161" t="s">
        <v>147</v>
      </c>
      <c r="C4" s="161" t="s">
        <v>148</v>
      </c>
      <c r="D4" s="162" t="s">
        <v>149</v>
      </c>
      <c r="E4" s="163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5"/>
      <c r="Q4" s="165"/>
      <c r="R4" s="165"/>
      <c r="S4" s="166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7"/>
      <c r="AF4" s="164"/>
      <c r="AG4" s="164"/>
      <c r="AH4" s="168"/>
      <c r="AI4" s="84" t="s">
        <v>184</v>
      </c>
      <c r="AJ4" s="85" t="s">
        <v>151</v>
      </c>
      <c r="AK4" s="86" t="s">
        <v>152</v>
      </c>
      <c r="AL4" s="169">
        <v>43039</v>
      </c>
      <c r="AM4" s="170">
        <v>43159</v>
      </c>
      <c r="AN4" s="89" t="s">
        <v>153</v>
      </c>
      <c r="AO4" s="90" t="s">
        <v>153</v>
      </c>
      <c r="AP4" s="171"/>
      <c r="AQ4" s="171" t="s">
        <v>154</v>
      </c>
      <c r="AR4" s="171">
        <v>20</v>
      </c>
      <c r="AS4" s="171">
        <v>10000</v>
      </c>
      <c r="AT4" s="172" t="s">
        <v>155</v>
      </c>
      <c r="AU4" s="173" t="s">
        <v>149</v>
      </c>
      <c r="AV4" s="174" t="s">
        <v>156</v>
      </c>
      <c r="AW4" s="175" t="s">
        <v>156</v>
      </c>
      <c r="AX4" s="176" t="s">
        <v>184</v>
      </c>
      <c r="AY4" s="177" t="s">
        <v>185</v>
      </c>
      <c r="AZ4" s="178" t="str">
        <f>IF(ISERROR(VLOOKUP(AY4,[1]PLANOS!B:C,2,0)),"",VLOOKUP(AY4,[1]PLANOS!B:C,2,0))</f>
        <v>PCS-3PMepi</v>
      </c>
      <c r="BA4" s="179" t="s">
        <v>156</v>
      </c>
      <c r="BB4" s="180" t="str">
        <f t="shared" ref="BB4:BB19" si="1">IF(BA4="Sim","OI-17101-1","")</f>
        <v/>
      </c>
      <c r="BC4" s="181"/>
      <c r="BD4" s="182"/>
      <c r="BE4" s="183">
        <v>50.11</v>
      </c>
      <c r="BF4" s="127">
        <f>IF(BE4=0,"",IF(BE4=VLOOKUP("FIXO",[1]ARBOR!$A:$C,3,0),0.0001,IF(BE4&gt;VLOOKUP("FIXO",[1]ARBOR!$A:$C,3,0),"Maior que CAP!",IF((DOLLAR(BE4+(VLOOKUP("FIXO",[1]ARBOR!$A:$C,3,0)*-TRUNC(BE4/VLOOKUP("FIXO",[1]ARBOR!$A:$C,3,0)-1,4)),6))&lt;&gt;(DOLLAR(VLOOKUP("FIXO",[1]ARBOR!$A:$C,3,0),6)),-TRUNC(BE4/VLOOKUP("FIXO",[1]ARBOR!$A:$C,3,0)-1,4)+0.0001,-TRUNC(BE4/VLOOKUP("FIXO",[1]ARBOR!$A:$C,3,0)-1,4)))))</f>
        <v>0.33929999999999999</v>
      </c>
      <c r="BG4" s="184"/>
      <c r="BH4" s="127" t="str">
        <f>IF(BG4=0,"",IF(BG4=VLOOKUP("FIXO",[1]ARBOR!$A:$C,3,0),0.0001,IF(BG4&gt;VLOOKUP("FIXO",[1]ARBOR!$A:$C,3,0),"Maior que CAP!",IF((DOLLAR(BG4+(VLOOKUP("FIXO",[1]ARBOR!$A:$C,3,0)*-TRUNC(BG4/VLOOKUP("FIXO",[1]ARBOR!$A:$C,3,0)-1,4)),6))&lt;&gt;(DOLLAR(VLOOKUP("FIXO",[1]ARBOR!$A:$C,3,0),6)),-TRUNC(BG4/VLOOKUP("FIXO",[1]ARBOR!$A:$C,3,0)-1,4)+0.0001,-TRUNC(BG4/VLOOKUP("FIXO",[1]ARBOR!$A:$C,3,0)-1,4)))))</f>
        <v/>
      </c>
      <c r="BI4" s="127" t="str">
        <f>IF(ISERROR(IF(BF4="","",VLOOKUP(($AY4&amp;BF4&amp;"Template de desconto FLAT bundle - Fixo - Varejo - Ganho Tributário Cross"),[1]BENEFICIOS!$A:$E,5,0))),"Criar",IF(BF4="","",VLOOKUP(($AY4&amp;BF4&amp;"Template de desconto FLAT bundle - Fixo - Varejo - Ganho Tributário Cross"),[1]BENEFICIOS!$A:$E,5,0)))</f>
        <v>MKT-1-9825718835</v>
      </c>
      <c r="BJ4" s="185"/>
      <c r="BK4" s="127" t="str">
        <f t="shared" ref="BK4:BK19" si="2">IF(BL4&lt;&gt;"",0.0001,"")</f>
        <v/>
      </c>
      <c r="BL4" s="186"/>
      <c r="BM4" s="127" t="str">
        <f>IF(BL4=0,"",IF(BL4=VLOOKUP("FIXO",[1]ARBOR!$A:$C,3,0),0.0001,IF(BL4&gt;VLOOKUP("FIXO",[1]ARBOR!$A:$C,3,0),"Maior que CAP!",IF(BF4&lt;&gt;"",-ROUND(BL4/VLOOKUP("FIXO",[1]ARBOR!$A:$C,3,0)-1,4)-BF4,-ROUND(BL4/VLOOKUP("FIXO",[1]ARBOR!$A:$C,3,0)-1,4)))))</f>
        <v/>
      </c>
      <c r="BN4" s="187"/>
      <c r="BO4" s="127" t="str">
        <f>IF(ISERROR(IF(BK4="","",VLOOKUP(($AY4&amp;BK4&amp;"Template de desconto FLAT bundle - Fixo - Varejo - Ganho Tributário Cross"),[1]BENEFICIOS!$A:$E,5,0))),"Criar",IF(BK4="","",VLOOKUP(($AY4&amp;BK4&amp;"Template de desconto FLAT bundle - Fixo - Varejo - Ganho Tributário Cross"),[1]BENEFICIOS!$A:$E,5,0)))</f>
        <v/>
      </c>
      <c r="BP4" s="188" t="s">
        <v>158</v>
      </c>
      <c r="BQ4" s="189" t="s">
        <v>159</v>
      </c>
      <c r="BR4" s="190" t="s">
        <v>156</v>
      </c>
      <c r="BS4" s="191" t="str">
        <f t="shared" si="0"/>
        <v/>
      </c>
      <c r="BT4" s="181"/>
      <c r="BU4" s="192"/>
      <c r="BV4" s="193" t="s">
        <v>86</v>
      </c>
      <c r="BW4" s="194">
        <v>44.9</v>
      </c>
      <c r="BX4" s="127">
        <f>IF(BW4=0,"",IF(BW4=VLOOKUP("PCS-30874g",[1]ARBOR!$A:$C,3,0),0.0001,IF(BW4&gt;VLOOKUP("PCS-30874g",[1]ARBOR!$A:$C,3,0),"Maior que CAP!",IF((DOLLAR(BW4+(VLOOKUP("PCS-30874g",[1]ARBOR!$A:$C,3,0)*-TRUNC(BW4/VLOOKUP("PCS-30874g",[1]ARBOR!$A:$C,3,0)-1,4)),6))&lt;&gt;(DOLLAR(VLOOKUP("PCS-30874g",[1]ARBOR!$A:$C,3,0),6)),-TRUNC(BW4/VLOOKUP("PCS-30874g",[1]ARBOR!$A:$C,3,0)-1,4)+0.0001,-TRUNC(BW4/VLOOKUP("PCS-30874g",[1]ARBOR!$A:$C,3,0)-1,4)))))</f>
        <v>0.53679999999999994</v>
      </c>
      <c r="BY4" s="189" t="str">
        <f>IF(ISERROR(IF(BX4="","",VLOOKUP(($AY4&amp;BX4&amp;"Template de desconto FLAT bundle - Velox XDSL - Varejo"),[1]BENEFICIOS!$A:$E,5,0))),"Criar",IF(BX4="","",VLOOKUP(($AY4&amp;BX4&amp;"Template de desconto FLAT bundle - Velox XDSL - Varejo"),[1]BENEFICIOS!$A:$E,5,0)))</f>
        <v>MKT-1-9828849818</v>
      </c>
      <c r="BZ4" s="193" t="s">
        <v>86</v>
      </c>
      <c r="CA4" s="194">
        <v>44.9</v>
      </c>
      <c r="CB4" s="127">
        <f>IF(CA4=0,"",IF(CA4=VLOOKUP("PCS-30577g",[1]ARBOR!$A:$C,3,0),0.0001,IF(CA4&gt;VLOOKUP("PCS-30577g",[1]ARBOR!$A:$C,3,0),"Maior que CAP!",IF((DOLLAR(CA4+(VLOOKUP("PCS-30577g",[1]ARBOR!$A:$C,3,0)*-TRUNC(CA4/VLOOKUP("PCS-30577g",[1]ARBOR!$A:$C,3,0)-1,4)),6))&lt;&gt;(DOLLAR(VLOOKUP("PCS-30577g",[1]ARBOR!$A:$C,3,0),6)),-TRUNC(CA4/VLOOKUP("PCS-30577g",[1]ARBOR!$A:$C,3,0)-1,4)+0.0001,-TRUNC(CA4/VLOOKUP("PCS-30577g",[1]ARBOR!$A:$C,3,0)-1,4)))))</f>
        <v>0.53679999999999994</v>
      </c>
      <c r="CC4" s="189" t="str">
        <f>IF(ISERROR(IF(CB4="","",VLOOKUP(($AY4&amp;CB4&amp;"Template de desconto FLAT bundle - Velox XDSL - Varejo"),[1]BENEFICIOS!$A:$E,5,0))),"Criar",IF(CB4="","",VLOOKUP(($AY4&amp;CB4&amp;"Template de desconto FLAT bundle - Velox XDSL - Varejo"),[1]BENEFICIOS!$A:$E,5,0)))</f>
        <v>MKT-1-9828849818</v>
      </c>
      <c r="CD4" s="193" t="s">
        <v>86</v>
      </c>
      <c r="CE4" s="194">
        <v>44.9</v>
      </c>
      <c r="CF4" s="127">
        <f>IF(CE4=0,"",IF(CE4=VLOOKUP("PCS-30604g",[1]ARBOR!$A:$C,3,0),0.0001,IF(CE4&gt;VLOOKUP("PCS-30604g",[1]ARBOR!$A:$C,3,0),"Maior que CAP!",IF((DOLLAR(CE4+(VLOOKUP("PCS-30604g",[1]ARBOR!$A:$C,3,0)*-TRUNC(CE4/VLOOKUP("PCS-30604g",[1]ARBOR!$A:$C,3,0)-1,4)),6))&lt;&gt;(DOLLAR(VLOOKUP("PCS-30604g",[1]ARBOR!$A:$C,3,0),6)),-TRUNC(CE4/VLOOKUP("PCS-30604g",[1]ARBOR!$A:$C,3,0)-1,4)+0.0001,-TRUNC(CE4/VLOOKUP("PCS-30604g",[1]ARBOR!$A:$C,3,0)-1,4)))))</f>
        <v>0.53679999999999994</v>
      </c>
      <c r="CG4" s="189" t="str">
        <f>IF(ISERROR(IF(CF4="","",VLOOKUP(($AY4&amp;CF4&amp;"Template de desconto FLAT bundle - Velox XDSL - Varejo"),[1]BENEFICIOS!$A:$E,5,0))),"Criar",IF(CF4="","",VLOOKUP(($AY4&amp;CF4&amp;"Template de desconto FLAT bundle - Velox XDSL - Varejo"),[1]BENEFICIOS!$A:$E,5,0)))</f>
        <v>MKT-1-9828849818</v>
      </c>
      <c r="CH4" s="193" t="s">
        <v>86</v>
      </c>
      <c r="CI4" s="194">
        <v>44.9</v>
      </c>
      <c r="CJ4" s="127">
        <f>IF(CI4=0,"",IF(CI4=VLOOKUP("PCS-30631g",[1]ARBOR!$A:$C,3,0),0.0001,IF(CI4&gt;VLOOKUP("PCS-30631g",[1]ARBOR!$A:$C,3,0),"Maior que CAP!",IF((DOLLAR(CI4+(VLOOKUP("PCS-30631g",[1]ARBOR!$A:$C,3,0)*-TRUNC(CI4/VLOOKUP("PCS-30631g",[1]ARBOR!$A:$C,3,0)-1,4)),6))&lt;&gt;(DOLLAR(VLOOKUP("PCS-30631g",[1]ARBOR!$A:$C,3,0),6)),-TRUNC(CI4/VLOOKUP("PCS-30631g",[1]ARBOR!$A:$C,3,0)-1,4)+0.0001,-TRUNC(CI4/VLOOKUP("PCS-30631g",[1]ARBOR!$A:$C,3,0)-1,4)))))</f>
        <v>0.54310000000000003</v>
      </c>
      <c r="CK4" s="189" t="str">
        <f>IF(ISERROR(IF(CJ4="","",VLOOKUP(($AY4&amp;CJ4&amp;"Template de desconto FLAT bundle - Velox XDSL - Varejo"),[1]BENEFICIOS!$A:$E,5,0))),"Criar",IF(CJ4="","",VLOOKUP(($AY4&amp;CJ4&amp;"Template de desconto FLAT bundle - Velox XDSL - Varejo"),[1]BENEFICIOS!$A:$E,5,0)))</f>
        <v>MKT-1-9828191916</v>
      </c>
      <c r="CL4" s="193"/>
      <c r="CM4" s="194"/>
      <c r="CN4" s="127" t="str">
        <f>IF(CM4=0,"",IF(CM4=VLOOKUP("PCS-30658g",[1]ARBOR!$A:$C,3,0),0.0001,IF(CM4&gt;VLOOKUP("PCS-30658g",[1]ARBOR!$A:$C,3,0),"Maior que CAP!",IF((DOLLAR(CM4+(VLOOKUP("PCS-30658g",[1]ARBOR!$A:$C,3,0)*-TRUNC(CM4/VLOOKUP("PCS-30658g",[1]ARBOR!$A:$C,3,0)-1,4)),6))&lt;&gt;(DOLLAR(VLOOKUP("PCS-30658g",[1]ARBOR!$A:$C,3,0),6)),-TRUNC(CM4/VLOOKUP("PCS-30658g",[1]ARBOR!$A:$C,3,0)-1,4)+0.0001,-TRUNC(CM4/VLOOKUP("PCS-30658g",[1]ARBOR!$A:$C,3,0)-1,4)))))</f>
        <v/>
      </c>
      <c r="CO4" s="189" t="str">
        <f>IF(ISERROR(IF(CN4="","",VLOOKUP(($AY4&amp;CN4&amp;"Template de desconto FLAT bundle - Velox XDSL - Varejo"),[1]BENEFICIOS!$A:$E,5,0))),"Criar",IF(CN4="","",VLOOKUP(($AY4&amp;CN4&amp;"Template de desconto FLAT bundle - Velox XDSL - Varejo"),[1]BENEFICIOS!$A:$E,5,0)))</f>
        <v/>
      </c>
      <c r="CP4" s="193"/>
      <c r="CQ4" s="194"/>
      <c r="CR4" s="127" t="str">
        <f>IF(CQ4=0,"",IF(CQ4=VLOOKUP("PCS-30685g",[1]ARBOR!$A:$C,3,0),0.0001,IF(CQ4&gt;VLOOKUP("PCS-30685g",[1]ARBOR!$A:$C,3,0),"Maior que CAP!",IF((DOLLAR(CQ4+(VLOOKUP("PCS-30685g",[1]ARBOR!$A:$C,3,0)*-TRUNC(CQ4/VLOOKUP("PCS-30685g",[1]ARBOR!$A:$C,3,0)-1,4)),6))&lt;&gt;(DOLLAR(VLOOKUP("PCS-30685g",[1]ARBOR!$A:$C,3,0),6)),-TRUNC(CQ4/VLOOKUP("PCS-30685g",[1]ARBOR!$A:$C,3,0)-1,4)+0.0001,-TRUNC(CQ4/VLOOKUP("PCS-30685g",[1]ARBOR!$A:$C,3,0)-1,4)))))</f>
        <v/>
      </c>
      <c r="CS4" s="189" t="str">
        <f>IF(ISERROR(IF(CR4="","",VLOOKUP(($AY4&amp;CR4&amp;"Template de desconto FLAT bundle - Velox XDSL - Varejo"),[1]BENEFICIOS!$A:$E,5,0))),"Criar",IF(CR4="","",VLOOKUP(($AY4&amp;CR4&amp;"Template de desconto FLAT bundle - Velox XDSL - Varejo"),[1]BENEFICIOS!$A:$E,5,0)))</f>
        <v/>
      </c>
      <c r="CT4" s="193"/>
      <c r="CU4" s="194"/>
      <c r="CV4" s="127" t="str">
        <f>IF(CU4=0,"",IF(CU4=VLOOKUP("PCS-30712g",[1]ARBOR!$A:$C,3,0),0.0001,IF(CU4&gt;VLOOKUP("PCS-30712g",[1]ARBOR!$A:$C,3,0),"Maior que CAP!",IF((DOLLAR(CU4+(VLOOKUP("PCS-30712g",[1]ARBOR!$A:$C,3,0)*-TRUNC(CU4/VLOOKUP("PCS-30712g",[1]ARBOR!$A:$C,3,0)-1,4)),6))&lt;&gt;(DOLLAR(VLOOKUP("PCS-30712g",[1]ARBOR!$A:$C,3,0),6)),-TRUNC(CU4/VLOOKUP("PCS-30712g",[1]ARBOR!$A:$C,3,0)-1,4)+0.0001,-TRUNC(CU4/VLOOKUP("PCS-30712g",[1]ARBOR!$A:$C,3,0)-1,4)))))</f>
        <v/>
      </c>
      <c r="CW4" s="189" t="str">
        <f>IF(ISERROR(IF(CV4="","",VLOOKUP(($AY4&amp;CV4&amp;"Template de desconto FLAT bundle - Velox XDSL - Varejo"),[1]BENEFICIOS!$A:$E,5,0))),"Criar",IF(CV4="","",VLOOKUP(($AY4&amp;CV4&amp;"Template de desconto FLAT bundle - Velox XDSL - Varejo"),[1]BENEFICIOS!$A:$E,5,0)))</f>
        <v/>
      </c>
      <c r="CX4" s="193"/>
      <c r="CY4" s="194"/>
      <c r="CZ4" s="127" t="str">
        <f>IF(CY4=0,"",IF(CY4=VLOOKUP("PCS-30739g",[1]ARBOR!$A:$C,3,0),0.0001,IF(CY4&gt;VLOOKUP("PCS-30739g",[1]ARBOR!$A:$C,3,0),"Maior que CAP!",IF((DOLLAR(CY4+(VLOOKUP("PCS-30739g",[1]ARBOR!$A:$C,3,0)*-TRUNC(CY4/VLOOKUP("PCS-30739g",[1]ARBOR!$A:$C,3,0)-1,4)),6))&lt;&gt;(DOLLAR(VLOOKUP("PCS-30739g",[1]ARBOR!$A:$C,3,0),6)),-TRUNC(CY4/VLOOKUP("PCS-30739g",[1]ARBOR!$A:$C,3,0)-1,4)+0.0001,-TRUNC(CY4/VLOOKUP("PCS-30739g",[1]ARBOR!$A:$C,3,0)-1,4)))))</f>
        <v/>
      </c>
      <c r="DA4" s="195" t="str">
        <f>IF(ISERROR(IF(CZ4="","",VLOOKUP(($AY4&amp;CZ4&amp;"Template de desconto FLAT bundle - Velox XDSL - Varejo"),[1]BENEFICIOS!$A:$E,5,0))),"Criar",IF(CZ4="","",VLOOKUP(($AY4&amp;CZ4&amp;"Template de desconto FLAT bundle - Velox XDSL - Varejo"),[1]BENEFICIOS!$A:$E,5,0)))</f>
        <v/>
      </c>
      <c r="DB4" s="196"/>
      <c r="DC4" s="197"/>
      <c r="DD4" s="127" t="str">
        <f>IF(DB4=0,"",IF(DB4=VLOOKUP("PCS-30739g",[1]ARBOR!$A:$C,3,0),0.0001,IF(DB4&gt;VLOOKUP("PCS-30739g",[1]ARBOR!$A:$C,3,0),"Maior que CAP!",IF((DOLLAR(DB4+(VLOOKUP("PCS-30739g",[1]ARBOR!$A:$C,3,0)*-TRUNC(DB4/VLOOKUP("PCS-30739g",[1]ARBOR!$A:$C,3,0)-1,4)),6))&lt;&gt;(DOLLAR(VLOOKUP("PCS-30739g",[1]ARBOR!$A:$C,3,0),6)),(-TRUNC(DB4/VLOOKUP("PCS-30739g",[1]ARBOR!$A:$C,3,0)-1,4)+0.0001)-CZ4,-TRUNC(DB4/VLOOKUP("PCS-30739g",[1]ARBOR!$A:$C,3,0)-1,4)-CZ4))))</f>
        <v/>
      </c>
      <c r="DE4" s="189" t="str">
        <f>IF(ISERROR(IF(DD4="","",VLOOKUP(($AY4&amp;DD4&amp;"Template de desconto percentual Bundle - Velox XDSL - Varejo"),[1]BENEFICIOS!$A:$E,5,0))),"Criar",IF(DD4="","",VLOOKUP(($AY4&amp;DD4&amp;"Template de desconto percentual Bundle - Velox XDSL - Varejo"),[1]BENEFICIOS!$A:$E,5,0)))</f>
        <v/>
      </c>
      <c r="DF4" s="193"/>
      <c r="DG4" s="194"/>
      <c r="DH4" s="127" t="str">
        <f>IF(DG4=0,"",IF(DG4=VLOOKUP("PCS-30766g",[1]ARBOR!$A:$C,3,0),0.0001,IF(DG4&gt;VLOOKUP("PCS-30766g",[1]ARBOR!$A:$C,3,0),"Maior que CAP!",IF((DOLLAR(DG4+(VLOOKUP("PCS-30766g",[1]ARBOR!$A:$C,3,0)*-TRUNC(DG4/VLOOKUP("PCS-30766g",[1]ARBOR!$A:$C,3,0)-1,4)),6))&lt;&gt;(DOLLAR(VLOOKUP("PCS-30766g",[1]ARBOR!$A:$C,3,0),6)),-TRUNC(DG4/VLOOKUP("PCS-30766g",[1]ARBOR!$A:$C,3,0)-1,4)+0.0001,-TRUNC(DG4/VLOOKUP("PCS-30766g",[1]ARBOR!$A:$C,3,0)-1,4)))))</f>
        <v/>
      </c>
      <c r="DI4" s="195" t="str">
        <f>IF(ISERROR(IF(DH4="","",VLOOKUP(($AY4&amp;DH4&amp;"Template de desconto FLAT bundle - Velox XDSL - Varejo"),[1]BENEFICIOS!$A:$E,5,0))),"Criar",IF(DH4="","",VLOOKUP(($AY4&amp;DH4&amp;"Template de desconto FLAT bundle - Velox XDSL - Varejo"),[1]BENEFICIOS!$A:$E,5,0)))</f>
        <v/>
      </c>
      <c r="DJ4" s="196"/>
      <c r="DK4" s="197"/>
      <c r="DL4" s="127" t="str">
        <f>IF(DJ4=0,"",IF(DJ4=VLOOKUP("PCS-30766g",[1]ARBOR!$A:$C,3,0),0.0001,IF(DJ4&gt;VLOOKUP("PCS-30766g",[1]ARBOR!$A:$C,3,0),"Maior que CAP!",IF((DOLLAR(DJ4+(VLOOKUP("PCS-30766g",[1]ARBOR!$A:$C,3,0)*-TRUNC(DJ4/VLOOKUP("PCS-30766g",[1]ARBOR!$A:$C,3,0)-1,4)),6))&lt;&gt;(DOLLAR(VLOOKUP("PCS-30766g",[1]ARBOR!$A:$C,3,0),6)),(-TRUNC(DJ4/VLOOKUP("PCS-30766g",[1]ARBOR!$A:$C,3,0)-1,4)+0.0001)-DH4,-TRUNC(DJ4/VLOOKUP("PCS-30766g",[1]ARBOR!$A:$C,3,0)-1,4)-DH4))))</f>
        <v/>
      </c>
      <c r="DM4" s="189" t="str">
        <f>IF(ISERROR(IF(DL4="","",VLOOKUP(($AY4&amp;DL4&amp;"Template de desconto percentual Bundle - Velox XDSL - Varejo"),[1]BENEFICIOS!$A:$E,5,0))),"Criar",IF(DL4="","",VLOOKUP(($AY4&amp;DL4&amp;"Template de desconto percentual Bundle - Velox XDSL - Varejo"),[1]BENEFICIOS!$A:$E,5,0)))</f>
        <v/>
      </c>
      <c r="DN4" s="193"/>
      <c r="DO4" s="194"/>
      <c r="DP4" s="127" t="str">
        <f>IF(DO4=0,"",IF(DO4=VLOOKUP("PCS-30793g",[1]ARBOR!$A:$C,3,0),0.0001,IF(DO4&gt;VLOOKUP("PCS-30793g",[1]ARBOR!$A:$C,3,0),"Maior que CAP!",IF((DOLLAR(DO4+(VLOOKUP("PCS-30793g",[1]ARBOR!$A:$C,3,0)*-TRUNC(DO4/VLOOKUP("PCS-30793g",[1]ARBOR!$A:$C,3,0)-1,4)),6))&lt;&gt;(DOLLAR(VLOOKUP("PCS-30793g",[1]ARBOR!$A:$C,3,0),6)),-TRUNC(DO4/VLOOKUP("PCS-30793g",[1]ARBOR!$A:$C,3,0)-1,4)+0.0001,-TRUNC(DO4/VLOOKUP("PCS-30793g",[1]ARBOR!$A:$C,3,0)-1,4)))))</f>
        <v/>
      </c>
      <c r="DQ4" s="195" t="str">
        <f>IF(ISERROR(IF(DP4="","",VLOOKUP(($AY4&amp;DP4&amp;"Template de desconto FLAT bundle - Velox XDSL - Varejo"),[1]BENEFICIOS!$A:$E,5,0))),"Criar",IF(DP4="","",VLOOKUP(($AY4&amp;DP4&amp;"Template de desconto FLAT bundle - Velox XDSL - Varejo"),[1]BENEFICIOS!$A:$E,5,0)))</f>
        <v/>
      </c>
      <c r="DR4" s="196"/>
      <c r="DS4" s="197"/>
      <c r="DT4" s="127" t="str">
        <f>IF(DR4=0,"",IF(DR4=VLOOKUP("PCS-30793g",[1]ARBOR!$A:$C,3,0),0.0001,IF(DR4&gt;VLOOKUP("PCS-30793g",[1]ARBOR!$A:$C,3,0),"Maior que CAP!",IF((DOLLAR(DR4+(VLOOKUP("PCS-30793g",[1]ARBOR!$A:$C,3,0)*-TRUNC(DR4/VLOOKUP("PCS-30793g",[1]ARBOR!$A:$C,3,0)-1,4)),6))&lt;&gt;(DOLLAR(VLOOKUP("PCS-30793g",[1]ARBOR!$A:$C,3,0),6)),(-TRUNC(DR4/VLOOKUP("PCS-30793g",[1]ARBOR!$A:$C,3,0)-1,4)+0.0001)-DP4,-TRUNC(DR4/VLOOKUP("PCS-30793g",[1]ARBOR!$A:$C,3,0)-1,4)-DP4))))</f>
        <v/>
      </c>
      <c r="DU4" s="189" t="str">
        <f>IF(ISERROR(IF(DT4="","",VLOOKUP(($AY4&amp;DT4&amp;"Template de desconto percentual Bundle - Velox XDSL - Varejo"),[1]BENEFICIOS!$A:$E,5,0))),"Criar",IF(DT4="","",VLOOKUP(($AY4&amp;DT4&amp;"Template de desconto percentual Bundle - Velox XDSL - Varejo"),[1]BENEFICIOS!$A:$E,5,0)))</f>
        <v/>
      </c>
      <c r="DV4" s="193"/>
      <c r="DW4" s="194"/>
      <c r="DX4" s="127" t="str">
        <f>IF(DW4=0,"",IF(DW4=VLOOKUP("PCS-30820g",[1]ARBOR!$A:$C,3,0),0.0001,IF(DW4&gt;VLOOKUP("PCS-30820g",[1]ARBOR!$A:$C,3,0),"Maior que CAP!",IF((DOLLAR(DW4+(VLOOKUP("PCS-30820g",[1]ARBOR!$A:$C,3,0)*-TRUNC(DW4/VLOOKUP("PCS-30820g",[1]ARBOR!$A:$C,3,0)-1,4)),6))&lt;&gt;(DOLLAR(VLOOKUP("PCS-30820g",[1]ARBOR!$A:$C,3,0),6)),-TRUNC(DW4/VLOOKUP("PCS-30820g",[1]ARBOR!$A:$C,3,0)-1,4)+0.0001,-TRUNC(DW4/VLOOKUP("PCS-30820g",[1]ARBOR!$A:$C,3,0)-1,4)))))</f>
        <v/>
      </c>
      <c r="DY4" s="195" t="str">
        <f>IF(ISERROR(IF(DX4="","",VLOOKUP(($AY4&amp;DX4&amp;"Template de desconto FLAT bundle - Velox XDSL - Varejo"),[1]BENEFICIOS!$A:$E,5,0))),"Criar",IF(DX4="","",VLOOKUP(($AY4&amp;DX4&amp;"Template de desconto FLAT bundle - Velox XDSL - Varejo"),[1]BENEFICIOS!$A:$E,5,0)))</f>
        <v/>
      </c>
      <c r="DZ4" s="196"/>
      <c r="EA4" s="197"/>
      <c r="EB4" s="127" t="str">
        <f>IF(DZ4=0,"",IF(DZ4=VLOOKUP("PCS-30820g",[1]ARBOR!$A:$C,3,0),0.0001,IF(DZ4&gt;VLOOKUP("PCS-30820g",[1]ARBOR!$A:$C,3,0),"Maior que CAP!",IF((DOLLAR(DZ4+(VLOOKUP("PCS-30820g",[1]ARBOR!$A:$C,3,0)*-TRUNC(DZ4/VLOOKUP("PCS-30820g",[1]ARBOR!$A:$C,3,0)-1,4)),6))&lt;&gt;(DOLLAR(VLOOKUP("PCS-30820g",[1]ARBOR!$A:$C,3,0),6)),(-TRUNC(DZ4/VLOOKUP("PCS-30820g",[1]ARBOR!$A:$C,3,0)-1,4)+0.0001)-DX4,-TRUNC(DZ4/VLOOKUP("PCS-30820g",[1]ARBOR!$A:$C,3,0)-1,4)-DX4))))</f>
        <v/>
      </c>
      <c r="EC4" s="189" t="str">
        <f>IF(ISERROR(IF(EB4="","",VLOOKUP(($AY4&amp;EB4&amp;"Template de desconto percentual Bundle - Velox XDSL - Varejo"),[1]BENEFICIOS!$A:$E,5,0))),"Criar",IF(EB4="","",VLOOKUP(($AY4&amp;EB4&amp;"Template de desconto percentual Bundle - Velox XDSL - Varejo"),[1]BENEFICIOS!$A:$E,5,0)))</f>
        <v/>
      </c>
      <c r="ED4" s="198">
        <v>44.9</v>
      </c>
      <c r="EE4" s="127">
        <f>IF(ED4=0,"",IF(ED4=VLOOKUP("PCS-21448p2",[1]ARBOR!$A:$C,3,0),0.0001,IF(ED4&gt;VLOOKUP("PCS-21448p2",[1]ARBOR!$A:$C,3,0),"Maior que CAP!",IF((DOLLAR(ED4+(VLOOKUP("PCS-21448p2",[1]ARBOR!$A:$C,3,0)*-TRUNC(ED4/VLOOKUP("PCS-21448p2",[1]ARBOR!$A:$C,3,0)-1,4)),6))&lt;&gt;(DOLLAR(VLOOKUP("PCS-21448p2",[1]ARBOR!$A:$C,3,0),6)),-TRUNC(ED4/VLOOKUP("PCS-21448p2",[1]ARBOR!$A:$C,3,0)-1,4)+0.0001,-TRUNC(ED4/VLOOKUP("PCS-21448p2",[1]ARBOR!$A:$C,3,0)-1,4)))))</f>
        <v>0.64900000000000002</v>
      </c>
      <c r="EF4" s="127" t="str">
        <f>IF(ISERROR(IF(EE4="","",VLOOKUP(("Oi Conta Total Plug 10GB Downgrade"&amp;EE4&amp;"Template de desconto percentual BL Móvel - Internet Total - Varejo"),[1]BENEFICIOS!$A:$E,5,0))),"Criar",IF(EE4="","",VLOOKUP(("Oi Conta Total Plug 10GB Downgrade"&amp;EE4&amp;"Template de desconto percentual BL Móvel - Internet Total - Varejo"),[1]BENEFICIOS!$A:$E,5,0)))</f>
        <v>MKT-1-9825544790</v>
      </c>
      <c r="EG4" s="199">
        <v>16.5</v>
      </c>
      <c r="EH4" s="200">
        <f>IF(EG4=0,"",IF(EG4=VLOOKUP("SVA",[1]ARBOR!$A:$C,3,0),0.0001,IF(EG4&gt;VLOOKUP("SVA",[1]ARBOR!$A:$C,3,0),"Maior que CAP!",IF((DOLLAR(EG4+(VLOOKUP("SVA",[1]ARBOR!$A:$C,3,0)*-TRUNC(EG4/VLOOKUP("SVA",[1]ARBOR!$A:$C,3,0)-1,4)),6))&lt;&gt;(DOLLAR(VLOOKUP("SVA",[1]ARBOR!$A:$C,3,0),6)),-TRUNC(EG4/VLOOKUP("SVA",[1]ARBOR!$A:$C,3,0)-1,4)+0.0001,-TRUNC(EG4/VLOOKUP("SVA",[1]ARBOR!$A:$C,3,0)-1,4)))))</f>
        <v>0.2301</v>
      </c>
      <c r="EI4" s="200" t="s">
        <v>160</v>
      </c>
      <c r="EJ4" s="201"/>
      <c r="EK4" s="202"/>
      <c r="EL4" s="203" t="str">
        <f t="shared" ref="EL4:EL19" si="3">IF(EJ4="Grátis",1-EH4,"")</f>
        <v/>
      </c>
      <c r="EM4" s="200" t="str">
        <f>IF(EL4="S/Desc","S/Desc",IF(ISERROR(IF(EL4="","",VLOOKUP(($BX4&amp;EL4&amp;"Template Desc. % sobre Serviço SVA B2C"),[1]BENEFICIOS!$A:$G,5,0))),"Criar",IF(EL4="","",VLOOKUP(($BX4&amp;EL4&amp;"Template Desc. % sobre Serviço SVA B2C"),[1]BENEFICIOS!$A:$G,5,0))))</f>
        <v/>
      </c>
      <c r="EN4" s="129"/>
      <c r="EO4" s="127" t="str">
        <f>IF(EN4=0,"",IF(EN4=VLOOKUP("PCS-OzTL40",[1]ARBOR!$A:$C,3,0),0.0001,IF(EN4&gt;VLOOKUP("PCS-OzTL40",[1]ARBOR!$A:$C,3,0),"Maior que CAP!",IF((DOLLAR(EN4+(VLOOKUP("PCS-OzTL40",[1]ARBOR!$A:$C,3,0)*-TRUNC(EN4/VLOOKUP("PCS-OzTL40",[1]ARBOR!$A:$C,3,0)-1,4)),6))&lt;&gt;(DOLLAR(VLOOKUP("PCS-OzTL40",[1]ARBOR!$A:$C,3,0),6)),-TRUNC(EN4/VLOOKUP("PCS-OzTL40",[1]ARBOR!$A:$C,3,0)-1,4)+0.0001,-TRUNC(EN4/VLOOKUP("PCS-OzTL40",[1]ARBOR!$A:$C,3,0)-1,4)))))</f>
        <v/>
      </c>
      <c r="EP4" s="189" t="str">
        <f>IF(ISERROR(IF(EO4="","",VLOOKUP(($AY4&amp;EO4&amp;"Template desconto FLAT Plano Principal Oi TV nível conta"),[1]BENEFICIOS!$A:$G,5,0))),"Criar",IF(EO4="","",VLOOKUP(($AY4&amp;EO4&amp;"Template desconto FLAT Plano Principal Oi TV nível conta"),[1]BENEFICIOS!$A:$G,5,0)))</f>
        <v/>
      </c>
      <c r="EQ4" s="129">
        <v>99.9</v>
      </c>
      <c r="ER4" s="127">
        <f>IF(EQ4=0,"",IF(EQ4=VLOOKUP("PCS-OzTL41",[1]ARBOR!$A:$C,3,0),0.0001,IF(EQ4&gt;VLOOKUP("PCS-OzTL41",[1]ARBOR!$A:$C,3,0),"Maior que CAP!",IF((DOLLAR(EQ4+(VLOOKUP("PCS-OzTL41",[1]ARBOR!$A:$C,3,0)*-TRUNC(EQ4/VLOOKUP("PCS-OzTL41",[1]ARBOR!$A:$C,3,0)-1,4)),6))&lt;&gt;(DOLLAR(VLOOKUP("PCS-OzTL41",[1]ARBOR!$A:$C,3,0),6)),-TRUNC(EQ4/VLOOKUP("PCS-OzTL41",[1]ARBOR!$A:$C,3,0)-1,4)+0.0001,-TRUNC(EQ4/VLOOKUP("PCS-OzTL41",[1]ARBOR!$A:$C,3,0)-1,4)))))</f>
        <v>0.17459999999999998</v>
      </c>
      <c r="ES4" s="204" t="str">
        <f>IF(ISERROR(IF(ER4="","",VLOOKUP(($AY4&amp;ER4&amp;"Template desconto FLAT Plano Principal Oi TV nível conta"),[1]BENEFICIOS!$A:$G,5,0))),"Criar",IF(ER4="","",VLOOKUP(($AY4&amp;ER4&amp;"Template desconto FLAT Plano Principal Oi TV nível conta"),[1]BENEFICIOS!$A:$G,5,0)))</f>
        <v>MKT-1-9827346410</v>
      </c>
      <c r="ET4" s="129"/>
      <c r="EU4" s="127" t="str">
        <f>IF(ET4=0,"",IF(ET4=VLOOKUP("PCS-OzTL44",[1]ARBOR!$A:$C,3,0),0.0001,IF(ET4&gt;VLOOKUP("PCS-OzTL44",[1]ARBOR!$A:$C,3,0),"Maior que CAP!",IF((DOLLAR(ET4+(VLOOKUP("PCS-OzTL44",[1]ARBOR!$A:$C,3,0)*-TRUNC(ET4/VLOOKUP("PCS-OzTL44",[1]ARBOR!$A:$C,3,0)-1,4)),6))&lt;&gt;(DOLLAR(VLOOKUP("PCS-OzTL44",[1]ARBOR!$A:$C,3,0),6)),-TRUNC(ET4/VLOOKUP("PCS-OzTL44",[1]ARBOR!$A:$C,3,0)-1,4)+0.0001,-TRUNC(ET4/VLOOKUP("PCS-OzTL44",[1]ARBOR!$A:$C,3,0)-1,4)))))</f>
        <v/>
      </c>
      <c r="EV4" s="204" t="str">
        <f>IF(ISERROR(IF(EU4="","",VLOOKUP(($AY4&amp;EU4&amp;"Template desconto FLAT Plano Principal Oi TV nível conta"),[1]BENEFICIOS!$A:$G,5,0))),"Criar",IF(EU4="","",VLOOKUP(($AY4&amp;EU4&amp;"Template desconto FLAT Plano Principal Oi TV nível conta"),[1]BENEFICIOS!$A:$G,5,0)))</f>
        <v/>
      </c>
      <c r="EW4" s="129"/>
      <c r="EX4" s="127" t="str">
        <f>IF(EW4=0,"",IF(EW4=VLOOKUP("PCS-OzTL43",[1]ARBOR!$A:$C,3,0),0.0001,IF(EW4&gt;VLOOKUP("PCS-OzTL43",[1]ARBOR!$A:$C,3,0),"Maior que CAP!",IF((DOLLAR(EW4+(VLOOKUP("PCS-OzTL43",[1]ARBOR!$A:$C,3,0)*-TRUNC(EW4/VLOOKUP("PCS-OzTL43",[1]ARBOR!$A:$C,3,0)-1,4)),6))&lt;&gt;(DOLLAR(VLOOKUP("PCS-OzTL43",[1]ARBOR!$A:$C,3,0),6)),-TRUNC(EW4/VLOOKUP("PCS-OzTL43",[1]ARBOR!$A:$C,3,0)-1,4)+0.0001,-TRUNC(EW4/VLOOKUP("PCS-OzTL43",[1]ARBOR!$A:$C,3,0)-1,4)))))</f>
        <v/>
      </c>
      <c r="EY4" s="204" t="str">
        <f>IF(ISERROR(IF(EX4="","",VLOOKUP(($AY4&amp;EX4&amp;"Template desconto FLAT Plano Principal Oi TV nível conta"),[1]BENEFICIOS!$A:$G,5,0))),"Criar",IF(EX4="","",VLOOKUP(($AY4&amp;EX4&amp;"Template desconto FLAT Plano Principal Oi TV nível conta"),[1]BENEFICIOS!$A:$G,5,0)))</f>
        <v/>
      </c>
      <c r="EZ4" s="129"/>
      <c r="FA4" s="127" t="str">
        <f>IF(EZ4=0,"",IF(EZ4=VLOOKUP("PCS-OzTL45",[1]ARBOR!$A:$C,3,0),0.0001,IF(EZ4&gt;VLOOKUP("PCS-OzTL45",[1]ARBOR!$A:$C,3,0),"Maior que CAP!",IF((DOLLAR(EZ4+(VLOOKUP("PCS-OzTL45",[1]ARBOR!$A:$C,3,0)*-TRUNC(EZ4/VLOOKUP("PCS-OzTL45",[1]ARBOR!$A:$C,3,0)-1,4)),6))&lt;&gt;(DOLLAR(VLOOKUP("PCS-OzTL45",[1]ARBOR!$A:$C,3,0),6)),-TRUNC(EZ4/VLOOKUP("PCS-OzTL45",[1]ARBOR!$A:$C,3,0)-1,4)+0.0001,-TRUNC(EZ4/VLOOKUP("PCS-OzTL45",[1]ARBOR!$A:$C,3,0)-1,4)))))</f>
        <v/>
      </c>
      <c r="FB4" s="204" t="str">
        <f>IF(ISERROR(IF(FA4="","",VLOOKUP(($AY4&amp;FA4&amp;"Template desconto FLAT Plano Principal Oi TV nível conta"),[1]BENEFICIOS!$A:$G,5,0))),"Criar",IF(FA4="","",VLOOKUP(($AY4&amp;FA4&amp;"Template desconto FLAT Plano Principal Oi TV nível conta"),[1]BENEFICIOS!$A:$G,5,0)))</f>
        <v/>
      </c>
      <c r="FC4" s="129"/>
      <c r="FD4" s="127" t="str">
        <f>IF(FC4=0,"",IF(FC4=VLOOKUP("PCS-OzTL741",[1]ARBOR!$A:$C,3,0),0.0001,IF(FC4&gt;VLOOKUP("PCS-OzTL741",[1]ARBOR!$A:$C,3,0),"Maior que CAP!",IF((DOLLAR(FC4+(VLOOKUP("PCS-OzTL741",[1]ARBOR!$A:$C,3,0)*-TRUNC(FC4/VLOOKUP("PCS-OzTL741",[1]ARBOR!$A:$C,3,0)-1,4)),6))&lt;&gt;(DOLLAR(VLOOKUP("PCS-OzTL741",[1]ARBOR!$A:$C,3,0),6)),-TRUNC(FC4/VLOOKUP("PCS-OzTL741",[1]ARBOR!$A:$C,3,0)-1,4)+0.0001,-TRUNC(FC4/VLOOKUP("PCS-OzTL741",[1]ARBOR!$A:$C,3,0)-1,4)))))</f>
        <v/>
      </c>
      <c r="FE4" s="204" t="str">
        <f>IF(ISERROR(IF(FD4="","",VLOOKUP(($AY4&amp;FD4&amp;"Template desconto FLAT Plano Principal Oi TV nível conta"),[1]BENEFICIOS!$A:$G,5,0))),"Criar",IF(FD4="","",VLOOKUP(($AY4&amp;FD4&amp;"Template desconto FLAT Plano Principal Oi TV nível conta"),[1]BENEFICIOS!$A:$G,5,0)))</f>
        <v/>
      </c>
      <c r="FF4" s="129"/>
      <c r="FG4" s="127" t="str">
        <f>IF(FF4=0,"",IF(FF4=VLOOKUP("PCS-OzTL744",[1]ARBOR!$A:$C,3,0),0.0001,IF(FF4&gt;VLOOKUP("PCS-OzTL744",[1]ARBOR!$A:$C,3,0),"Maior que CAP!",IF((DOLLAR(FF4+(VLOOKUP("PCS-OzTL744",[1]ARBOR!$A:$C,3,0)*-TRUNC(FF4/VLOOKUP("PCS-OzTL744",[1]ARBOR!$A:$C,3,0)-1,4)),6))&lt;&gt;(DOLLAR(VLOOKUP("PCS-OzTL744",[1]ARBOR!$A:$C,3,0),6)),-TRUNC(FF4/VLOOKUP("PCS-OzTL744",[1]ARBOR!$A:$C,3,0)-1,4)+0.0001,-TRUNC(FF4/VLOOKUP("PCS-OzTL744",[1]ARBOR!$A:$C,3,0)-1,4)))))</f>
        <v/>
      </c>
      <c r="FH4" s="204" t="str">
        <f>IF(ISERROR(IF(FG4="","",VLOOKUP(($AY4&amp;FG4&amp;"Template desconto FLAT Plano Principal Oi TV nível conta"),[1]BENEFICIOS!$A:$G,5,0))),"Criar",IF(FG4="","",VLOOKUP(($AY4&amp;FG4&amp;"Template desconto FLAT Plano Principal Oi TV nível conta"),[1]BENEFICIOS!$A:$G,5,0)))</f>
        <v/>
      </c>
      <c r="FI4" s="129"/>
      <c r="FJ4" s="127" t="str">
        <f>IF(FI4=0,"",IF(FI4=VLOOKUP("PCS-OzTL743",[1]ARBOR!$A:$C,3,0),0.0001,IF(FI4&gt;VLOOKUP("PCS-OzTL743",[1]ARBOR!$A:$C,3,0),"Maior que CAP!",IF((DOLLAR(FI4+(VLOOKUP("PCS-OzTL743",[1]ARBOR!$A:$C,3,0)*-TRUNC(FI4/VLOOKUP("PCS-OzTL743",[1]ARBOR!$A:$C,3,0)-1,4)),6))&lt;&gt;(DOLLAR(VLOOKUP("PCS-OzTL743",[1]ARBOR!$A:$C,3,0),6)),-TRUNC(FI4/VLOOKUP("PCS-OzTL743",[1]ARBOR!$A:$C,3,0)-1,4)+0.0001,-TRUNC(FI4/VLOOKUP("PCS-OzTL743",[1]ARBOR!$A:$C,3,0)-1,4)))))</f>
        <v/>
      </c>
      <c r="FK4" s="204" t="str">
        <f>IF(ISERROR(IF(FJ4="","",VLOOKUP(($AY4&amp;FJ4&amp;"Template desconto FLAT Plano Principal Oi TV nível conta"),[1]BENEFICIOS!$A:$G,5,0))),"Criar",IF(FJ4="","",VLOOKUP(($AY4&amp;FJ4&amp;"Template desconto FLAT Plano Principal Oi TV nível conta"),[1]BENEFICIOS!$A:$G,5,0)))</f>
        <v/>
      </c>
      <c r="FL4" s="129"/>
      <c r="FM4" s="127" t="str">
        <f>IF(FL4=0,"",IF(FL4=VLOOKUP("PCS-OzTL745",[1]ARBOR!$A:$C,3,0),0.0001,IF(FL4&gt;VLOOKUP("PCS-OzTL745",[1]ARBOR!$A:$C,3,0),"Maior que CAP!",IF((DOLLAR(FL4+(VLOOKUP("PCS-OzTL745",[1]ARBOR!$A:$C,3,0)*-TRUNC(FL4/VLOOKUP("PCS-OzTL745",[1]ARBOR!$A:$C,3,0)-1,4)),6))&lt;&gt;(DOLLAR(VLOOKUP("PCS-OzTL745",[1]ARBOR!$A:$C,3,0),6)),-TRUNC(FL4/VLOOKUP("PCS-OzTL745",[1]ARBOR!$A:$C,3,0)-1,4)+0.0001,-TRUNC(FL4/VLOOKUP("PCS-OzTL745",[1]ARBOR!$A:$C,3,0)-1,4)))))</f>
        <v/>
      </c>
      <c r="FN4" s="204" t="str">
        <f>IF(ISERROR(IF(FM4="","",VLOOKUP(($AY4&amp;FM4&amp;"Template desconto FLAT Plano Principal Oi TV nível conta"),[1]BENEFICIOS!$A:$G,5,0))),"Criar",IF(FM4="","",VLOOKUP(($AY4&amp;FM4&amp;"Template desconto FLAT Plano Principal Oi TV nível conta"),[1]BENEFICIOS!$A:$G,5,0)))</f>
        <v/>
      </c>
      <c r="FO4" s="129"/>
      <c r="FP4" s="127" t="str">
        <f>IF(FO4=0,"",IF(FO4=VLOOKUP("PCS-OzTL42",[1]ARBOR!$A:$C,3,0),0.0001,IF(FO4&gt;VLOOKUP("PCS-OzTL42",[1]ARBOR!$A:$C,3,0),"Maior que CAP!",IF((DOLLAR(FO4+(VLOOKUP("PCS-OzTL42",[1]ARBOR!$A:$C,3,0)*-TRUNC(FO4/VLOOKUP("PCS-OzTL42",[1]ARBOR!$A:$C,3,0)-1,4)),6))&lt;&gt;(DOLLAR(VLOOKUP("PCS-OzTL42",[1]ARBOR!$A:$C,3,0),6)),-TRUNC(FO4/VLOOKUP("PCS-OzTL42",[1]ARBOR!$A:$C,3,0)-1,4)+0.0001,-TRUNC(FO4/VLOOKUP("PCS-OzTL42",[1]ARBOR!$A:$C,3,0)-1,4)))))</f>
        <v/>
      </c>
      <c r="FQ4" s="204" t="str">
        <f>IF(ISERROR(IF(FP4="","",VLOOKUP(($AY4&amp;FP4&amp;"Template desconto FLAT Plano Principal Oi TV nível conta"),[1]BENEFICIOS!$A:$G,5,0))),"Criar",IF(FP4="","",VLOOKUP(($AY4&amp;FP4&amp;"Template desconto FLAT Plano Principal Oi TV nível conta"),[1]BENEFICIOS!$A:$G,5,0)))</f>
        <v/>
      </c>
      <c r="FR4" s="129"/>
      <c r="FS4" s="127" t="str">
        <f>IF(FR4=0,"",IF(FR4=VLOOKUP("PCS-OzTL47",[1]ARBOR!$A:$C,3,0),0.0001,IF(FR4&gt;VLOOKUP("PCS-OzTL47",[1]ARBOR!$A:$C,3,0),"Maior que CAP!",IF((DOLLAR(FR4+(VLOOKUP("PCS-OzTL47",[1]ARBOR!$A:$C,3,0)*-TRUNC(FR4/VLOOKUP("PCS-OzTL47",[1]ARBOR!$A:$C,3,0)-1,4)),6))&lt;&gt;(DOLLAR(VLOOKUP("PCS-OzTL47",[1]ARBOR!$A:$C,3,0),6)),-TRUNC(FR4/VLOOKUP("PCS-OzTL47",[1]ARBOR!$A:$C,3,0)-1,4)+0.0001,-TRUNC(FR4/VLOOKUP("PCS-OzTL47",[1]ARBOR!$A:$C,3,0)-1,4)))))</f>
        <v/>
      </c>
      <c r="FT4" s="204" t="str">
        <f>IF(ISERROR(IF(FS4="","",VLOOKUP(($AY4&amp;FS4&amp;"Template desconto FLAT Plano Principal Oi TV nível conta"),[1]BENEFICIOS!$A:$G,5,0))),"Criar",IF(FS4="","",VLOOKUP(($AY4&amp;FS4&amp;"Template desconto FLAT Plano Principal Oi TV nível conta"),[1]BENEFICIOS!$A:$G,5,0)))</f>
        <v/>
      </c>
      <c r="FU4" s="129"/>
      <c r="FV4" s="127" t="str">
        <f>IF(FU4=0,"",IF(FU4=VLOOKUP("PCS-OzTL46",[1]ARBOR!$A:$C,3,0),0.0001,IF(FU4&gt;VLOOKUP("PCS-OzTL46",[1]ARBOR!$A:$C,3,0),"Maior que CAP!",IF((DOLLAR(FU4+(VLOOKUP("PCS-OzTL46",[1]ARBOR!$A:$C,3,0)*-TRUNC(FU4/VLOOKUP("PCS-OzTL46",[1]ARBOR!$A:$C,3,0)-1,4)),6))&lt;&gt;(DOLLAR(VLOOKUP("PCS-OzTL46",[1]ARBOR!$A:$C,3,0),6)),-TRUNC(FU4/VLOOKUP("PCS-OzTL46",[1]ARBOR!$A:$C,3,0)-1,4)+0.0001,-TRUNC(FU4/VLOOKUP("PCS-OzTL46",[1]ARBOR!$A:$C,3,0)-1,4)))))</f>
        <v/>
      </c>
      <c r="FW4" s="204" t="str">
        <f>IF(ISERROR(IF(FV4="","",VLOOKUP(($AY4&amp;FV4&amp;"Template desconto FLAT Plano Principal Oi TV nível conta"),[1]BENEFICIOS!$A:$G,5,0))),"Criar",IF(FV4="","",VLOOKUP(($AY4&amp;FV4&amp;"Template desconto FLAT Plano Principal Oi TV nível conta"),[1]BENEFICIOS!$A:$G,5,0)))</f>
        <v/>
      </c>
      <c r="FX4" s="129"/>
      <c r="FY4" s="127" t="str">
        <f>IF(FX4=0,"",IF(FX4=VLOOKUP("PCS-OzTL48",[1]ARBOR!$A:$C,3,0),0.0001,IF(FX4&gt;VLOOKUP("PCS-OzTL48",[1]ARBOR!$A:$C,3,0),"Maior que CAP!",IF((DOLLAR(FX4+(VLOOKUP("PCS-OzTL48",[1]ARBOR!$A:$C,3,0)*-TRUNC(FX4/VLOOKUP("PCS-OzTL48",[1]ARBOR!$A:$C,3,0)-1,4)),6))&lt;&gt;(DOLLAR(VLOOKUP("PCS-OzTL48",[1]ARBOR!$A:$C,3,0),6)),-TRUNC(FX4/VLOOKUP("PCS-OzTL48",[1]ARBOR!$A:$C,3,0)-1,4)+0.0001,-TRUNC(FX4/VLOOKUP("PCS-OzTL48",[1]ARBOR!$A:$C,3,0)-1,4)))))</f>
        <v/>
      </c>
      <c r="FZ4" s="204" t="str">
        <f>IF(ISERROR(IF(FY4="","",VLOOKUP(($AY4&amp;FY4&amp;"Template desconto FLAT Plano Principal Oi TV nível conta"),[1]BENEFICIOS!$A:$G,5,0))),"Criar",IF(FY4="","",VLOOKUP(($AY4&amp;FY4&amp;"Template desconto FLAT Plano Principal Oi TV nível conta"),[1]BENEFICIOS!$A:$G,5,0)))</f>
        <v/>
      </c>
      <c r="GA4" s="129"/>
      <c r="GB4" s="127" t="str">
        <f>IF(GA4=0,"",IF(GA4=VLOOKUP("PCS-OzTL742",[1]ARBOR!$A:$C,3,0),0.0001,IF(GA4&gt;VLOOKUP("PCS-OzTL742",[1]ARBOR!$A:$C,3,0),"Maior que CAP!",IF((DOLLAR(GA4+(VLOOKUP("PCS-OzTL742",[1]ARBOR!$A:$C,3,0)*-TRUNC(GA4/VLOOKUP("PCS-OzTL742",[1]ARBOR!$A:$C,3,0)-1,4)),6))&lt;&gt;(DOLLAR(VLOOKUP("PCS-OzTL742",[1]ARBOR!$A:$C,3,0),6)),-TRUNC(GA4/VLOOKUP("PCS-OzTL742",[1]ARBOR!$A:$C,3,0)-1,4)+0.0001,-TRUNC(GA4/VLOOKUP("PCS-OzTL742",[1]ARBOR!$A:$C,3,0)-1,4)))))</f>
        <v/>
      </c>
      <c r="GC4" s="204" t="str">
        <f>IF(ISERROR(IF(GB4="","",VLOOKUP(($AY4&amp;GB4&amp;"Template desconto FLAT Plano Principal Oi TV nível conta"),[1]BENEFICIOS!$A:$G,5,0))),"Criar",IF(GB4="","",VLOOKUP(($AY4&amp;GB4&amp;"Template desconto FLAT Plano Principal Oi TV nível conta"),[1]BENEFICIOS!$A:$G,5,0)))</f>
        <v/>
      </c>
      <c r="GD4" s="129"/>
      <c r="GE4" s="127" t="str">
        <f>IF(GD4=0,"",IF(GD4=VLOOKUP("PCS-OzTL747",[1]ARBOR!$A:$C,3,0),0.0001,IF(GD4&gt;VLOOKUP("PCS-OzTL747",[1]ARBOR!$A:$C,3,0),"Maior que CAP!",IF((DOLLAR(GD4+(VLOOKUP("PCS-OzTL747",[1]ARBOR!$A:$C,3,0)*-TRUNC(GD4/VLOOKUP("PCS-OzTL747",[1]ARBOR!$A:$C,3,0)-1,4)),6))&lt;&gt;(DOLLAR(VLOOKUP("PCS-OzTL747",[1]ARBOR!$A:$C,3,0),6)),-TRUNC(GD4/VLOOKUP("PCS-OzTL747",[1]ARBOR!$A:$C,3,0)-1,4)+0.0001,-TRUNC(GD4/VLOOKUP("PCS-OzTL747",[1]ARBOR!$A:$C,3,0)-1,4)))))</f>
        <v/>
      </c>
      <c r="GF4" s="204" t="str">
        <f>IF(ISERROR(IF(GE4="","",VLOOKUP(($AY4&amp;GE4&amp;"Template desconto FLAT Plano Principal Oi TV nível conta"),[1]BENEFICIOS!$A:$G,5,0))),"Criar",IF(GE4="","",VLOOKUP(($AY4&amp;GE4&amp;"Template desconto FLAT Plano Principal Oi TV nível conta"),[1]BENEFICIOS!$A:$G,5,0)))</f>
        <v/>
      </c>
      <c r="GG4" s="129"/>
      <c r="GH4" s="127" t="str">
        <f>IF(GG4=0,"",IF(GG4=VLOOKUP("PCS-OzTL746",[1]ARBOR!$A:$C,3,0),0.0001,IF(GG4&gt;VLOOKUP("PCS-OzTL746",[1]ARBOR!$A:$C,3,0),"Maior que CAP!",IF((DOLLAR(GG4+(VLOOKUP("PCS-OzTL746",[1]ARBOR!$A:$C,3,0)*-TRUNC(GG4/VLOOKUP("PCS-OzTL746",[1]ARBOR!$A:$C,3,0)-1,4)),6))&lt;&gt;(DOLLAR(VLOOKUP("PCS-OzTL746",[1]ARBOR!$A:$C,3,0),6)),-TRUNC(GG4/VLOOKUP("PCS-OzTL746",[1]ARBOR!$A:$C,3,0)-1,4)+0.0001,-TRUNC(GG4/VLOOKUP("PCS-OzTL746",[1]ARBOR!$A:$C,3,0)-1,4)))))</f>
        <v/>
      </c>
      <c r="GI4" s="204" t="str">
        <f>IF(ISERROR(IF(GH4="","",VLOOKUP(($AY4&amp;GH4&amp;"Template desconto FLAT Plano Principal Oi TV nível conta"),[1]BENEFICIOS!$A:$G,5,0))),"Criar",IF(GH4="","",VLOOKUP(($AY4&amp;GH4&amp;"Template desconto FLAT Plano Principal Oi TV nível conta"),[1]BENEFICIOS!$A:$G,5,0)))</f>
        <v/>
      </c>
      <c r="GJ4" s="129"/>
      <c r="GK4" s="127" t="str">
        <f>IF(GJ4=0,"",IF(GJ4=VLOOKUP("PCS-OzTL748",[1]ARBOR!$A:$C,3,0),0.0001,IF(GJ4&gt;VLOOKUP("PCS-OzTL748",[1]ARBOR!$A:$C,3,0),"Maior que CAP!",IF((DOLLAR(GJ4+(VLOOKUP("PCS-OzTL748",[1]ARBOR!$A:$C,3,0)*-TRUNC(GJ4/VLOOKUP("PCS-OzTL748",[1]ARBOR!$A:$C,3,0)-1,4)),6))&lt;&gt;(DOLLAR(VLOOKUP("PCS-OzTL748",[1]ARBOR!$A:$C,3,0),6)),-TRUNC(GJ4/VLOOKUP("PCS-OzTL748",[1]ARBOR!$A:$C,3,0)-1,4)+0.0001,-TRUNC(GJ4/VLOOKUP("PCS-OzTL748",[1]ARBOR!$A:$C,3,0)-1,4)))))</f>
        <v/>
      </c>
      <c r="GL4" s="204" t="str">
        <f>IF(ISERROR(IF(GK4="","",VLOOKUP(($AY4&amp;GK4&amp;"Template desconto FLAT Plano Principal Oi TV nível conta"),[1]BENEFICIOS!$A:$G,5,0))),"Criar",IF(GK4="","",VLOOKUP(($AY4&amp;GK4&amp;"Template desconto FLAT Plano Principal Oi TV nível conta"),[1]BENEFICIOS!$A:$G,5,0)))</f>
        <v/>
      </c>
      <c r="GM4" s="129">
        <v>75</v>
      </c>
      <c r="GN4" s="127">
        <f>IF(GM4=0,"",IF(GM4=VLOOKUP("PCS-OzTL34",[1]ARBOR!$A:$C,3,0),0.0001,IF(GM4&gt;VLOOKUP("PCS-OzTL34",[1]ARBOR!$A:$C,3,0),"Maior que CAP!",IF((DOLLAR(GM4+(VLOOKUP("PCS-OzTL34",[1]ARBOR!$A:$C,3,0)*-TRUNC(GM4/VLOOKUP("PCS-OzTL34",[1]ARBOR!$A:$C,3,0)-1,4)),6))&lt;&gt;(DOLLAR(VLOOKUP("PCS-OzTL34",[1]ARBOR!$A:$C,3,0),6)),-TRUNC(GM4/VLOOKUP("PCS-OzTL34",[1]ARBOR!$A:$C,3,0)-1,4)+0.0001,-TRUNC(GM4/VLOOKUP("PCS-OzTL34",[1]ARBOR!$A:$C,3,0)-1,4)))))</f>
        <v>0.31900000000000001</v>
      </c>
      <c r="GO4" s="204" t="s">
        <v>161</v>
      </c>
      <c r="GP4" s="129">
        <v>19.899999999999999</v>
      </c>
      <c r="GQ4" s="127">
        <f>IF(GP4=0,"",IF(GP4=VLOOKUP("PCS-OzTL31",[1]ARBOR!$A:$C,3,0),0.0001,IF(GP4&gt;VLOOKUP("PCS-OzTL31",[1]ARBOR!$A:$C,3,0),"Maior que CAP!",IF((DOLLAR(GP4+(VLOOKUP("PCS-OzTL31",[1]ARBOR!$A:$C,3,0)*-TRUNC(GP4/VLOOKUP("PCS-OzTL31",[1]ARBOR!$A:$C,3,0)-1,4)),6))&lt;&gt;(DOLLAR(VLOOKUP("PCS-OzTL31",[1]ARBOR!$A:$C,3,0),6)),-TRUNC(GP4/VLOOKUP("PCS-OzTL31",[1]ARBOR!$A:$C,3,0)-1,4)+0.0001,-TRUNC(GP4/VLOOKUP("PCS-OzTL31",[1]ARBOR!$A:$C,3,0)-1,4)))))</f>
        <v>9.1800000000000007E-2</v>
      </c>
      <c r="GR4" s="204" t="s">
        <v>162</v>
      </c>
      <c r="GS4" s="129">
        <v>19.899999999999999</v>
      </c>
      <c r="GT4" s="127">
        <f>IF(GS4=0,"",IF(GS4=VLOOKUP("PCS-OzTL32",[1]ARBOR!$A:$C,3,0),0.0001,IF(GS4&gt;VLOOKUP("PCS-OzTL32",[1]ARBOR!$A:$C,3,0),"Maior que CAP!",IF((DOLLAR(GS4+(VLOOKUP("PCS-OzTL32",[1]ARBOR!$A:$C,3,0)*-TRUNC(GS4/VLOOKUP("PCS-OzTL32",[1]ARBOR!$A:$C,3,0)-1,4)),6))&lt;&gt;(DOLLAR(VLOOKUP("PCS-OzTL32",[1]ARBOR!$A:$C,3,0),6)),-TRUNC(GS4/VLOOKUP("PCS-OzTL32",[1]ARBOR!$A:$C,3,0)-1,4)+0.0001,-TRUNC(GS4/VLOOKUP("PCS-OzTL32",[1]ARBOR!$A:$C,3,0)-1,4)))))</f>
        <v>9.1800000000000007E-2</v>
      </c>
      <c r="GU4" s="204" t="s">
        <v>163</v>
      </c>
      <c r="GV4" s="129">
        <v>29.9</v>
      </c>
      <c r="GW4" s="127">
        <f>IF(GV4=0,"",IF(GV4=VLOOKUP("PCS-OzTL33",[1]ARBOR!$A:$C,3,0),0.0001,IF(GV4&gt;VLOOKUP("PCS-OzTL33",[1]ARBOR!$A:$C,3,0),"Maior que CAP!",IF((DOLLAR(GV4+(VLOOKUP("PCS-OzTL33",[1]ARBOR!$A:$C,3,0)*-TRUNC(GV4/VLOOKUP("PCS-OzTL33",[1]ARBOR!$A:$C,3,0)-1,4)),6))&lt;&gt;(DOLLAR(VLOOKUP("PCS-OzTL33",[1]ARBOR!$A:$C,3,0),6)),-TRUNC(GV4/VLOOKUP("PCS-OzTL33",[1]ARBOR!$A:$C,3,0)-1,4)+0.0001,-TRUNC(GV4/VLOOKUP("PCS-OzTL33",[1]ARBOR!$A:$C,3,0)-1,4)))))</f>
        <v>9.1800000000000007E-2</v>
      </c>
      <c r="GX4" s="204" t="s">
        <v>164</v>
      </c>
      <c r="GY4" s="129">
        <v>14.9</v>
      </c>
      <c r="GZ4" s="127">
        <f>IF(GY4=0,"",IF(GY4=VLOOKUP("PCS-OzTL503",[1]ARBOR!$A:$C,3,0),0.0001,IF(GY4&gt;VLOOKUP("PCS-OzTL503",[1]ARBOR!$A:$C,3,0),"Maior que CAP!",IF((DOLLAR(GY4+(VLOOKUP("PCS-OzTL503",[1]ARBOR!$A:$C,3,0)*-TRUNC(GY4/VLOOKUP("PCS-OzTL503",[1]ARBOR!$A:$C,3,0)-1,4)),6))&lt;&gt;(DOLLAR(VLOOKUP("PCS-OzTL503",[1]ARBOR!$A:$C,3,0),6)),-TRUNC(GY4/VLOOKUP("PCS-OzTL503",[1]ARBOR!$A:$C,3,0)-1,4)+0.0001,-TRUNC(GY4/VLOOKUP("PCS-OzTL503",[1]ARBOR!$A:$C,3,0)-1,4)))))</f>
        <v>9.1499999999999998E-2</v>
      </c>
      <c r="HA4" s="204" t="s">
        <v>165</v>
      </c>
      <c r="HB4" s="129">
        <v>10</v>
      </c>
      <c r="HC4" s="127">
        <f>IF(HB4=0,"",IF(HB4=VLOOKUP("PCS-OzTL500",[1]ARBOR!$A:$C,3,0),0.0001,IF(HB4&gt;VLOOKUP("PCS-OzTL500",[1]ARBOR!$A:$C,3,0),"Maior que CAP!",IF((DOLLAR(HB4+(VLOOKUP("PCS-OzTL500",[1]ARBOR!$A:$C,3,0)*-TRUNC(HB4/VLOOKUP("PCS-OzTL500",[1]ARBOR!$A:$C,3,0)-1,4)),6))&lt;&gt;(DOLLAR(VLOOKUP("PCS-OzTL500",[1]ARBOR!$A:$C,3,0),6)),-TRUNC(HB4/VLOOKUP("PCS-OzTL500",[1]ARBOR!$A:$C,3,0)-1,4)+0.0001,-TRUNC(HB4/VLOOKUP("PCS-OzTL500",[1]ARBOR!$A:$C,3,0)-1,4)))))</f>
        <v>9.1800000000000007E-2</v>
      </c>
      <c r="HD4" s="204" t="s">
        <v>166</v>
      </c>
      <c r="HE4" s="129" t="s">
        <v>167</v>
      </c>
      <c r="HF4" s="127"/>
      <c r="HG4" s="204"/>
      <c r="HH4" s="129" t="s">
        <v>168</v>
      </c>
      <c r="HI4" s="127"/>
      <c r="HJ4" s="204"/>
      <c r="HK4" s="129" t="s">
        <v>169</v>
      </c>
      <c r="HL4" s="127"/>
      <c r="HM4" s="204"/>
      <c r="HN4" s="129" t="s">
        <v>170</v>
      </c>
      <c r="HO4" s="127"/>
      <c r="HP4" s="204"/>
      <c r="HQ4" s="129" t="s">
        <v>171</v>
      </c>
      <c r="HR4" s="127"/>
      <c r="HS4" s="204"/>
      <c r="HT4" s="129">
        <v>24.9</v>
      </c>
      <c r="HU4" s="127">
        <f>IF(HT4=0,"",IF(HT4=VLOOKUP("PCS-OzTL99",[1]ARBOR!$A:$C,3,0),0.0001,IF(HT4&gt;VLOOKUP("PCS-OzTL99",[1]ARBOR!$A:$C,3,0),"Maior que CAP!",IF((DOLLAR(HT4+(VLOOKUP("PCS-OzTL99",[1]ARBOR!$A:$C,3,0)*-TRUNC(HT4/VLOOKUP("PCS-OzTL99",[1]ARBOR!$A:$C,3,0)-1,4)),6))&lt;&gt;(DOLLAR(VLOOKUP("PCS-OzTL99",[1]ARBOR!$A:$C,3,0),6)),-TRUNC(HT4/VLOOKUP("PCS-OzTL99",[1]ARBOR!$A:$C,3,0)-1,4)+0.0001,-TRUNC(HT4/VLOOKUP("PCS-OzTL99",[1]ARBOR!$A:$C,3,0)-1,4)))))</f>
        <v>0.16729999999999998</v>
      </c>
      <c r="HV4" s="205" t="s">
        <v>172</v>
      </c>
      <c r="HW4" s="196" t="s">
        <v>149</v>
      </c>
      <c r="HX4" s="204" t="str">
        <f t="shared" ref="HX4:HX19" si="4">IF(HW4="Sim","PCS-34704","")</f>
        <v>PCS-34704</v>
      </c>
      <c r="HY4" s="206" t="str">
        <f>IFERROR((IF(AZ4="","",VLOOKUP(AZ4,[1]ARBOR!A:C,3,0))),"")</f>
        <v/>
      </c>
      <c r="HZ4" s="207"/>
      <c r="IA4" s="184" t="str">
        <f>IF(HZ4="","",ROUND(1-(HZ4/VLOOKUP(AZ4&amp;"ASS",[1]ARBOR!A:C,3,0)),4))</f>
        <v/>
      </c>
      <c r="IB4" s="184"/>
      <c r="IC4" s="208"/>
      <c r="ID4" s="209"/>
      <c r="IE4" s="127" t="str">
        <f>IF(ID4="","",ROUND(IF(ID4=0,"",IF(ID4=HY4,0.0001,1-((ID4+(VLOOKUP(AZ4&amp;"ASS",[1]ARBOR!A:C,3,0)-HZ4))/HY4))),4))</f>
        <v/>
      </c>
      <c r="IF4" s="127" t="str">
        <f>IF(ISERROR(IF(IE4="","",VLOOKUP(($AY4&amp;IE4&amp;"Template de desconto percentual FLAT Móvel - Conta Total - Varejo - Ganho Tributário Cross"),[1]BENEFICIOS!$A:$E,5,0))),"Criar",IF(IE4="","",VLOOKUP(($AY4&amp;IE4&amp;"Template de desconto percentual FLAT Móvel - Conta Total - Varejo - Ganho Tributário Cross"),[1]BENEFICIOS!$A:$E,5,0)))</f>
        <v/>
      </c>
      <c r="IG4" s="193"/>
      <c r="IH4" s="127"/>
      <c r="II4" s="210"/>
      <c r="IJ4" s="211"/>
      <c r="IK4" s="127"/>
      <c r="IL4" s="127"/>
      <c r="IM4" s="212"/>
      <c r="IN4" s="212"/>
      <c r="IO4" s="213"/>
      <c r="IP4" s="214" t="str">
        <f>IF(IO4=0,"",IF(IO4=VLOOKUP("PCS-813566",[1]ARBOR!$A:$C,3,0),0.0001,IF(IO4&gt;VLOOKUP("PCS-813566",[1]ARBOR!$A:$C,3,0),"Maior que CAP!",ROUND(-1*(IO4/VLOOKUP("PCS-813566",[1]ARBOR!$A:$C,3,0)-1),4))))</f>
        <v/>
      </c>
      <c r="IQ4" s="215" t="str">
        <f>IF(ISERROR(IF(IP4="","",VLOOKUP(("Oi Internet Pra Celular 300MB"&amp;IP4&amp;"Template Flat Instância Dados"),[1]BENEFICIOS!$A:$E,5,0))),"Criar",IF(IP4="","",VLOOKUP(("Oi Internet Pra Celular 300MB"&amp;IP4&amp;"Template Flat Instância Dados"),[1]BENEFICIOS!$A:$E,5,0)))</f>
        <v/>
      </c>
      <c r="IR4" s="216"/>
      <c r="IS4" s="217" t="str">
        <f>IF(IR4=0,"",IF(IR4=VLOOKUP("sva_bancas",[1]ARBOR!$A:$C,3,0),0.0001,IF(IR4&gt;VLOOKUP("sva_livros",[1]ARBOR!$A:$C,3,0),"Maior que CAP!",ROUND(-1*(IR4/VLOOKUP("sva_bancas",[1]ARBOR!$A:$C,3,0)-1),4))))</f>
        <v/>
      </c>
      <c r="IT4" s="218" t="str">
        <f>IF(ISERROR(IF(IS4="","",VLOOKUP(("Oi Internet Pra Celular 300MB"&amp;IS4&amp;"Template Desconto % SVA DADOS B2C"),[1]BENEFICIOS!$A:$E,5,0))),"Criar",IF(IS4="","",VLOOKUP(("Oi Internet Pra Celular 300MB"&amp;IS4&amp;"Template Desconto % SVA DADOS B2C"),[1]BENEFICIOS!$A:$E,5,0)))</f>
        <v/>
      </c>
      <c r="IU4" s="213"/>
      <c r="IV4" s="214" t="str">
        <f>IF(IU4=0,"",IF(IU4=VLOOKUP("PCS-813564",[1]ARBOR!$A:$C,3,0),0.0001,IF(IU4&gt;VLOOKUP("PCS-813564",[1]ARBOR!$A:$C,3,0),"Maior que CAP!",ROUND(-1*(IU4/VLOOKUP("PCS-813564",[1]ARBOR!$A:$C,3,0)-1),4))))</f>
        <v/>
      </c>
      <c r="IW4" s="215" t="str">
        <f>IF(ISERROR(IF(IV4="","",VLOOKUP(("Oi Internet Pra Celular 500MB"&amp;IV4&amp;"Template Flat Instância Dados"),[1]BENEFICIOS!$A:$E,5,0))),"Criar",IF(IV4="","",VLOOKUP(("Oi Internet Pra Celular 500MB"&amp;IV4&amp;"Template Flat Instância Dados"),[1]BENEFICIOS!$A:$E,5,0)))</f>
        <v/>
      </c>
      <c r="IX4" s="216"/>
      <c r="IY4" s="217" t="str">
        <f>IF(IX4=0,"",IF(IX4=VLOOKUP("sva_livros",[1]ARBOR!$A:$C,3,0),0.0001,IF(IX4&gt;VLOOKUP("sva_livros",[1]ARBOR!$A:$C,3,0),"Maior que CAP!",ROUND(-1*(IX4/VLOOKUP("sva_livros",[1]ARBOR!$A:$C,3,0)-1),4))))</f>
        <v/>
      </c>
      <c r="IZ4" s="218" t="str">
        <f>IF(ISERROR(IF(IY4="","",VLOOKUP(("Oi Internet Pra Celular 500MB"&amp;IY4&amp;"Template Desconto % SVA DADOS B2C"),[1]BENEFICIOS!$A:$E,5,0))),"Criar",IF(IY4="","",VLOOKUP(("Oi Internet Pra Celular 500MB"&amp;IY4&amp;"Template Desconto % SVA DADOS B2C"),[1]BENEFICIOS!$A:$E,5,0)))</f>
        <v/>
      </c>
      <c r="JA4" s="213"/>
      <c r="JB4" s="214" t="str">
        <f>IF(JA4=0,"",IF(JA4=VLOOKUP("PCS-10357",[1]ARBOR!$A:$C,3,0),0.0001,IF(JA4&gt;VLOOKUP("PCS-10357",[1]ARBOR!$A:$C,3,0),"Maior que CAP!",ROUND(-1*(JA4/VLOOKUP("PCS-10357",[1]ARBOR!$A:$C,3,0)-1),4))))</f>
        <v/>
      </c>
      <c r="JC4" s="215" t="str">
        <f>IF(ISERROR(IF(JB4="","",VLOOKUP(("Oi Internet Pra Celular 1GB"&amp;JB4&amp;"Template Flat Instância Dados"),[1]BENEFICIOS!$A:$E,5,0))),"Criar",IF(JB4="","",VLOOKUP(("Oi Internet Pra Celular 1GB"&amp;JB4&amp;"Template Flat Instância Dados"),[1]BENEFICIOS!$A:$E,5,0)))</f>
        <v/>
      </c>
      <c r="JD4" s="216"/>
      <c r="JE4" s="217" t="str">
        <f>IF(JD4=0,"",IF(JD4=VLOOKUP("sva_livros",[1]ARBOR!$A:$C,3,0),0.0001,IF(JD4&gt;VLOOKUP("sva_livros",[1]ARBOR!$A:$C,3,0),"Maior que CAP!",ROUND(-1*(JD4/VLOOKUP("sva_livros",[1]ARBOR!$A:$C,3,0)-1),4))))</f>
        <v/>
      </c>
      <c r="JF4" s="218" t="str">
        <f>IF(ISERROR(IF(JE4="","",VLOOKUP(("Oi Internet Pra Celular 1GB"&amp;JE4&amp;"Template Desconto % SVA DADOS B2C"),[1]BENEFICIOS!$A:$E,5,0))),"Criar",IF(JE4="","",VLOOKUP(("Oi Internet Pra Celular 1GB"&amp;JE4&amp;"Template Desconto % SVA DADOS B2C"),[1]BENEFICIOS!$A:$E,5,0)))</f>
        <v/>
      </c>
      <c r="JG4" s="213"/>
      <c r="JH4" s="214" t="str">
        <f>IF(JG4=0,"",IF(JG4=VLOOKUP("PCS-813565",[1]ARBOR!$A:$C,3,0),0.0001,IF(JG4&gt;VLOOKUP("PCS-813565",[1]ARBOR!$A:$C,3,0),"Maior que CAP!",ROUND(-1*(JG4/VLOOKUP("PCS-813565",[1]ARBOR!$A:$C,3,0)-1),4))))</f>
        <v/>
      </c>
      <c r="JI4" s="215" t="str">
        <f>IF(ISERROR(IF(JH4="","",VLOOKUP(("Oi Internet Pra Celular 2GB"&amp;JH4&amp;"Template Flat Instância Dados"),[1]BENEFICIOS!$A:$E,5,0))),"Criar",IF(JH4="","",VLOOKUP(("Oi Internet Pra Celular 2GB"&amp;JH4&amp;"Template Flat Instância Dados"),[1]BENEFICIOS!$A:$E,5,0)))</f>
        <v/>
      </c>
      <c r="JJ4" s="216"/>
      <c r="JK4" s="217" t="str">
        <f>IF(JJ4=0,"",IF(JJ4=VLOOKUP("sva_livros",[1]ARBOR!$A:$C,3,0),0.0001,IF(JJ4&gt;VLOOKUP("sva_livros",[1]ARBOR!$A:$C,3,0),"Maior que CAP!",ROUND(-1*(JJ4/VLOOKUP("sva_livros",[1]ARBOR!$A:$C,3,0)-1),4))))</f>
        <v/>
      </c>
      <c r="JL4" s="218" t="str">
        <f>IF(ISERROR(IF(JK4="","",VLOOKUP(("Oi Internet Pra Celular 2GB"&amp;JK4&amp;"Template Desconto % SVA DADOS B2C"),[1]BENEFICIOS!$A:$E,5,0))),"Criar",IF(JK4="","",VLOOKUP(("Oi Internet Pra Celular 2GB"&amp;JK4&amp;"Template Desconto % SVA DADOS B2C"),[1]BENEFICIOS!$A:$E,5,0)))</f>
        <v/>
      </c>
      <c r="JM4" s="213"/>
      <c r="JN4" s="214" t="str">
        <f>IF(JM4=0,"",IF(JM4=VLOOKUP("PCS-7171B",[1]ARBOR!$A:$C,3,0),0.0001,IF(JM4&gt;VLOOKUP("PCS-7171B",[1]ARBOR!$A:$C,3,0),"Maior que CAP!",ROUND(-1*(JM4/VLOOKUP("PCS-7171B",[1]ARBOR!$A:$C,3,0)-1),4))))</f>
        <v/>
      </c>
      <c r="JO4" s="215" t="str">
        <f>IF(ISERROR(IF(JN4="","",VLOOKUP(("Oi Internet Pra Celular 3GB"&amp;JN4&amp;"Template Flat Instância Dados"),[1]BENEFICIOS!$A:$E,5,0))),"Criar",IF(JN4="","",VLOOKUP(("Oi Internet Pra Celular 3GB"&amp;JN4&amp;"Template Flat Instância Dados"),[1]BENEFICIOS!$A:$E,5,0)))</f>
        <v/>
      </c>
      <c r="JP4" s="216"/>
      <c r="JQ4" s="217" t="str">
        <f>IF(JP4=0,"",IF(JP4=VLOOKUP("sva_livros",[1]ARBOR!$A:$C,3,0),0.0001,IF(JP4&gt;VLOOKUP("sva_livros",[1]ARBOR!$A:$C,3,0),"Maior que CAP!",ROUND(-1*(JP4/VLOOKUP("sva_livros",[1]ARBOR!$A:$C,3,0)-1),4))))</f>
        <v/>
      </c>
      <c r="JR4" s="218" t="str">
        <f>IF(ISERROR(IF(JQ4="","",VLOOKUP(("Oi Internet Pra Celular 3GB"&amp;JQ4&amp;"Template Desconto % SVA DADOS B2C"),[1]BENEFICIOS!$A:$E,5,0))),"Criar",IF(JQ4="","",VLOOKUP(("Oi Internet Pra Celular 3GB"&amp;JQ4&amp;"Template Desconto % SVA DADOS B2C"),[1]BENEFICIOS!$A:$E,5,0)))</f>
        <v/>
      </c>
      <c r="JS4" s="213"/>
      <c r="JT4" s="214" t="str">
        <f>IF(JS4=0,"",IF(JS4=VLOOKUP("PCS-51793o08",[1]ARBOR!$A:$C,3,0),0.0001,IF(JS4&gt;VLOOKUP("PCS-51793o08",[1]ARBOR!$A:$C,3,0),"Maior que CAP!",ROUND(-1*(JS4/VLOOKUP("PCS-51793o08",[1]ARBOR!$A:$C,3,0)-1),4))))</f>
        <v/>
      </c>
      <c r="JU4" s="215" t="str">
        <f>IF(ISERROR(IF(JT4="","",VLOOKUP(("Oi Internet Pra Celular 5GB"&amp;JT4&amp;"Template Flat Instância Dados"),[1]BENEFICIOS!$A:$E,5,0))),"Criar",IF(JT4="","",VLOOKUP(("Oi Internet Pra Celular 5GB"&amp;JT4&amp;"Template Flat Instância Dados"),[1]BENEFICIOS!$A:$E,5,0)))</f>
        <v/>
      </c>
      <c r="JV4" s="216"/>
      <c r="JW4" s="217" t="str">
        <f>IF(JV4=0,"",IF(JV4=VLOOKUP("sva_curtas",[1]ARBOR!$A:$C,3,0),0.0001,IF(JV4&gt;VLOOKUP("sva_curtas",[1]ARBOR!$A:$C,3,0),"Maior que CAP!",ROUND(-1*(JV4/VLOOKUP("sva_curtas",[1]ARBOR!$A:$C,3,0)-1),4))))</f>
        <v/>
      </c>
      <c r="JX4" s="218" t="str">
        <f>IF(ISERROR(IF(JW4="","",VLOOKUP(("Oi Internet Pra Celular 5GB"&amp;JW4&amp;"Template Desconto % SVA DADOS B2C"),[1]BENEFICIOS!$A:$E,5,0))),"Criar",IF(JW4="","",VLOOKUP(("Oi Internet Pra Celular 5GB"&amp;JW4&amp;"Template Desconto % SVA DADOS B2C"),[1]BENEFICIOS!$A:$E,5,0)))</f>
        <v/>
      </c>
      <c r="JY4" s="213"/>
      <c r="JZ4" s="214" t="str">
        <f>IF(JY4=0,"",IF(JY4=VLOOKUP("PCS-7171A",[1]ARBOR!$A:$C,3,0),0.0001,IF(JY4&gt;VLOOKUP("PCS-7171A",[1]ARBOR!$A:$C,3,0),"Maior que CAP!",ROUND(-1*(JY4/VLOOKUP("PCS-7171A",[1]ARBOR!$A:$C,3,0)-1),4))))</f>
        <v/>
      </c>
      <c r="KA4" s="219" t="str">
        <f>IF(ISERROR(IF(JZ4="","",VLOOKUP(("Oi Internet Pra Celular 10GB"&amp;JZ4&amp;"Template Flat Instância Dados"),[1]BENEFICIOS!$A:$E,5,0))),"Criar",IF(JZ4="","",VLOOKUP(("Oi Internet Pra Celular 10GB"&amp;JZ4&amp;"Template Flat Instância Dados"),[1]BENEFICIOS!$A:$E,5,0)))</f>
        <v/>
      </c>
      <c r="KB4" s="216"/>
      <c r="KC4" s="217" t="str">
        <f>IF(KB4=0,"",IF(KB4=VLOOKUP("sva_curtas",[1]ARBOR!$A:$C,3,0),0.0001,IF(KB4&gt;VLOOKUP("sva_curtas",[1]ARBOR!$A:$C,3,0),"Maior que CAP!",ROUND(-1*(KB4/VLOOKUP("sva_curtas",[1]ARBOR!$A:$C,3,0)-1),4))))</f>
        <v/>
      </c>
      <c r="KD4" s="218" t="str">
        <f>IF(ISERROR(IF(KC4="","",VLOOKUP(("Oi Internet Pra Celular 10GB"&amp;KC4&amp;"Template Desconto % SVA DADOS B2C"),[1]BENEFICIOS!$A:$E,5,0))),"Criar",IF(KC4="","",VLOOKUP(("Oi Internet Pra Celular 10GB"&amp;KC4&amp;"Template Desconto % SVA DADOS B2C"),[1]BENEFICIOS!$A:$E,5,0)))</f>
        <v/>
      </c>
      <c r="KE4" s="220"/>
      <c r="KF4" s="221"/>
      <c r="KG4" s="222" t="s">
        <v>149</v>
      </c>
      <c r="KH4" s="223" t="s">
        <v>173</v>
      </c>
      <c r="KI4" s="224">
        <v>699</v>
      </c>
      <c r="KJ4" s="223">
        <v>12</v>
      </c>
      <c r="KK4" s="225" t="str">
        <f t="shared" ref="KK4:KK19" si="5">IF(KH4="Benefício","Oi benefício fidelização Multiprodutos","")</f>
        <v>Oi benefício fidelização Multiprodutos</v>
      </c>
      <c r="KL4" s="226" t="str">
        <f t="shared" ref="KL4:KL19" si="6">IF(KH4="Benefício","PCS-Fk83324","")</f>
        <v>PCS-Fk83324</v>
      </c>
      <c r="KM4" s="226" t="str">
        <f t="shared" ref="KM4:KM19" si="7">IF(KG4="Sim","PCS-SBL553142","")</f>
        <v>PCS-SBL553142</v>
      </c>
      <c r="KN4" s="227" t="s">
        <v>174</v>
      </c>
      <c r="KO4" s="228" t="s">
        <v>175</v>
      </c>
      <c r="KP4" s="228" t="s">
        <v>176</v>
      </c>
      <c r="KQ4" s="227" t="s">
        <v>177</v>
      </c>
      <c r="KR4" s="225" t="s">
        <v>178</v>
      </c>
      <c r="KS4" s="226" t="s">
        <v>179</v>
      </c>
      <c r="KT4" s="229" t="s">
        <v>180</v>
      </c>
      <c r="KU4" s="155" t="s">
        <v>181</v>
      </c>
      <c r="KV4" s="155">
        <v>150.01</v>
      </c>
      <c r="KW4" s="155" t="s">
        <v>181</v>
      </c>
      <c r="KX4" s="155" t="s">
        <v>181</v>
      </c>
      <c r="KY4" s="155" t="s">
        <v>181</v>
      </c>
      <c r="KZ4" s="155" t="s">
        <v>181</v>
      </c>
      <c r="LA4" s="155" t="s">
        <v>181</v>
      </c>
      <c r="LB4" s="155" t="s">
        <v>181</v>
      </c>
      <c r="LC4" s="155" t="s">
        <v>181</v>
      </c>
      <c r="LD4" s="155" t="s">
        <v>181</v>
      </c>
      <c r="LE4" s="155" t="s">
        <v>181</v>
      </c>
      <c r="LF4" s="155" t="s">
        <v>181</v>
      </c>
      <c r="LG4" s="155" t="s">
        <v>181</v>
      </c>
      <c r="LH4" s="155" t="s">
        <v>181</v>
      </c>
      <c r="LI4" s="155" t="s">
        <v>181</v>
      </c>
      <c r="LJ4" s="155" t="s">
        <v>181</v>
      </c>
      <c r="LK4" s="230" t="s">
        <v>181</v>
      </c>
      <c r="LL4" s="231"/>
      <c r="LM4" s="232"/>
      <c r="LN4" s="232"/>
      <c r="LO4" s="232"/>
      <c r="LP4" s="232"/>
      <c r="LQ4" s="232"/>
      <c r="LR4" s="232"/>
      <c r="LS4" s="232"/>
      <c r="LT4" s="232"/>
      <c r="LU4" s="233"/>
      <c r="LV4" t="s">
        <v>186</v>
      </c>
      <c r="LW4" t="s">
        <v>183</v>
      </c>
    </row>
    <row r="5" spans="1:335" x14ac:dyDescent="0.25">
      <c r="A5" s="160" t="s">
        <v>146</v>
      </c>
      <c r="B5" s="161" t="s">
        <v>147</v>
      </c>
      <c r="C5" s="161" t="s">
        <v>148</v>
      </c>
      <c r="D5" s="162" t="s">
        <v>149</v>
      </c>
      <c r="E5" s="163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5"/>
      <c r="Q5" s="165"/>
      <c r="R5" s="165"/>
      <c r="S5" s="166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234"/>
      <c r="AF5" s="164"/>
      <c r="AG5" s="164"/>
      <c r="AH5" s="168"/>
      <c r="AI5" s="84" t="s">
        <v>187</v>
      </c>
      <c r="AJ5" s="85" t="s">
        <v>151</v>
      </c>
      <c r="AK5" s="86" t="s">
        <v>152</v>
      </c>
      <c r="AL5" s="169">
        <v>43039</v>
      </c>
      <c r="AM5" s="170">
        <v>43159</v>
      </c>
      <c r="AN5" s="89" t="s">
        <v>153</v>
      </c>
      <c r="AO5" s="90" t="s">
        <v>153</v>
      </c>
      <c r="AP5" s="171"/>
      <c r="AQ5" s="171" t="s">
        <v>154</v>
      </c>
      <c r="AR5" s="171">
        <v>20</v>
      </c>
      <c r="AS5" s="171">
        <v>10000</v>
      </c>
      <c r="AT5" s="172" t="s">
        <v>155</v>
      </c>
      <c r="AU5" s="173" t="s">
        <v>149</v>
      </c>
      <c r="AV5" s="174" t="s">
        <v>156</v>
      </c>
      <c r="AW5" s="175" t="s">
        <v>156</v>
      </c>
      <c r="AX5" s="176" t="s">
        <v>187</v>
      </c>
      <c r="AY5" s="177" t="s">
        <v>188</v>
      </c>
      <c r="AZ5" s="178" t="str">
        <f>IF(ISERROR(VLOOKUP(AY5,[1]PLANOS!B:C,2,0)),"",VLOOKUP(AY5,[1]PLANOS!B:C,2,0))</f>
        <v>PCS-3PHipi</v>
      </c>
      <c r="BA5" s="179" t="s">
        <v>156</v>
      </c>
      <c r="BB5" s="180" t="str">
        <f t="shared" si="1"/>
        <v/>
      </c>
      <c r="BC5" s="181"/>
      <c r="BD5" s="182"/>
      <c r="BE5" s="183">
        <v>50.11</v>
      </c>
      <c r="BF5" s="127">
        <f>IF(BE5=0,"",IF(BE5=VLOOKUP("FIXO",[1]ARBOR!$A:$C,3,0),0.0001,IF(BE5&gt;VLOOKUP("FIXO",[1]ARBOR!$A:$C,3,0),"Maior que CAP!",IF((DOLLAR(BE5+(VLOOKUP("FIXO",[1]ARBOR!$A:$C,3,0)*-TRUNC(BE5/VLOOKUP("FIXO",[1]ARBOR!$A:$C,3,0)-1,4)),6))&lt;&gt;(DOLLAR(VLOOKUP("FIXO",[1]ARBOR!$A:$C,3,0),6)),-TRUNC(BE5/VLOOKUP("FIXO",[1]ARBOR!$A:$C,3,0)-1,4)+0.0001,-TRUNC(BE5/VLOOKUP("FIXO",[1]ARBOR!$A:$C,3,0)-1,4)))))</f>
        <v>0.33929999999999999</v>
      </c>
      <c r="BG5" s="184"/>
      <c r="BH5" s="127" t="str">
        <f>IF(BG5=0,"",IF(BG5=VLOOKUP("FIXO",[1]ARBOR!$A:$C,3,0),0.0001,IF(BG5&gt;VLOOKUP("FIXO",[1]ARBOR!$A:$C,3,0),"Maior que CAP!",IF((DOLLAR(BG5+(VLOOKUP("FIXO",[1]ARBOR!$A:$C,3,0)*-TRUNC(BG5/VLOOKUP("FIXO",[1]ARBOR!$A:$C,3,0)-1,4)),6))&lt;&gt;(DOLLAR(VLOOKUP("FIXO",[1]ARBOR!$A:$C,3,0),6)),-TRUNC(BG5/VLOOKUP("FIXO",[1]ARBOR!$A:$C,3,0)-1,4)+0.0001,-TRUNC(BG5/VLOOKUP("FIXO",[1]ARBOR!$A:$C,3,0)-1,4)))))</f>
        <v/>
      </c>
      <c r="BI5" s="127" t="str">
        <f>IF(ISERROR(IF(BF5="","",VLOOKUP(($AY5&amp;BF5&amp;"Template de desconto FLAT bundle - Fixo - Varejo - Ganho Tributário Cross"),[1]BENEFICIOS!$A:$E,5,0))),"Criar",IF(BF5="","",VLOOKUP(($AY5&amp;BF5&amp;"Template de desconto FLAT bundle - Fixo - Varejo - Ganho Tributário Cross"),[1]BENEFICIOS!$A:$E,5,0)))</f>
        <v>MKT-1-9825728196</v>
      </c>
      <c r="BJ5" s="185"/>
      <c r="BK5" s="127" t="str">
        <f t="shared" si="2"/>
        <v/>
      </c>
      <c r="BL5" s="186"/>
      <c r="BM5" s="127" t="str">
        <f>IF(BL5=0,"",IF(BL5=VLOOKUP("FIXO",[1]ARBOR!$A:$C,3,0),0.0001,IF(BL5&gt;VLOOKUP("FIXO",[1]ARBOR!$A:$C,3,0),"Maior que CAP!",IF(BF5&lt;&gt;"",-ROUND(BL5/VLOOKUP("FIXO",[1]ARBOR!$A:$C,3,0)-1,4)-BF5,-ROUND(BL5/VLOOKUP("FIXO",[1]ARBOR!$A:$C,3,0)-1,4)))))</f>
        <v/>
      </c>
      <c r="BN5" s="187"/>
      <c r="BO5" s="127" t="str">
        <f>IF(ISERROR(IF(BK5="","",VLOOKUP(($AY5&amp;BK5&amp;"Template de desconto FLAT bundle - Fixo - Varejo - Ganho Tributário Cross"),[1]BENEFICIOS!$A:$E,5,0))),"Criar",IF(BK5="","",VLOOKUP(($AY5&amp;BK5&amp;"Template de desconto FLAT bundle - Fixo - Varejo - Ganho Tributário Cross"),[1]BENEFICIOS!$A:$E,5,0)))</f>
        <v/>
      </c>
      <c r="BP5" s="188" t="s">
        <v>158</v>
      </c>
      <c r="BQ5" s="189" t="s">
        <v>159</v>
      </c>
      <c r="BR5" s="190" t="s">
        <v>156</v>
      </c>
      <c r="BS5" s="191" t="str">
        <f t="shared" si="0"/>
        <v/>
      </c>
      <c r="BT5" s="181"/>
      <c r="BU5" s="192"/>
      <c r="BV5" s="193" t="s">
        <v>86</v>
      </c>
      <c r="BW5" s="194">
        <v>44.9</v>
      </c>
      <c r="BX5" s="127">
        <f>IF(BW5=0,"",IF(BW5=VLOOKUP("PCS-30874g",[1]ARBOR!$A:$C,3,0),0.0001,IF(BW5&gt;VLOOKUP("PCS-30874g",[1]ARBOR!$A:$C,3,0),"Maior que CAP!",IF((DOLLAR(BW5+(VLOOKUP("PCS-30874g",[1]ARBOR!$A:$C,3,0)*-TRUNC(BW5/VLOOKUP("PCS-30874g",[1]ARBOR!$A:$C,3,0)-1,4)),6))&lt;&gt;(DOLLAR(VLOOKUP("PCS-30874g",[1]ARBOR!$A:$C,3,0),6)),-TRUNC(BW5/VLOOKUP("PCS-30874g",[1]ARBOR!$A:$C,3,0)-1,4)+0.0001,-TRUNC(BW5/VLOOKUP("PCS-30874g",[1]ARBOR!$A:$C,3,0)-1,4)))))</f>
        <v>0.53679999999999994</v>
      </c>
      <c r="BY5" s="189" t="str">
        <f>IF(ISERROR(IF(BX5="","",VLOOKUP(($AY5&amp;BX5&amp;"Template de desconto FLAT bundle - Velox XDSL - Varejo"),[1]BENEFICIOS!$A:$E,5,0))),"Criar",IF(BX5="","",VLOOKUP(($AY5&amp;BX5&amp;"Template de desconto FLAT bundle - Velox XDSL - Varejo"),[1]BENEFICIOS!$A:$E,5,0)))</f>
        <v>MKT-1-9829477373</v>
      </c>
      <c r="BZ5" s="193" t="s">
        <v>86</v>
      </c>
      <c r="CA5" s="194">
        <v>44.9</v>
      </c>
      <c r="CB5" s="127">
        <f>IF(CA5=0,"",IF(CA5=VLOOKUP("PCS-30577g",[1]ARBOR!$A:$C,3,0),0.0001,IF(CA5&gt;VLOOKUP("PCS-30577g",[1]ARBOR!$A:$C,3,0),"Maior que CAP!",IF((DOLLAR(CA5+(VLOOKUP("PCS-30577g",[1]ARBOR!$A:$C,3,0)*-TRUNC(CA5/VLOOKUP("PCS-30577g",[1]ARBOR!$A:$C,3,0)-1,4)),6))&lt;&gt;(DOLLAR(VLOOKUP("PCS-30577g",[1]ARBOR!$A:$C,3,0),6)),-TRUNC(CA5/VLOOKUP("PCS-30577g",[1]ARBOR!$A:$C,3,0)-1,4)+0.0001,-TRUNC(CA5/VLOOKUP("PCS-30577g",[1]ARBOR!$A:$C,3,0)-1,4)))))</f>
        <v>0.53679999999999994</v>
      </c>
      <c r="CC5" s="189" t="str">
        <f>IF(ISERROR(IF(CB5="","",VLOOKUP(($AY5&amp;CB5&amp;"Template de desconto FLAT bundle - Velox XDSL - Varejo"),[1]BENEFICIOS!$A:$E,5,0))),"Criar",IF(CB5="","",VLOOKUP(($AY5&amp;CB5&amp;"Template de desconto FLAT bundle - Velox XDSL - Varejo"),[1]BENEFICIOS!$A:$E,5,0)))</f>
        <v>MKT-1-9829477373</v>
      </c>
      <c r="CD5" s="193" t="s">
        <v>86</v>
      </c>
      <c r="CE5" s="194">
        <v>44.9</v>
      </c>
      <c r="CF5" s="127">
        <f>IF(CE5=0,"",IF(CE5=VLOOKUP("PCS-30604g",[1]ARBOR!$A:$C,3,0),0.0001,IF(CE5&gt;VLOOKUP("PCS-30604g",[1]ARBOR!$A:$C,3,0),"Maior que CAP!",IF((DOLLAR(CE5+(VLOOKUP("PCS-30604g",[1]ARBOR!$A:$C,3,0)*-TRUNC(CE5/VLOOKUP("PCS-30604g",[1]ARBOR!$A:$C,3,0)-1,4)),6))&lt;&gt;(DOLLAR(VLOOKUP("PCS-30604g",[1]ARBOR!$A:$C,3,0),6)),-TRUNC(CE5/VLOOKUP("PCS-30604g",[1]ARBOR!$A:$C,3,0)-1,4)+0.0001,-TRUNC(CE5/VLOOKUP("PCS-30604g",[1]ARBOR!$A:$C,3,0)-1,4)))))</f>
        <v>0.53679999999999994</v>
      </c>
      <c r="CG5" s="189" t="str">
        <f>IF(ISERROR(IF(CF5="","",VLOOKUP(($AY5&amp;CF5&amp;"Template de desconto FLAT bundle - Velox XDSL - Varejo"),[1]BENEFICIOS!$A:$E,5,0))),"Criar",IF(CF5="","",VLOOKUP(($AY5&amp;CF5&amp;"Template de desconto FLAT bundle - Velox XDSL - Varejo"),[1]BENEFICIOS!$A:$E,5,0)))</f>
        <v>MKT-1-9829477373</v>
      </c>
      <c r="CH5" s="193" t="s">
        <v>86</v>
      </c>
      <c r="CI5" s="194">
        <v>44.9</v>
      </c>
      <c r="CJ5" s="127">
        <f>IF(CI5=0,"",IF(CI5=VLOOKUP("PCS-30631g",[1]ARBOR!$A:$C,3,0),0.0001,IF(CI5&gt;VLOOKUP("PCS-30631g",[1]ARBOR!$A:$C,3,0),"Maior que CAP!",IF((DOLLAR(CI5+(VLOOKUP("PCS-30631g",[1]ARBOR!$A:$C,3,0)*-TRUNC(CI5/VLOOKUP("PCS-30631g",[1]ARBOR!$A:$C,3,0)-1,4)),6))&lt;&gt;(DOLLAR(VLOOKUP("PCS-30631g",[1]ARBOR!$A:$C,3,0),6)),-TRUNC(CI5/VLOOKUP("PCS-30631g",[1]ARBOR!$A:$C,3,0)-1,4)+0.0001,-TRUNC(CI5/VLOOKUP("PCS-30631g",[1]ARBOR!$A:$C,3,0)-1,4)))))</f>
        <v>0.54310000000000003</v>
      </c>
      <c r="CK5" s="189" t="str">
        <f>IF(ISERROR(IF(CJ5="","",VLOOKUP(($AY5&amp;CJ5&amp;"Template de desconto FLAT bundle - Velox XDSL - Varejo"),[1]BENEFICIOS!$A:$E,5,0))),"Criar",IF(CJ5="","",VLOOKUP(($AY5&amp;CJ5&amp;"Template de desconto FLAT bundle - Velox XDSL - Varejo"),[1]BENEFICIOS!$A:$E,5,0)))</f>
        <v>MKT-1-9828219079</v>
      </c>
      <c r="CL5" s="193"/>
      <c r="CM5" s="194"/>
      <c r="CN5" s="127" t="str">
        <f>IF(CM5=0,"",IF(CM5=VLOOKUP("PCS-30658g",[1]ARBOR!$A:$C,3,0),0.0001,IF(CM5&gt;VLOOKUP("PCS-30658g",[1]ARBOR!$A:$C,3,0),"Maior que CAP!",IF((DOLLAR(CM5+(VLOOKUP("PCS-30658g",[1]ARBOR!$A:$C,3,0)*-TRUNC(CM5/VLOOKUP("PCS-30658g",[1]ARBOR!$A:$C,3,0)-1,4)),6))&lt;&gt;(DOLLAR(VLOOKUP("PCS-30658g",[1]ARBOR!$A:$C,3,0),6)),-TRUNC(CM5/VLOOKUP("PCS-30658g",[1]ARBOR!$A:$C,3,0)-1,4)+0.0001,-TRUNC(CM5/VLOOKUP("PCS-30658g",[1]ARBOR!$A:$C,3,0)-1,4)))))</f>
        <v/>
      </c>
      <c r="CO5" s="189" t="str">
        <f>IF(ISERROR(IF(CN5="","",VLOOKUP(($AY5&amp;CN5&amp;"Template de desconto FLAT bundle - Velox XDSL - Varejo"),[1]BENEFICIOS!$A:$E,5,0))),"Criar",IF(CN5="","",VLOOKUP(($AY5&amp;CN5&amp;"Template de desconto FLAT bundle - Velox XDSL - Varejo"),[1]BENEFICIOS!$A:$E,5,0)))</f>
        <v/>
      </c>
      <c r="CP5" s="193"/>
      <c r="CQ5" s="194"/>
      <c r="CR5" s="127" t="str">
        <f>IF(CQ5=0,"",IF(CQ5=VLOOKUP("PCS-30685g",[1]ARBOR!$A:$C,3,0),0.0001,IF(CQ5&gt;VLOOKUP("PCS-30685g",[1]ARBOR!$A:$C,3,0),"Maior que CAP!",IF((DOLLAR(CQ5+(VLOOKUP("PCS-30685g",[1]ARBOR!$A:$C,3,0)*-TRUNC(CQ5/VLOOKUP("PCS-30685g",[1]ARBOR!$A:$C,3,0)-1,4)),6))&lt;&gt;(DOLLAR(VLOOKUP("PCS-30685g",[1]ARBOR!$A:$C,3,0),6)),-TRUNC(CQ5/VLOOKUP("PCS-30685g",[1]ARBOR!$A:$C,3,0)-1,4)+0.0001,-TRUNC(CQ5/VLOOKUP("PCS-30685g",[1]ARBOR!$A:$C,3,0)-1,4)))))</f>
        <v/>
      </c>
      <c r="CS5" s="189" t="str">
        <f>IF(ISERROR(IF(CR5="","",VLOOKUP(($AY5&amp;CR5&amp;"Template de desconto FLAT bundle - Velox XDSL - Varejo"),[1]BENEFICIOS!$A:$E,5,0))),"Criar",IF(CR5="","",VLOOKUP(($AY5&amp;CR5&amp;"Template de desconto FLAT bundle - Velox XDSL - Varejo"),[1]BENEFICIOS!$A:$E,5,0)))</f>
        <v/>
      </c>
      <c r="CT5" s="193"/>
      <c r="CU5" s="194"/>
      <c r="CV5" s="127" t="str">
        <f>IF(CU5=0,"",IF(CU5=VLOOKUP("PCS-30712g",[1]ARBOR!$A:$C,3,0),0.0001,IF(CU5&gt;VLOOKUP("PCS-30712g",[1]ARBOR!$A:$C,3,0),"Maior que CAP!",IF((DOLLAR(CU5+(VLOOKUP("PCS-30712g",[1]ARBOR!$A:$C,3,0)*-TRUNC(CU5/VLOOKUP("PCS-30712g",[1]ARBOR!$A:$C,3,0)-1,4)),6))&lt;&gt;(DOLLAR(VLOOKUP("PCS-30712g",[1]ARBOR!$A:$C,3,0),6)),-TRUNC(CU5/VLOOKUP("PCS-30712g",[1]ARBOR!$A:$C,3,0)-1,4)+0.0001,-TRUNC(CU5/VLOOKUP("PCS-30712g",[1]ARBOR!$A:$C,3,0)-1,4)))))</f>
        <v/>
      </c>
      <c r="CW5" s="189" t="str">
        <f>IF(ISERROR(IF(CV5="","",VLOOKUP(($AY5&amp;CV5&amp;"Template de desconto FLAT bundle - Velox XDSL - Varejo"),[1]BENEFICIOS!$A:$E,5,0))),"Criar",IF(CV5="","",VLOOKUP(($AY5&amp;CV5&amp;"Template de desconto FLAT bundle - Velox XDSL - Varejo"),[1]BENEFICIOS!$A:$E,5,0)))</f>
        <v/>
      </c>
      <c r="CX5" s="193"/>
      <c r="CY5" s="194"/>
      <c r="CZ5" s="127" t="str">
        <f>IF(CY5=0,"",IF(CY5=VLOOKUP("PCS-30739g",[1]ARBOR!$A:$C,3,0),0.0001,IF(CY5&gt;VLOOKUP("PCS-30739g",[1]ARBOR!$A:$C,3,0),"Maior que CAP!",IF((DOLLAR(CY5+(VLOOKUP("PCS-30739g",[1]ARBOR!$A:$C,3,0)*-TRUNC(CY5/VLOOKUP("PCS-30739g",[1]ARBOR!$A:$C,3,0)-1,4)),6))&lt;&gt;(DOLLAR(VLOOKUP("PCS-30739g",[1]ARBOR!$A:$C,3,0),6)),-TRUNC(CY5/VLOOKUP("PCS-30739g",[1]ARBOR!$A:$C,3,0)-1,4)+0.0001,-TRUNC(CY5/VLOOKUP("PCS-30739g",[1]ARBOR!$A:$C,3,0)-1,4)))))</f>
        <v/>
      </c>
      <c r="DA5" s="195" t="str">
        <f>IF(ISERROR(IF(CZ5="","",VLOOKUP(($AY5&amp;CZ5&amp;"Template de desconto FLAT bundle - Velox XDSL - Varejo"),[1]BENEFICIOS!$A:$E,5,0))),"Criar",IF(CZ5="","",VLOOKUP(($AY5&amp;CZ5&amp;"Template de desconto FLAT bundle - Velox XDSL - Varejo"),[1]BENEFICIOS!$A:$E,5,0)))</f>
        <v/>
      </c>
      <c r="DB5" s="196"/>
      <c r="DC5" s="197"/>
      <c r="DD5" s="127" t="str">
        <f>IF(DB5=0,"",IF(DB5=VLOOKUP("PCS-30739g",[1]ARBOR!$A:$C,3,0),0.0001,IF(DB5&gt;VLOOKUP("PCS-30739g",[1]ARBOR!$A:$C,3,0),"Maior que CAP!",IF((DOLLAR(DB5+(VLOOKUP("PCS-30739g",[1]ARBOR!$A:$C,3,0)*-TRUNC(DB5/VLOOKUP("PCS-30739g",[1]ARBOR!$A:$C,3,0)-1,4)),6))&lt;&gt;(DOLLAR(VLOOKUP("PCS-30739g",[1]ARBOR!$A:$C,3,0),6)),(-TRUNC(DB5/VLOOKUP("PCS-30739g",[1]ARBOR!$A:$C,3,0)-1,4)+0.0001)-CZ5,-TRUNC(DB5/VLOOKUP("PCS-30739g",[1]ARBOR!$A:$C,3,0)-1,4)-CZ5))))</f>
        <v/>
      </c>
      <c r="DE5" s="189" t="str">
        <f>IF(ISERROR(IF(DD5="","",VLOOKUP(($AY5&amp;DD5&amp;"Template de desconto percentual Bundle - Velox XDSL - Varejo"),[1]BENEFICIOS!$A:$E,5,0))),"Criar",IF(DD5="","",VLOOKUP(($AY5&amp;DD5&amp;"Template de desconto percentual Bundle - Velox XDSL - Varejo"),[1]BENEFICIOS!$A:$E,5,0)))</f>
        <v/>
      </c>
      <c r="DF5" s="193"/>
      <c r="DG5" s="194"/>
      <c r="DH5" s="127" t="str">
        <f>IF(DG5=0,"",IF(DG5=VLOOKUP("PCS-30766g",[1]ARBOR!$A:$C,3,0),0.0001,IF(DG5&gt;VLOOKUP("PCS-30766g",[1]ARBOR!$A:$C,3,0),"Maior que CAP!",IF((DOLLAR(DG5+(VLOOKUP("PCS-30766g",[1]ARBOR!$A:$C,3,0)*-TRUNC(DG5/VLOOKUP("PCS-30766g",[1]ARBOR!$A:$C,3,0)-1,4)),6))&lt;&gt;(DOLLAR(VLOOKUP("PCS-30766g",[1]ARBOR!$A:$C,3,0),6)),-TRUNC(DG5/VLOOKUP("PCS-30766g",[1]ARBOR!$A:$C,3,0)-1,4)+0.0001,-TRUNC(DG5/VLOOKUP("PCS-30766g",[1]ARBOR!$A:$C,3,0)-1,4)))))</f>
        <v/>
      </c>
      <c r="DI5" s="195" t="str">
        <f>IF(ISERROR(IF(DH5="","",VLOOKUP(($AY5&amp;DH5&amp;"Template de desconto FLAT bundle - Velox XDSL - Varejo"),[1]BENEFICIOS!$A:$E,5,0))),"Criar",IF(DH5="","",VLOOKUP(($AY5&amp;DH5&amp;"Template de desconto FLAT bundle - Velox XDSL - Varejo"),[1]BENEFICIOS!$A:$E,5,0)))</f>
        <v/>
      </c>
      <c r="DJ5" s="196"/>
      <c r="DK5" s="197"/>
      <c r="DL5" s="127" t="str">
        <f>IF(DJ5=0,"",IF(DJ5=VLOOKUP("PCS-30766g",[1]ARBOR!$A:$C,3,0),0.0001,IF(DJ5&gt;VLOOKUP("PCS-30766g",[1]ARBOR!$A:$C,3,0),"Maior que CAP!",IF((DOLLAR(DJ5+(VLOOKUP("PCS-30766g",[1]ARBOR!$A:$C,3,0)*-TRUNC(DJ5/VLOOKUP("PCS-30766g",[1]ARBOR!$A:$C,3,0)-1,4)),6))&lt;&gt;(DOLLAR(VLOOKUP("PCS-30766g",[1]ARBOR!$A:$C,3,0),6)),(-TRUNC(DJ5/VLOOKUP("PCS-30766g",[1]ARBOR!$A:$C,3,0)-1,4)+0.0001)-DH5,-TRUNC(DJ5/VLOOKUP("PCS-30766g",[1]ARBOR!$A:$C,3,0)-1,4)-DH5))))</f>
        <v/>
      </c>
      <c r="DM5" s="189" t="str">
        <f>IF(ISERROR(IF(DL5="","",VLOOKUP(($AY5&amp;DL5&amp;"Template de desconto percentual Bundle - Velox XDSL - Varejo"),[1]BENEFICIOS!$A:$E,5,0))),"Criar",IF(DL5="","",VLOOKUP(($AY5&amp;DL5&amp;"Template de desconto percentual Bundle - Velox XDSL - Varejo"),[1]BENEFICIOS!$A:$E,5,0)))</f>
        <v/>
      </c>
      <c r="DN5" s="193"/>
      <c r="DO5" s="194"/>
      <c r="DP5" s="127" t="str">
        <f>IF(DO5=0,"",IF(DO5=VLOOKUP("PCS-30793g",[1]ARBOR!$A:$C,3,0),0.0001,IF(DO5&gt;VLOOKUP("PCS-30793g",[1]ARBOR!$A:$C,3,0),"Maior que CAP!",IF((DOLLAR(DO5+(VLOOKUP("PCS-30793g",[1]ARBOR!$A:$C,3,0)*-TRUNC(DO5/VLOOKUP("PCS-30793g",[1]ARBOR!$A:$C,3,0)-1,4)),6))&lt;&gt;(DOLLAR(VLOOKUP("PCS-30793g",[1]ARBOR!$A:$C,3,0),6)),-TRUNC(DO5/VLOOKUP("PCS-30793g",[1]ARBOR!$A:$C,3,0)-1,4)+0.0001,-TRUNC(DO5/VLOOKUP("PCS-30793g",[1]ARBOR!$A:$C,3,0)-1,4)))))</f>
        <v/>
      </c>
      <c r="DQ5" s="195" t="str">
        <f>IF(ISERROR(IF(DP5="","",VLOOKUP(($AY5&amp;DP5&amp;"Template de desconto FLAT bundle - Velox XDSL - Varejo"),[1]BENEFICIOS!$A:$E,5,0))),"Criar",IF(DP5="","",VLOOKUP(($AY5&amp;DP5&amp;"Template de desconto FLAT bundle - Velox XDSL - Varejo"),[1]BENEFICIOS!$A:$E,5,0)))</f>
        <v/>
      </c>
      <c r="DR5" s="196"/>
      <c r="DS5" s="197"/>
      <c r="DT5" s="127" t="str">
        <f>IF(DR5=0,"",IF(DR5=VLOOKUP("PCS-30793g",[1]ARBOR!$A:$C,3,0),0.0001,IF(DR5&gt;VLOOKUP("PCS-30793g",[1]ARBOR!$A:$C,3,0),"Maior que CAP!",IF((DOLLAR(DR5+(VLOOKUP("PCS-30793g",[1]ARBOR!$A:$C,3,0)*-TRUNC(DR5/VLOOKUP("PCS-30793g",[1]ARBOR!$A:$C,3,0)-1,4)),6))&lt;&gt;(DOLLAR(VLOOKUP("PCS-30793g",[1]ARBOR!$A:$C,3,0),6)),(-TRUNC(DR5/VLOOKUP("PCS-30793g",[1]ARBOR!$A:$C,3,0)-1,4)+0.0001)-DP5,-TRUNC(DR5/VLOOKUP("PCS-30793g",[1]ARBOR!$A:$C,3,0)-1,4)-DP5))))</f>
        <v/>
      </c>
      <c r="DU5" s="189" t="str">
        <f>IF(ISERROR(IF(DT5="","",VLOOKUP(($AY5&amp;DT5&amp;"Template de desconto percentual Bundle - Velox XDSL - Varejo"),[1]BENEFICIOS!$A:$E,5,0))),"Criar",IF(DT5="","",VLOOKUP(($AY5&amp;DT5&amp;"Template de desconto percentual Bundle - Velox XDSL - Varejo"),[1]BENEFICIOS!$A:$E,5,0)))</f>
        <v/>
      </c>
      <c r="DV5" s="193"/>
      <c r="DW5" s="194"/>
      <c r="DX5" s="127" t="str">
        <f>IF(DW5=0,"",IF(DW5=VLOOKUP("PCS-30820g",[1]ARBOR!$A:$C,3,0),0.0001,IF(DW5&gt;VLOOKUP("PCS-30820g",[1]ARBOR!$A:$C,3,0),"Maior que CAP!",IF((DOLLAR(DW5+(VLOOKUP("PCS-30820g",[1]ARBOR!$A:$C,3,0)*-TRUNC(DW5/VLOOKUP("PCS-30820g",[1]ARBOR!$A:$C,3,0)-1,4)),6))&lt;&gt;(DOLLAR(VLOOKUP("PCS-30820g",[1]ARBOR!$A:$C,3,0),6)),-TRUNC(DW5/VLOOKUP("PCS-30820g",[1]ARBOR!$A:$C,3,0)-1,4)+0.0001,-TRUNC(DW5/VLOOKUP("PCS-30820g",[1]ARBOR!$A:$C,3,0)-1,4)))))</f>
        <v/>
      </c>
      <c r="DY5" s="195" t="str">
        <f>IF(ISERROR(IF(DX5="","",VLOOKUP(($AY5&amp;DX5&amp;"Template de desconto FLAT bundle - Velox XDSL - Varejo"),[1]BENEFICIOS!$A:$E,5,0))),"Criar",IF(DX5="","",VLOOKUP(($AY5&amp;DX5&amp;"Template de desconto FLAT bundle - Velox XDSL - Varejo"),[1]BENEFICIOS!$A:$E,5,0)))</f>
        <v/>
      </c>
      <c r="DZ5" s="196"/>
      <c r="EA5" s="197"/>
      <c r="EB5" s="127" t="str">
        <f>IF(DZ5=0,"",IF(DZ5=VLOOKUP("PCS-30820g",[1]ARBOR!$A:$C,3,0),0.0001,IF(DZ5&gt;VLOOKUP("PCS-30820g",[1]ARBOR!$A:$C,3,0),"Maior que CAP!",IF((DOLLAR(DZ5+(VLOOKUP("PCS-30820g",[1]ARBOR!$A:$C,3,0)*-TRUNC(DZ5/VLOOKUP("PCS-30820g",[1]ARBOR!$A:$C,3,0)-1,4)),6))&lt;&gt;(DOLLAR(VLOOKUP("PCS-30820g",[1]ARBOR!$A:$C,3,0),6)),(-TRUNC(DZ5/VLOOKUP("PCS-30820g",[1]ARBOR!$A:$C,3,0)-1,4)+0.0001)-DX5,-TRUNC(DZ5/VLOOKUP("PCS-30820g",[1]ARBOR!$A:$C,3,0)-1,4)-DX5))))</f>
        <v/>
      </c>
      <c r="EC5" s="189" t="str">
        <f>IF(ISERROR(IF(EB5="","",VLOOKUP(($AY5&amp;EB5&amp;"Template de desconto percentual Bundle - Velox XDSL - Varejo"),[1]BENEFICIOS!$A:$E,5,0))),"Criar",IF(EB5="","",VLOOKUP(($AY5&amp;EB5&amp;"Template de desconto percentual Bundle - Velox XDSL - Varejo"),[1]BENEFICIOS!$A:$E,5,0)))</f>
        <v/>
      </c>
      <c r="ED5" s="198">
        <v>44.9</v>
      </c>
      <c r="EE5" s="127">
        <f>IF(ED5=0,"",IF(ED5=VLOOKUP("PCS-21448p2",[1]ARBOR!$A:$C,3,0),0.0001,IF(ED5&gt;VLOOKUP("PCS-21448p2",[1]ARBOR!$A:$C,3,0),"Maior que CAP!",IF((DOLLAR(ED5+(VLOOKUP("PCS-21448p2",[1]ARBOR!$A:$C,3,0)*-TRUNC(ED5/VLOOKUP("PCS-21448p2",[1]ARBOR!$A:$C,3,0)-1,4)),6))&lt;&gt;(DOLLAR(VLOOKUP("PCS-21448p2",[1]ARBOR!$A:$C,3,0),6)),-TRUNC(ED5/VLOOKUP("PCS-21448p2",[1]ARBOR!$A:$C,3,0)-1,4)+0.0001,-TRUNC(ED5/VLOOKUP("PCS-21448p2",[1]ARBOR!$A:$C,3,0)-1,4)))))</f>
        <v>0.64900000000000002</v>
      </c>
      <c r="EF5" s="127" t="str">
        <f>IF(ISERROR(IF(EE5="","",VLOOKUP(("Oi Conta Total Plug 10GB Downgrade"&amp;EE5&amp;"Template de desconto percentual BL Móvel - Internet Total - Varejo"),[1]BENEFICIOS!$A:$E,5,0))),"Criar",IF(EE5="","",VLOOKUP(("Oi Conta Total Plug 10GB Downgrade"&amp;EE5&amp;"Template de desconto percentual BL Móvel - Internet Total - Varejo"),[1]BENEFICIOS!$A:$E,5,0)))</f>
        <v>MKT-1-9825544790</v>
      </c>
      <c r="EG5" s="199">
        <v>16.5</v>
      </c>
      <c r="EH5" s="200">
        <f>IF(EG5=0,"",IF(EG5=VLOOKUP("SVA",[1]ARBOR!$A:$C,3,0),0.0001,IF(EG5&gt;VLOOKUP("SVA",[1]ARBOR!$A:$C,3,0),"Maior que CAP!",IF((DOLLAR(EG5+(VLOOKUP("SVA",[1]ARBOR!$A:$C,3,0)*-TRUNC(EG5/VLOOKUP("SVA",[1]ARBOR!$A:$C,3,0)-1,4)),6))&lt;&gt;(DOLLAR(VLOOKUP("SVA",[1]ARBOR!$A:$C,3,0),6)),-TRUNC(EG5/VLOOKUP("SVA",[1]ARBOR!$A:$C,3,0)-1,4)+0.0001,-TRUNC(EG5/VLOOKUP("SVA",[1]ARBOR!$A:$C,3,0)-1,4)))))</f>
        <v>0.2301</v>
      </c>
      <c r="EI5" s="200" t="s">
        <v>160</v>
      </c>
      <c r="EJ5" s="201"/>
      <c r="EK5" s="202"/>
      <c r="EL5" s="203" t="str">
        <f t="shared" si="3"/>
        <v/>
      </c>
      <c r="EM5" s="200" t="str">
        <f>IF(EL5="S/Desc","S/Desc",IF(ISERROR(IF(EL5="","",VLOOKUP(($BX5&amp;EL5&amp;"Template Desc. % sobre Serviço SVA B2C"),[1]BENEFICIOS!$A:$G,5,0))),"Criar",IF(EL5="","",VLOOKUP(($BX5&amp;EL5&amp;"Template Desc. % sobre Serviço SVA B2C"),[1]BENEFICIOS!$A:$G,5,0))))</f>
        <v/>
      </c>
      <c r="EN5" s="129"/>
      <c r="EO5" s="127" t="str">
        <f>IF(EN5=0,"",IF(EN5=VLOOKUP("PCS-OzTL40",[1]ARBOR!$A:$C,3,0),0.0001,IF(EN5&gt;VLOOKUP("PCS-OzTL40",[1]ARBOR!$A:$C,3,0),"Maior que CAP!",IF((DOLLAR(EN5+(VLOOKUP("PCS-OzTL40",[1]ARBOR!$A:$C,3,0)*-TRUNC(EN5/VLOOKUP("PCS-OzTL40",[1]ARBOR!$A:$C,3,0)-1,4)),6))&lt;&gt;(DOLLAR(VLOOKUP("PCS-OzTL40",[1]ARBOR!$A:$C,3,0),6)),-TRUNC(EN5/VLOOKUP("PCS-OzTL40",[1]ARBOR!$A:$C,3,0)-1,4)+0.0001,-TRUNC(EN5/VLOOKUP("PCS-OzTL40",[1]ARBOR!$A:$C,3,0)-1,4)))))</f>
        <v/>
      </c>
      <c r="EP5" s="189" t="str">
        <f>IF(ISERROR(IF(EO5="","",VLOOKUP(($AY5&amp;EO5&amp;"Template desconto FLAT Plano Principal Oi TV nível conta"),[1]BENEFICIOS!$A:$G,5,0))),"Criar",IF(EO5="","",VLOOKUP(($AY5&amp;EO5&amp;"Template desconto FLAT Plano Principal Oi TV nível conta"),[1]BENEFICIOS!$A:$G,5,0)))</f>
        <v/>
      </c>
      <c r="EQ5" s="129"/>
      <c r="ER5" s="127" t="str">
        <f>IF(EQ5=0,"",IF(EQ5=VLOOKUP("PCS-OzTL41",[1]ARBOR!$A:$C,3,0),0.0001,IF(EQ5&gt;VLOOKUP("PCS-OzTL41",[1]ARBOR!$A:$C,3,0),"Maior que CAP!",IF((DOLLAR(EQ5+(VLOOKUP("PCS-OzTL41",[1]ARBOR!$A:$C,3,0)*-TRUNC(EQ5/VLOOKUP("PCS-OzTL41",[1]ARBOR!$A:$C,3,0)-1,4)),6))&lt;&gt;(DOLLAR(VLOOKUP("PCS-OzTL41",[1]ARBOR!$A:$C,3,0),6)),-TRUNC(EQ5/VLOOKUP("PCS-OzTL41",[1]ARBOR!$A:$C,3,0)-1,4)+0.0001,-TRUNC(EQ5/VLOOKUP("PCS-OzTL41",[1]ARBOR!$A:$C,3,0)-1,4)))))</f>
        <v/>
      </c>
      <c r="ES5" s="204" t="str">
        <f>IF(ISERROR(IF(ER5="","",VLOOKUP(($AY5&amp;ER5&amp;"Template desconto FLAT Plano Principal Oi TV nível conta"),[1]BENEFICIOS!$A:$G,5,0))),"Criar",IF(ER5="","",VLOOKUP(($AY5&amp;ER5&amp;"Template desconto FLAT Plano Principal Oi TV nível conta"),[1]BENEFICIOS!$A:$G,5,0)))</f>
        <v/>
      </c>
      <c r="ET5" s="129">
        <v>134.9</v>
      </c>
      <c r="EU5" s="127">
        <f>IF(ET5=0,"",IF(ET5=VLOOKUP("PCS-OzTL44",[1]ARBOR!$A:$C,3,0),0.0001,IF(ET5&gt;VLOOKUP("PCS-OzTL44",[1]ARBOR!$A:$C,3,0),"Maior que CAP!",IF((DOLLAR(ET5+(VLOOKUP("PCS-OzTL44",[1]ARBOR!$A:$C,3,0)*-TRUNC(ET5/VLOOKUP("PCS-OzTL44",[1]ARBOR!$A:$C,3,0)-1,4)),6))&lt;&gt;(DOLLAR(VLOOKUP("PCS-OzTL44",[1]ARBOR!$A:$C,3,0),6)),-TRUNC(ET5/VLOOKUP("PCS-OzTL44",[1]ARBOR!$A:$C,3,0)-1,4)+0.0001,-TRUNC(ET5/VLOOKUP("PCS-OzTL44",[1]ARBOR!$A:$C,3,0)-1,4)))))</f>
        <v>0.29969999999999997</v>
      </c>
      <c r="EV5" s="204" t="str">
        <f>IF(ISERROR(IF(EU5="","",VLOOKUP(($AY5&amp;EU5&amp;"Template desconto FLAT Plano Principal Oi TV nível conta"),[1]BENEFICIOS!$A:$G,5,0))),"Criar",IF(EU5="","",VLOOKUP(($AY5&amp;EU5&amp;"Template desconto FLAT Plano Principal Oi TV nível conta"),[1]BENEFICIOS!$A:$G,5,0)))</f>
        <v>MKT-1-9827358355</v>
      </c>
      <c r="EW5" s="129">
        <v>144.9</v>
      </c>
      <c r="EX5" s="127">
        <f>IF(EW5=0,"",IF(EW5=VLOOKUP("PCS-OzTL43",[1]ARBOR!$A:$C,3,0),0.0001,IF(EW5&gt;VLOOKUP("PCS-OzTL43",[1]ARBOR!$A:$C,3,0),"Maior que CAP!",IF((DOLLAR(EW5+(VLOOKUP("PCS-OzTL43",[1]ARBOR!$A:$C,3,0)*-TRUNC(EW5/VLOOKUP("PCS-OzTL43",[1]ARBOR!$A:$C,3,0)-1,4)),6))&lt;&gt;(DOLLAR(VLOOKUP("PCS-OzTL43",[1]ARBOR!$A:$C,3,0),6)),-TRUNC(EW5/VLOOKUP("PCS-OzTL43",[1]ARBOR!$A:$C,3,0)-1,4)+0.0001,-TRUNC(EW5/VLOOKUP("PCS-OzTL43",[1]ARBOR!$A:$C,3,0)-1,4)))))</f>
        <v>0.28849999999999998</v>
      </c>
      <c r="EY5" s="204" t="str">
        <f>IF(ISERROR(IF(EX5="","",VLOOKUP(($AY5&amp;EX5&amp;"Template desconto FLAT Plano Principal Oi TV nível conta"),[1]BENEFICIOS!$A:$G,5,0))),"Criar",IF(EX5="","",VLOOKUP(($AY5&amp;EX5&amp;"Template desconto FLAT Plano Principal Oi TV nível conta"),[1]BENEFICIOS!$A:$G,5,0)))</f>
        <v>MKT-1-9827358670</v>
      </c>
      <c r="EZ5" s="129">
        <v>179.9</v>
      </c>
      <c r="FA5" s="127">
        <f>IF(EZ5=0,"",IF(EZ5=VLOOKUP("PCS-OzTL45",[1]ARBOR!$A:$C,3,0),0.0001,IF(EZ5&gt;VLOOKUP("PCS-OzTL45",[1]ARBOR!$A:$C,3,0),"Maior que CAP!",IF((DOLLAR(EZ5+(VLOOKUP("PCS-OzTL45",[1]ARBOR!$A:$C,3,0)*-TRUNC(EZ5/VLOOKUP("PCS-OzTL45",[1]ARBOR!$A:$C,3,0)-1,4)),6))&lt;&gt;(DOLLAR(VLOOKUP("PCS-OzTL45",[1]ARBOR!$A:$C,3,0),6)),-TRUNC(EZ5/VLOOKUP("PCS-OzTL45",[1]ARBOR!$A:$C,3,0)-1,4)+0.0001,-TRUNC(EZ5/VLOOKUP("PCS-OzTL45",[1]ARBOR!$A:$C,3,0)-1,4)))))</f>
        <v>0.13979999999999998</v>
      </c>
      <c r="FB5" s="204" t="str">
        <f>IF(ISERROR(IF(FA5="","",VLOOKUP(($AY5&amp;FA5&amp;"Template desconto FLAT Plano Principal Oi TV nível conta"),[1]BENEFICIOS!$A:$G,5,0))),"Criar",IF(FA5="","",VLOOKUP(($AY5&amp;FA5&amp;"Template desconto FLAT Plano Principal Oi TV nível conta"),[1]BENEFICIOS!$A:$G,5,0)))</f>
        <v>MKT-1-9827358935</v>
      </c>
      <c r="FC5" s="129"/>
      <c r="FD5" s="127" t="str">
        <f>IF(FC5=0,"",IF(FC5=VLOOKUP("PCS-OzTL741",[1]ARBOR!$A:$C,3,0),0.0001,IF(FC5&gt;VLOOKUP("PCS-OzTL741",[1]ARBOR!$A:$C,3,0),"Maior que CAP!",IF((DOLLAR(FC5+(VLOOKUP("PCS-OzTL741",[1]ARBOR!$A:$C,3,0)*-TRUNC(FC5/VLOOKUP("PCS-OzTL741",[1]ARBOR!$A:$C,3,0)-1,4)),6))&lt;&gt;(DOLLAR(VLOOKUP("PCS-OzTL741",[1]ARBOR!$A:$C,3,0),6)),-TRUNC(FC5/VLOOKUP("PCS-OzTL741",[1]ARBOR!$A:$C,3,0)-1,4)+0.0001,-TRUNC(FC5/VLOOKUP("PCS-OzTL741",[1]ARBOR!$A:$C,3,0)-1,4)))))</f>
        <v/>
      </c>
      <c r="FE5" s="204" t="str">
        <f>IF(ISERROR(IF(FD5="","",VLOOKUP(($AY5&amp;FD5&amp;"Template desconto FLAT Plano Principal Oi TV nível conta"),[1]BENEFICIOS!$A:$G,5,0))),"Criar",IF(FD5="","",VLOOKUP(($AY5&amp;FD5&amp;"Template desconto FLAT Plano Principal Oi TV nível conta"),[1]BENEFICIOS!$A:$G,5,0)))</f>
        <v/>
      </c>
      <c r="FF5" s="129">
        <v>154.9</v>
      </c>
      <c r="FG5" s="127">
        <f>IF(FF5=0,"",IF(FF5=VLOOKUP("PCS-OzTL744",[1]ARBOR!$A:$C,3,0),0.0001,IF(FF5&gt;VLOOKUP("PCS-OzTL744",[1]ARBOR!$A:$C,3,0),"Maior que CAP!",IF((DOLLAR(FF5+(VLOOKUP("PCS-OzTL744",[1]ARBOR!$A:$C,3,0)*-TRUNC(FF5/VLOOKUP("PCS-OzTL744",[1]ARBOR!$A:$C,3,0)-1,4)),6))&lt;&gt;(DOLLAR(VLOOKUP("PCS-OzTL744",[1]ARBOR!$A:$C,3,0),6)),-TRUNC(FF5/VLOOKUP("PCS-OzTL744",[1]ARBOR!$A:$C,3,0)-1,4)+0.0001,-TRUNC(FF5/VLOOKUP("PCS-OzTL744",[1]ARBOR!$A:$C,3,0)-1,4)))))</f>
        <v>0.25939999999999996</v>
      </c>
      <c r="FH5" s="204" t="str">
        <f>IF(ISERROR(IF(FG5="","",VLOOKUP(($AY5&amp;FG5&amp;"Template desconto FLAT Plano Principal Oi TV nível conta"),[1]BENEFICIOS!$A:$G,5,0))),"Criar",IF(FG5="","",VLOOKUP(($AY5&amp;FG5&amp;"Template desconto FLAT Plano Principal Oi TV nível conta"),[1]BENEFICIOS!$A:$G,5,0)))</f>
        <v>MKT-1-9827370190</v>
      </c>
      <c r="FI5" s="129">
        <v>164.9</v>
      </c>
      <c r="FJ5" s="127">
        <f>IF(FI5=0,"",IF(FI5=VLOOKUP("PCS-OzTL743",[1]ARBOR!$A:$C,3,0),0.0001,IF(FI5&gt;VLOOKUP("PCS-OzTL743",[1]ARBOR!$A:$C,3,0),"Maior que CAP!",IF((DOLLAR(FI5+(VLOOKUP("PCS-OzTL743",[1]ARBOR!$A:$C,3,0)*-TRUNC(FI5/VLOOKUP("PCS-OzTL743",[1]ARBOR!$A:$C,3,0)-1,4)),6))&lt;&gt;(DOLLAR(VLOOKUP("PCS-OzTL743",[1]ARBOR!$A:$C,3,0),6)),-TRUNC(FI5/VLOOKUP("PCS-OzTL743",[1]ARBOR!$A:$C,3,0)-1,4)+0.0001,-TRUNC(FI5/VLOOKUP("PCS-OzTL743",[1]ARBOR!$A:$C,3,0)-1,4)))))</f>
        <v>0.251</v>
      </c>
      <c r="FK5" s="204" t="str">
        <f>IF(ISERROR(IF(FJ5="","",VLOOKUP(($AY5&amp;FJ5&amp;"Template desconto FLAT Plano Principal Oi TV nível conta"),[1]BENEFICIOS!$A:$G,5,0))),"Criar",IF(FJ5="","",VLOOKUP(($AY5&amp;FJ5&amp;"Template desconto FLAT Plano Principal Oi TV nível conta"),[1]BENEFICIOS!$A:$G,5,0)))</f>
        <v>MKT-1-9827370755</v>
      </c>
      <c r="FL5" s="129">
        <v>199.9</v>
      </c>
      <c r="FM5" s="127">
        <f>IF(FL5=0,"",IF(FL5=VLOOKUP("PCS-OzTL745",[1]ARBOR!$A:$C,3,0),0.0001,IF(FL5&gt;VLOOKUP("PCS-OzTL745",[1]ARBOR!$A:$C,3,0),"Maior que CAP!",IF((DOLLAR(FL5+(VLOOKUP("PCS-OzTL745",[1]ARBOR!$A:$C,3,0)*-TRUNC(FL5/VLOOKUP("PCS-OzTL745",[1]ARBOR!$A:$C,3,0)-1,4)),6))&lt;&gt;(DOLLAR(VLOOKUP("PCS-OzTL745",[1]ARBOR!$A:$C,3,0),6)),-TRUNC(FL5/VLOOKUP("PCS-OzTL745",[1]ARBOR!$A:$C,3,0)-1,4)+0.0001,-TRUNC(FL5/VLOOKUP("PCS-OzTL745",[1]ARBOR!$A:$C,3,0)-1,4)))))</f>
        <v>0.21049999999999999</v>
      </c>
      <c r="FN5" s="204" t="str">
        <f>IF(ISERROR(IF(FM5="","",VLOOKUP(($AY5&amp;FM5&amp;"Template desconto FLAT Plano Principal Oi TV nível conta"),[1]BENEFICIOS!$A:$G,5,0))),"Criar",IF(FM5="","",VLOOKUP(($AY5&amp;FM5&amp;"Template desconto FLAT Plano Principal Oi TV nível conta"),[1]BENEFICIOS!$A:$G,5,0)))</f>
        <v>MKT-1-9827396510</v>
      </c>
      <c r="FO5" s="129"/>
      <c r="FP5" s="127" t="str">
        <f>IF(FO5=0,"",IF(FO5=VLOOKUP("PCS-OzTL42",[1]ARBOR!$A:$C,3,0),0.0001,IF(FO5&gt;VLOOKUP("PCS-OzTL42",[1]ARBOR!$A:$C,3,0),"Maior que CAP!",IF((DOLLAR(FO5+(VLOOKUP("PCS-OzTL42",[1]ARBOR!$A:$C,3,0)*-TRUNC(FO5/VLOOKUP("PCS-OzTL42",[1]ARBOR!$A:$C,3,0)-1,4)),6))&lt;&gt;(DOLLAR(VLOOKUP("PCS-OzTL42",[1]ARBOR!$A:$C,3,0),6)),-TRUNC(FO5/VLOOKUP("PCS-OzTL42",[1]ARBOR!$A:$C,3,0)-1,4)+0.0001,-TRUNC(FO5/VLOOKUP("PCS-OzTL42",[1]ARBOR!$A:$C,3,0)-1,4)))))</f>
        <v/>
      </c>
      <c r="FQ5" s="204" t="str">
        <f>IF(ISERROR(IF(FP5="","",VLOOKUP(($AY5&amp;FP5&amp;"Template desconto FLAT Plano Principal Oi TV nível conta"),[1]BENEFICIOS!$A:$G,5,0))),"Criar",IF(FP5="","",VLOOKUP(($AY5&amp;FP5&amp;"Template desconto FLAT Plano Principal Oi TV nível conta"),[1]BENEFICIOS!$A:$G,5,0)))</f>
        <v/>
      </c>
      <c r="FR5" s="129"/>
      <c r="FS5" s="127" t="str">
        <f>IF(FR5=0,"",IF(FR5=VLOOKUP("PCS-OzTL47",[1]ARBOR!$A:$C,3,0),0.0001,IF(FR5&gt;VLOOKUP("PCS-OzTL47",[1]ARBOR!$A:$C,3,0),"Maior que CAP!",IF((DOLLAR(FR5+(VLOOKUP("PCS-OzTL47",[1]ARBOR!$A:$C,3,0)*-TRUNC(FR5/VLOOKUP("PCS-OzTL47",[1]ARBOR!$A:$C,3,0)-1,4)),6))&lt;&gt;(DOLLAR(VLOOKUP("PCS-OzTL47",[1]ARBOR!$A:$C,3,0),6)),-TRUNC(FR5/VLOOKUP("PCS-OzTL47",[1]ARBOR!$A:$C,3,0)-1,4)+0.0001,-TRUNC(FR5/VLOOKUP("PCS-OzTL47",[1]ARBOR!$A:$C,3,0)-1,4)))))</f>
        <v/>
      </c>
      <c r="FT5" s="204" t="str">
        <f>IF(ISERROR(IF(FS5="","",VLOOKUP(($AY5&amp;FS5&amp;"Template desconto FLAT Plano Principal Oi TV nível conta"),[1]BENEFICIOS!$A:$G,5,0))),"Criar",IF(FS5="","",VLOOKUP(($AY5&amp;FS5&amp;"Template desconto FLAT Plano Principal Oi TV nível conta"),[1]BENEFICIOS!$A:$G,5,0)))</f>
        <v/>
      </c>
      <c r="FU5" s="129"/>
      <c r="FV5" s="127" t="str">
        <f>IF(FU5=0,"",IF(FU5=VLOOKUP("PCS-OzTL46",[1]ARBOR!$A:$C,3,0),0.0001,IF(FU5&gt;VLOOKUP("PCS-OzTL46",[1]ARBOR!$A:$C,3,0),"Maior que CAP!",IF((DOLLAR(FU5+(VLOOKUP("PCS-OzTL46",[1]ARBOR!$A:$C,3,0)*-TRUNC(FU5/VLOOKUP("PCS-OzTL46",[1]ARBOR!$A:$C,3,0)-1,4)),6))&lt;&gt;(DOLLAR(VLOOKUP("PCS-OzTL46",[1]ARBOR!$A:$C,3,0),6)),-TRUNC(FU5/VLOOKUP("PCS-OzTL46",[1]ARBOR!$A:$C,3,0)-1,4)+0.0001,-TRUNC(FU5/VLOOKUP("PCS-OzTL46",[1]ARBOR!$A:$C,3,0)-1,4)))))</f>
        <v/>
      </c>
      <c r="FW5" s="204" t="str">
        <f>IF(ISERROR(IF(FV5="","",VLOOKUP(($AY5&amp;FV5&amp;"Template desconto FLAT Plano Principal Oi TV nível conta"),[1]BENEFICIOS!$A:$G,5,0))),"Criar",IF(FV5="","",VLOOKUP(($AY5&amp;FV5&amp;"Template desconto FLAT Plano Principal Oi TV nível conta"),[1]BENEFICIOS!$A:$G,5,0)))</f>
        <v/>
      </c>
      <c r="FX5" s="129"/>
      <c r="FY5" s="127" t="str">
        <f>IF(FX5=0,"",IF(FX5=VLOOKUP("PCS-OzTL48",[1]ARBOR!$A:$C,3,0),0.0001,IF(FX5&gt;VLOOKUP("PCS-OzTL48",[1]ARBOR!$A:$C,3,0),"Maior que CAP!",IF((DOLLAR(FX5+(VLOOKUP("PCS-OzTL48",[1]ARBOR!$A:$C,3,0)*-TRUNC(FX5/VLOOKUP("PCS-OzTL48",[1]ARBOR!$A:$C,3,0)-1,4)),6))&lt;&gt;(DOLLAR(VLOOKUP("PCS-OzTL48",[1]ARBOR!$A:$C,3,0),6)),-TRUNC(FX5/VLOOKUP("PCS-OzTL48",[1]ARBOR!$A:$C,3,0)-1,4)+0.0001,-TRUNC(FX5/VLOOKUP("PCS-OzTL48",[1]ARBOR!$A:$C,3,0)-1,4)))))</f>
        <v/>
      </c>
      <c r="FZ5" s="204" t="str">
        <f>IF(ISERROR(IF(FY5="","",VLOOKUP(($AY5&amp;FY5&amp;"Template desconto FLAT Plano Principal Oi TV nível conta"),[1]BENEFICIOS!$A:$G,5,0))),"Criar",IF(FY5="","",VLOOKUP(($AY5&amp;FY5&amp;"Template desconto FLAT Plano Principal Oi TV nível conta"),[1]BENEFICIOS!$A:$G,5,0)))</f>
        <v/>
      </c>
      <c r="GA5" s="129"/>
      <c r="GB5" s="127" t="str">
        <f>IF(GA5=0,"",IF(GA5=VLOOKUP("PCS-OzTL742",[1]ARBOR!$A:$C,3,0),0.0001,IF(GA5&gt;VLOOKUP("PCS-OzTL742",[1]ARBOR!$A:$C,3,0),"Maior que CAP!",IF((DOLLAR(GA5+(VLOOKUP("PCS-OzTL742",[1]ARBOR!$A:$C,3,0)*-TRUNC(GA5/VLOOKUP("PCS-OzTL742",[1]ARBOR!$A:$C,3,0)-1,4)),6))&lt;&gt;(DOLLAR(VLOOKUP("PCS-OzTL742",[1]ARBOR!$A:$C,3,0),6)),-TRUNC(GA5/VLOOKUP("PCS-OzTL742",[1]ARBOR!$A:$C,3,0)-1,4)+0.0001,-TRUNC(GA5/VLOOKUP("PCS-OzTL742",[1]ARBOR!$A:$C,3,0)-1,4)))))</f>
        <v/>
      </c>
      <c r="GC5" s="204" t="str">
        <f>IF(ISERROR(IF(GB5="","",VLOOKUP(($AY5&amp;GB5&amp;"Template desconto FLAT Plano Principal Oi TV nível conta"),[1]BENEFICIOS!$A:$G,5,0))),"Criar",IF(GB5="","",VLOOKUP(($AY5&amp;GB5&amp;"Template desconto FLAT Plano Principal Oi TV nível conta"),[1]BENEFICIOS!$A:$G,5,0)))</f>
        <v/>
      </c>
      <c r="GD5" s="129"/>
      <c r="GE5" s="127" t="str">
        <f>IF(GD5=0,"",IF(GD5=VLOOKUP("PCS-OzTL747",[1]ARBOR!$A:$C,3,0),0.0001,IF(GD5&gt;VLOOKUP("PCS-OzTL747",[1]ARBOR!$A:$C,3,0),"Maior que CAP!",IF((DOLLAR(GD5+(VLOOKUP("PCS-OzTL747",[1]ARBOR!$A:$C,3,0)*-TRUNC(GD5/VLOOKUP("PCS-OzTL747",[1]ARBOR!$A:$C,3,0)-1,4)),6))&lt;&gt;(DOLLAR(VLOOKUP("PCS-OzTL747",[1]ARBOR!$A:$C,3,0),6)),-TRUNC(GD5/VLOOKUP("PCS-OzTL747",[1]ARBOR!$A:$C,3,0)-1,4)+0.0001,-TRUNC(GD5/VLOOKUP("PCS-OzTL747",[1]ARBOR!$A:$C,3,0)-1,4)))))</f>
        <v/>
      </c>
      <c r="GF5" s="204" t="str">
        <f>IF(ISERROR(IF(GE5="","",VLOOKUP(($AY5&amp;GE5&amp;"Template desconto FLAT Plano Principal Oi TV nível conta"),[1]BENEFICIOS!$A:$G,5,0))),"Criar",IF(GE5="","",VLOOKUP(($AY5&amp;GE5&amp;"Template desconto FLAT Plano Principal Oi TV nível conta"),[1]BENEFICIOS!$A:$G,5,0)))</f>
        <v/>
      </c>
      <c r="GG5" s="129"/>
      <c r="GH5" s="127" t="str">
        <f>IF(GG5=0,"",IF(GG5=VLOOKUP("PCS-OzTL746",[1]ARBOR!$A:$C,3,0),0.0001,IF(GG5&gt;VLOOKUP("PCS-OzTL746",[1]ARBOR!$A:$C,3,0),"Maior que CAP!",IF((DOLLAR(GG5+(VLOOKUP("PCS-OzTL746",[1]ARBOR!$A:$C,3,0)*-TRUNC(GG5/VLOOKUP("PCS-OzTL746",[1]ARBOR!$A:$C,3,0)-1,4)),6))&lt;&gt;(DOLLAR(VLOOKUP("PCS-OzTL746",[1]ARBOR!$A:$C,3,0),6)),-TRUNC(GG5/VLOOKUP("PCS-OzTL746",[1]ARBOR!$A:$C,3,0)-1,4)+0.0001,-TRUNC(GG5/VLOOKUP("PCS-OzTL746",[1]ARBOR!$A:$C,3,0)-1,4)))))</f>
        <v/>
      </c>
      <c r="GI5" s="204" t="str">
        <f>IF(ISERROR(IF(GH5="","",VLOOKUP(($AY5&amp;GH5&amp;"Template desconto FLAT Plano Principal Oi TV nível conta"),[1]BENEFICIOS!$A:$G,5,0))),"Criar",IF(GH5="","",VLOOKUP(($AY5&amp;GH5&amp;"Template desconto FLAT Plano Principal Oi TV nível conta"),[1]BENEFICIOS!$A:$G,5,0)))</f>
        <v/>
      </c>
      <c r="GJ5" s="129"/>
      <c r="GK5" s="127" t="str">
        <f>IF(GJ5=0,"",IF(GJ5=VLOOKUP("PCS-OzTL748",[1]ARBOR!$A:$C,3,0),0.0001,IF(GJ5&gt;VLOOKUP("PCS-OzTL748",[1]ARBOR!$A:$C,3,0),"Maior que CAP!",IF((DOLLAR(GJ5+(VLOOKUP("PCS-OzTL748",[1]ARBOR!$A:$C,3,0)*-TRUNC(GJ5/VLOOKUP("PCS-OzTL748",[1]ARBOR!$A:$C,3,0)-1,4)),6))&lt;&gt;(DOLLAR(VLOOKUP("PCS-OzTL748",[1]ARBOR!$A:$C,3,0),6)),-TRUNC(GJ5/VLOOKUP("PCS-OzTL748",[1]ARBOR!$A:$C,3,0)-1,4)+0.0001,-TRUNC(GJ5/VLOOKUP("PCS-OzTL748",[1]ARBOR!$A:$C,3,0)-1,4)))))</f>
        <v/>
      </c>
      <c r="GL5" s="204" t="str">
        <f>IF(ISERROR(IF(GK5="","",VLOOKUP(($AY5&amp;GK5&amp;"Template desconto FLAT Plano Principal Oi TV nível conta"),[1]BENEFICIOS!$A:$G,5,0))),"Criar",IF(GK5="","",VLOOKUP(($AY5&amp;GK5&amp;"Template desconto FLAT Plano Principal Oi TV nível conta"),[1]BENEFICIOS!$A:$G,5,0)))</f>
        <v/>
      </c>
      <c r="GM5" s="129">
        <v>75</v>
      </c>
      <c r="GN5" s="127">
        <f>IF(GM5=0,"",IF(GM5=VLOOKUP("PCS-OzTL34",[1]ARBOR!$A:$C,3,0),0.0001,IF(GM5&gt;VLOOKUP("PCS-OzTL34",[1]ARBOR!$A:$C,3,0),"Maior que CAP!",IF((DOLLAR(GM5+(VLOOKUP("PCS-OzTL34",[1]ARBOR!$A:$C,3,0)*-TRUNC(GM5/VLOOKUP("PCS-OzTL34",[1]ARBOR!$A:$C,3,0)-1,4)),6))&lt;&gt;(DOLLAR(VLOOKUP("PCS-OzTL34",[1]ARBOR!$A:$C,3,0),6)),-TRUNC(GM5/VLOOKUP("PCS-OzTL34",[1]ARBOR!$A:$C,3,0)-1,4)+0.0001,-TRUNC(GM5/VLOOKUP("PCS-OzTL34",[1]ARBOR!$A:$C,3,0)-1,4)))))</f>
        <v>0.31900000000000001</v>
      </c>
      <c r="GO5" s="204" t="s">
        <v>161</v>
      </c>
      <c r="GP5" s="129">
        <v>19.899999999999999</v>
      </c>
      <c r="GQ5" s="127">
        <f>IF(GP5=0,"",IF(GP5=VLOOKUP("PCS-OzTL31",[1]ARBOR!$A:$C,3,0),0.0001,IF(GP5&gt;VLOOKUP("PCS-OzTL31",[1]ARBOR!$A:$C,3,0),"Maior que CAP!",IF((DOLLAR(GP5+(VLOOKUP("PCS-OzTL31",[1]ARBOR!$A:$C,3,0)*-TRUNC(GP5/VLOOKUP("PCS-OzTL31",[1]ARBOR!$A:$C,3,0)-1,4)),6))&lt;&gt;(DOLLAR(VLOOKUP("PCS-OzTL31",[1]ARBOR!$A:$C,3,0),6)),-TRUNC(GP5/VLOOKUP("PCS-OzTL31",[1]ARBOR!$A:$C,3,0)-1,4)+0.0001,-TRUNC(GP5/VLOOKUP("PCS-OzTL31",[1]ARBOR!$A:$C,3,0)-1,4)))))</f>
        <v>9.1800000000000007E-2</v>
      </c>
      <c r="GR5" s="204" t="s">
        <v>162</v>
      </c>
      <c r="GS5" s="129">
        <v>19.899999999999999</v>
      </c>
      <c r="GT5" s="127">
        <f>IF(GS5=0,"",IF(GS5=VLOOKUP("PCS-OzTL32",[1]ARBOR!$A:$C,3,0),0.0001,IF(GS5&gt;VLOOKUP("PCS-OzTL32",[1]ARBOR!$A:$C,3,0),"Maior que CAP!",IF((DOLLAR(GS5+(VLOOKUP("PCS-OzTL32",[1]ARBOR!$A:$C,3,0)*-TRUNC(GS5/VLOOKUP("PCS-OzTL32",[1]ARBOR!$A:$C,3,0)-1,4)),6))&lt;&gt;(DOLLAR(VLOOKUP("PCS-OzTL32",[1]ARBOR!$A:$C,3,0),6)),-TRUNC(GS5/VLOOKUP("PCS-OzTL32",[1]ARBOR!$A:$C,3,0)-1,4)+0.0001,-TRUNC(GS5/VLOOKUP("PCS-OzTL32",[1]ARBOR!$A:$C,3,0)-1,4)))))</f>
        <v>9.1800000000000007E-2</v>
      </c>
      <c r="GU5" s="204" t="s">
        <v>163</v>
      </c>
      <c r="GV5" s="129">
        <v>29.9</v>
      </c>
      <c r="GW5" s="127">
        <f>IF(GV5=0,"",IF(GV5=VLOOKUP("PCS-OzTL33",[1]ARBOR!$A:$C,3,0),0.0001,IF(GV5&gt;VLOOKUP("PCS-OzTL33",[1]ARBOR!$A:$C,3,0),"Maior que CAP!",IF((DOLLAR(GV5+(VLOOKUP("PCS-OzTL33",[1]ARBOR!$A:$C,3,0)*-TRUNC(GV5/VLOOKUP("PCS-OzTL33",[1]ARBOR!$A:$C,3,0)-1,4)),6))&lt;&gt;(DOLLAR(VLOOKUP("PCS-OzTL33",[1]ARBOR!$A:$C,3,0),6)),-TRUNC(GV5/VLOOKUP("PCS-OzTL33",[1]ARBOR!$A:$C,3,0)-1,4)+0.0001,-TRUNC(GV5/VLOOKUP("PCS-OzTL33",[1]ARBOR!$A:$C,3,0)-1,4)))))</f>
        <v>9.1800000000000007E-2</v>
      </c>
      <c r="GX5" s="204" t="s">
        <v>164</v>
      </c>
      <c r="GY5" s="129">
        <v>14.9</v>
      </c>
      <c r="GZ5" s="127">
        <f>IF(GY5=0,"",IF(GY5=VLOOKUP("PCS-OzTL503",[1]ARBOR!$A:$C,3,0),0.0001,IF(GY5&gt;VLOOKUP("PCS-OzTL503",[1]ARBOR!$A:$C,3,0),"Maior que CAP!",IF((DOLLAR(GY5+(VLOOKUP("PCS-OzTL503",[1]ARBOR!$A:$C,3,0)*-TRUNC(GY5/VLOOKUP("PCS-OzTL503",[1]ARBOR!$A:$C,3,0)-1,4)),6))&lt;&gt;(DOLLAR(VLOOKUP("PCS-OzTL503",[1]ARBOR!$A:$C,3,0),6)),-TRUNC(GY5/VLOOKUP("PCS-OzTL503",[1]ARBOR!$A:$C,3,0)-1,4)+0.0001,-TRUNC(GY5/VLOOKUP("PCS-OzTL503",[1]ARBOR!$A:$C,3,0)-1,4)))))</f>
        <v>9.1499999999999998E-2</v>
      </c>
      <c r="HA5" s="204" t="s">
        <v>165</v>
      </c>
      <c r="HB5" s="129">
        <v>10</v>
      </c>
      <c r="HC5" s="127">
        <f>IF(HB5=0,"",IF(HB5=VLOOKUP("PCS-OzTL500",[1]ARBOR!$A:$C,3,0),0.0001,IF(HB5&gt;VLOOKUP("PCS-OzTL500",[1]ARBOR!$A:$C,3,0),"Maior que CAP!",IF((DOLLAR(HB5+(VLOOKUP("PCS-OzTL500",[1]ARBOR!$A:$C,3,0)*-TRUNC(HB5/VLOOKUP("PCS-OzTL500",[1]ARBOR!$A:$C,3,0)-1,4)),6))&lt;&gt;(DOLLAR(VLOOKUP("PCS-OzTL500",[1]ARBOR!$A:$C,3,0),6)),-TRUNC(HB5/VLOOKUP("PCS-OzTL500",[1]ARBOR!$A:$C,3,0)-1,4)+0.0001,-TRUNC(HB5/VLOOKUP("PCS-OzTL500",[1]ARBOR!$A:$C,3,0)-1,4)))))</f>
        <v>9.1800000000000007E-2</v>
      </c>
      <c r="HD5" s="204" t="s">
        <v>166</v>
      </c>
      <c r="HE5" s="129" t="s">
        <v>167</v>
      </c>
      <c r="HF5" s="127"/>
      <c r="HG5" s="204"/>
      <c r="HH5" s="129" t="s">
        <v>168</v>
      </c>
      <c r="HI5" s="127"/>
      <c r="HJ5" s="204"/>
      <c r="HK5" s="129" t="s">
        <v>169</v>
      </c>
      <c r="HL5" s="127"/>
      <c r="HM5" s="204"/>
      <c r="HN5" s="129" t="s">
        <v>170</v>
      </c>
      <c r="HO5" s="127"/>
      <c r="HP5" s="204"/>
      <c r="HQ5" s="129" t="s">
        <v>171</v>
      </c>
      <c r="HR5" s="127"/>
      <c r="HS5" s="204"/>
      <c r="HT5" s="129">
        <v>24.9</v>
      </c>
      <c r="HU5" s="127">
        <f>IF(HT5=0,"",IF(HT5=VLOOKUP("PCS-OzTL99",[1]ARBOR!$A:$C,3,0),0.0001,IF(HT5&gt;VLOOKUP("PCS-OzTL99",[1]ARBOR!$A:$C,3,0),"Maior que CAP!",IF((DOLLAR(HT5+(VLOOKUP("PCS-OzTL99",[1]ARBOR!$A:$C,3,0)*-TRUNC(HT5/VLOOKUP("PCS-OzTL99",[1]ARBOR!$A:$C,3,0)-1,4)),6))&lt;&gt;(DOLLAR(VLOOKUP("PCS-OzTL99",[1]ARBOR!$A:$C,3,0),6)),-TRUNC(HT5/VLOOKUP("PCS-OzTL99",[1]ARBOR!$A:$C,3,0)-1,4)+0.0001,-TRUNC(HT5/VLOOKUP("PCS-OzTL99",[1]ARBOR!$A:$C,3,0)-1,4)))))</f>
        <v>0.16729999999999998</v>
      </c>
      <c r="HV5" s="205" t="s">
        <v>172</v>
      </c>
      <c r="HW5" s="196" t="s">
        <v>149</v>
      </c>
      <c r="HX5" s="204" t="str">
        <f t="shared" si="4"/>
        <v>PCS-34704</v>
      </c>
      <c r="HY5" s="206" t="str">
        <f>IFERROR((IF(AZ5="","",VLOOKUP(AZ5,[1]ARBOR!A:C,3,0))),"")</f>
        <v/>
      </c>
      <c r="HZ5" s="207"/>
      <c r="IA5" s="184" t="str">
        <f>IF(HZ5="","",ROUND(1-(HZ5/VLOOKUP(AZ5&amp;"ASS",[1]ARBOR!A:C,3,0)),4))</f>
        <v/>
      </c>
      <c r="IB5" s="184"/>
      <c r="IC5" s="208"/>
      <c r="ID5" s="209"/>
      <c r="IE5" s="127" t="str">
        <f>IF(ID5="","",ROUND(IF(ID5=0,"",IF(ID5=HY5,0.0001,1-((ID5+(VLOOKUP(AZ5&amp;"ASS",[1]ARBOR!A:C,3,0)-HZ5))/HY5))),4))</f>
        <v/>
      </c>
      <c r="IF5" s="127" t="str">
        <f>IF(ISERROR(IF(IE5="","",VLOOKUP(($AY5&amp;IE5&amp;"Template de desconto percentual FLAT Móvel - Conta Total - Varejo - Ganho Tributário Cross"),[1]BENEFICIOS!$A:$E,5,0))),"Criar",IF(IE5="","",VLOOKUP(($AY5&amp;IE5&amp;"Template de desconto percentual FLAT Móvel - Conta Total - Varejo - Ganho Tributário Cross"),[1]BENEFICIOS!$A:$E,5,0)))</f>
        <v/>
      </c>
      <c r="IG5" s="193"/>
      <c r="IH5" s="127"/>
      <c r="II5" s="210"/>
      <c r="IJ5" s="211"/>
      <c r="IK5" s="127"/>
      <c r="IL5" s="127"/>
      <c r="IM5" s="212"/>
      <c r="IN5" s="212"/>
      <c r="IO5" s="213"/>
      <c r="IP5" s="214" t="str">
        <f>IF(IO5=0,"",IF(IO5=VLOOKUP("PCS-813566",[1]ARBOR!$A:$C,3,0),0.0001,IF(IO5&gt;VLOOKUP("PCS-813566",[1]ARBOR!$A:$C,3,0),"Maior que CAP!",ROUND(-1*(IO5/VLOOKUP("PCS-813566",[1]ARBOR!$A:$C,3,0)-1),4))))</f>
        <v/>
      </c>
      <c r="IQ5" s="215" t="str">
        <f>IF(ISERROR(IF(IP5="","",VLOOKUP(("Oi Internet Pra Celular 300MB"&amp;IP5&amp;"Template Flat Instância Dados"),[1]BENEFICIOS!$A:$E,5,0))),"Criar",IF(IP5="","",VLOOKUP(("Oi Internet Pra Celular 300MB"&amp;IP5&amp;"Template Flat Instância Dados"),[1]BENEFICIOS!$A:$E,5,0)))</f>
        <v/>
      </c>
      <c r="IR5" s="216"/>
      <c r="IS5" s="217" t="str">
        <f>IF(IR5=0,"",IF(IR5=VLOOKUP("sva_bancas",[1]ARBOR!$A:$C,3,0),0.0001,IF(IR5&gt;VLOOKUP("sva_livros",[1]ARBOR!$A:$C,3,0),"Maior que CAP!",ROUND(-1*(IR5/VLOOKUP("sva_bancas",[1]ARBOR!$A:$C,3,0)-1),4))))</f>
        <v/>
      </c>
      <c r="IT5" s="218" t="str">
        <f>IF(ISERROR(IF(IS5="","",VLOOKUP(("Oi Internet Pra Celular 300MB"&amp;IS5&amp;"Template Desconto % SVA DADOS B2C"),[1]BENEFICIOS!$A:$E,5,0))),"Criar",IF(IS5="","",VLOOKUP(("Oi Internet Pra Celular 300MB"&amp;IS5&amp;"Template Desconto % SVA DADOS B2C"),[1]BENEFICIOS!$A:$E,5,0)))</f>
        <v/>
      </c>
      <c r="IU5" s="213"/>
      <c r="IV5" s="214" t="str">
        <f>IF(IU5=0,"",IF(IU5=VLOOKUP("PCS-813564",[1]ARBOR!$A:$C,3,0),0.0001,IF(IU5&gt;VLOOKUP("PCS-813564",[1]ARBOR!$A:$C,3,0),"Maior que CAP!",ROUND(-1*(IU5/VLOOKUP("PCS-813564",[1]ARBOR!$A:$C,3,0)-1),4))))</f>
        <v/>
      </c>
      <c r="IW5" s="215" t="str">
        <f>IF(ISERROR(IF(IV5="","",VLOOKUP(("Oi Internet Pra Celular 500MB"&amp;IV5&amp;"Template Flat Instância Dados"),[1]BENEFICIOS!$A:$E,5,0))),"Criar",IF(IV5="","",VLOOKUP(("Oi Internet Pra Celular 500MB"&amp;IV5&amp;"Template Flat Instância Dados"),[1]BENEFICIOS!$A:$E,5,0)))</f>
        <v/>
      </c>
      <c r="IX5" s="216"/>
      <c r="IY5" s="217" t="str">
        <f>IF(IX5=0,"",IF(IX5=VLOOKUP("sva_livros",[1]ARBOR!$A:$C,3,0),0.0001,IF(IX5&gt;VLOOKUP("sva_livros",[1]ARBOR!$A:$C,3,0),"Maior que CAP!",ROUND(-1*(IX5/VLOOKUP("sva_livros",[1]ARBOR!$A:$C,3,0)-1),4))))</f>
        <v/>
      </c>
      <c r="IZ5" s="218" t="str">
        <f>IF(ISERROR(IF(IY5="","",VLOOKUP(("Oi Internet Pra Celular 500MB"&amp;IY5&amp;"Template Desconto % SVA DADOS B2C"),[1]BENEFICIOS!$A:$E,5,0))),"Criar",IF(IY5="","",VLOOKUP(("Oi Internet Pra Celular 500MB"&amp;IY5&amp;"Template Desconto % SVA DADOS B2C"),[1]BENEFICIOS!$A:$E,5,0)))</f>
        <v/>
      </c>
      <c r="JA5" s="213"/>
      <c r="JB5" s="214" t="str">
        <f>IF(JA5=0,"",IF(JA5=VLOOKUP("PCS-10357",[1]ARBOR!$A:$C,3,0),0.0001,IF(JA5&gt;VLOOKUP("PCS-10357",[1]ARBOR!$A:$C,3,0),"Maior que CAP!",ROUND(-1*(JA5/VLOOKUP("PCS-10357",[1]ARBOR!$A:$C,3,0)-1),4))))</f>
        <v/>
      </c>
      <c r="JC5" s="215" t="str">
        <f>IF(ISERROR(IF(JB5="","",VLOOKUP(("Oi Internet Pra Celular 1GB"&amp;JB5&amp;"Template Flat Instância Dados"),[1]BENEFICIOS!$A:$E,5,0))),"Criar",IF(JB5="","",VLOOKUP(("Oi Internet Pra Celular 1GB"&amp;JB5&amp;"Template Flat Instância Dados"),[1]BENEFICIOS!$A:$E,5,0)))</f>
        <v/>
      </c>
      <c r="JD5" s="216"/>
      <c r="JE5" s="217" t="str">
        <f>IF(JD5=0,"",IF(JD5=VLOOKUP("sva_livros",[1]ARBOR!$A:$C,3,0),0.0001,IF(JD5&gt;VLOOKUP("sva_livros",[1]ARBOR!$A:$C,3,0),"Maior que CAP!",ROUND(-1*(JD5/VLOOKUP("sva_livros",[1]ARBOR!$A:$C,3,0)-1),4))))</f>
        <v/>
      </c>
      <c r="JF5" s="218" t="str">
        <f>IF(ISERROR(IF(JE5="","",VLOOKUP(("Oi Internet Pra Celular 1GB"&amp;JE5&amp;"Template Desconto % SVA DADOS B2C"),[1]BENEFICIOS!$A:$E,5,0))),"Criar",IF(JE5="","",VLOOKUP(("Oi Internet Pra Celular 1GB"&amp;JE5&amp;"Template Desconto % SVA DADOS B2C"),[1]BENEFICIOS!$A:$E,5,0)))</f>
        <v/>
      </c>
      <c r="JG5" s="213"/>
      <c r="JH5" s="214" t="str">
        <f>IF(JG5=0,"",IF(JG5=VLOOKUP("PCS-813565",[1]ARBOR!$A:$C,3,0),0.0001,IF(JG5&gt;VLOOKUP("PCS-813565",[1]ARBOR!$A:$C,3,0),"Maior que CAP!",ROUND(-1*(JG5/VLOOKUP("PCS-813565",[1]ARBOR!$A:$C,3,0)-1),4))))</f>
        <v/>
      </c>
      <c r="JI5" s="215" t="str">
        <f>IF(ISERROR(IF(JH5="","",VLOOKUP(("Oi Internet Pra Celular 2GB"&amp;JH5&amp;"Template Flat Instância Dados"),[1]BENEFICIOS!$A:$E,5,0))),"Criar",IF(JH5="","",VLOOKUP(("Oi Internet Pra Celular 2GB"&amp;JH5&amp;"Template Flat Instância Dados"),[1]BENEFICIOS!$A:$E,5,0)))</f>
        <v/>
      </c>
      <c r="JJ5" s="216"/>
      <c r="JK5" s="217" t="str">
        <f>IF(JJ5=0,"",IF(JJ5=VLOOKUP("sva_livros",[1]ARBOR!$A:$C,3,0),0.0001,IF(JJ5&gt;VLOOKUP("sva_livros",[1]ARBOR!$A:$C,3,0),"Maior que CAP!",ROUND(-1*(JJ5/VLOOKUP("sva_livros",[1]ARBOR!$A:$C,3,0)-1),4))))</f>
        <v/>
      </c>
      <c r="JL5" s="218" t="str">
        <f>IF(ISERROR(IF(JK5="","",VLOOKUP(("Oi Internet Pra Celular 2GB"&amp;JK5&amp;"Template Desconto % SVA DADOS B2C"),[1]BENEFICIOS!$A:$E,5,0))),"Criar",IF(JK5="","",VLOOKUP(("Oi Internet Pra Celular 2GB"&amp;JK5&amp;"Template Desconto % SVA DADOS B2C"),[1]BENEFICIOS!$A:$E,5,0)))</f>
        <v/>
      </c>
      <c r="JM5" s="213"/>
      <c r="JN5" s="214" t="str">
        <f>IF(JM5=0,"",IF(JM5=VLOOKUP("PCS-7171B",[1]ARBOR!$A:$C,3,0),0.0001,IF(JM5&gt;VLOOKUP("PCS-7171B",[1]ARBOR!$A:$C,3,0),"Maior que CAP!",ROUND(-1*(JM5/VLOOKUP("PCS-7171B",[1]ARBOR!$A:$C,3,0)-1),4))))</f>
        <v/>
      </c>
      <c r="JO5" s="215" t="str">
        <f>IF(ISERROR(IF(JN5="","",VLOOKUP(("Oi Internet Pra Celular 3GB"&amp;JN5&amp;"Template Flat Instância Dados"),[1]BENEFICIOS!$A:$E,5,0))),"Criar",IF(JN5="","",VLOOKUP(("Oi Internet Pra Celular 3GB"&amp;JN5&amp;"Template Flat Instância Dados"),[1]BENEFICIOS!$A:$E,5,0)))</f>
        <v/>
      </c>
      <c r="JP5" s="216"/>
      <c r="JQ5" s="217" t="str">
        <f>IF(JP5=0,"",IF(JP5=VLOOKUP("sva_livros",[1]ARBOR!$A:$C,3,0),0.0001,IF(JP5&gt;VLOOKUP("sva_livros",[1]ARBOR!$A:$C,3,0),"Maior que CAP!",ROUND(-1*(JP5/VLOOKUP("sva_livros",[1]ARBOR!$A:$C,3,0)-1),4))))</f>
        <v/>
      </c>
      <c r="JR5" s="218" t="str">
        <f>IF(ISERROR(IF(JQ5="","",VLOOKUP(("Oi Internet Pra Celular 3GB"&amp;JQ5&amp;"Template Desconto % SVA DADOS B2C"),[1]BENEFICIOS!$A:$E,5,0))),"Criar",IF(JQ5="","",VLOOKUP(("Oi Internet Pra Celular 3GB"&amp;JQ5&amp;"Template Desconto % SVA DADOS B2C"),[1]BENEFICIOS!$A:$E,5,0)))</f>
        <v/>
      </c>
      <c r="JS5" s="213"/>
      <c r="JT5" s="214" t="str">
        <f>IF(JS5=0,"",IF(JS5=VLOOKUP("PCS-51793o08",[1]ARBOR!$A:$C,3,0),0.0001,IF(JS5&gt;VLOOKUP("PCS-51793o08",[1]ARBOR!$A:$C,3,0),"Maior que CAP!",ROUND(-1*(JS5/VLOOKUP("PCS-51793o08",[1]ARBOR!$A:$C,3,0)-1),4))))</f>
        <v/>
      </c>
      <c r="JU5" s="215" t="str">
        <f>IF(ISERROR(IF(JT5="","",VLOOKUP(("Oi Internet Pra Celular 5GB"&amp;JT5&amp;"Template Flat Instância Dados"),[1]BENEFICIOS!$A:$E,5,0))),"Criar",IF(JT5="","",VLOOKUP(("Oi Internet Pra Celular 5GB"&amp;JT5&amp;"Template Flat Instância Dados"),[1]BENEFICIOS!$A:$E,5,0)))</f>
        <v/>
      </c>
      <c r="JV5" s="216"/>
      <c r="JW5" s="217" t="str">
        <f>IF(JV5=0,"",IF(JV5=VLOOKUP("sva_curtas",[1]ARBOR!$A:$C,3,0),0.0001,IF(JV5&gt;VLOOKUP("sva_curtas",[1]ARBOR!$A:$C,3,0),"Maior que CAP!",ROUND(-1*(JV5/VLOOKUP("sva_curtas",[1]ARBOR!$A:$C,3,0)-1),4))))</f>
        <v/>
      </c>
      <c r="JX5" s="218" t="str">
        <f>IF(ISERROR(IF(JW5="","",VLOOKUP(("Oi Internet Pra Celular 5GB"&amp;JW5&amp;"Template Desconto % SVA DADOS B2C"),[1]BENEFICIOS!$A:$E,5,0))),"Criar",IF(JW5="","",VLOOKUP(("Oi Internet Pra Celular 5GB"&amp;JW5&amp;"Template Desconto % SVA DADOS B2C"),[1]BENEFICIOS!$A:$E,5,0)))</f>
        <v/>
      </c>
      <c r="JY5" s="213"/>
      <c r="JZ5" s="214" t="str">
        <f>IF(JY5=0,"",IF(JY5=VLOOKUP("PCS-7171A",[1]ARBOR!$A:$C,3,0),0.0001,IF(JY5&gt;VLOOKUP("PCS-7171A",[1]ARBOR!$A:$C,3,0),"Maior que CAP!",ROUND(-1*(JY5/VLOOKUP("PCS-7171A",[1]ARBOR!$A:$C,3,0)-1),4))))</f>
        <v/>
      </c>
      <c r="KA5" s="219" t="str">
        <f>IF(ISERROR(IF(JZ5="","",VLOOKUP(("Oi Internet Pra Celular 10GB"&amp;JZ5&amp;"Template Flat Instância Dados"),[1]BENEFICIOS!$A:$E,5,0))),"Criar",IF(JZ5="","",VLOOKUP(("Oi Internet Pra Celular 10GB"&amp;JZ5&amp;"Template Flat Instância Dados"),[1]BENEFICIOS!$A:$E,5,0)))</f>
        <v/>
      </c>
      <c r="KB5" s="216"/>
      <c r="KC5" s="217" t="str">
        <f>IF(KB5=0,"",IF(KB5=VLOOKUP("sva_curtas",[1]ARBOR!$A:$C,3,0),0.0001,IF(KB5&gt;VLOOKUP("sva_curtas",[1]ARBOR!$A:$C,3,0),"Maior que CAP!",ROUND(-1*(KB5/VLOOKUP("sva_curtas",[1]ARBOR!$A:$C,3,0)-1),4))))</f>
        <v/>
      </c>
      <c r="KD5" s="218" t="str">
        <f>IF(ISERROR(IF(KC5="","",VLOOKUP(("Oi Internet Pra Celular 10GB"&amp;KC5&amp;"Template Desconto % SVA DADOS B2C"),[1]BENEFICIOS!$A:$E,5,0))),"Criar",IF(KC5="","",VLOOKUP(("Oi Internet Pra Celular 10GB"&amp;KC5&amp;"Template Desconto % SVA DADOS B2C"),[1]BENEFICIOS!$A:$E,5,0)))</f>
        <v/>
      </c>
      <c r="KE5" s="220"/>
      <c r="KF5" s="221"/>
      <c r="KG5" s="222" t="s">
        <v>149</v>
      </c>
      <c r="KH5" s="223" t="s">
        <v>173</v>
      </c>
      <c r="KI5" s="224">
        <v>699</v>
      </c>
      <c r="KJ5" s="223">
        <v>12</v>
      </c>
      <c r="KK5" s="225" t="str">
        <f t="shared" si="5"/>
        <v>Oi benefício fidelização Multiprodutos</v>
      </c>
      <c r="KL5" s="226" t="str">
        <f t="shared" si="6"/>
        <v>PCS-Fk83324</v>
      </c>
      <c r="KM5" s="226" t="str">
        <f t="shared" si="7"/>
        <v>PCS-SBL553142</v>
      </c>
      <c r="KN5" s="227" t="s">
        <v>174</v>
      </c>
      <c r="KO5" s="228" t="s">
        <v>175</v>
      </c>
      <c r="KP5" s="228" t="s">
        <v>176</v>
      </c>
      <c r="KQ5" s="227" t="s">
        <v>177</v>
      </c>
      <c r="KR5" s="225" t="s">
        <v>178</v>
      </c>
      <c r="KS5" s="226" t="s">
        <v>179</v>
      </c>
      <c r="KT5" s="229" t="s">
        <v>180</v>
      </c>
      <c r="KU5" s="155" t="s">
        <v>181</v>
      </c>
      <c r="KV5" s="155" t="s">
        <v>181</v>
      </c>
      <c r="KW5" s="155">
        <v>185.01</v>
      </c>
      <c r="KX5" s="155">
        <v>195.01</v>
      </c>
      <c r="KY5" s="155">
        <v>230.01</v>
      </c>
      <c r="KZ5" s="155" t="s">
        <v>181</v>
      </c>
      <c r="LA5" s="155">
        <v>205.01</v>
      </c>
      <c r="LB5" s="155">
        <v>215.01</v>
      </c>
      <c r="LC5" s="155">
        <v>250.01</v>
      </c>
      <c r="LD5" s="155" t="s">
        <v>181</v>
      </c>
      <c r="LE5" s="155" t="s">
        <v>181</v>
      </c>
      <c r="LF5" s="155" t="s">
        <v>181</v>
      </c>
      <c r="LG5" s="155" t="s">
        <v>181</v>
      </c>
      <c r="LH5" s="155" t="s">
        <v>181</v>
      </c>
      <c r="LI5" s="155" t="s">
        <v>181</v>
      </c>
      <c r="LJ5" s="155" t="s">
        <v>181</v>
      </c>
      <c r="LK5" s="230" t="s">
        <v>181</v>
      </c>
      <c r="LL5" s="231"/>
      <c r="LM5" s="232"/>
      <c r="LN5" s="232"/>
      <c r="LO5" s="232"/>
      <c r="LP5" s="232"/>
      <c r="LQ5" s="232"/>
      <c r="LR5" s="232"/>
      <c r="LS5" s="232"/>
      <c r="LT5" s="232"/>
      <c r="LU5" s="233"/>
      <c r="LV5" t="s">
        <v>189</v>
      </c>
      <c r="LW5" t="s">
        <v>183</v>
      </c>
    </row>
    <row r="6" spans="1:335" x14ac:dyDescent="0.25">
      <c r="A6" s="160" t="s">
        <v>146</v>
      </c>
      <c r="B6" s="161" t="s">
        <v>147</v>
      </c>
      <c r="C6" s="161" t="s">
        <v>148</v>
      </c>
      <c r="D6" s="162" t="s">
        <v>149</v>
      </c>
      <c r="E6" s="163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  <c r="Q6" s="165"/>
      <c r="R6" s="165"/>
      <c r="S6" s="166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234"/>
      <c r="AF6" s="164"/>
      <c r="AG6" s="164"/>
      <c r="AH6" s="168"/>
      <c r="AI6" s="235" t="s">
        <v>190</v>
      </c>
      <c r="AJ6" s="85" t="s">
        <v>151</v>
      </c>
      <c r="AK6" s="86" t="s">
        <v>152</v>
      </c>
      <c r="AL6" s="169">
        <v>43039</v>
      </c>
      <c r="AM6" s="170">
        <v>43159</v>
      </c>
      <c r="AN6" s="89" t="s">
        <v>153</v>
      </c>
      <c r="AO6" s="90" t="s">
        <v>153</v>
      </c>
      <c r="AP6" s="171"/>
      <c r="AQ6" s="171" t="s">
        <v>154</v>
      </c>
      <c r="AR6" s="171">
        <v>20</v>
      </c>
      <c r="AS6" s="171">
        <v>10000</v>
      </c>
      <c r="AT6" s="172" t="s">
        <v>155</v>
      </c>
      <c r="AU6" s="173" t="s">
        <v>149</v>
      </c>
      <c r="AV6" s="174" t="s">
        <v>156</v>
      </c>
      <c r="AW6" s="175" t="s">
        <v>156</v>
      </c>
      <c r="AX6" s="176" t="s">
        <v>190</v>
      </c>
      <c r="AY6" s="177" t="s">
        <v>188</v>
      </c>
      <c r="AZ6" s="178" t="str">
        <f>IF(ISERROR(VLOOKUP(AY6,[1]PLANOS!B:C,2,0)),"",VLOOKUP(AY6,[1]PLANOS!B:C,2,0))</f>
        <v>PCS-3PHipi</v>
      </c>
      <c r="BA6" s="179" t="s">
        <v>156</v>
      </c>
      <c r="BB6" s="180" t="str">
        <f t="shared" si="1"/>
        <v/>
      </c>
      <c r="BC6" s="181"/>
      <c r="BD6" s="182"/>
      <c r="BE6" s="183">
        <v>50.11</v>
      </c>
      <c r="BF6" s="127">
        <f>IF(BE6=0,"",IF(BE6=VLOOKUP("FIXO",[1]ARBOR!$A:$C,3,0),0.0001,IF(BE6&gt;VLOOKUP("FIXO",[1]ARBOR!$A:$C,3,0),"Maior que CAP!",IF((DOLLAR(BE6+(VLOOKUP("FIXO",[1]ARBOR!$A:$C,3,0)*-TRUNC(BE6/VLOOKUP("FIXO",[1]ARBOR!$A:$C,3,0)-1,4)),6))&lt;&gt;(DOLLAR(VLOOKUP("FIXO",[1]ARBOR!$A:$C,3,0),6)),-TRUNC(BE6/VLOOKUP("FIXO",[1]ARBOR!$A:$C,3,0)-1,4)+0.0001,-TRUNC(BE6/VLOOKUP("FIXO",[1]ARBOR!$A:$C,3,0)-1,4)))))</f>
        <v>0.33929999999999999</v>
      </c>
      <c r="BG6" s="184"/>
      <c r="BH6" s="127" t="str">
        <f>IF(BG6=0,"",IF(BG6=VLOOKUP("FIXO",[1]ARBOR!$A:$C,3,0),0.0001,IF(BG6&gt;VLOOKUP("FIXO",[1]ARBOR!$A:$C,3,0),"Maior que CAP!",IF((DOLLAR(BG6+(VLOOKUP("FIXO",[1]ARBOR!$A:$C,3,0)*-TRUNC(BG6/VLOOKUP("FIXO",[1]ARBOR!$A:$C,3,0)-1,4)),6))&lt;&gt;(DOLLAR(VLOOKUP("FIXO",[1]ARBOR!$A:$C,3,0),6)),-TRUNC(BG6/VLOOKUP("FIXO",[1]ARBOR!$A:$C,3,0)-1,4)+0.0001,-TRUNC(BG6/VLOOKUP("FIXO",[1]ARBOR!$A:$C,3,0)-1,4)))))</f>
        <v/>
      </c>
      <c r="BI6" s="127" t="str">
        <f>IF(ISERROR(IF(BF6="","",VLOOKUP(($AY6&amp;BF6&amp;"Template de desconto FLAT bundle - Fixo - Varejo - Ganho Tributário Cross"),[1]BENEFICIOS!$A:$E,5,0))),"Criar",IF(BF6="","",VLOOKUP(($AY6&amp;BF6&amp;"Template de desconto FLAT bundle - Fixo - Varejo - Ganho Tributário Cross"),[1]BENEFICIOS!$A:$E,5,0)))</f>
        <v>MKT-1-9825728196</v>
      </c>
      <c r="BJ6" s="185"/>
      <c r="BK6" s="127" t="str">
        <f t="shared" si="2"/>
        <v/>
      </c>
      <c r="BL6" s="186"/>
      <c r="BM6" s="127" t="str">
        <f>IF(BL6=0,"",IF(BL6=VLOOKUP("FIXO",[1]ARBOR!$A:$C,3,0),0.0001,IF(BL6&gt;VLOOKUP("FIXO",[1]ARBOR!$A:$C,3,0),"Maior que CAP!",IF(BF6&lt;&gt;"",-ROUND(BL6/VLOOKUP("FIXO",[1]ARBOR!$A:$C,3,0)-1,4)-BF6,-ROUND(BL6/VLOOKUP("FIXO",[1]ARBOR!$A:$C,3,0)-1,4)))))</f>
        <v/>
      </c>
      <c r="BN6" s="187"/>
      <c r="BO6" s="127" t="str">
        <f>IF(ISERROR(IF(BK6="","",VLOOKUP(($AY6&amp;BK6&amp;"Template de desconto FLAT bundle - Fixo - Varejo - Ganho Tributário Cross"),[1]BENEFICIOS!$A:$E,5,0))),"Criar",IF(BK6="","",VLOOKUP(($AY6&amp;BK6&amp;"Template de desconto FLAT bundle - Fixo - Varejo - Ganho Tributário Cross"),[1]BENEFICIOS!$A:$E,5,0)))</f>
        <v/>
      </c>
      <c r="BP6" s="188" t="s">
        <v>158</v>
      </c>
      <c r="BQ6" s="189" t="s">
        <v>159</v>
      </c>
      <c r="BR6" s="190" t="s">
        <v>156</v>
      </c>
      <c r="BS6" s="191" t="str">
        <f t="shared" si="0"/>
        <v/>
      </c>
      <c r="BT6" s="181"/>
      <c r="BU6" s="192"/>
      <c r="BV6" s="193" t="s">
        <v>86</v>
      </c>
      <c r="BW6" s="194">
        <v>44.9</v>
      </c>
      <c r="BX6" s="127">
        <f>IF(BW6=0,"",IF(BW6=VLOOKUP("PCS-30874g",[1]ARBOR!$A:$C,3,0),0.0001,IF(BW6&gt;VLOOKUP("PCS-30874g",[1]ARBOR!$A:$C,3,0),"Maior que CAP!",IF((DOLLAR(BW6+(VLOOKUP("PCS-30874g",[1]ARBOR!$A:$C,3,0)*-TRUNC(BW6/VLOOKUP("PCS-30874g",[1]ARBOR!$A:$C,3,0)-1,4)),6))&lt;&gt;(DOLLAR(VLOOKUP("PCS-30874g",[1]ARBOR!$A:$C,3,0),6)),-TRUNC(BW6/VLOOKUP("PCS-30874g",[1]ARBOR!$A:$C,3,0)-1,4)+0.0001,-TRUNC(BW6/VLOOKUP("PCS-30874g",[1]ARBOR!$A:$C,3,0)-1,4)))))</f>
        <v>0.53679999999999994</v>
      </c>
      <c r="BY6" s="189" t="str">
        <f>IF(ISERROR(IF(BX6="","",VLOOKUP(($AY6&amp;BX6&amp;"Template de desconto FLAT bundle - Velox XDSL - Varejo"),[1]BENEFICIOS!$A:$E,5,0))),"Criar",IF(BX6="","",VLOOKUP(($AY6&amp;BX6&amp;"Template de desconto FLAT bundle - Velox XDSL - Varejo"),[1]BENEFICIOS!$A:$E,5,0)))</f>
        <v>MKT-1-9829477373</v>
      </c>
      <c r="BZ6" s="193" t="s">
        <v>86</v>
      </c>
      <c r="CA6" s="194">
        <v>44.9</v>
      </c>
      <c r="CB6" s="127">
        <f>IF(CA6=0,"",IF(CA6=VLOOKUP("PCS-30577g",[1]ARBOR!$A:$C,3,0),0.0001,IF(CA6&gt;VLOOKUP("PCS-30577g",[1]ARBOR!$A:$C,3,0),"Maior que CAP!",IF((DOLLAR(CA6+(VLOOKUP("PCS-30577g",[1]ARBOR!$A:$C,3,0)*-TRUNC(CA6/VLOOKUP("PCS-30577g",[1]ARBOR!$A:$C,3,0)-1,4)),6))&lt;&gt;(DOLLAR(VLOOKUP("PCS-30577g",[1]ARBOR!$A:$C,3,0),6)),-TRUNC(CA6/VLOOKUP("PCS-30577g",[1]ARBOR!$A:$C,3,0)-1,4)+0.0001,-TRUNC(CA6/VLOOKUP("PCS-30577g",[1]ARBOR!$A:$C,3,0)-1,4)))))</f>
        <v>0.53679999999999994</v>
      </c>
      <c r="CC6" s="189" t="str">
        <f>IF(ISERROR(IF(CB6="","",VLOOKUP(($AY6&amp;CB6&amp;"Template de desconto FLAT bundle - Velox XDSL - Varejo"),[1]BENEFICIOS!$A:$E,5,0))),"Criar",IF(CB6="","",VLOOKUP(($AY6&amp;CB6&amp;"Template de desconto FLAT bundle - Velox XDSL - Varejo"),[1]BENEFICIOS!$A:$E,5,0)))</f>
        <v>MKT-1-9829477373</v>
      </c>
      <c r="CD6" s="193" t="s">
        <v>86</v>
      </c>
      <c r="CE6" s="194">
        <v>44.9</v>
      </c>
      <c r="CF6" s="127">
        <f>IF(CE6=0,"",IF(CE6=VLOOKUP("PCS-30604g",[1]ARBOR!$A:$C,3,0),0.0001,IF(CE6&gt;VLOOKUP("PCS-30604g",[1]ARBOR!$A:$C,3,0),"Maior que CAP!",IF((DOLLAR(CE6+(VLOOKUP("PCS-30604g",[1]ARBOR!$A:$C,3,0)*-TRUNC(CE6/VLOOKUP("PCS-30604g",[1]ARBOR!$A:$C,3,0)-1,4)),6))&lt;&gt;(DOLLAR(VLOOKUP("PCS-30604g",[1]ARBOR!$A:$C,3,0),6)),-TRUNC(CE6/VLOOKUP("PCS-30604g",[1]ARBOR!$A:$C,3,0)-1,4)+0.0001,-TRUNC(CE6/VLOOKUP("PCS-30604g",[1]ARBOR!$A:$C,3,0)-1,4)))))</f>
        <v>0.53679999999999994</v>
      </c>
      <c r="CG6" s="189" t="str">
        <f>IF(ISERROR(IF(CF6="","",VLOOKUP(($AY6&amp;CF6&amp;"Template de desconto FLAT bundle - Velox XDSL - Varejo"),[1]BENEFICIOS!$A:$E,5,0))),"Criar",IF(CF6="","",VLOOKUP(($AY6&amp;CF6&amp;"Template de desconto FLAT bundle - Velox XDSL - Varejo"),[1]BENEFICIOS!$A:$E,5,0)))</f>
        <v>MKT-1-9829477373</v>
      </c>
      <c r="CH6" s="193" t="s">
        <v>86</v>
      </c>
      <c r="CI6" s="194">
        <v>44.9</v>
      </c>
      <c r="CJ6" s="127">
        <f>IF(CI6=0,"",IF(CI6=VLOOKUP("PCS-30631g",[1]ARBOR!$A:$C,3,0),0.0001,IF(CI6&gt;VLOOKUP("PCS-30631g",[1]ARBOR!$A:$C,3,0),"Maior que CAP!",IF((DOLLAR(CI6+(VLOOKUP("PCS-30631g",[1]ARBOR!$A:$C,3,0)*-TRUNC(CI6/VLOOKUP("PCS-30631g",[1]ARBOR!$A:$C,3,0)-1,4)),6))&lt;&gt;(DOLLAR(VLOOKUP("PCS-30631g",[1]ARBOR!$A:$C,3,0),6)),-TRUNC(CI6/VLOOKUP("PCS-30631g",[1]ARBOR!$A:$C,3,0)-1,4)+0.0001,-TRUNC(CI6/VLOOKUP("PCS-30631g",[1]ARBOR!$A:$C,3,0)-1,4)))))</f>
        <v>0.54310000000000003</v>
      </c>
      <c r="CK6" s="189" t="str">
        <f>IF(ISERROR(IF(CJ6="","",VLOOKUP(($AY6&amp;CJ6&amp;"Template de desconto FLAT bundle - Velox XDSL - Varejo"),[1]BENEFICIOS!$A:$E,5,0))),"Criar",IF(CJ6="","",VLOOKUP(($AY6&amp;CJ6&amp;"Template de desconto FLAT bundle - Velox XDSL - Varejo"),[1]BENEFICIOS!$A:$E,5,0)))</f>
        <v>MKT-1-9828219079</v>
      </c>
      <c r="CL6" s="193"/>
      <c r="CM6" s="194"/>
      <c r="CN6" s="127" t="str">
        <f>IF(CM6=0,"",IF(CM6=VLOOKUP("PCS-30658g",[1]ARBOR!$A:$C,3,0),0.0001,IF(CM6&gt;VLOOKUP("PCS-30658g",[1]ARBOR!$A:$C,3,0),"Maior que CAP!",IF((DOLLAR(CM6+(VLOOKUP("PCS-30658g",[1]ARBOR!$A:$C,3,0)*-TRUNC(CM6/VLOOKUP("PCS-30658g",[1]ARBOR!$A:$C,3,0)-1,4)),6))&lt;&gt;(DOLLAR(VLOOKUP("PCS-30658g",[1]ARBOR!$A:$C,3,0),6)),-TRUNC(CM6/VLOOKUP("PCS-30658g",[1]ARBOR!$A:$C,3,0)-1,4)+0.0001,-TRUNC(CM6/VLOOKUP("PCS-30658g",[1]ARBOR!$A:$C,3,0)-1,4)))))</f>
        <v/>
      </c>
      <c r="CO6" s="189" t="str">
        <f>IF(ISERROR(IF(CN6="","",VLOOKUP(($AY6&amp;CN6&amp;"Template de desconto FLAT bundle - Velox XDSL - Varejo"),[1]BENEFICIOS!$A:$E,5,0))),"Criar",IF(CN6="","",VLOOKUP(($AY6&amp;CN6&amp;"Template de desconto FLAT bundle - Velox XDSL - Varejo"),[1]BENEFICIOS!$A:$E,5,0)))</f>
        <v/>
      </c>
      <c r="CP6" s="193"/>
      <c r="CQ6" s="194"/>
      <c r="CR6" s="127" t="str">
        <f>IF(CQ6=0,"",IF(CQ6=VLOOKUP("PCS-30685g",[1]ARBOR!$A:$C,3,0),0.0001,IF(CQ6&gt;VLOOKUP("PCS-30685g",[1]ARBOR!$A:$C,3,0),"Maior que CAP!",IF((DOLLAR(CQ6+(VLOOKUP("PCS-30685g",[1]ARBOR!$A:$C,3,0)*-TRUNC(CQ6/VLOOKUP("PCS-30685g",[1]ARBOR!$A:$C,3,0)-1,4)),6))&lt;&gt;(DOLLAR(VLOOKUP("PCS-30685g",[1]ARBOR!$A:$C,3,0),6)),-TRUNC(CQ6/VLOOKUP("PCS-30685g",[1]ARBOR!$A:$C,3,0)-1,4)+0.0001,-TRUNC(CQ6/VLOOKUP("PCS-30685g",[1]ARBOR!$A:$C,3,0)-1,4)))))</f>
        <v/>
      </c>
      <c r="CS6" s="189" t="str">
        <f>IF(ISERROR(IF(CR6="","",VLOOKUP(($AY6&amp;CR6&amp;"Template de desconto FLAT bundle - Velox XDSL - Varejo"),[1]BENEFICIOS!$A:$E,5,0))),"Criar",IF(CR6="","",VLOOKUP(($AY6&amp;CR6&amp;"Template de desconto FLAT bundle - Velox XDSL - Varejo"),[1]BENEFICIOS!$A:$E,5,0)))</f>
        <v/>
      </c>
      <c r="CT6" s="193"/>
      <c r="CU6" s="194"/>
      <c r="CV6" s="127" t="str">
        <f>IF(CU6=0,"",IF(CU6=VLOOKUP("PCS-30712g",[1]ARBOR!$A:$C,3,0),0.0001,IF(CU6&gt;VLOOKUP("PCS-30712g",[1]ARBOR!$A:$C,3,0),"Maior que CAP!",IF((DOLLAR(CU6+(VLOOKUP("PCS-30712g",[1]ARBOR!$A:$C,3,0)*-TRUNC(CU6/VLOOKUP("PCS-30712g",[1]ARBOR!$A:$C,3,0)-1,4)),6))&lt;&gt;(DOLLAR(VLOOKUP("PCS-30712g",[1]ARBOR!$A:$C,3,0),6)),-TRUNC(CU6/VLOOKUP("PCS-30712g",[1]ARBOR!$A:$C,3,0)-1,4)+0.0001,-TRUNC(CU6/VLOOKUP("PCS-30712g",[1]ARBOR!$A:$C,3,0)-1,4)))))</f>
        <v/>
      </c>
      <c r="CW6" s="189" t="str">
        <f>IF(ISERROR(IF(CV6="","",VLOOKUP(($AY6&amp;CV6&amp;"Template de desconto FLAT bundle - Velox XDSL - Varejo"),[1]BENEFICIOS!$A:$E,5,0))),"Criar",IF(CV6="","",VLOOKUP(($AY6&amp;CV6&amp;"Template de desconto FLAT bundle - Velox XDSL - Varejo"),[1]BENEFICIOS!$A:$E,5,0)))</f>
        <v/>
      </c>
      <c r="CX6" s="193"/>
      <c r="CY6" s="194"/>
      <c r="CZ6" s="127" t="str">
        <f>IF(CY6=0,"",IF(CY6=VLOOKUP("PCS-30739g",[1]ARBOR!$A:$C,3,0),0.0001,IF(CY6&gt;VLOOKUP("PCS-30739g",[1]ARBOR!$A:$C,3,0),"Maior que CAP!",IF((DOLLAR(CY6+(VLOOKUP("PCS-30739g",[1]ARBOR!$A:$C,3,0)*-TRUNC(CY6/VLOOKUP("PCS-30739g",[1]ARBOR!$A:$C,3,0)-1,4)),6))&lt;&gt;(DOLLAR(VLOOKUP("PCS-30739g",[1]ARBOR!$A:$C,3,0),6)),-TRUNC(CY6/VLOOKUP("PCS-30739g",[1]ARBOR!$A:$C,3,0)-1,4)+0.0001,-TRUNC(CY6/VLOOKUP("PCS-30739g",[1]ARBOR!$A:$C,3,0)-1,4)))))</f>
        <v/>
      </c>
      <c r="DA6" s="195" t="str">
        <f>IF(ISERROR(IF(CZ6="","",VLOOKUP(($AY6&amp;CZ6&amp;"Template de desconto FLAT bundle - Velox XDSL - Varejo"),[1]BENEFICIOS!$A:$E,5,0))),"Criar",IF(CZ6="","",VLOOKUP(($AY6&amp;CZ6&amp;"Template de desconto FLAT bundle - Velox XDSL - Varejo"),[1]BENEFICIOS!$A:$E,5,0)))</f>
        <v/>
      </c>
      <c r="DB6" s="196"/>
      <c r="DC6" s="197"/>
      <c r="DD6" s="127" t="str">
        <f>IF(DB6=0,"",IF(DB6=VLOOKUP("PCS-30739g",[1]ARBOR!$A:$C,3,0),0.0001,IF(DB6&gt;VLOOKUP("PCS-30739g",[1]ARBOR!$A:$C,3,0),"Maior que CAP!",IF((DOLLAR(DB6+(VLOOKUP("PCS-30739g",[1]ARBOR!$A:$C,3,0)*-TRUNC(DB6/VLOOKUP("PCS-30739g",[1]ARBOR!$A:$C,3,0)-1,4)),6))&lt;&gt;(DOLLAR(VLOOKUP("PCS-30739g",[1]ARBOR!$A:$C,3,0),6)),(-TRUNC(DB6/VLOOKUP("PCS-30739g",[1]ARBOR!$A:$C,3,0)-1,4)+0.0001)-CZ6,-TRUNC(DB6/VLOOKUP("PCS-30739g",[1]ARBOR!$A:$C,3,0)-1,4)-CZ6))))</f>
        <v/>
      </c>
      <c r="DE6" s="189" t="str">
        <f>IF(ISERROR(IF(DD6="","",VLOOKUP(($AY6&amp;DD6&amp;"Template de desconto percentual Bundle - Velox XDSL - Varejo"),[1]BENEFICIOS!$A:$E,5,0))),"Criar",IF(DD6="","",VLOOKUP(($AY6&amp;DD6&amp;"Template de desconto percentual Bundle - Velox XDSL - Varejo"),[1]BENEFICIOS!$A:$E,5,0)))</f>
        <v/>
      </c>
      <c r="DF6" s="193"/>
      <c r="DG6" s="194"/>
      <c r="DH6" s="127" t="str">
        <f>IF(DG6=0,"",IF(DG6=VLOOKUP("PCS-30766g",[1]ARBOR!$A:$C,3,0),0.0001,IF(DG6&gt;VLOOKUP("PCS-30766g",[1]ARBOR!$A:$C,3,0),"Maior que CAP!",IF((DOLLAR(DG6+(VLOOKUP("PCS-30766g",[1]ARBOR!$A:$C,3,0)*-TRUNC(DG6/VLOOKUP("PCS-30766g",[1]ARBOR!$A:$C,3,0)-1,4)),6))&lt;&gt;(DOLLAR(VLOOKUP("PCS-30766g",[1]ARBOR!$A:$C,3,0),6)),-TRUNC(DG6/VLOOKUP("PCS-30766g",[1]ARBOR!$A:$C,3,0)-1,4)+0.0001,-TRUNC(DG6/VLOOKUP("PCS-30766g",[1]ARBOR!$A:$C,3,0)-1,4)))))</f>
        <v/>
      </c>
      <c r="DI6" s="195" t="str">
        <f>IF(ISERROR(IF(DH6="","",VLOOKUP(($AY6&amp;DH6&amp;"Template de desconto FLAT bundle - Velox XDSL - Varejo"),[1]BENEFICIOS!$A:$E,5,0))),"Criar",IF(DH6="","",VLOOKUP(($AY6&amp;DH6&amp;"Template de desconto FLAT bundle - Velox XDSL - Varejo"),[1]BENEFICIOS!$A:$E,5,0)))</f>
        <v/>
      </c>
      <c r="DJ6" s="196"/>
      <c r="DK6" s="197"/>
      <c r="DL6" s="127" t="str">
        <f>IF(DJ6=0,"",IF(DJ6=VLOOKUP("PCS-30766g",[1]ARBOR!$A:$C,3,0),0.0001,IF(DJ6&gt;VLOOKUP("PCS-30766g",[1]ARBOR!$A:$C,3,0),"Maior que CAP!",IF((DOLLAR(DJ6+(VLOOKUP("PCS-30766g",[1]ARBOR!$A:$C,3,0)*-TRUNC(DJ6/VLOOKUP("PCS-30766g",[1]ARBOR!$A:$C,3,0)-1,4)),6))&lt;&gt;(DOLLAR(VLOOKUP("PCS-30766g",[1]ARBOR!$A:$C,3,0),6)),(-TRUNC(DJ6/VLOOKUP("PCS-30766g",[1]ARBOR!$A:$C,3,0)-1,4)+0.0001)-DH6,-TRUNC(DJ6/VLOOKUP("PCS-30766g",[1]ARBOR!$A:$C,3,0)-1,4)-DH6))))</f>
        <v/>
      </c>
      <c r="DM6" s="189" t="str">
        <f>IF(ISERROR(IF(DL6="","",VLOOKUP(($AY6&amp;DL6&amp;"Template de desconto percentual Bundle - Velox XDSL - Varejo"),[1]BENEFICIOS!$A:$E,5,0))),"Criar",IF(DL6="","",VLOOKUP(($AY6&amp;DL6&amp;"Template de desconto percentual Bundle - Velox XDSL - Varejo"),[1]BENEFICIOS!$A:$E,5,0)))</f>
        <v/>
      </c>
      <c r="DN6" s="193"/>
      <c r="DO6" s="194"/>
      <c r="DP6" s="127" t="str">
        <f>IF(DO6=0,"",IF(DO6=VLOOKUP("PCS-30793g",[1]ARBOR!$A:$C,3,0),0.0001,IF(DO6&gt;VLOOKUP("PCS-30793g",[1]ARBOR!$A:$C,3,0),"Maior que CAP!",IF((DOLLAR(DO6+(VLOOKUP("PCS-30793g",[1]ARBOR!$A:$C,3,0)*-TRUNC(DO6/VLOOKUP("PCS-30793g",[1]ARBOR!$A:$C,3,0)-1,4)),6))&lt;&gt;(DOLLAR(VLOOKUP("PCS-30793g",[1]ARBOR!$A:$C,3,0),6)),-TRUNC(DO6/VLOOKUP("PCS-30793g",[1]ARBOR!$A:$C,3,0)-1,4)+0.0001,-TRUNC(DO6/VLOOKUP("PCS-30793g",[1]ARBOR!$A:$C,3,0)-1,4)))))</f>
        <v/>
      </c>
      <c r="DQ6" s="195" t="str">
        <f>IF(ISERROR(IF(DP6="","",VLOOKUP(($AY6&amp;DP6&amp;"Template de desconto FLAT bundle - Velox XDSL - Varejo"),[1]BENEFICIOS!$A:$E,5,0))),"Criar",IF(DP6="","",VLOOKUP(($AY6&amp;DP6&amp;"Template de desconto FLAT bundle - Velox XDSL - Varejo"),[1]BENEFICIOS!$A:$E,5,0)))</f>
        <v/>
      </c>
      <c r="DR6" s="196"/>
      <c r="DS6" s="197"/>
      <c r="DT6" s="127" t="str">
        <f>IF(DR6=0,"",IF(DR6=VLOOKUP("PCS-30793g",[1]ARBOR!$A:$C,3,0),0.0001,IF(DR6&gt;VLOOKUP("PCS-30793g",[1]ARBOR!$A:$C,3,0),"Maior que CAP!",IF((DOLLAR(DR6+(VLOOKUP("PCS-30793g",[1]ARBOR!$A:$C,3,0)*-TRUNC(DR6/VLOOKUP("PCS-30793g",[1]ARBOR!$A:$C,3,0)-1,4)),6))&lt;&gt;(DOLLAR(VLOOKUP("PCS-30793g",[1]ARBOR!$A:$C,3,0),6)),(-TRUNC(DR6/VLOOKUP("PCS-30793g",[1]ARBOR!$A:$C,3,0)-1,4)+0.0001)-DP6,-TRUNC(DR6/VLOOKUP("PCS-30793g",[1]ARBOR!$A:$C,3,0)-1,4)-DP6))))</f>
        <v/>
      </c>
      <c r="DU6" s="189" t="str">
        <f>IF(ISERROR(IF(DT6="","",VLOOKUP(($AY6&amp;DT6&amp;"Template de desconto percentual Bundle - Velox XDSL - Varejo"),[1]BENEFICIOS!$A:$E,5,0))),"Criar",IF(DT6="","",VLOOKUP(($AY6&amp;DT6&amp;"Template de desconto percentual Bundle - Velox XDSL - Varejo"),[1]BENEFICIOS!$A:$E,5,0)))</f>
        <v/>
      </c>
      <c r="DV6" s="193"/>
      <c r="DW6" s="194"/>
      <c r="DX6" s="127" t="str">
        <f>IF(DW6=0,"",IF(DW6=VLOOKUP("PCS-30820g",[1]ARBOR!$A:$C,3,0),0.0001,IF(DW6&gt;VLOOKUP("PCS-30820g",[1]ARBOR!$A:$C,3,0),"Maior que CAP!",IF((DOLLAR(DW6+(VLOOKUP("PCS-30820g",[1]ARBOR!$A:$C,3,0)*-TRUNC(DW6/VLOOKUP("PCS-30820g",[1]ARBOR!$A:$C,3,0)-1,4)),6))&lt;&gt;(DOLLAR(VLOOKUP("PCS-30820g",[1]ARBOR!$A:$C,3,0),6)),-TRUNC(DW6/VLOOKUP("PCS-30820g",[1]ARBOR!$A:$C,3,0)-1,4)+0.0001,-TRUNC(DW6/VLOOKUP("PCS-30820g",[1]ARBOR!$A:$C,3,0)-1,4)))))</f>
        <v/>
      </c>
      <c r="DY6" s="195" t="str">
        <f>IF(ISERROR(IF(DX6="","",VLOOKUP(($AY6&amp;DX6&amp;"Template de desconto FLAT bundle - Velox XDSL - Varejo"),[1]BENEFICIOS!$A:$E,5,0))),"Criar",IF(DX6="","",VLOOKUP(($AY6&amp;DX6&amp;"Template de desconto FLAT bundle - Velox XDSL - Varejo"),[1]BENEFICIOS!$A:$E,5,0)))</f>
        <v/>
      </c>
      <c r="DZ6" s="196"/>
      <c r="EA6" s="197"/>
      <c r="EB6" s="127" t="str">
        <f>IF(DZ6=0,"",IF(DZ6=VLOOKUP("PCS-30820g",[1]ARBOR!$A:$C,3,0),0.0001,IF(DZ6&gt;VLOOKUP("PCS-30820g",[1]ARBOR!$A:$C,3,0),"Maior que CAP!",IF((DOLLAR(DZ6+(VLOOKUP("PCS-30820g",[1]ARBOR!$A:$C,3,0)*-TRUNC(DZ6/VLOOKUP("PCS-30820g",[1]ARBOR!$A:$C,3,0)-1,4)),6))&lt;&gt;(DOLLAR(VLOOKUP("PCS-30820g",[1]ARBOR!$A:$C,3,0),6)),(-TRUNC(DZ6/VLOOKUP("PCS-30820g",[1]ARBOR!$A:$C,3,0)-1,4)+0.0001)-DX6,-TRUNC(DZ6/VLOOKUP("PCS-30820g",[1]ARBOR!$A:$C,3,0)-1,4)-DX6))))</f>
        <v/>
      </c>
      <c r="EC6" s="189" t="str">
        <f>IF(ISERROR(IF(EB6="","",VLOOKUP(($AY6&amp;EB6&amp;"Template de desconto percentual Bundle - Velox XDSL - Varejo"),[1]BENEFICIOS!$A:$E,5,0))),"Criar",IF(EB6="","",VLOOKUP(($AY6&amp;EB6&amp;"Template de desconto percentual Bundle - Velox XDSL - Varejo"),[1]BENEFICIOS!$A:$E,5,0)))</f>
        <v/>
      </c>
      <c r="ED6" s="198">
        <v>44.9</v>
      </c>
      <c r="EE6" s="127">
        <f>IF(ED6=0,"",IF(ED6=VLOOKUP("PCS-21448p2",[1]ARBOR!$A:$C,3,0),0.0001,IF(ED6&gt;VLOOKUP("PCS-21448p2",[1]ARBOR!$A:$C,3,0),"Maior que CAP!",IF((DOLLAR(ED6+(VLOOKUP("PCS-21448p2",[1]ARBOR!$A:$C,3,0)*-TRUNC(ED6/VLOOKUP("PCS-21448p2",[1]ARBOR!$A:$C,3,0)-1,4)),6))&lt;&gt;(DOLLAR(VLOOKUP("PCS-21448p2",[1]ARBOR!$A:$C,3,0),6)),-TRUNC(ED6/VLOOKUP("PCS-21448p2",[1]ARBOR!$A:$C,3,0)-1,4)+0.0001,-TRUNC(ED6/VLOOKUP("PCS-21448p2",[1]ARBOR!$A:$C,3,0)-1,4)))))</f>
        <v>0.64900000000000002</v>
      </c>
      <c r="EF6" s="127" t="str">
        <f>IF(ISERROR(IF(EE6="","",VLOOKUP(("Oi Conta Total Plug 10GB Downgrade"&amp;EE6&amp;"Template de desconto percentual BL Móvel - Internet Total - Varejo"),[1]BENEFICIOS!$A:$E,5,0))),"Criar",IF(EE6="","",VLOOKUP(("Oi Conta Total Plug 10GB Downgrade"&amp;EE6&amp;"Template de desconto percentual BL Móvel - Internet Total - Varejo"),[1]BENEFICIOS!$A:$E,5,0)))</f>
        <v>MKT-1-9825544790</v>
      </c>
      <c r="EG6" s="199">
        <v>16.5</v>
      </c>
      <c r="EH6" s="200">
        <f>IF(EG6=0,"",IF(EG6=VLOOKUP("SVA",[1]ARBOR!$A:$C,3,0),0.0001,IF(EG6&gt;VLOOKUP("SVA",[1]ARBOR!$A:$C,3,0),"Maior que CAP!",IF((DOLLAR(EG6+(VLOOKUP("SVA",[1]ARBOR!$A:$C,3,0)*-TRUNC(EG6/VLOOKUP("SVA",[1]ARBOR!$A:$C,3,0)-1,4)),6))&lt;&gt;(DOLLAR(VLOOKUP("SVA",[1]ARBOR!$A:$C,3,0),6)),-TRUNC(EG6/VLOOKUP("SVA",[1]ARBOR!$A:$C,3,0)-1,4)+0.0001,-TRUNC(EG6/VLOOKUP("SVA",[1]ARBOR!$A:$C,3,0)-1,4)))))</f>
        <v>0.2301</v>
      </c>
      <c r="EI6" s="200" t="s">
        <v>160</v>
      </c>
      <c r="EJ6" s="201"/>
      <c r="EK6" s="202"/>
      <c r="EL6" s="203" t="str">
        <f t="shared" si="3"/>
        <v/>
      </c>
      <c r="EM6" s="200" t="str">
        <f>IF(EL6="S/Desc","S/Desc",IF(ISERROR(IF(EL6="","",VLOOKUP(($BX6&amp;EL6&amp;"Template Desc. % sobre Serviço SVA B2C"),[1]BENEFICIOS!$A:$G,5,0))),"Criar",IF(EL6="","",VLOOKUP(($BX6&amp;EL6&amp;"Template Desc. % sobre Serviço SVA B2C"),[1]BENEFICIOS!$A:$G,5,0))))</f>
        <v/>
      </c>
      <c r="EN6" s="129"/>
      <c r="EO6" s="127" t="str">
        <f>IF(EN6=0,"",IF(EN6=VLOOKUP("PCS-OzTL40",[1]ARBOR!$A:$C,3,0),0.0001,IF(EN6&gt;VLOOKUP("PCS-OzTL40",[1]ARBOR!$A:$C,3,0),"Maior que CAP!",IF((DOLLAR(EN6+(VLOOKUP("PCS-OzTL40",[1]ARBOR!$A:$C,3,0)*-TRUNC(EN6/VLOOKUP("PCS-OzTL40",[1]ARBOR!$A:$C,3,0)-1,4)),6))&lt;&gt;(DOLLAR(VLOOKUP("PCS-OzTL40",[1]ARBOR!$A:$C,3,0),6)),-TRUNC(EN6/VLOOKUP("PCS-OzTL40",[1]ARBOR!$A:$C,3,0)-1,4)+0.0001,-TRUNC(EN6/VLOOKUP("PCS-OzTL40",[1]ARBOR!$A:$C,3,0)-1,4)))))</f>
        <v/>
      </c>
      <c r="EP6" s="189" t="str">
        <f>IF(ISERROR(IF(EO6="","",VLOOKUP(($AY6&amp;EO6&amp;"Template desconto FLAT Plano Principal Oi TV nível conta"),[1]BENEFICIOS!$A:$G,5,0))),"Criar",IF(EO6="","",VLOOKUP(($AY6&amp;EO6&amp;"Template desconto FLAT Plano Principal Oi TV nível conta"),[1]BENEFICIOS!$A:$G,5,0)))</f>
        <v/>
      </c>
      <c r="EQ6" s="129"/>
      <c r="ER6" s="127" t="str">
        <f>IF(EQ6=0,"",IF(EQ6=VLOOKUP("PCS-OzTL41",[1]ARBOR!$A:$C,3,0),0.0001,IF(EQ6&gt;VLOOKUP("PCS-OzTL41",[1]ARBOR!$A:$C,3,0),"Maior que CAP!",IF((DOLLAR(EQ6+(VLOOKUP("PCS-OzTL41",[1]ARBOR!$A:$C,3,0)*-TRUNC(EQ6/VLOOKUP("PCS-OzTL41",[1]ARBOR!$A:$C,3,0)-1,4)),6))&lt;&gt;(DOLLAR(VLOOKUP("PCS-OzTL41",[1]ARBOR!$A:$C,3,0),6)),-TRUNC(EQ6/VLOOKUP("PCS-OzTL41",[1]ARBOR!$A:$C,3,0)-1,4)+0.0001,-TRUNC(EQ6/VLOOKUP("PCS-OzTL41",[1]ARBOR!$A:$C,3,0)-1,4)))))</f>
        <v/>
      </c>
      <c r="ES6" s="204" t="str">
        <f>IF(ISERROR(IF(ER6="","",VLOOKUP(($AY6&amp;ER6&amp;"Template desconto FLAT Plano Principal Oi TV nível conta"),[1]BENEFICIOS!$A:$G,5,0))),"Criar",IF(ER6="","",VLOOKUP(($AY6&amp;ER6&amp;"Template desconto FLAT Plano Principal Oi TV nível conta"),[1]BENEFICIOS!$A:$G,5,0)))</f>
        <v/>
      </c>
      <c r="ET6" s="129"/>
      <c r="EU6" s="127" t="str">
        <f>IF(ET6=0,"",IF(ET6=VLOOKUP("PCS-OzTL44",[1]ARBOR!$A:$C,3,0),0.0001,IF(ET6&gt;VLOOKUP("PCS-OzTL44",[1]ARBOR!$A:$C,3,0),"Maior que CAP!",IF((DOLLAR(ET6+(VLOOKUP("PCS-OzTL44",[1]ARBOR!$A:$C,3,0)*-TRUNC(ET6/VLOOKUP("PCS-OzTL44",[1]ARBOR!$A:$C,3,0)-1,4)),6))&lt;&gt;(DOLLAR(VLOOKUP("PCS-OzTL44",[1]ARBOR!$A:$C,3,0),6)),-TRUNC(ET6/VLOOKUP("PCS-OzTL44",[1]ARBOR!$A:$C,3,0)-1,4)+0.0001,-TRUNC(ET6/VLOOKUP("PCS-OzTL44",[1]ARBOR!$A:$C,3,0)-1,4)))))</f>
        <v/>
      </c>
      <c r="EV6" s="204" t="str">
        <f>IF(ISERROR(IF(EU6="","",VLOOKUP(($AY6&amp;EU6&amp;"Template desconto FLAT Plano Principal Oi TV nível conta"),[1]BENEFICIOS!$A:$G,5,0))),"Criar",IF(EU6="","",VLOOKUP(($AY6&amp;EU6&amp;"Template desconto FLAT Plano Principal Oi TV nível conta"),[1]BENEFICIOS!$A:$G,5,0)))</f>
        <v/>
      </c>
      <c r="EW6" s="129"/>
      <c r="EX6" s="127" t="str">
        <f>IF(EW6=0,"",IF(EW6=VLOOKUP("PCS-OzTL43",[1]ARBOR!$A:$C,3,0),0.0001,IF(EW6&gt;VLOOKUP("PCS-OzTL43",[1]ARBOR!$A:$C,3,0),"Maior que CAP!",IF((DOLLAR(EW6+(VLOOKUP("PCS-OzTL43",[1]ARBOR!$A:$C,3,0)*-TRUNC(EW6/VLOOKUP("PCS-OzTL43",[1]ARBOR!$A:$C,3,0)-1,4)),6))&lt;&gt;(DOLLAR(VLOOKUP("PCS-OzTL43",[1]ARBOR!$A:$C,3,0),6)),-TRUNC(EW6/VLOOKUP("PCS-OzTL43",[1]ARBOR!$A:$C,3,0)-1,4)+0.0001,-TRUNC(EW6/VLOOKUP("PCS-OzTL43",[1]ARBOR!$A:$C,3,0)-1,4)))))</f>
        <v/>
      </c>
      <c r="EY6" s="204" t="str">
        <f>IF(ISERROR(IF(EX6="","",VLOOKUP(($AY6&amp;EX6&amp;"Template desconto FLAT Plano Principal Oi TV nível conta"),[1]BENEFICIOS!$A:$G,5,0))),"Criar",IF(EX6="","",VLOOKUP(($AY6&amp;EX6&amp;"Template desconto FLAT Plano Principal Oi TV nível conta"),[1]BENEFICIOS!$A:$G,5,0)))</f>
        <v/>
      </c>
      <c r="EZ6" s="129"/>
      <c r="FA6" s="127" t="str">
        <f>IF(EZ6=0,"",IF(EZ6=VLOOKUP("PCS-OzTL45",[1]ARBOR!$A:$C,3,0),0.0001,IF(EZ6&gt;VLOOKUP("PCS-OzTL45",[1]ARBOR!$A:$C,3,0),"Maior que CAP!",IF((DOLLAR(EZ6+(VLOOKUP("PCS-OzTL45",[1]ARBOR!$A:$C,3,0)*-TRUNC(EZ6/VLOOKUP("PCS-OzTL45",[1]ARBOR!$A:$C,3,0)-1,4)),6))&lt;&gt;(DOLLAR(VLOOKUP("PCS-OzTL45",[1]ARBOR!$A:$C,3,0),6)),-TRUNC(EZ6/VLOOKUP("PCS-OzTL45",[1]ARBOR!$A:$C,3,0)-1,4)+0.0001,-TRUNC(EZ6/VLOOKUP("PCS-OzTL45",[1]ARBOR!$A:$C,3,0)-1,4)))))</f>
        <v/>
      </c>
      <c r="FB6" s="204" t="str">
        <f>IF(ISERROR(IF(FA6="","",VLOOKUP(($AY6&amp;FA6&amp;"Template desconto FLAT Plano Principal Oi TV nível conta"),[1]BENEFICIOS!$A:$G,5,0))),"Criar",IF(FA6="","",VLOOKUP(($AY6&amp;FA6&amp;"Template desconto FLAT Plano Principal Oi TV nível conta"),[1]BENEFICIOS!$A:$G,5,0)))</f>
        <v/>
      </c>
      <c r="FC6" s="129"/>
      <c r="FD6" s="127" t="str">
        <f>IF(FC6=0,"",IF(FC6=VLOOKUP("PCS-OzTL741",[1]ARBOR!$A:$C,3,0),0.0001,IF(FC6&gt;VLOOKUP("PCS-OzTL741",[1]ARBOR!$A:$C,3,0),"Maior que CAP!",IF((DOLLAR(FC6+(VLOOKUP("PCS-OzTL741",[1]ARBOR!$A:$C,3,0)*-TRUNC(FC6/VLOOKUP("PCS-OzTL741",[1]ARBOR!$A:$C,3,0)-1,4)),6))&lt;&gt;(DOLLAR(VLOOKUP("PCS-OzTL741",[1]ARBOR!$A:$C,3,0),6)),-TRUNC(FC6/VLOOKUP("PCS-OzTL741",[1]ARBOR!$A:$C,3,0)-1,4)+0.0001,-TRUNC(FC6/VLOOKUP("PCS-OzTL741",[1]ARBOR!$A:$C,3,0)-1,4)))))</f>
        <v/>
      </c>
      <c r="FE6" s="204" t="str">
        <f>IF(ISERROR(IF(FD6="","",VLOOKUP(($AY6&amp;FD6&amp;"Template desconto FLAT Plano Principal Oi TV nível conta"),[1]BENEFICIOS!$A:$G,5,0))),"Criar",IF(FD6="","",VLOOKUP(($AY6&amp;FD6&amp;"Template desconto FLAT Plano Principal Oi TV nível conta"),[1]BENEFICIOS!$A:$G,5,0)))</f>
        <v/>
      </c>
      <c r="FF6" s="129"/>
      <c r="FG6" s="127" t="str">
        <f>IF(FF6=0,"",IF(FF6=VLOOKUP("PCS-OzTL744",[1]ARBOR!$A:$C,3,0),0.0001,IF(FF6&gt;VLOOKUP("PCS-OzTL744",[1]ARBOR!$A:$C,3,0),"Maior que CAP!",IF((DOLLAR(FF6+(VLOOKUP("PCS-OzTL744",[1]ARBOR!$A:$C,3,0)*-TRUNC(FF6/VLOOKUP("PCS-OzTL744",[1]ARBOR!$A:$C,3,0)-1,4)),6))&lt;&gt;(DOLLAR(VLOOKUP("PCS-OzTL744",[1]ARBOR!$A:$C,3,0),6)),-TRUNC(FF6/VLOOKUP("PCS-OzTL744",[1]ARBOR!$A:$C,3,0)-1,4)+0.0001,-TRUNC(FF6/VLOOKUP("PCS-OzTL744",[1]ARBOR!$A:$C,3,0)-1,4)))))</f>
        <v/>
      </c>
      <c r="FH6" s="204" t="str">
        <f>IF(ISERROR(IF(FG6="","",VLOOKUP(($AY6&amp;FG6&amp;"Template desconto FLAT Plano Principal Oi TV nível conta"),[1]BENEFICIOS!$A:$G,5,0))),"Criar",IF(FG6="","",VLOOKUP(($AY6&amp;FG6&amp;"Template desconto FLAT Plano Principal Oi TV nível conta"),[1]BENEFICIOS!$A:$G,5,0)))</f>
        <v/>
      </c>
      <c r="FI6" s="129"/>
      <c r="FJ6" s="127" t="str">
        <f>IF(FI6=0,"",IF(FI6=VLOOKUP("PCS-OzTL743",[1]ARBOR!$A:$C,3,0),0.0001,IF(FI6&gt;VLOOKUP("PCS-OzTL743",[1]ARBOR!$A:$C,3,0),"Maior que CAP!",IF((DOLLAR(FI6+(VLOOKUP("PCS-OzTL743",[1]ARBOR!$A:$C,3,0)*-TRUNC(FI6/VLOOKUP("PCS-OzTL743",[1]ARBOR!$A:$C,3,0)-1,4)),6))&lt;&gt;(DOLLAR(VLOOKUP("PCS-OzTL743",[1]ARBOR!$A:$C,3,0),6)),-TRUNC(FI6/VLOOKUP("PCS-OzTL743",[1]ARBOR!$A:$C,3,0)-1,4)+0.0001,-TRUNC(FI6/VLOOKUP("PCS-OzTL743",[1]ARBOR!$A:$C,3,0)-1,4)))))</f>
        <v/>
      </c>
      <c r="FK6" s="204" t="str">
        <f>IF(ISERROR(IF(FJ6="","",VLOOKUP(($AY6&amp;FJ6&amp;"Template desconto FLAT Plano Principal Oi TV nível conta"),[1]BENEFICIOS!$A:$G,5,0))),"Criar",IF(FJ6="","",VLOOKUP(($AY6&amp;FJ6&amp;"Template desconto FLAT Plano Principal Oi TV nível conta"),[1]BENEFICIOS!$A:$G,5,0)))</f>
        <v/>
      </c>
      <c r="FL6" s="129"/>
      <c r="FM6" s="127" t="str">
        <f>IF(FL6=0,"",IF(FL6=VLOOKUP("PCS-OzTL745",[1]ARBOR!$A:$C,3,0),0.0001,IF(FL6&gt;VLOOKUP("PCS-OzTL745",[1]ARBOR!$A:$C,3,0),"Maior que CAP!",IF((DOLLAR(FL6+(VLOOKUP("PCS-OzTL745",[1]ARBOR!$A:$C,3,0)*-TRUNC(FL6/VLOOKUP("PCS-OzTL745",[1]ARBOR!$A:$C,3,0)-1,4)),6))&lt;&gt;(DOLLAR(VLOOKUP("PCS-OzTL745",[1]ARBOR!$A:$C,3,0),6)),-TRUNC(FL6/VLOOKUP("PCS-OzTL745",[1]ARBOR!$A:$C,3,0)-1,4)+0.0001,-TRUNC(FL6/VLOOKUP("PCS-OzTL745",[1]ARBOR!$A:$C,3,0)-1,4)))))</f>
        <v/>
      </c>
      <c r="FN6" s="204" t="str">
        <f>IF(ISERROR(IF(FM6="","",VLOOKUP(($AY6&amp;FM6&amp;"Template desconto FLAT Plano Principal Oi TV nível conta"),[1]BENEFICIOS!$A:$G,5,0))),"Criar",IF(FM6="","",VLOOKUP(($AY6&amp;FM6&amp;"Template desconto FLAT Plano Principal Oi TV nível conta"),[1]BENEFICIOS!$A:$G,5,0)))</f>
        <v/>
      </c>
      <c r="FO6" s="129"/>
      <c r="FP6" s="127" t="str">
        <f>IF(FO6=0,"",IF(FO6=VLOOKUP("PCS-OzTL42",[1]ARBOR!$A:$C,3,0),0.0001,IF(FO6&gt;VLOOKUP("PCS-OzTL42",[1]ARBOR!$A:$C,3,0),"Maior que CAP!",IF((DOLLAR(FO6+(VLOOKUP("PCS-OzTL42",[1]ARBOR!$A:$C,3,0)*-TRUNC(FO6/VLOOKUP("PCS-OzTL42",[1]ARBOR!$A:$C,3,0)-1,4)),6))&lt;&gt;(DOLLAR(VLOOKUP("PCS-OzTL42",[1]ARBOR!$A:$C,3,0),6)),-TRUNC(FO6/VLOOKUP("PCS-OzTL42",[1]ARBOR!$A:$C,3,0)-1,4)+0.0001,-TRUNC(FO6/VLOOKUP("PCS-OzTL42",[1]ARBOR!$A:$C,3,0)-1,4)))))</f>
        <v/>
      </c>
      <c r="FQ6" s="204" t="str">
        <f>IF(ISERROR(IF(FP6="","",VLOOKUP(($AY6&amp;FP6&amp;"Template desconto FLAT Plano Principal Oi TV nível conta"),[1]BENEFICIOS!$A:$G,5,0))),"Criar",IF(FP6="","",VLOOKUP(($AY6&amp;FP6&amp;"Template desconto FLAT Plano Principal Oi TV nível conta"),[1]BENEFICIOS!$A:$G,5,0)))</f>
        <v/>
      </c>
      <c r="FR6" s="129">
        <v>149.9</v>
      </c>
      <c r="FS6" s="127">
        <f>IF(FR6=0,"",IF(FR6=VLOOKUP("PCS-OzTL47",[1]ARBOR!$A:$C,3,0),0.0001,IF(FR6&gt;VLOOKUP("PCS-OzTL47",[1]ARBOR!$A:$C,3,0),"Maior que CAP!",IF((DOLLAR(FR6+(VLOOKUP("PCS-OzTL47",[1]ARBOR!$A:$C,3,0)*-TRUNC(FR6/VLOOKUP("PCS-OzTL47",[1]ARBOR!$A:$C,3,0)-1,4)),6))&lt;&gt;(DOLLAR(VLOOKUP("PCS-OzTL47",[1]ARBOR!$A:$C,3,0),6)),-TRUNC(FR6/VLOOKUP("PCS-OzTL47",[1]ARBOR!$A:$C,3,0)-1,4)+0.0001,-TRUNC(FR6/VLOOKUP("PCS-OzTL47",[1]ARBOR!$A:$C,3,0)-1,4)))))</f>
        <v>0.26389999999999997</v>
      </c>
      <c r="FT6" s="204" t="str">
        <f>IF(ISERROR(IF(FS6="","",VLOOKUP(($AY6&amp;FS6&amp;"Template desconto FLAT Plano Principal Oi TV nível conta"),[1]BENEFICIOS!$A:$G,5,0))),"Criar",IF(FS6="","",VLOOKUP(($AY6&amp;FS6&amp;"Template desconto FLAT Plano Principal Oi TV nível conta"),[1]BENEFICIOS!$A:$G,5,0)))</f>
        <v>MKT-1-10140957431</v>
      </c>
      <c r="FU6" s="129"/>
      <c r="FV6" s="127" t="str">
        <f>IF(FU6=0,"",IF(FU6=VLOOKUP("PCS-OzTL46",[1]ARBOR!$A:$C,3,0),0.0001,IF(FU6&gt;VLOOKUP("PCS-OzTL46",[1]ARBOR!$A:$C,3,0),"Maior que CAP!",IF((DOLLAR(FU6+(VLOOKUP("PCS-OzTL46",[1]ARBOR!$A:$C,3,0)*-TRUNC(FU6/VLOOKUP("PCS-OzTL46",[1]ARBOR!$A:$C,3,0)-1,4)),6))&lt;&gt;(DOLLAR(VLOOKUP("PCS-OzTL46",[1]ARBOR!$A:$C,3,0),6)),-TRUNC(FU6/VLOOKUP("PCS-OzTL46",[1]ARBOR!$A:$C,3,0)-1,4)+0.0001,-TRUNC(FU6/VLOOKUP("PCS-OzTL46",[1]ARBOR!$A:$C,3,0)-1,4)))))</f>
        <v/>
      </c>
      <c r="FW6" s="204" t="str">
        <f>IF(ISERROR(IF(FV6="","",VLOOKUP(($AY6&amp;FV6&amp;"Template desconto FLAT Plano Principal Oi TV nível conta"),[1]BENEFICIOS!$A:$G,5,0))),"Criar",IF(FV6="","",VLOOKUP(($AY6&amp;FV6&amp;"Template desconto FLAT Plano Principal Oi TV nível conta"),[1]BENEFICIOS!$A:$G,5,0)))</f>
        <v/>
      </c>
      <c r="FX6" s="129"/>
      <c r="FY6" s="127" t="str">
        <f>IF(FX6=0,"",IF(FX6=VLOOKUP("PCS-OzTL48",[1]ARBOR!$A:$C,3,0),0.0001,IF(FX6&gt;VLOOKUP("PCS-OzTL48",[1]ARBOR!$A:$C,3,0),"Maior que CAP!",IF((DOLLAR(FX6+(VLOOKUP("PCS-OzTL48",[1]ARBOR!$A:$C,3,0)*-TRUNC(FX6/VLOOKUP("PCS-OzTL48",[1]ARBOR!$A:$C,3,0)-1,4)),6))&lt;&gt;(DOLLAR(VLOOKUP("PCS-OzTL48",[1]ARBOR!$A:$C,3,0),6)),-TRUNC(FX6/VLOOKUP("PCS-OzTL48",[1]ARBOR!$A:$C,3,0)-1,4)+0.0001,-TRUNC(FX6/VLOOKUP("PCS-OzTL48",[1]ARBOR!$A:$C,3,0)-1,4)))))</f>
        <v/>
      </c>
      <c r="FZ6" s="204" t="str">
        <f>IF(ISERROR(IF(FY6="","",VLOOKUP(($AY6&amp;FY6&amp;"Template desconto FLAT Plano Principal Oi TV nível conta"),[1]BENEFICIOS!$A:$G,5,0))),"Criar",IF(FY6="","",VLOOKUP(($AY6&amp;FY6&amp;"Template desconto FLAT Plano Principal Oi TV nível conta"),[1]BENEFICIOS!$A:$G,5,0)))</f>
        <v/>
      </c>
      <c r="GA6" s="129"/>
      <c r="GB6" s="127" t="str">
        <f>IF(GA6=0,"",IF(GA6=VLOOKUP("PCS-OzTL742",[1]ARBOR!$A:$C,3,0),0.0001,IF(GA6&gt;VLOOKUP("PCS-OzTL742",[1]ARBOR!$A:$C,3,0),"Maior que CAP!",IF((DOLLAR(GA6+(VLOOKUP("PCS-OzTL742",[1]ARBOR!$A:$C,3,0)*-TRUNC(GA6/VLOOKUP("PCS-OzTL742",[1]ARBOR!$A:$C,3,0)-1,4)),6))&lt;&gt;(DOLLAR(VLOOKUP("PCS-OzTL742",[1]ARBOR!$A:$C,3,0),6)),-TRUNC(GA6/VLOOKUP("PCS-OzTL742",[1]ARBOR!$A:$C,3,0)-1,4)+0.0001,-TRUNC(GA6/VLOOKUP("PCS-OzTL742",[1]ARBOR!$A:$C,3,0)-1,4)))))</f>
        <v/>
      </c>
      <c r="GC6" s="204" t="str">
        <f>IF(ISERROR(IF(GB6="","",VLOOKUP(($AY6&amp;GB6&amp;"Template desconto FLAT Plano Principal Oi TV nível conta"),[1]BENEFICIOS!$A:$G,5,0))),"Criar",IF(GB6="","",VLOOKUP(($AY6&amp;GB6&amp;"Template desconto FLAT Plano Principal Oi TV nível conta"),[1]BENEFICIOS!$A:$G,5,0)))</f>
        <v/>
      </c>
      <c r="GD6" s="129">
        <v>169.9</v>
      </c>
      <c r="GE6" s="127">
        <f>IF(GD6=0,"",IF(GD6=VLOOKUP("PCS-OzTL747",[1]ARBOR!$A:$C,3,0),0.0001,IF(GD6&gt;VLOOKUP("PCS-OzTL747",[1]ARBOR!$A:$C,3,0),"Maior que CAP!",IF((DOLLAR(GD6+(VLOOKUP("PCS-OzTL747",[1]ARBOR!$A:$C,3,0)*-TRUNC(GD6/VLOOKUP("PCS-OzTL747",[1]ARBOR!$A:$C,3,0)-1,4)),6))&lt;&gt;(DOLLAR(VLOOKUP("PCS-OzTL747",[1]ARBOR!$A:$C,3,0),6)),-TRUNC(GD6/VLOOKUP("PCS-OzTL747",[1]ARBOR!$A:$C,3,0)-1,4)+0.0001,-TRUNC(GD6/VLOOKUP("PCS-OzTL747",[1]ARBOR!$A:$C,3,0)-1,4)))))</f>
        <v>0.34329999999999999</v>
      </c>
      <c r="GF6" s="204" t="str">
        <f>IF(ISERROR(IF(GE6="","",VLOOKUP(($AY6&amp;GE6&amp;"Template desconto FLAT Plano Principal Oi TV nível conta"),[1]BENEFICIOS!$A:$G,5,0))),"Criar",IF(GE6="","",VLOOKUP(($AY6&amp;GE6&amp;"Template desconto FLAT Plano Principal Oi TV nível conta"),[1]BENEFICIOS!$A:$G,5,0)))</f>
        <v>MKT-1-10140956051</v>
      </c>
      <c r="GG6" s="129"/>
      <c r="GH6" s="127" t="str">
        <f>IF(GG6=0,"",IF(GG6=VLOOKUP("PCS-OzTL746",[1]ARBOR!$A:$C,3,0),0.0001,IF(GG6&gt;VLOOKUP("PCS-OzTL746",[1]ARBOR!$A:$C,3,0),"Maior que CAP!",IF((DOLLAR(GG6+(VLOOKUP("PCS-OzTL746",[1]ARBOR!$A:$C,3,0)*-TRUNC(GG6/VLOOKUP("PCS-OzTL746",[1]ARBOR!$A:$C,3,0)-1,4)),6))&lt;&gt;(DOLLAR(VLOOKUP("PCS-OzTL746",[1]ARBOR!$A:$C,3,0),6)),-TRUNC(GG6/VLOOKUP("PCS-OzTL746",[1]ARBOR!$A:$C,3,0)-1,4)+0.0001,-TRUNC(GG6/VLOOKUP("PCS-OzTL746",[1]ARBOR!$A:$C,3,0)-1,4)))))</f>
        <v/>
      </c>
      <c r="GI6" s="204" t="str">
        <f>IF(ISERROR(IF(GH6="","",VLOOKUP(($AY6&amp;GH6&amp;"Template desconto FLAT Plano Principal Oi TV nível conta"),[1]BENEFICIOS!$A:$G,5,0))),"Criar",IF(GH6="","",VLOOKUP(($AY6&amp;GH6&amp;"Template desconto FLAT Plano Principal Oi TV nível conta"),[1]BENEFICIOS!$A:$G,5,0)))</f>
        <v/>
      </c>
      <c r="GJ6" s="129"/>
      <c r="GK6" s="127" t="str">
        <f>IF(GJ6=0,"",IF(GJ6=VLOOKUP("PCS-OzTL748",[1]ARBOR!$A:$C,3,0),0.0001,IF(GJ6&gt;VLOOKUP("PCS-OzTL748",[1]ARBOR!$A:$C,3,0),"Maior que CAP!",IF((DOLLAR(GJ6+(VLOOKUP("PCS-OzTL748",[1]ARBOR!$A:$C,3,0)*-TRUNC(GJ6/VLOOKUP("PCS-OzTL748",[1]ARBOR!$A:$C,3,0)-1,4)),6))&lt;&gt;(DOLLAR(VLOOKUP("PCS-OzTL748",[1]ARBOR!$A:$C,3,0),6)),-TRUNC(GJ6/VLOOKUP("PCS-OzTL748",[1]ARBOR!$A:$C,3,0)-1,4)+0.0001,-TRUNC(GJ6/VLOOKUP("PCS-OzTL748",[1]ARBOR!$A:$C,3,0)-1,4)))))</f>
        <v/>
      </c>
      <c r="GL6" s="204" t="str">
        <f>IF(ISERROR(IF(GK6="","",VLOOKUP(($AY6&amp;GK6&amp;"Template desconto FLAT Plano Principal Oi TV nível conta"),[1]BENEFICIOS!$A:$G,5,0))),"Criar",IF(GK6="","",VLOOKUP(($AY6&amp;GK6&amp;"Template desconto FLAT Plano Principal Oi TV nível conta"),[1]BENEFICIOS!$A:$G,5,0)))</f>
        <v/>
      </c>
      <c r="GM6" s="129">
        <v>75</v>
      </c>
      <c r="GN6" s="127">
        <f>IF(GM6=0,"",IF(GM6=VLOOKUP("PCS-OzTL34",[1]ARBOR!$A:$C,3,0),0.0001,IF(GM6&gt;VLOOKUP("PCS-OzTL34",[1]ARBOR!$A:$C,3,0),"Maior que CAP!",IF((DOLLAR(GM6+(VLOOKUP("PCS-OzTL34",[1]ARBOR!$A:$C,3,0)*-TRUNC(GM6/VLOOKUP("PCS-OzTL34",[1]ARBOR!$A:$C,3,0)-1,4)),6))&lt;&gt;(DOLLAR(VLOOKUP("PCS-OzTL34",[1]ARBOR!$A:$C,3,0),6)),-TRUNC(GM6/VLOOKUP("PCS-OzTL34",[1]ARBOR!$A:$C,3,0)-1,4)+0.0001,-TRUNC(GM6/VLOOKUP("PCS-OzTL34",[1]ARBOR!$A:$C,3,0)-1,4)))))</f>
        <v>0.31900000000000001</v>
      </c>
      <c r="GO6" s="204" t="s">
        <v>161</v>
      </c>
      <c r="GP6" s="129">
        <v>19.899999999999999</v>
      </c>
      <c r="GQ6" s="127">
        <f>IF(GP6=0,"",IF(GP6=VLOOKUP("PCS-OzTL31",[1]ARBOR!$A:$C,3,0),0.0001,IF(GP6&gt;VLOOKUP("PCS-OzTL31",[1]ARBOR!$A:$C,3,0),"Maior que CAP!",IF((DOLLAR(GP6+(VLOOKUP("PCS-OzTL31",[1]ARBOR!$A:$C,3,0)*-TRUNC(GP6/VLOOKUP("PCS-OzTL31",[1]ARBOR!$A:$C,3,0)-1,4)),6))&lt;&gt;(DOLLAR(VLOOKUP("PCS-OzTL31",[1]ARBOR!$A:$C,3,0),6)),-TRUNC(GP6/VLOOKUP("PCS-OzTL31",[1]ARBOR!$A:$C,3,0)-1,4)+0.0001,-TRUNC(GP6/VLOOKUP("PCS-OzTL31",[1]ARBOR!$A:$C,3,0)-1,4)))))</f>
        <v>9.1800000000000007E-2</v>
      </c>
      <c r="GR6" s="204" t="s">
        <v>162</v>
      </c>
      <c r="GS6" s="129">
        <v>19.899999999999999</v>
      </c>
      <c r="GT6" s="127">
        <f>IF(GS6=0,"",IF(GS6=VLOOKUP("PCS-OzTL32",[1]ARBOR!$A:$C,3,0),0.0001,IF(GS6&gt;VLOOKUP("PCS-OzTL32",[1]ARBOR!$A:$C,3,0),"Maior que CAP!",IF((DOLLAR(GS6+(VLOOKUP("PCS-OzTL32",[1]ARBOR!$A:$C,3,0)*-TRUNC(GS6/VLOOKUP("PCS-OzTL32",[1]ARBOR!$A:$C,3,0)-1,4)),6))&lt;&gt;(DOLLAR(VLOOKUP("PCS-OzTL32",[1]ARBOR!$A:$C,3,0),6)),-TRUNC(GS6/VLOOKUP("PCS-OzTL32",[1]ARBOR!$A:$C,3,0)-1,4)+0.0001,-TRUNC(GS6/VLOOKUP("PCS-OzTL32",[1]ARBOR!$A:$C,3,0)-1,4)))))</f>
        <v>9.1800000000000007E-2</v>
      </c>
      <c r="GU6" s="204" t="s">
        <v>163</v>
      </c>
      <c r="GV6" s="129">
        <v>29.9</v>
      </c>
      <c r="GW6" s="127">
        <f>IF(GV6=0,"",IF(GV6=VLOOKUP("PCS-OzTL33",[1]ARBOR!$A:$C,3,0),0.0001,IF(GV6&gt;VLOOKUP("PCS-OzTL33",[1]ARBOR!$A:$C,3,0),"Maior que CAP!",IF((DOLLAR(GV6+(VLOOKUP("PCS-OzTL33",[1]ARBOR!$A:$C,3,0)*-TRUNC(GV6/VLOOKUP("PCS-OzTL33",[1]ARBOR!$A:$C,3,0)-1,4)),6))&lt;&gt;(DOLLAR(VLOOKUP("PCS-OzTL33",[1]ARBOR!$A:$C,3,0),6)),-TRUNC(GV6/VLOOKUP("PCS-OzTL33",[1]ARBOR!$A:$C,3,0)-1,4)+0.0001,-TRUNC(GV6/VLOOKUP("PCS-OzTL33",[1]ARBOR!$A:$C,3,0)-1,4)))))</f>
        <v>9.1800000000000007E-2</v>
      </c>
      <c r="GX6" s="204" t="s">
        <v>164</v>
      </c>
      <c r="GY6" s="129">
        <v>14.9</v>
      </c>
      <c r="GZ6" s="127">
        <f>IF(GY6=0,"",IF(GY6=VLOOKUP("PCS-OzTL503",[1]ARBOR!$A:$C,3,0),0.0001,IF(GY6&gt;VLOOKUP("PCS-OzTL503",[1]ARBOR!$A:$C,3,0),"Maior que CAP!",IF((DOLLAR(GY6+(VLOOKUP("PCS-OzTL503",[1]ARBOR!$A:$C,3,0)*-TRUNC(GY6/VLOOKUP("PCS-OzTL503",[1]ARBOR!$A:$C,3,0)-1,4)),6))&lt;&gt;(DOLLAR(VLOOKUP("PCS-OzTL503",[1]ARBOR!$A:$C,3,0),6)),-TRUNC(GY6/VLOOKUP("PCS-OzTL503",[1]ARBOR!$A:$C,3,0)-1,4)+0.0001,-TRUNC(GY6/VLOOKUP("PCS-OzTL503",[1]ARBOR!$A:$C,3,0)-1,4)))))</f>
        <v>9.1499999999999998E-2</v>
      </c>
      <c r="HA6" s="204" t="s">
        <v>165</v>
      </c>
      <c r="HB6" s="129">
        <v>10</v>
      </c>
      <c r="HC6" s="127">
        <f>IF(HB6=0,"",IF(HB6=VLOOKUP("PCS-OzTL500",[1]ARBOR!$A:$C,3,0),0.0001,IF(HB6&gt;VLOOKUP("PCS-OzTL500",[1]ARBOR!$A:$C,3,0),"Maior que CAP!",IF((DOLLAR(HB6+(VLOOKUP("PCS-OzTL500",[1]ARBOR!$A:$C,3,0)*-TRUNC(HB6/VLOOKUP("PCS-OzTL500",[1]ARBOR!$A:$C,3,0)-1,4)),6))&lt;&gt;(DOLLAR(VLOOKUP("PCS-OzTL500",[1]ARBOR!$A:$C,3,0),6)),-TRUNC(HB6/VLOOKUP("PCS-OzTL500",[1]ARBOR!$A:$C,3,0)-1,4)+0.0001,-TRUNC(HB6/VLOOKUP("PCS-OzTL500",[1]ARBOR!$A:$C,3,0)-1,4)))))</f>
        <v>9.1800000000000007E-2</v>
      </c>
      <c r="HD6" s="204" t="s">
        <v>166</v>
      </c>
      <c r="HE6" s="129" t="s">
        <v>167</v>
      </c>
      <c r="HF6" s="127"/>
      <c r="HG6" s="204"/>
      <c r="HH6" s="129" t="s">
        <v>168</v>
      </c>
      <c r="HI6" s="127"/>
      <c r="HJ6" s="204"/>
      <c r="HK6" s="129" t="s">
        <v>169</v>
      </c>
      <c r="HL6" s="127"/>
      <c r="HM6" s="204"/>
      <c r="HN6" s="129" t="s">
        <v>170</v>
      </c>
      <c r="HO6" s="127"/>
      <c r="HP6" s="204"/>
      <c r="HQ6" s="129" t="s">
        <v>171</v>
      </c>
      <c r="HR6" s="127"/>
      <c r="HS6" s="204"/>
      <c r="HT6" s="129">
        <v>24.9</v>
      </c>
      <c r="HU6" s="127">
        <f>IF(HT6=0,"",IF(HT6=VLOOKUP("PCS-OzTL99",[1]ARBOR!$A:$C,3,0),0.0001,IF(HT6&gt;VLOOKUP("PCS-OzTL99",[1]ARBOR!$A:$C,3,0),"Maior que CAP!",IF((DOLLAR(HT6+(VLOOKUP("PCS-OzTL99",[1]ARBOR!$A:$C,3,0)*-TRUNC(HT6/VLOOKUP("PCS-OzTL99",[1]ARBOR!$A:$C,3,0)-1,4)),6))&lt;&gt;(DOLLAR(VLOOKUP("PCS-OzTL99",[1]ARBOR!$A:$C,3,0),6)),-TRUNC(HT6/VLOOKUP("PCS-OzTL99",[1]ARBOR!$A:$C,3,0)-1,4)+0.0001,-TRUNC(HT6/VLOOKUP("PCS-OzTL99",[1]ARBOR!$A:$C,3,0)-1,4)))))</f>
        <v>0.16729999999999998</v>
      </c>
      <c r="HV6" s="205" t="s">
        <v>172</v>
      </c>
      <c r="HW6" s="196" t="s">
        <v>149</v>
      </c>
      <c r="HX6" s="204" t="str">
        <f t="shared" si="4"/>
        <v>PCS-34704</v>
      </c>
      <c r="HY6" s="206" t="str">
        <f>IFERROR((IF(AZ6="","",VLOOKUP(AZ6,[1]ARBOR!A:C,3,0))),"")</f>
        <v/>
      </c>
      <c r="HZ6" s="207"/>
      <c r="IA6" s="184" t="str">
        <f>IF(HZ6="","",ROUND(1-(HZ6/VLOOKUP(AZ6&amp;"ASS",[1]ARBOR!A:C,3,0)),4))</f>
        <v/>
      </c>
      <c r="IB6" s="184"/>
      <c r="IC6" s="208"/>
      <c r="ID6" s="209"/>
      <c r="IE6" s="127" t="str">
        <f>IF(ID6="","",ROUND(IF(ID6=0,"",IF(ID6=HY6,0.0001,1-((ID6+(VLOOKUP(AZ6&amp;"ASS",[1]ARBOR!A:C,3,0)-HZ6))/HY6))),4))</f>
        <v/>
      </c>
      <c r="IF6" s="127" t="str">
        <f>IF(ISERROR(IF(IE6="","",VLOOKUP(($AY6&amp;IE6&amp;"Template de desconto percentual FLAT Móvel - Conta Total - Varejo - Ganho Tributário Cross"),[1]BENEFICIOS!$A:$E,5,0))),"Criar",IF(IE6="","",VLOOKUP(($AY6&amp;IE6&amp;"Template de desconto percentual FLAT Móvel - Conta Total - Varejo - Ganho Tributário Cross"),[1]BENEFICIOS!$A:$E,5,0)))</f>
        <v/>
      </c>
      <c r="IG6" s="193"/>
      <c r="IH6" s="127"/>
      <c r="II6" s="210"/>
      <c r="IJ6" s="211"/>
      <c r="IK6" s="127"/>
      <c r="IL6" s="127"/>
      <c r="IM6" s="212"/>
      <c r="IN6" s="212"/>
      <c r="IO6" s="213"/>
      <c r="IP6" s="214" t="str">
        <f>IF(IO6=0,"",IF(IO6=VLOOKUP("PCS-813566",[1]ARBOR!$A:$C,3,0),0.0001,IF(IO6&gt;VLOOKUP("PCS-813566",[1]ARBOR!$A:$C,3,0),"Maior que CAP!",ROUND(-1*(IO6/VLOOKUP("PCS-813566",[1]ARBOR!$A:$C,3,0)-1),4))))</f>
        <v/>
      </c>
      <c r="IQ6" s="215" t="str">
        <f>IF(ISERROR(IF(IP6="","",VLOOKUP(("Oi Internet Pra Celular 300MB"&amp;IP6&amp;"Template Flat Instância Dados"),[1]BENEFICIOS!$A:$E,5,0))),"Criar",IF(IP6="","",VLOOKUP(("Oi Internet Pra Celular 300MB"&amp;IP6&amp;"Template Flat Instância Dados"),[1]BENEFICIOS!$A:$E,5,0)))</f>
        <v/>
      </c>
      <c r="IR6" s="216"/>
      <c r="IS6" s="217" t="str">
        <f>IF(IR6=0,"",IF(IR6=VLOOKUP("sva_bancas",[1]ARBOR!$A:$C,3,0),0.0001,IF(IR6&gt;VLOOKUP("sva_livros",[1]ARBOR!$A:$C,3,0),"Maior que CAP!",ROUND(-1*(IR6/VLOOKUP("sva_bancas",[1]ARBOR!$A:$C,3,0)-1),4))))</f>
        <v/>
      </c>
      <c r="IT6" s="218" t="str">
        <f>IF(ISERROR(IF(IS6="","",VLOOKUP(("Oi Internet Pra Celular 300MB"&amp;IS6&amp;"Template Desconto % SVA DADOS B2C"),[1]BENEFICIOS!$A:$E,5,0))),"Criar",IF(IS6="","",VLOOKUP(("Oi Internet Pra Celular 300MB"&amp;IS6&amp;"Template Desconto % SVA DADOS B2C"),[1]BENEFICIOS!$A:$E,5,0)))</f>
        <v/>
      </c>
      <c r="IU6" s="213"/>
      <c r="IV6" s="214" t="str">
        <f>IF(IU6=0,"",IF(IU6=VLOOKUP("PCS-813564",[1]ARBOR!$A:$C,3,0),0.0001,IF(IU6&gt;VLOOKUP("PCS-813564",[1]ARBOR!$A:$C,3,0),"Maior que CAP!",ROUND(-1*(IU6/VLOOKUP("PCS-813564",[1]ARBOR!$A:$C,3,0)-1),4))))</f>
        <v/>
      </c>
      <c r="IW6" s="215" t="str">
        <f>IF(ISERROR(IF(IV6="","",VLOOKUP(("Oi Internet Pra Celular 500MB"&amp;IV6&amp;"Template Flat Instância Dados"),[1]BENEFICIOS!$A:$E,5,0))),"Criar",IF(IV6="","",VLOOKUP(("Oi Internet Pra Celular 500MB"&amp;IV6&amp;"Template Flat Instância Dados"),[1]BENEFICIOS!$A:$E,5,0)))</f>
        <v/>
      </c>
      <c r="IX6" s="216"/>
      <c r="IY6" s="217" t="str">
        <f>IF(IX6=0,"",IF(IX6=VLOOKUP("sva_livros",[1]ARBOR!$A:$C,3,0),0.0001,IF(IX6&gt;VLOOKUP("sva_livros",[1]ARBOR!$A:$C,3,0),"Maior que CAP!",ROUND(-1*(IX6/VLOOKUP("sva_livros",[1]ARBOR!$A:$C,3,0)-1),4))))</f>
        <v/>
      </c>
      <c r="IZ6" s="218" t="str">
        <f>IF(ISERROR(IF(IY6="","",VLOOKUP(("Oi Internet Pra Celular 500MB"&amp;IY6&amp;"Template Desconto % SVA DADOS B2C"),[1]BENEFICIOS!$A:$E,5,0))),"Criar",IF(IY6="","",VLOOKUP(("Oi Internet Pra Celular 500MB"&amp;IY6&amp;"Template Desconto % SVA DADOS B2C"),[1]BENEFICIOS!$A:$E,5,0)))</f>
        <v/>
      </c>
      <c r="JA6" s="213"/>
      <c r="JB6" s="214" t="str">
        <f>IF(JA6=0,"",IF(JA6=VLOOKUP("PCS-10357",[1]ARBOR!$A:$C,3,0),0.0001,IF(JA6&gt;VLOOKUP("PCS-10357",[1]ARBOR!$A:$C,3,0),"Maior que CAP!",ROUND(-1*(JA6/VLOOKUP("PCS-10357",[1]ARBOR!$A:$C,3,0)-1),4))))</f>
        <v/>
      </c>
      <c r="JC6" s="215" t="str">
        <f>IF(ISERROR(IF(JB6="","",VLOOKUP(("Oi Internet Pra Celular 1GB"&amp;JB6&amp;"Template Flat Instância Dados"),[1]BENEFICIOS!$A:$E,5,0))),"Criar",IF(JB6="","",VLOOKUP(("Oi Internet Pra Celular 1GB"&amp;JB6&amp;"Template Flat Instância Dados"),[1]BENEFICIOS!$A:$E,5,0)))</f>
        <v/>
      </c>
      <c r="JD6" s="216"/>
      <c r="JE6" s="217" t="str">
        <f>IF(JD6=0,"",IF(JD6=VLOOKUP("sva_livros",[1]ARBOR!$A:$C,3,0),0.0001,IF(JD6&gt;VLOOKUP("sva_livros",[1]ARBOR!$A:$C,3,0),"Maior que CAP!",ROUND(-1*(JD6/VLOOKUP("sva_livros",[1]ARBOR!$A:$C,3,0)-1),4))))</f>
        <v/>
      </c>
      <c r="JF6" s="218" t="str">
        <f>IF(ISERROR(IF(JE6="","",VLOOKUP(("Oi Internet Pra Celular 1GB"&amp;JE6&amp;"Template Desconto % SVA DADOS B2C"),[1]BENEFICIOS!$A:$E,5,0))),"Criar",IF(JE6="","",VLOOKUP(("Oi Internet Pra Celular 1GB"&amp;JE6&amp;"Template Desconto % SVA DADOS B2C"),[1]BENEFICIOS!$A:$E,5,0)))</f>
        <v/>
      </c>
      <c r="JG6" s="213"/>
      <c r="JH6" s="214" t="str">
        <f>IF(JG6=0,"",IF(JG6=VLOOKUP("PCS-813565",[1]ARBOR!$A:$C,3,0),0.0001,IF(JG6&gt;VLOOKUP("PCS-813565",[1]ARBOR!$A:$C,3,0),"Maior que CAP!",ROUND(-1*(JG6/VLOOKUP("PCS-813565",[1]ARBOR!$A:$C,3,0)-1),4))))</f>
        <v/>
      </c>
      <c r="JI6" s="215" t="str">
        <f>IF(ISERROR(IF(JH6="","",VLOOKUP(("Oi Internet Pra Celular 2GB"&amp;JH6&amp;"Template Flat Instância Dados"),[1]BENEFICIOS!$A:$E,5,0))),"Criar",IF(JH6="","",VLOOKUP(("Oi Internet Pra Celular 2GB"&amp;JH6&amp;"Template Flat Instância Dados"),[1]BENEFICIOS!$A:$E,5,0)))</f>
        <v/>
      </c>
      <c r="JJ6" s="216"/>
      <c r="JK6" s="217" t="str">
        <f>IF(JJ6=0,"",IF(JJ6=VLOOKUP("sva_livros",[1]ARBOR!$A:$C,3,0),0.0001,IF(JJ6&gt;VLOOKUP("sva_livros",[1]ARBOR!$A:$C,3,0),"Maior que CAP!",ROUND(-1*(JJ6/VLOOKUP("sva_livros",[1]ARBOR!$A:$C,3,0)-1),4))))</f>
        <v/>
      </c>
      <c r="JL6" s="218" t="str">
        <f>IF(ISERROR(IF(JK6="","",VLOOKUP(("Oi Internet Pra Celular 2GB"&amp;JK6&amp;"Template Desconto % SVA DADOS B2C"),[1]BENEFICIOS!$A:$E,5,0))),"Criar",IF(JK6="","",VLOOKUP(("Oi Internet Pra Celular 2GB"&amp;JK6&amp;"Template Desconto % SVA DADOS B2C"),[1]BENEFICIOS!$A:$E,5,0)))</f>
        <v/>
      </c>
      <c r="JM6" s="213"/>
      <c r="JN6" s="214" t="str">
        <f>IF(JM6=0,"",IF(JM6=VLOOKUP("PCS-7171B",[1]ARBOR!$A:$C,3,0),0.0001,IF(JM6&gt;VLOOKUP("PCS-7171B",[1]ARBOR!$A:$C,3,0),"Maior que CAP!",ROUND(-1*(JM6/VLOOKUP("PCS-7171B",[1]ARBOR!$A:$C,3,0)-1),4))))</f>
        <v/>
      </c>
      <c r="JO6" s="215" t="str">
        <f>IF(ISERROR(IF(JN6="","",VLOOKUP(("Oi Internet Pra Celular 3GB"&amp;JN6&amp;"Template Flat Instância Dados"),[1]BENEFICIOS!$A:$E,5,0))),"Criar",IF(JN6="","",VLOOKUP(("Oi Internet Pra Celular 3GB"&amp;JN6&amp;"Template Flat Instância Dados"),[1]BENEFICIOS!$A:$E,5,0)))</f>
        <v/>
      </c>
      <c r="JP6" s="216"/>
      <c r="JQ6" s="217" t="str">
        <f>IF(JP6=0,"",IF(JP6=VLOOKUP("sva_livros",[1]ARBOR!$A:$C,3,0),0.0001,IF(JP6&gt;VLOOKUP("sva_livros",[1]ARBOR!$A:$C,3,0),"Maior que CAP!",ROUND(-1*(JP6/VLOOKUP("sva_livros",[1]ARBOR!$A:$C,3,0)-1),4))))</f>
        <v/>
      </c>
      <c r="JR6" s="218" t="str">
        <f>IF(ISERROR(IF(JQ6="","",VLOOKUP(("Oi Internet Pra Celular 3GB"&amp;JQ6&amp;"Template Desconto % SVA DADOS B2C"),[1]BENEFICIOS!$A:$E,5,0))),"Criar",IF(JQ6="","",VLOOKUP(("Oi Internet Pra Celular 3GB"&amp;JQ6&amp;"Template Desconto % SVA DADOS B2C"),[1]BENEFICIOS!$A:$E,5,0)))</f>
        <v/>
      </c>
      <c r="JS6" s="213"/>
      <c r="JT6" s="214" t="str">
        <f>IF(JS6=0,"",IF(JS6=VLOOKUP("PCS-51793o08",[1]ARBOR!$A:$C,3,0),0.0001,IF(JS6&gt;VLOOKUP("PCS-51793o08",[1]ARBOR!$A:$C,3,0),"Maior que CAP!",ROUND(-1*(JS6/VLOOKUP("PCS-51793o08",[1]ARBOR!$A:$C,3,0)-1),4))))</f>
        <v/>
      </c>
      <c r="JU6" s="215" t="str">
        <f>IF(ISERROR(IF(JT6="","",VLOOKUP(("Oi Internet Pra Celular 5GB"&amp;JT6&amp;"Template Flat Instância Dados"),[1]BENEFICIOS!$A:$E,5,0))),"Criar",IF(JT6="","",VLOOKUP(("Oi Internet Pra Celular 5GB"&amp;JT6&amp;"Template Flat Instância Dados"),[1]BENEFICIOS!$A:$E,5,0)))</f>
        <v/>
      </c>
      <c r="JV6" s="216"/>
      <c r="JW6" s="217" t="str">
        <f>IF(JV6=0,"",IF(JV6=VLOOKUP("sva_curtas",[1]ARBOR!$A:$C,3,0),0.0001,IF(JV6&gt;VLOOKUP("sva_curtas",[1]ARBOR!$A:$C,3,0),"Maior que CAP!",ROUND(-1*(JV6/VLOOKUP("sva_curtas",[1]ARBOR!$A:$C,3,0)-1),4))))</f>
        <v/>
      </c>
      <c r="JX6" s="218" t="str">
        <f>IF(ISERROR(IF(JW6="","",VLOOKUP(("Oi Internet Pra Celular 5GB"&amp;JW6&amp;"Template Desconto % SVA DADOS B2C"),[1]BENEFICIOS!$A:$E,5,0))),"Criar",IF(JW6="","",VLOOKUP(("Oi Internet Pra Celular 5GB"&amp;JW6&amp;"Template Desconto % SVA DADOS B2C"),[1]BENEFICIOS!$A:$E,5,0)))</f>
        <v/>
      </c>
      <c r="JY6" s="213"/>
      <c r="JZ6" s="214" t="str">
        <f>IF(JY6=0,"",IF(JY6=VLOOKUP("PCS-7171A",[1]ARBOR!$A:$C,3,0),0.0001,IF(JY6&gt;VLOOKUP("PCS-7171A",[1]ARBOR!$A:$C,3,0),"Maior que CAP!",ROUND(-1*(JY6/VLOOKUP("PCS-7171A",[1]ARBOR!$A:$C,3,0)-1),4))))</f>
        <v/>
      </c>
      <c r="KA6" s="219" t="str">
        <f>IF(ISERROR(IF(JZ6="","",VLOOKUP(("Oi Internet Pra Celular 10GB"&amp;JZ6&amp;"Template Flat Instância Dados"),[1]BENEFICIOS!$A:$E,5,0))),"Criar",IF(JZ6="","",VLOOKUP(("Oi Internet Pra Celular 10GB"&amp;JZ6&amp;"Template Flat Instância Dados"),[1]BENEFICIOS!$A:$E,5,0)))</f>
        <v/>
      </c>
      <c r="KB6" s="216"/>
      <c r="KC6" s="217" t="str">
        <f>IF(KB6=0,"",IF(KB6=VLOOKUP("sva_curtas",[1]ARBOR!$A:$C,3,0),0.0001,IF(KB6&gt;VLOOKUP("sva_curtas",[1]ARBOR!$A:$C,3,0),"Maior que CAP!",ROUND(-1*(KB6/VLOOKUP("sva_curtas",[1]ARBOR!$A:$C,3,0)-1),4))))</f>
        <v/>
      </c>
      <c r="KD6" s="218" t="str">
        <f>IF(ISERROR(IF(KC6="","",VLOOKUP(("Oi Internet Pra Celular 10GB"&amp;KC6&amp;"Template Desconto % SVA DADOS B2C"),[1]BENEFICIOS!$A:$E,5,0))),"Criar",IF(KC6="","",VLOOKUP(("Oi Internet Pra Celular 10GB"&amp;KC6&amp;"Template Desconto % SVA DADOS B2C"),[1]BENEFICIOS!$A:$E,5,0)))</f>
        <v/>
      </c>
      <c r="KE6" s="220"/>
      <c r="KF6" s="221"/>
      <c r="KG6" s="222" t="s">
        <v>149</v>
      </c>
      <c r="KH6" s="223" t="s">
        <v>173</v>
      </c>
      <c r="KI6" s="224">
        <v>799</v>
      </c>
      <c r="KJ6" s="223">
        <v>12</v>
      </c>
      <c r="KK6" s="225" t="str">
        <f t="shared" si="5"/>
        <v>Oi benefício fidelização Multiprodutos</v>
      </c>
      <c r="KL6" s="226" t="str">
        <f t="shared" si="6"/>
        <v>PCS-Fk83324</v>
      </c>
      <c r="KM6" s="226" t="str">
        <f t="shared" si="7"/>
        <v>PCS-SBL553142</v>
      </c>
      <c r="KN6" s="227" t="s">
        <v>174</v>
      </c>
      <c r="KO6" s="228" t="s">
        <v>175</v>
      </c>
      <c r="KP6" s="228" t="s">
        <v>176</v>
      </c>
      <c r="KQ6" s="227" t="s">
        <v>177</v>
      </c>
      <c r="KR6" s="225" t="s">
        <v>178</v>
      </c>
      <c r="KS6" s="226" t="s">
        <v>179</v>
      </c>
      <c r="KT6" s="229" t="s">
        <v>180</v>
      </c>
      <c r="KU6" s="155"/>
      <c r="KV6" s="155"/>
      <c r="KW6" s="155"/>
      <c r="KX6" s="155"/>
      <c r="KY6" s="155"/>
      <c r="KZ6" s="155"/>
      <c r="LA6" s="155"/>
      <c r="LB6" s="155"/>
      <c r="LC6" s="155"/>
      <c r="LD6" s="155"/>
      <c r="LE6" s="155"/>
      <c r="LF6" s="155"/>
      <c r="LG6" s="155"/>
      <c r="LH6" s="155"/>
      <c r="LI6" s="155"/>
      <c r="LJ6" s="155"/>
      <c r="LK6" s="230"/>
      <c r="LL6" s="231"/>
      <c r="LM6" s="232"/>
      <c r="LN6" s="232"/>
      <c r="LO6" s="232"/>
      <c r="LP6" s="232"/>
      <c r="LQ6" s="232"/>
      <c r="LR6" s="232"/>
      <c r="LS6" s="232"/>
      <c r="LT6" s="232"/>
      <c r="LU6" s="233"/>
      <c r="LV6" t="s">
        <v>191</v>
      </c>
      <c r="LW6" t="s">
        <v>183</v>
      </c>
    </row>
    <row r="7" spans="1:335" x14ac:dyDescent="0.25">
      <c r="A7" s="160" t="s">
        <v>146</v>
      </c>
      <c r="B7" s="161" t="s">
        <v>147</v>
      </c>
      <c r="C7" s="161" t="s">
        <v>148</v>
      </c>
      <c r="D7" s="162" t="s">
        <v>149</v>
      </c>
      <c r="E7" s="163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  <c r="Q7" s="165"/>
      <c r="R7" s="165"/>
      <c r="S7" s="166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234"/>
      <c r="AF7" s="164"/>
      <c r="AG7" s="164"/>
      <c r="AH7" s="168"/>
      <c r="AI7" s="235" t="s">
        <v>192</v>
      </c>
      <c r="AJ7" s="85" t="s">
        <v>151</v>
      </c>
      <c r="AK7" s="86" t="s">
        <v>152</v>
      </c>
      <c r="AL7" s="169">
        <v>43039</v>
      </c>
      <c r="AM7" s="170">
        <v>43159</v>
      </c>
      <c r="AN7" s="89" t="s">
        <v>153</v>
      </c>
      <c r="AO7" s="90" t="s">
        <v>153</v>
      </c>
      <c r="AP7" s="171"/>
      <c r="AQ7" s="171" t="s">
        <v>154</v>
      </c>
      <c r="AR7" s="171">
        <v>20</v>
      </c>
      <c r="AS7" s="171">
        <v>10000</v>
      </c>
      <c r="AT7" s="172" t="s">
        <v>155</v>
      </c>
      <c r="AU7" s="173" t="s">
        <v>149</v>
      </c>
      <c r="AV7" s="174" t="s">
        <v>156</v>
      </c>
      <c r="AW7" s="175" t="s">
        <v>156</v>
      </c>
      <c r="AX7" s="176" t="s">
        <v>192</v>
      </c>
      <c r="AY7" s="177" t="s">
        <v>188</v>
      </c>
      <c r="AZ7" s="178" t="str">
        <f>IF(ISERROR(VLOOKUP(AY7,[1]PLANOS!B:C,2,0)),"",VLOOKUP(AY7,[1]PLANOS!B:C,2,0))</f>
        <v>PCS-3PHipi</v>
      </c>
      <c r="BA7" s="179" t="s">
        <v>156</v>
      </c>
      <c r="BB7" s="180" t="str">
        <f t="shared" si="1"/>
        <v/>
      </c>
      <c r="BC7" s="181"/>
      <c r="BD7" s="182"/>
      <c r="BE7" s="183">
        <v>50.11</v>
      </c>
      <c r="BF7" s="127">
        <f>IF(BE7=0,"",IF(BE7=VLOOKUP("FIXO",[1]ARBOR!$A:$C,3,0),0.0001,IF(BE7&gt;VLOOKUP("FIXO",[1]ARBOR!$A:$C,3,0),"Maior que CAP!",IF((DOLLAR(BE7+(VLOOKUP("FIXO",[1]ARBOR!$A:$C,3,0)*-TRUNC(BE7/VLOOKUP("FIXO",[1]ARBOR!$A:$C,3,0)-1,4)),6))&lt;&gt;(DOLLAR(VLOOKUP("FIXO",[1]ARBOR!$A:$C,3,0),6)),-TRUNC(BE7/VLOOKUP("FIXO",[1]ARBOR!$A:$C,3,0)-1,4)+0.0001,-TRUNC(BE7/VLOOKUP("FIXO",[1]ARBOR!$A:$C,3,0)-1,4)))))</f>
        <v>0.33929999999999999</v>
      </c>
      <c r="BG7" s="184"/>
      <c r="BH7" s="127" t="str">
        <f>IF(BG7=0,"",IF(BG7=VLOOKUP("FIXO",[1]ARBOR!$A:$C,3,0),0.0001,IF(BG7&gt;VLOOKUP("FIXO",[1]ARBOR!$A:$C,3,0),"Maior que CAP!",IF((DOLLAR(BG7+(VLOOKUP("FIXO",[1]ARBOR!$A:$C,3,0)*-TRUNC(BG7/VLOOKUP("FIXO",[1]ARBOR!$A:$C,3,0)-1,4)),6))&lt;&gt;(DOLLAR(VLOOKUP("FIXO",[1]ARBOR!$A:$C,3,0),6)),-TRUNC(BG7/VLOOKUP("FIXO",[1]ARBOR!$A:$C,3,0)-1,4)+0.0001,-TRUNC(BG7/VLOOKUP("FIXO",[1]ARBOR!$A:$C,3,0)-1,4)))))</f>
        <v/>
      </c>
      <c r="BI7" s="127" t="str">
        <f>IF(ISERROR(IF(BF7="","",VLOOKUP(($AY7&amp;BF7&amp;"Template de desconto FLAT bundle - Fixo - Varejo - Ganho Tributário Cross"),[1]BENEFICIOS!$A:$E,5,0))),"Criar",IF(BF7="","",VLOOKUP(($AY7&amp;BF7&amp;"Template de desconto FLAT bundle - Fixo - Varejo - Ganho Tributário Cross"),[1]BENEFICIOS!$A:$E,5,0)))</f>
        <v>MKT-1-9825728196</v>
      </c>
      <c r="BJ7" s="185"/>
      <c r="BK7" s="127" t="str">
        <f t="shared" si="2"/>
        <v/>
      </c>
      <c r="BL7" s="186"/>
      <c r="BM7" s="127" t="str">
        <f>IF(BL7=0,"",IF(BL7=VLOOKUP("FIXO",[1]ARBOR!$A:$C,3,0),0.0001,IF(BL7&gt;VLOOKUP("FIXO",[1]ARBOR!$A:$C,3,0),"Maior que CAP!",IF(BF7&lt;&gt;"",-ROUND(BL7/VLOOKUP("FIXO",[1]ARBOR!$A:$C,3,0)-1,4)-BF7,-ROUND(BL7/VLOOKUP("FIXO",[1]ARBOR!$A:$C,3,0)-1,4)))))</f>
        <v/>
      </c>
      <c r="BN7" s="187"/>
      <c r="BO7" s="127" t="str">
        <f>IF(ISERROR(IF(BK7="","",VLOOKUP(($AY7&amp;BK7&amp;"Template de desconto FLAT bundle - Fixo - Varejo - Ganho Tributário Cross"),[1]BENEFICIOS!$A:$E,5,0))),"Criar",IF(BK7="","",VLOOKUP(($AY7&amp;BK7&amp;"Template de desconto FLAT bundle - Fixo - Varejo - Ganho Tributário Cross"),[1]BENEFICIOS!$A:$E,5,0)))</f>
        <v/>
      </c>
      <c r="BP7" s="188" t="s">
        <v>158</v>
      </c>
      <c r="BQ7" s="189" t="s">
        <v>159</v>
      </c>
      <c r="BR7" s="190" t="s">
        <v>156</v>
      </c>
      <c r="BS7" s="191" t="str">
        <f t="shared" si="0"/>
        <v/>
      </c>
      <c r="BT7" s="181"/>
      <c r="BU7" s="192"/>
      <c r="BV7" s="193" t="s">
        <v>86</v>
      </c>
      <c r="BW7" s="194">
        <v>44.9</v>
      </c>
      <c r="BX7" s="127">
        <f>IF(BW7=0,"",IF(BW7=VLOOKUP("PCS-30874g",[1]ARBOR!$A:$C,3,0),0.0001,IF(BW7&gt;VLOOKUP("PCS-30874g",[1]ARBOR!$A:$C,3,0),"Maior que CAP!",IF((DOLLAR(BW7+(VLOOKUP("PCS-30874g",[1]ARBOR!$A:$C,3,0)*-TRUNC(BW7/VLOOKUP("PCS-30874g",[1]ARBOR!$A:$C,3,0)-1,4)),6))&lt;&gt;(DOLLAR(VLOOKUP("PCS-30874g",[1]ARBOR!$A:$C,3,0),6)),-TRUNC(BW7/VLOOKUP("PCS-30874g",[1]ARBOR!$A:$C,3,0)-1,4)+0.0001,-TRUNC(BW7/VLOOKUP("PCS-30874g",[1]ARBOR!$A:$C,3,0)-1,4)))))</f>
        <v>0.53679999999999994</v>
      </c>
      <c r="BY7" s="189" t="str">
        <f>IF(ISERROR(IF(BX7="","",VLOOKUP(($AY7&amp;BX7&amp;"Template de desconto FLAT bundle - Velox XDSL - Varejo"),[1]BENEFICIOS!$A:$E,5,0))),"Criar",IF(BX7="","",VLOOKUP(($AY7&amp;BX7&amp;"Template de desconto FLAT bundle - Velox XDSL - Varejo"),[1]BENEFICIOS!$A:$E,5,0)))</f>
        <v>MKT-1-9829477373</v>
      </c>
      <c r="BZ7" s="193" t="s">
        <v>86</v>
      </c>
      <c r="CA7" s="194">
        <v>44.9</v>
      </c>
      <c r="CB7" s="127">
        <f>IF(CA7=0,"",IF(CA7=VLOOKUP("PCS-30577g",[1]ARBOR!$A:$C,3,0),0.0001,IF(CA7&gt;VLOOKUP("PCS-30577g",[1]ARBOR!$A:$C,3,0),"Maior que CAP!",IF((DOLLAR(CA7+(VLOOKUP("PCS-30577g",[1]ARBOR!$A:$C,3,0)*-TRUNC(CA7/VLOOKUP("PCS-30577g",[1]ARBOR!$A:$C,3,0)-1,4)),6))&lt;&gt;(DOLLAR(VLOOKUP("PCS-30577g",[1]ARBOR!$A:$C,3,0),6)),-TRUNC(CA7/VLOOKUP("PCS-30577g",[1]ARBOR!$A:$C,3,0)-1,4)+0.0001,-TRUNC(CA7/VLOOKUP("PCS-30577g",[1]ARBOR!$A:$C,3,0)-1,4)))))</f>
        <v>0.53679999999999994</v>
      </c>
      <c r="CC7" s="189" t="str">
        <f>IF(ISERROR(IF(CB7="","",VLOOKUP(($AY7&amp;CB7&amp;"Template de desconto FLAT bundle - Velox XDSL - Varejo"),[1]BENEFICIOS!$A:$E,5,0))),"Criar",IF(CB7="","",VLOOKUP(($AY7&amp;CB7&amp;"Template de desconto FLAT bundle - Velox XDSL - Varejo"),[1]BENEFICIOS!$A:$E,5,0)))</f>
        <v>MKT-1-9829477373</v>
      </c>
      <c r="CD7" s="193" t="s">
        <v>86</v>
      </c>
      <c r="CE7" s="194">
        <v>44.9</v>
      </c>
      <c r="CF7" s="127">
        <f>IF(CE7=0,"",IF(CE7=VLOOKUP("PCS-30604g",[1]ARBOR!$A:$C,3,0),0.0001,IF(CE7&gt;VLOOKUP("PCS-30604g",[1]ARBOR!$A:$C,3,0),"Maior que CAP!",IF((DOLLAR(CE7+(VLOOKUP("PCS-30604g",[1]ARBOR!$A:$C,3,0)*-TRUNC(CE7/VLOOKUP("PCS-30604g",[1]ARBOR!$A:$C,3,0)-1,4)),6))&lt;&gt;(DOLLAR(VLOOKUP("PCS-30604g",[1]ARBOR!$A:$C,3,0),6)),-TRUNC(CE7/VLOOKUP("PCS-30604g",[1]ARBOR!$A:$C,3,0)-1,4)+0.0001,-TRUNC(CE7/VLOOKUP("PCS-30604g",[1]ARBOR!$A:$C,3,0)-1,4)))))</f>
        <v>0.53679999999999994</v>
      </c>
      <c r="CG7" s="189" t="str">
        <f>IF(ISERROR(IF(CF7="","",VLOOKUP(($AY7&amp;CF7&amp;"Template de desconto FLAT bundle - Velox XDSL - Varejo"),[1]BENEFICIOS!$A:$E,5,0))),"Criar",IF(CF7="","",VLOOKUP(($AY7&amp;CF7&amp;"Template de desconto FLAT bundle - Velox XDSL - Varejo"),[1]BENEFICIOS!$A:$E,5,0)))</f>
        <v>MKT-1-9829477373</v>
      </c>
      <c r="CH7" s="193" t="s">
        <v>86</v>
      </c>
      <c r="CI7" s="194">
        <v>44.9</v>
      </c>
      <c r="CJ7" s="127">
        <f>IF(CI7=0,"",IF(CI7=VLOOKUP("PCS-30631g",[1]ARBOR!$A:$C,3,0),0.0001,IF(CI7&gt;VLOOKUP("PCS-30631g",[1]ARBOR!$A:$C,3,0),"Maior que CAP!",IF((DOLLAR(CI7+(VLOOKUP("PCS-30631g",[1]ARBOR!$A:$C,3,0)*-TRUNC(CI7/VLOOKUP("PCS-30631g",[1]ARBOR!$A:$C,3,0)-1,4)),6))&lt;&gt;(DOLLAR(VLOOKUP("PCS-30631g",[1]ARBOR!$A:$C,3,0),6)),-TRUNC(CI7/VLOOKUP("PCS-30631g",[1]ARBOR!$A:$C,3,0)-1,4)+0.0001,-TRUNC(CI7/VLOOKUP("PCS-30631g",[1]ARBOR!$A:$C,3,0)-1,4)))))</f>
        <v>0.54310000000000003</v>
      </c>
      <c r="CK7" s="189" t="str">
        <f>IF(ISERROR(IF(CJ7="","",VLOOKUP(($AY7&amp;CJ7&amp;"Template de desconto FLAT bundle - Velox XDSL - Varejo"),[1]BENEFICIOS!$A:$E,5,0))),"Criar",IF(CJ7="","",VLOOKUP(($AY7&amp;CJ7&amp;"Template de desconto FLAT bundle - Velox XDSL - Varejo"),[1]BENEFICIOS!$A:$E,5,0)))</f>
        <v>MKT-1-9828219079</v>
      </c>
      <c r="CL7" s="193"/>
      <c r="CM7" s="194"/>
      <c r="CN7" s="127" t="str">
        <f>IF(CM7=0,"",IF(CM7=VLOOKUP("PCS-30658g",[1]ARBOR!$A:$C,3,0),0.0001,IF(CM7&gt;VLOOKUP("PCS-30658g",[1]ARBOR!$A:$C,3,0),"Maior que CAP!",IF((DOLLAR(CM7+(VLOOKUP("PCS-30658g",[1]ARBOR!$A:$C,3,0)*-TRUNC(CM7/VLOOKUP("PCS-30658g",[1]ARBOR!$A:$C,3,0)-1,4)),6))&lt;&gt;(DOLLAR(VLOOKUP("PCS-30658g",[1]ARBOR!$A:$C,3,0),6)),-TRUNC(CM7/VLOOKUP("PCS-30658g",[1]ARBOR!$A:$C,3,0)-1,4)+0.0001,-TRUNC(CM7/VLOOKUP("PCS-30658g",[1]ARBOR!$A:$C,3,0)-1,4)))))</f>
        <v/>
      </c>
      <c r="CO7" s="189" t="str">
        <f>IF(ISERROR(IF(CN7="","",VLOOKUP(($AY7&amp;CN7&amp;"Template de desconto FLAT bundle - Velox XDSL - Varejo"),[1]BENEFICIOS!$A:$E,5,0))),"Criar",IF(CN7="","",VLOOKUP(($AY7&amp;CN7&amp;"Template de desconto FLAT bundle - Velox XDSL - Varejo"),[1]BENEFICIOS!$A:$E,5,0)))</f>
        <v/>
      </c>
      <c r="CP7" s="193"/>
      <c r="CQ7" s="194"/>
      <c r="CR7" s="127" t="str">
        <f>IF(CQ7=0,"",IF(CQ7=VLOOKUP("PCS-30685g",[1]ARBOR!$A:$C,3,0),0.0001,IF(CQ7&gt;VLOOKUP("PCS-30685g",[1]ARBOR!$A:$C,3,0),"Maior que CAP!",IF((DOLLAR(CQ7+(VLOOKUP("PCS-30685g",[1]ARBOR!$A:$C,3,0)*-TRUNC(CQ7/VLOOKUP("PCS-30685g",[1]ARBOR!$A:$C,3,0)-1,4)),6))&lt;&gt;(DOLLAR(VLOOKUP("PCS-30685g",[1]ARBOR!$A:$C,3,0),6)),-TRUNC(CQ7/VLOOKUP("PCS-30685g",[1]ARBOR!$A:$C,3,0)-1,4)+0.0001,-TRUNC(CQ7/VLOOKUP("PCS-30685g",[1]ARBOR!$A:$C,3,0)-1,4)))))</f>
        <v/>
      </c>
      <c r="CS7" s="189" t="str">
        <f>IF(ISERROR(IF(CR7="","",VLOOKUP(($AY7&amp;CR7&amp;"Template de desconto FLAT bundle - Velox XDSL - Varejo"),[1]BENEFICIOS!$A:$E,5,0))),"Criar",IF(CR7="","",VLOOKUP(($AY7&amp;CR7&amp;"Template de desconto FLAT bundle - Velox XDSL - Varejo"),[1]BENEFICIOS!$A:$E,5,0)))</f>
        <v/>
      </c>
      <c r="CT7" s="193"/>
      <c r="CU7" s="194"/>
      <c r="CV7" s="127" t="str">
        <f>IF(CU7=0,"",IF(CU7=VLOOKUP("PCS-30712g",[1]ARBOR!$A:$C,3,0),0.0001,IF(CU7&gt;VLOOKUP("PCS-30712g",[1]ARBOR!$A:$C,3,0),"Maior que CAP!",IF((DOLLAR(CU7+(VLOOKUP("PCS-30712g",[1]ARBOR!$A:$C,3,0)*-TRUNC(CU7/VLOOKUP("PCS-30712g",[1]ARBOR!$A:$C,3,0)-1,4)),6))&lt;&gt;(DOLLAR(VLOOKUP("PCS-30712g",[1]ARBOR!$A:$C,3,0),6)),-TRUNC(CU7/VLOOKUP("PCS-30712g",[1]ARBOR!$A:$C,3,0)-1,4)+0.0001,-TRUNC(CU7/VLOOKUP("PCS-30712g",[1]ARBOR!$A:$C,3,0)-1,4)))))</f>
        <v/>
      </c>
      <c r="CW7" s="189" t="str">
        <f>IF(ISERROR(IF(CV7="","",VLOOKUP(($AY7&amp;CV7&amp;"Template de desconto FLAT bundle - Velox XDSL - Varejo"),[1]BENEFICIOS!$A:$E,5,0))),"Criar",IF(CV7="","",VLOOKUP(($AY7&amp;CV7&amp;"Template de desconto FLAT bundle - Velox XDSL - Varejo"),[1]BENEFICIOS!$A:$E,5,0)))</f>
        <v/>
      </c>
      <c r="CX7" s="193"/>
      <c r="CY7" s="194"/>
      <c r="CZ7" s="127" t="str">
        <f>IF(CY7=0,"",IF(CY7=VLOOKUP("PCS-30739g",[1]ARBOR!$A:$C,3,0),0.0001,IF(CY7&gt;VLOOKUP("PCS-30739g",[1]ARBOR!$A:$C,3,0),"Maior que CAP!",IF((DOLLAR(CY7+(VLOOKUP("PCS-30739g",[1]ARBOR!$A:$C,3,0)*-TRUNC(CY7/VLOOKUP("PCS-30739g",[1]ARBOR!$A:$C,3,0)-1,4)),6))&lt;&gt;(DOLLAR(VLOOKUP("PCS-30739g",[1]ARBOR!$A:$C,3,0),6)),-TRUNC(CY7/VLOOKUP("PCS-30739g",[1]ARBOR!$A:$C,3,0)-1,4)+0.0001,-TRUNC(CY7/VLOOKUP("PCS-30739g",[1]ARBOR!$A:$C,3,0)-1,4)))))</f>
        <v/>
      </c>
      <c r="DA7" s="195" t="str">
        <f>IF(ISERROR(IF(CZ7="","",VLOOKUP(($AY7&amp;CZ7&amp;"Template de desconto FLAT bundle - Velox XDSL - Varejo"),[1]BENEFICIOS!$A:$E,5,0))),"Criar",IF(CZ7="","",VLOOKUP(($AY7&amp;CZ7&amp;"Template de desconto FLAT bundle - Velox XDSL - Varejo"),[1]BENEFICIOS!$A:$E,5,0)))</f>
        <v/>
      </c>
      <c r="DB7" s="196"/>
      <c r="DC7" s="197"/>
      <c r="DD7" s="127" t="str">
        <f>IF(DB7=0,"",IF(DB7=VLOOKUP("PCS-30739g",[1]ARBOR!$A:$C,3,0),0.0001,IF(DB7&gt;VLOOKUP("PCS-30739g",[1]ARBOR!$A:$C,3,0),"Maior que CAP!",IF((DOLLAR(DB7+(VLOOKUP("PCS-30739g",[1]ARBOR!$A:$C,3,0)*-TRUNC(DB7/VLOOKUP("PCS-30739g",[1]ARBOR!$A:$C,3,0)-1,4)),6))&lt;&gt;(DOLLAR(VLOOKUP("PCS-30739g",[1]ARBOR!$A:$C,3,0),6)),(-TRUNC(DB7/VLOOKUP("PCS-30739g",[1]ARBOR!$A:$C,3,0)-1,4)+0.0001)-CZ7,-TRUNC(DB7/VLOOKUP("PCS-30739g",[1]ARBOR!$A:$C,3,0)-1,4)-CZ7))))</f>
        <v/>
      </c>
      <c r="DE7" s="189" t="str">
        <f>IF(ISERROR(IF(DD7="","",VLOOKUP(($AY7&amp;DD7&amp;"Template de desconto percentual Bundle - Velox XDSL - Varejo"),[1]BENEFICIOS!$A:$E,5,0))),"Criar",IF(DD7="","",VLOOKUP(($AY7&amp;DD7&amp;"Template de desconto percentual Bundle - Velox XDSL - Varejo"),[1]BENEFICIOS!$A:$E,5,0)))</f>
        <v/>
      </c>
      <c r="DF7" s="193"/>
      <c r="DG7" s="194"/>
      <c r="DH7" s="127" t="str">
        <f>IF(DG7=0,"",IF(DG7=VLOOKUP("PCS-30766g",[1]ARBOR!$A:$C,3,0),0.0001,IF(DG7&gt;VLOOKUP("PCS-30766g",[1]ARBOR!$A:$C,3,0),"Maior que CAP!",IF((DOLLAR(DG7+(VLOOKUP("PCS-30766g",[1]ARBOR!$A:$C,3,0)*-TRUNC(DG7/VLOOKUP("PCS-30766g",[1]ARBOR!$A:$C,3,0)-1,4)),6))&lt;&gt;(DOLLAR(VLOOKUP("PCS-30766g",[1]ARBOR!$A:$C,3,0),6)),-TRUNC(DG7/VLOOKUP("PCS-30766g",[1]ARBOR!$A:$C,3,0)-1,4)+0.0001,-TRUNC(DG7/VLOOKUP("PCS-30766g",[1]ARBOR!$A:$C,3,0)-1,4)))))</f>
        <v/>
      </c>
      <c r="DI7" s="195" t="str">
        <f>IF(ISERROR(IF(DH7="","",VLOOKUP(($AY7&amp;DH7&amp;"Template de desconto FLAT bundle - Velox XDSL - Varejo"),[1]BENEFICIOS!$A:$E,5,0))),"Criar",IF(DH7="","",VLOOKUP(($AY7&amp;DH7&amp;"Template de desconto FLAT bundle - Velox XDSL - Varejo"),[1]BENEFICIOS!$A:$E,5,0)))</f>
        <v/>
      </c>
      <c r="DJ7" s="196"/>
      <c r="DK7" s="197"/>
      <c r="DL7" s="127" t="str">
        <f>IF(DJ7=0,"",IF(DJ7=VLOOKUP("PCS-30766g",[1]ARBOR!$A:$C,3,0),0.0001,IF(DJ7&gt;VLOOKUP("PCS-30766g",[1]ARBOR!$A:$C,3,0),"Maior que CAP!",IF((DOLLAR(DJ7+(VLOOKUP("PCS-30766g",[1]ARBOR!$A:$C,3,0)*-TRUNC(DJ7/VLOOKUP("PCS-30766g",[1]ARBOR!$A:$C,3,0)-1,4)),6))&lt;&gt;(DOLLAR(VLOOKUP("PCS-30766g",[1]ARBOR!$A:$C,3,0),6)),(-TRUNC(DJ7/VLOOKUP("PCS-30766g",[1]ARBOR!$A:$C,3,0)-1,4)+0.0001)-DH7,-TRUNC(DJ7/VLOOKUP("PCS-30766g",[1]ARBOR!$A:$C,3,0)-1,4)-DH7))))</f>
        <v/>
      </c>
      <c r="DM7" s="189" t="str">
        <f>IF(ISERROR(IF(DL7="","",VLOOKUP(($AY7&amp;DL7&amp;"Template de desconto percentual Bundle - Velox XDSL - Varejo"),[1]BENEFICIOS!$A:$E,5,0))),"Criar",IF(DL7="","",VLOOKUP(($AY7&amp;DL7&amp;"Template de desconto percentual Bundle - Velox XDSL - Varejo"),[1]BENEFICIOS!$A:$E,5,0)))</f>
        <v/>
      </c>
      <c r="DN7" s="193"/>
      <c r="DO7" s="194"/>
      <c r="DP7" s="127" t="str">
        <f>IF(DO7=0,"",IF(DO7=VLOOKUP("PCS-30793g",[1]ARBOR!$A:$C,3,0),0.0001,IF(DO7&gt;VLOOKUP("PCS-30793g",[1]ARBOR!$A:$C,3,0),"Maior que CAP!",IF((DOLLAR(DO7+(VLOOKUP("PCS-30793g",[1]ARBOR!$A:$C,3,0)*-TRUNC(DO7/VLOOKUP("PCS-30793g",[1]ARBOR!$A:$C,3,0)-1,4)),6))&lt;&gt;(DOLLAR(VLOOKUP("PCS-30793g",[1]ARBOR!$A:$C,3,0),6)),-TRUNC(DO7/VLOOKUP("PCS-30793g",[1]ARBOR!$A:$C,3,0)-1,4)+0.0001,-TRUNC(DO7/VLOOKUP("PCS-30793g",[1]ARBOR!$A:$C,3,0)-1,4)))))</f>
        <v/>
      </c>
      <c r="DQ7" s="195" t="str">
        <f>IF(ISERROR(IF(DP7="","",VLOOKUP(($AY7&amp;DP7&amp;"Template de desconto FLAT bundle - Velox XDSL - Varejo"),[1]BENEFICIOS!$A:$E,5,0))),"Criar",IF(DP7="","",VLOOKUP(($AY7&amp;DP7&amp;"Template de desconto FLAT bundle - Velox XDSL - Varejo"),[1]BENEFICIOS!$A:$E,5,0)))</f>
        <v/>
      </c>
      <c r="DR7" s="196"/>
      <c r="DS7" s="197"/>
      <c r="DT7" s="127" t="str">
        <f>IF(DR7=0,"",IF(DR7=VLOOKUP("PCS-30793g",[1]ARBOR!$A:$C,3,0),0.0001,IF(DR7&gt;VLOOKUP("PCS-30793g",[1]ARBOR!$A:$C,3,0),"Maior que CAP!",IF((DOLLAR(DR7+(VLOOKUP("PCS-30793g",[1]ARBOR!$A:$C,3,0)*-TRUNC(DR7/VLOOKUP("PCS-30793g",[1]ARBOR!$A:$C,3,0)-1,4)),6))&lt;&gt;(DOLLAR(VLOOKUP("PCS-30793g",[1]ARBOR!$A:$C,3,0),6)),(-TRUNC(DR7/VLOOKUP("PCS-30793g",[1]ARBOR!$A:$C,3,0)-1,4)+0.0001)-DP7,-TRUNC(DR7/VLOOKUP("PCS-30793g",[1]ARBOR!$A:$C,3,0)-1,4)-DP7))))</f>
        <v/>
      </c>
      <c r="DU7" s="189" t="str">
        <f>IF(ISERROR(IF(DT7="","",VLOOKUP(($AY7&amp;DT7&amp;"Template de desconto percentual Bundle - Velox XDSL - Varejo"),[1]BENEFICIOS!$A:$E,5,0))),"Criar",IF(DT7="","",VLOOKUP(($AY7&amp;DT7&amp;"Template de desconto percentual Bundle - Velox XDSL - Varejo"),[1]BENEFICIOS!$A:$E,5,0)))</f>
        <v/>
      </c>
      <c r="DV7" s="193"/>
      <c r="DW7" s="194"/>
      <c r="DX7" s="127" t="str">
        <f>IF(DW7=0,"",IF(DW7=VLOOKUP("PCS-30820g",[1]ARBOR!$A:$C,3,0),0.0001,IF(DW7&gt;VLOOKUP("PCS-30820g",[1]ARBOR!$A:$C,3,0),"Maior que CAP!",IF((DOLLAR(DW7+(VLOOKUP("PCS-30820g",[1]ARBOR!$A:$C,3,0)*-TRUNC(DW7/VLOOKUP("PCS-30820g",[1]ARBOR!$A:$C,3,0)-1,4)),6))&lt;&gt;(DOLLAR(VLOOKUP("PCS-30820g",[1]ARBOR!$A:$C,3,0),6)),-TRUNC(DW7/VLOOKUP("PCS-30820g",[1]ARBOR!$A:$C,3,0)-1,4)+0.0001,-TRUNC(DW7/VLOOKUP("PCS-30820g",[1]ARBOR!$A:$C,3,0)-1,4)))))</f>
        <v/>
      </c>
      <c r="DY7" s="195" t="str">
        <f>IF(ISERROR(IF(DX7="","",VLOOKUP(($AY7&amp;DX7&amp;"Template de desconto FLAT bundle - Velox XDSL - Varejo"),[1]BENEFICIOS!$A:$E,5,0))),"Criar",IF(DX7="","",VLOOKUP(($AY7&amp;DX7&amp;"Template de desconto FLAT bundle - Velox XDSL - Varejo"),[1]BENEFICIOS!$A:$E,5,0)))</f>
        <v/>
      </c>
      <c r="DZ7" s="196"/>
      <c r="EA7" s="197"/>
      <c r="EB7" s="127" t="str">
        <f>IF(DZ7=0,"",IF(DZ7=VLOOKUP("PCS-30820g",[1]ARBOR!$A:$C,3,0),0.0001,IF(DZ7&gt;VLOOKUP("PCS-30820g",[1]ARBOR!$A:$C,3,0),"Maior que CAP!",IF((DOLLAR(DZ7+(VLOOKUP("PCS-30820g",[1]ARBOR!$A:$C,3,0)*-TRUNC(DZ7/VLOOKUP("PCS-30820g",[1]ARBOR!$A:$C,3,0)-1,4)),6))&lt;&gt;(DOLLAR(VLOOKUP("PCS-30820g",[1]ARBOR!$A:$C,3,0),6)),(-TRUNC(DZ7/VLOOKUP("PCS-30820g",[1]ARBOR!$A:$C,3,0)-1,4)+0.0001)-DX7,-TRUNC(DZ7/VLOOKUP("PCS-30820g",[1]ARBOR!$A:$C,3,0)-1,4)-DX7))))</f>
        <v/>
      </c>
      <c r="EC7" s="189" t="str">
        <f>IF(ISERROR(IF(EB7="","",VLOOKUP(($AY7&amp;EB7&amp;"Template de desconto percentual Bundle - Velox XDSL - Varejo"),[1]BENEFICIOS!$A:$E,5,0))),"Criar",IF(EB7="","",VLOOKUP(($AY7&amp;EB7&amp;"Template de desconto percentual Bundle - Velox XDSL - Varejo"),[1]BENEFICIOS!$A:$E,5,0)))</f>
        <v/>
      </c>
      <c r="ED7" s="198">
        <v>44.9</v>
      </c>
      <c r="EE7" s="127">
        <f>IF(ED7=0,"",IF(ED7=VLOOKUP("PCS-21448p2",[1]ARBOR!$A:$C,3,0),0.0001,IF(ED7&gt;VLOOKUP("PCS-21448p2",[1]ARBOR!$A:$C,3,0),"Maior que CAP!",IF((DOLLAR(ED7+(VLOOKUP("PCS-21448p2",[1]ARBOR!$A:$C,3,0)*-TRUNC(ED7/VLOOKUP("PCS-21448p2",[1]ARBOR!$A:$C,3,0)-1,4)),6))&lt;&gt;(DOLLAR(VLOOKUP("PCS-21448p2",[1]ARBOR!$A:$C,3,0),6)),-TRUNC(ED7/VLOOKUP("PCS-21448p2",[1]ARBOR!$A:$C,3,0)-1,4)+0.0001,-TRUNC(ED7/VLOOKUP("PCS-21448p2",[1]ARBOR!$A:$C,3,0)-1,4)))))</f>
        <v>0.64900000000000002</v>
      </c>
      <c r="EF7" s="127" t="str">
        <f>IF(ISERROR(IF(EE7="","",VLOOKUP(("Oi Conta Total Plug 10GB Downgrade"&amp;EE7&amp;"Template de desconto percentual BL Móvel - Internet Total - Varejo"),[1]BENEFICIOS!$A:$E,5,0))),"Criar",IF(EE7="","",VLOOKUP(("Oi Conta Total Plug 10GB Downgrade"&amp;EE7&amp;"Template de desconto percentual BL Móvel - Internet Total - Varejo"),[1]BENEFICIOS!$A:$E,5,0)))</f>
        <v>MKT-1-9825544790</v>
      </c>
      <c r="EG7" s="199">
        <v>16.5</v>
      </c>
      <c r="EH7" s="200">
        <f>IF(EG7=0,"",IF(EG7=VLOOKUP("SVA",[1]ARBOR!$A:$C,3,0),0.0001,IF(EG7&gt;VLOOKUP("SVA",[1]ARBOR!$A:$C,3,0),"Maior que CAP!",IF((DOLLAR(EG7+(VLOOKUP("SVA",[1]ARBOR!$A:$C,3,0)*-TRUNC(EG7/VLOOKUP("SVA",[1]ARBOR!$A:$C,3,0)-1,4)),6))&lt;&gt;(DOLLAR(VLOOKUP("SVA",[1]ARBOR!$A:$C,3,0),6)),-TRUNC(EG7/VLOOKUP("SVA",[1]ARBOR!$A:$C,3,0)-1,4)+0.0001,-TRUNC(EG7/VLOOKUP("SVA",[1]ARBOR!$A:$C,3,0)-1,4)))))</f>
        <v>0.2301</v>
      </c>
      <c r="EI7" s="200" t="s">
        <v>160</v>
      </c>
      <c r="EJ7" s="201"/>
      <c r="EK7" s="202"/>
      <c r="EL7" s="203" t="str">
        <f t="shared" si="3"/>
        <v/>
      </c>
      <c r="EM7" s="200" t="str">
        <f>IF(EL7="S/Desc","S/Desc",IF(ISERROR(IF(EL7="","",VLOOKUP(($BX7&amp;EL7&amp;"Template Desc. % sobre Serviço SVA B2C"),[1]BENEFICIOS!$A:$G,5,0))),"Criar",IF(EL7="","",VLOOKUP(($BX7&amp;EL7&amp;"Template Desc. % sobre Serviço SVA B2C"),[1]BENEFICIOS!$A:$G,5,0))))</f>
        <v/>
      </c>
      <c r="EN7" s="129"/>
      <c r="EO7" s="127" t="str">
        <f>IF(EN7=0,"",IF(EN7=VLOOKUP("PCS-OzTL40",[1]ARBOR!$A:$C,3,0),0.0001,IF(EN7&gt;VLOOKUP("PCS-OzTL40",[1]ARBOR!$A:$C,3,0),"Maior que CAP!",IF((DOLLAR(EN7+(VLOOKUP("PCS-OzTL40",[1]ARBOR!$A:$C,3,0)*-TRUNC(EN7/VLOOKUP("PCS-OzTL40",[1]ARBOR!$A:$C,3,0)-1,4)),6))&lt;&gt;(DOLLAR(VLOOKUP("PCS-OzTL40",[1]ARBOR!$A:$C,3,0),6)),-TRUNC(EN7/VLOOKUP("PCS-OzTL40",[1]ARBOR!$A:$C,3,0)-1,4)+0.0001,-TRUNC(EN7/VLOOKUP("PCS-OzTL40",[1]ARBOR!$A:$C,3,0)-1,4)))))</f>
        <v/>
      </c>
      <c r="EP7" s="189" t="str">
        <f>IF(ISERROR(IF(EO7="","",VLOOKUP(($AY7&amp;EO7&amp;"Template desconto FLAT Plano Principal Oi TV nível conta"),[1]BENEFICIOS!$A:$G,5,0))),"Criar",IF(EO7="","",VLOOKUP(($AY7&amp;EO7&amp;"Template desconto FLAT Plano Principal Oi TV nível conta"),[1]BENEFICIOS!$A:$G,5,0)))</f>
        <v/>
      </c>
      <c r="EQ7" s="129"/>
      <c r="ER7" s="127" t="str">
        <f>IF(EQ7=0,"",IF(EQ7=VLOOKUP("PCS-OzTL41",[1]ARBOR!$A:$C,3,0),0.0001,IF(EQ7&gt;VLOOKUP("PCS-OzTL41",[1]ARBOR!$A:$C,3,0),"Maior que CAP!",IF((DOLLAR(EQ7+(VLOOKUP("PCS-OzTL41",[1]ARBOR!$A:$C,3,0)*-TRUNC(EQ7/VLOOKUP("PCS-OzTL41",[1]ARBOR!$A:$C,3,0)-1,4)),6))&lt;&gt;(DOLLAR(VLOOKUP("PCS-OzTL41",[1]ARBOR!$A:$C,3,0),6)),-TRUNC(EQ7/VLOOKUP("PCS-OzTL41",[1]ARBOR!$A:$C,3,0)-1,4)+0.0001,-TRUNC(EQ7/VLOOKUP("PCS-OzTL41",[1]ARBOR!$A:$C,3,0)-1,4)))))</f>
        <v/>
      </c>
      <c r="ES7" s="204" t="str">
        <f>IF(ISERROR(IF(ER7="","",VLOOKUP(($AY7&amp;ER7&amp;"Template desconto FLAT Plano Principal Oi TV nível conta"),[1]BENEFICIOS!$A:$G,5,0))),"Criar",IF(ER7="","",VLOOKUP(($AY7&amp;ER7&amp;"Template desconto FLAT Plano Principal Oi TV nível conta"),[1]BENEFICIOS!$A:$G,5,0)))</f>
        <v/>
      </c>
      <c r="ET7" s="129"/>
      <c r="EU7" s="127" t="str">
        <f>IF(ET7=0,"",IF(ET7=VLOOKUP("PCS-OzTL44",[1]ARBOR!$A:$C,3,0),0.0001,IF(ET7&gt;VLOOKUP("PCS-OzTL44",[1]ARBOR!$A:$C,3,0),"Maior que CAP!",IF((DOLLAR(ET7+(VLOOKUP("PCS-OzTL44",[1]ARBOR!$A:$C,3,0)*-TRUNC(ET7/VLOOKUP("PCS-OzTL44",[1]ARBOR!$A:$C,3,0)-1,4)),6))&lt;&gt;(DOLLAR(VLOOKUP("PCS-OzTL44",[1]ARBOR!$A:$C,3,0),6)),-TRUNC(ET7/VLOOKUP("PCS-OzTL44",[1]ARBOR!$A:$C,3,0)-1,4)+0.0001,-TRUNC(ET7/VLOOKUP("PCS-OzTL44",[1]ARBOR!$A:$C,3,0)-1,4)))))</f>
        <v/>
      </c>
      <c r="EV7" s="204" t="str">
        <f>IF(ISERROR(IF(EU7="","",VLOOKUP(($AY7&amp;EU7&amp;"Template desconto FLAT Plano Principal Oi TV nível conta"),[1]BENEFICIOS!$A:$G,5,0))),"Criar",IF(EU7="","",VLOOKUP(($AY7&amp;EU7&amp;"Template desconto FLAT Plano Principal Oi TV nível conta"),[1]BENEFICIOS!$A:$G,5,0)))</f>
        <v/>
      </c>
      <c r="EW7" s="129"/>
      <c r="EX7" s="127" t="str">
        <f>IF(EW7=0,"",IF(EW7=VLOOKUP("PCS-OzTL43",[1]ARBOR!$A:$C,3,0),0.0001,IF(EW7&gt;VLOOKUP("PCS-OzTL43",[1]ARBOR!$A:$C,3,0),"Maior que CAP!",IF((DOLLAR(EW7+(VLOOKUP("PCS-OzTL43",[1]ARBOR!$A:$C,3,0)*-TRUNC(EW7/VLOOKUP("PCS-OzTL43",[1]ARBOR!$A:$C,3,0)-1,4)),6))&lt;&gt;(DOLLAR(VLOOKUP("PCS-OzTL43",[1]ARBOR!$A:$C,3,0),6)),-TRUNC(EW7/VLOOKUP("PCS-OzTL43",[1]ARBOR!$A:$C,3,0)-1,4)+0.0001,-TRUNC(EW7/VLOOKUP("PCS-OzTL43",[1]ARBOR!$A:$C,3,0)-1,4)))))</f>
        <v/>
      </c>
      <c r="EY7" s="204" t="str">
        <f>IF(ISERROR(IF(EX7="","",VLOOKUP(($AY7&amp;EX7&amp;"Template desconto FLAT Plano Principal Oi TV nível conta"),[1]BENEFICIOS!$A:$G,5,0))),"Criar",IF(EX7="","",VLOOKUP(($AY7&amp;EX7&amp;"Template desconto FLAT Plano Principal Oi TV nível conta"),[1]BENEFICIOS!$A:$G,5,0)))</f>
        <v/>
      </c>
      <c r="EZ7" s="129"/>
      <c r="FA7" s="127" t="str">
        <f>IF(EZ7=0,"",IF(EZ7=VLOOKUP("PCS-OzTL45",[1]ARBOR!$A:$C,3,0),0.0001,IF(EZ7&gt;VLOOKUP("PCS-OzTL45",[1]ARBOR!$A:$C,3,0),"Maior que CAP!",IF((DOLLAR(EZ7+(VLOOKUP("PCS-OzTL45",[1]ARBOR!$A:$C,3,0)*-TRUNC(EZ7/VLOOKUP("PCS-OzTL45",[1]ARBOR!$A:$C,3,0)-1,4)),6))&lt;&gt;(DOLLAR(VLOOKUP("PCS-OzTL45",[1]ARBOR!$A:$C,3,0),6)),-TRUNC(EZ7/VLOOKUP("PCS-OzTL45",[1]ARBOR!$A:$C,3,0)-1,4)+0.0001,-TRUNC(EZ7/VLOOKUP("PCS-OzTL45",[1]ARBOR!$A:$C,3,0)-1,4)))))</f>
        <v/>
      </c>
      <c r="FB7" s="204" t="str">
        <f>IF(ISERROR(IF(FA7="","",VLOOKUP(($AY7&amp;FA7&amp;"Template desconto FLAT Plano Principal Oi TV nível conta"),[1]BENEFICIOS!$A:$G,5,0))),"Criar",IF(FA7="","",VLOOKUP(($AY7&amp;FA7&amp;"Template desconto FLAT Plano Principal Oi TV nível conta"),[1]BENEFICIOS!$A:$G,5,0)))</f>
        <v/>
      </c>
      <c r="FC7" s="129"/>
      <c r="FD7" s="127" t="str">
        <f>IF(FC7=0,"",IF(FC7=VLOOKUP("PCS-OzTL741",[1]ARBOR!$A:$C,3,0),0.0001,IF(FC7&gt;VLOOKUP("PCS-OzTL741",[1]ARBOR!$A:$C,3,0),"Maior que CAP!",IF((DOLLAR(FC7+(VLOOKUP("PCS-OzTL741",[1]ARBOR!$A:$C,3,0)*-TRUNC(FC7/VLOOKUP("PCS-OzTL741",[1]ARBOR!$A:$C,3,0)-1,4)),6))&lt;&gt;(DOLLAR(VLOOKUP("PCS-OzTL741",[1]ARBOR!$A:$C,3,0),6)),-TRUNC(FC7/VLOOKUP("PCS-OzTL741",[1]ARBOR!$A:$C,3,0)-1,4)+0.0001,-TRUNC(FC7/VLOOKUP("PCS-OzTL741",[1]ARBOR!$A:$C,3,0)-1,4)))))</f>
        <v/>
      </c>
      <c r="FE7" s="204" t="str">
        <f>IF(ISERROR(IF(FD7="","",VLOOKUP(($AY7&amp;FD7&amp;"Template desconto FLAT Plano Principal Oi TV nível conta"),[1]BENEFICIOS!$A:$G,5,0))),"Criar",IF(FD7="","",VLOOKUP(($AY7&amp;FD7&amp;"Template desconto FLAT Plano Principal Oi TV nível conta"),[1]BENEFICIOS!$A:$G,5,0)))</f>
        <v/>
      </c>
      <c r="FF7" s="129"/>
      <c r="FG7" s="127" t="str">
        <f>IF(FF7=0,"",IF(FF7=VLOOKUP("PCS-OzTL744",[1]ARBOR!$A:$C,3,0),0.0001,IF(FF7&gt;VLOOKUP("PCS-OzTL744",[1]ARBOR!$A:$C,3,0),"Maior que CAP!",IF((DOLLAR(FF7+(VLOOKUP("PCS-OzTL744",[1]ARBOR!$A:$C,3,0)*-TRUNC(FF7/VLOOKUP("PCS-OzTL744",[1]ARBOR!$A:$C,3,0)-1,4)),6))&lt;&gt;(DOLLAR(VLOOKUP("PCS-OzTL744",[1]ARBOR!$A:$C,3,0),6)),-TRUNC(FF7/VLOOKUP("PCS-OzTL744",[1]ARBOR!$A:$C,3,0)-1,4)+0.0001,-TRUNC(FF7/VLOOKUP("PCS-OzTL744",[1]ARBOR!$A:$C,3,0)-1,4)))))</f>
        <v/>
      </c>
      <c r="FH7" s="204" t="str">
        <f>IF(ISERROR(IF(FG7="","",VLOOKUP(($AY7&amp;FG7&amp;"Template desconto FLAT Plano Principal Oi TV nível conta"),[1]BENEFICIOS!$A:$G,5,0))),"Criar",IF(FG7="","",VLOOKUP(($AY7&amp;FG7&amp;"Template desconto FLAT Plano Principal Oi TV nível conta"),[1]BENEFICIOS!$A:$G,5,0)))</f>
        <v/>
      </c>
      <c r="FI7" s="129"/>
      <c r="FJ7" s="127" t="str">
        <f>IF(FI7=0,"",IF(FI7=VLOOKUP("PCS-OzTL743",[1]ARBOR!$A:$C,3,0),0.0001,IF(FI7&gt;VLOOKUP("PCS-OzTL743",[1]ARBOR!$A:$C,3,0),"Maior que CAP!",IF((DOLLAR(FI7+(VLOOKUP("PCS-OzTL743",[1]ARBOR!$A:$C,3,0)*-TRUNC(FI7/VLOOKUP("PCS-OzTL743",[1]ARBOR!$A:$C,3,0)-1,4)),6))&lt;&gt;(DOLLAR(VLOOKUP("PCS-OzTL743",[1]ARBOR!$A:$C,3,0),6)),-TRUNC(FI7/VLOOKUP("PCS-OzTL743",[1]ARBOR!$A:$C,3,0)-1,4)+0.0001,-TRUNC(FI7/VLOOKUP("PCS-OzTL743",[1]ARBOR!$A:$C,3,0)-1,4)))))</f>
        <v/>
      </c>
      <c r="FK7" s="204" t="str">
        <f>IF(ISERROR(IF(FJ7="","",VLOOKUP(($AY7&amp;FJ7&amp;"Template desconto FLAT Plano Principal Oi TV nível conta"),[1]BENEFICIOS!$A:$G,5,0))),"Criar",IF(FJ7="","",VLOOKUP(($AY7&amp;FJ7&amp;"Template desconto FLAT Plano Principal Oi TV nível conta"),[1]BENEFICIOS!$A:$G,5,0)))</f>
        <v/>
      </c>
      <c r="FL7" s="129"/>
      <c r="FM7" s="127" t="str">
        <f>IF(FL7=0,"",IF(FL7=VLOOKUP("PCS-OzTL745",[1]ARBOR!$A:$C,3,0),0.0001,IF(FL7&gt;VLOOKUP("PCS-OzTL745",[1]ARBOR!$A:$C,3,0),"Maior que CAP!",IF((DOLLAR(FL7+(VLOOKUP("PCS-OzTL745",[1]ARBOR!$A:$C,3,0)*-TRUNC(FL7/VLOOKUP("PCS-OzTL745",[1]ARBOR!$A:$C,3,0)-1,4)),6))&lt;&gt;(DOLLAR(VLOOKUP("PCS-OzTL745",[1]ARBOR!$A:$C,3,0),6)),-TRUNC(FL7/VLOOKUP("PCS-OzTL745",[1]ARBOR!$A:$C,3,0)-1,4)+0.0001,-TRUNC(FL7/VLOOKUP("PCS-OzTL745",[1]ARBOR!$A:$C,3,0)-1,4)))))</f>
        <v/>
      </c>
      <c r="FN7" s="204" t="str">
        <f>IF(ISERROR(IF(FM7="","",VLOOKUP(($AY7&amp;FM7&amp;"Template desconto FLAT Plano Principal Oi TV nível conta"),[1]BENEFICIOS!$A:$G,5,0))),"Criar",IF(FM7="","",VLOOKUP(($AY7&amp;FM7&amp;"Template desconto FLAT Plano Principal Oi TV nível conta"),[1]BENEFICIOS!$A:$G,5,0)))</f>
        <v/>
      </c>
      <c r="FO7" s="129"/>
      <c r="FP7" s="127" t="str">
        <f>IF(FO7=0,"",IF(FO7=VLOOKUP("PCS-OzTL42",[1]ARBOR!$A:$C,3,0),0.0001,IF(FO7&gt;VLOOKUP("PCS-OzTL42",[1]ARBOR!$A:$C,3,0),"Maior que CAP!",IF((DOLLAR(FO7+(VLOOKUP("PCS-OzTL42",[1]ARBOR!$A:$C,3,0)*-TRUNC(FO7/VLOOKUP("PCS-OzTL42",[1]ARBOR!$A:$C,3,0)-1,4)),6))&lt;&gt;(DOLLAR(VLOOKUP("PCS-OzTL42",[1]ARBOR!$A:$C,3,0),6)),-TRUNC(FO7/VLOOKUP("PCS-OzTL42",[1]ARBOR!$A:$C,3,0)-1,4)+0.0001,-TRUNC(FO7/VLOOKUP("PCS-OzTL42",[1]ARBOR!$A:$C,3,0)-1,4)))))</f>
        <v/>
      </c>
      <c r="FQ7" s="204" t="str">
        <f>IF(ISERROR(IF(FP7="","",VLOOKUP(($AY7&amp;FP7&amp;"Template desconto FLAT Plano Principal Oi TV nível conta"),[1]BENEFICIOS!$A:$G,5,0))),"Criar",IF(FP7="","",VLOOKUP(($AY7&amp;FP7&amp;"Template desconto FLAT Plano Principal Oi TV nível conta"),[1]BENEFICIOS!$A:$G,5,0)))</f>
        <v/>
      </c>
      <c r="FR7" s="129"/>
      <c r="FS7" s="127" t="str">
        <f>IF(FR7=0,"",IF(FR7=VLOOKUP("PCS-OzTL47",[1]ARBOR!$A:$C,3,0),0.0001,IF(FR7&gt;VLOOKUP("PCS-OzTL47",[1]ARBOR!$A:$C,3,0),"Maior que CAP!",IF((DOLLAR(FR7+(VLOOKUP("PCS-OzTL47",[1]ARBOR!$A:$C,3,0)*-TRUNC(FR7/VLOOKUP("PCS-OzTL47",[1]ARBOR!$A:$C,3,0)-1,4)),6))&lt;&gt;(DOLLAR(VLOOKUP("PCS-OzTL47",[1]ARBOR!$A:$C,3,0),6)),-TRUNC(FR7/VLOOKUP("PCS-OzTL47",[1]ARBOR!$A:$C,3,0)-1,4)+0.0001,-TRUNC(FR7/VLOOKUP("PCS-OzTL47",[1]ARBOR!$A:$C,3,0)-1,4)))))</f>
        <v/>
      </c>
      <c r="FT7" s="204" t="str">
        <f>IF(ISERROR(IF(FS7="","",VLOOKUP(($AY7&amp;FS7&amp;"Template desconto FLAT Plano Principal Oi TV nível conta"),[1]BENEFICIOS!$A:$G,5,0))),"Criar",IF(FS7="","",VLOOKUP(($AY7&amp;FS7&amp;"Template desconto FLAT Plano Principal Oi TV nível conta"),[1]BENEFICIOS!$A:$G,5,0)))</f>
        <v/>
      </c>
      <c r="FU7" s="129">
        <v>149.9</v>
      </c>
      <c r="FV7" s="127">
        <f>IF(FU7=0,"",IF(FU7=VLOOKUP("PCS-OzTL46",[1]ARBOR!$A:$C,3,0),0.0001,IF(FU7&gt;VLOOKUP("PCS-OzTL46",[1]ARBOR!$A:$C,3,0),"Maior que CAP!",IF((DOLLAR(FU7+(VLOOKUP("PCS-OzTL46",[1]ARBOR!$A:$C,3,0)*-TRUNC(FU7/VLOOKUP("PCS-OzTL46",[1]ARBOR!$A:$C,3,0)-1,4)),6))&lt;&gt;(DOLLAR(VLOOKUP("PCS-OzTL46",[1]ARBOR!$A:$C,3,0),6)),-TRUNC(FU7/VLOOKUP("PCS-OzTL46",[1]ARBOR!$A:$C,3,0)-1,4)+0.0001,-TRUNC(FU7/VLOOKUP("PCS-OzTL46",[1]ARBOR!$A:$C,3,0)-1,4)))))</f>
        <v>0.30169999999999997</v>
      </c>
      <c r="FW7" s="204" t="str">
        <f>IF(ISERROR(IF(FV7="","",VLOOKUP(($AY7&amp;FV7&amp;"Template desconto FLAT Plano Principal Oi TV nível conta"),[1]BENEFICIOS!$A:$G,5,0))),"Criar",IF(FV7="","",VLOOKUP(($AY7&amp;FV7&amp;"Template desconto FLAT Plano Principal Oi TV nível conta"),[1]BENEFICIOS!$A:$G,5,0)))</f>
        <v>MKT-1-10140936051</v>
      </c>
      <c r="FX7" s="129"/>
      <c r="FY7" s="127" t="str">
        <f>IF(FX7=0,"",IF(FX7=VLOOKUP("PCS-OzTL48",[1]ARBOR!$A:$C,3,0),0.0001,IF(FX7&gt;VLOOKUP("PCS-OzTL48",[1]ARBOR!$A:$C,3,0),"Maior que CAP!",IF((DOLLAR(FX7+(VLOOKUP("PCS-OzTL48",[1]ARBOR!$A:$C,3,0)*-TRUNC(FX7/VLOOKUP("PCS-OzTL48",[1]ARBOR!$A:$C,3,0)-1,4)),6))&lt;&gt;(DOLLAR(VLOOKUP("PCS-OzTL48",[1]ARBOR!$A:$C,3,0),6)),-TRUNC(FX7/VLOOKUP("PCS-OzTL48",[1]ARBOR!$A:$C,3,0)-1,4)+0.0001,-TRUNC(FX7/VLOOKUP("PCS-OzTL48",[1]ARBOR!$A:$C,3,0)-1,4)))))</f>
        <v/>
      </c>
      <c r="FZ7" s="204" t="str">
        <f>IF(ISERROR(IF(FY7="","",VLOOKUP(($AY7&amp;FY7&amp;"Template desconto FLAT Plano Principal Oi TV nível conta"),[1]BENEFICIOS!$A:$G,5,0))),"Criar",IF(FY7="","",VLOOKUP(($AY7&amp;FY7&amp;"Template desconto FLAT Plano Principal Oi TV nível conta"),[1]BENEFICIOS!$A:$G,5,0)))</f>
        <v/>
      </c>
      <c r="GA7" s="129"/>
      <c r="GB7" s="127" t="str">
        <f>IF(GA7=0,"",IF(GA7=VLOOKUP("PCS-OzTL742",[1]ARBOR!$A:$C,3,0),0.0001,IF(GA7&gt;VLOOKUP("PCS-OzTL742",[1]ARBOR!$A:$C,3,0),"Maior que CAP!",IF((DOLLAR(GA7+(VLOOKUP("PCS-OzTL742",[1]ARBOR!$A:$C,3,0)*-TRUNC(GA7/VLOOKUP("PCS-OzTL742",[1]ARBOR!$A:$C,3,0)-1,4)),6))&lt;&gt;(DOLLAR(VLOOKUP("PCS-OzTL742",[1]ARBOR!$A:$C,3,0),6)),-TRUNC(GA7/VLOOKUP("PCS-OzTL742",[1]ARBOR!$A:$C,3,0)-1,4)+0.0001,-TRUNC(GA7/VLOOKUP("PCS-OzTL742",[1]ARBOR!$A:$C,3,0)-1,4)))))</f>
        <v/>
      </c>
      <c r="GC7" s="204" t="str">
        <f>IF(ISERROR(IF(GB7="","",VLOOKUP(($AY7&amp;GB7&amp;"Template desconto FLAT Plano Principal Oi TV nível conta"),[1]BENEFICIOS!$A:$G,5,0))),"Criar",IF(GB7="","",VLOOKUP(($AY7&amp;GB7&amp;"Template desconto FLAT Plano Principal Oi TV nível conta"),[1]BENEFICIOS!$A:$G,5,0)))</f>
        <v/>
      </c>
      <c r="GD7" s="129"/>
      <c r="GE7" s="127" t="str">
        <f>IF(GD7=0,"",IF(GD7=VLOOKUP("PCS-OzTL747",[1]ARBOR!$A:$C,3,0),0.0001,IF(GD7&gt;VLOOKUP("PCS-OzTL747",[1]ARBOR!$A:$C,3,0),"Maior que CAP!",IF((DOLLAR(GD7+(VLOOKUP("PCS-OzTL747",[1]ARBOR!$A:$C,3,0)*-TRUNC(GD7/VLOOKUP("PCS-OzTL747",[1]ARBOR!$A:$C,3,0)-1,4)),6))&lt;&gt;(DOLLAR(VLOOKUP("PCS-OzTL747",[1]ARBOR!$A:$C,3,0),6)),-TRUNC(GD7/VLOOKUP("PCS-OzTL747",[1]ARBOR!$A:$C,3,0)-1,4)+0.0001,-TRUNC(GD7/VLOOKUP("PCS-OzTL747",[1]ARBOR!$A:$C,3,0)-1,4)))))</f>
        <v/>
      </c>
      <c r="GF7" s="204" t="str">
        <f>IF(ISERROR(IF(GE7="","",VLOOKUP(($AY7&amp;GE7&amp;"Template desconto FLAT Plano Principal Oi TV nível conta"),[1]BENEFICIOS!$A:$G,5,0))),"Criar",IF(GE7="","",VLOOKUP(($AY7&amp;GE7&amp;"Template desconto FLAT Plano Principal Oi TV nível conta"),[1]BENEFICIOS!$A:$G,5,0)))</f>
        <v/>
      </c>
      <c r="GG7" s="129">
        <v>169.9</v>
      </c>
      <c r="GH7" s="127">
        <f>IF(GG7=0,"",IF(GG7=VLOOKUP("PCS-OzTL746",[1]ARBOR!$A:$C,3,0),0.0001,IF(GG7&gt;VLOOKUP("PCS-OzTL746",[1]ARBOR!$A:$C,3,0),"Maior que CAP!",IF((DOLLAR(GG7+(VLOOKUP("PCS-OzTL746",[1]ARBOR!$A:$C,3,0)*-TRUNC(GG7/VLOOKUP("PCS-OzTL746",[1]ARBOR!$A:$C,3,0)-1,4)),6))&lt;&gt;(DOLLAR(VLOOKUP("PCS-OzTL746",[1]ARBOR!$A:$C,3,0),6)),-TRUNC(GG7/VLOOKUP("PCS-OzTL746",[1]ARBOR!$A:$C,3,0)-1,4)+0.0001,-TRUNC(GG7/VLOOKUP("PCS-OzTL746",[1]ARBOR!$A:$C,3,0)-1,4)))))</f>
        <v>0.37009999999999998</v>
      </c>
      <c r="GI7" s="204" t="str">
        <f>IF(ISERROR(IF(GH7="","",VLOOKUP(($AY7&amp;GH7&amp;"Template desconto FLAT Plano Principal Oi TV nível conta"),[1]BENEFICIOS!$A:$G,5,0))),"Criar",IF(GH7="","",VLOOKUP(($AY7&amp;GH7&amp;"Template desconto FLAT Plano Principal Oi TV nível conta"),[1]BENEFICIOS!$A:$G,5,0)))</f>
        <v>MKT-1-10140958331</v>
      </c>
      <c r="GJ7" s="129"/>
      <c r="GK7" s="127" t="str">
        <f>IF(GJ7=0,"",IF(GJ7=VLOOKUP("PCS-OzTL748",[1]ARBOR!$A:$C,3,0),0.0001,IF(GJ7&gt;VLOOKUP("PCS-OzTL748",[1]ARBOR!$A:$C,3,0),"Maior que CAP!",IF((DOLLAR(GJ7+(VLOOKUP("PCS-OzTL748",[1]ARBOR!$A:$C,3,0)*-TRUNC(GJ7/VLOOKUP("PCS-OzTL748",[1]ARBOR!$A:$C,3,0)-1,4)),6))&lt;&gt;(DOLLAR(VLOOKUP("PCS-OzTL748",[1]ARBOR!$A:$C,3,0),6)),-TRUNC(GJ7/VLOOKUP("PCS-OzTL748",[1]ARBOR!$A:$C,3,0)-1,4)+0.0001,-TRUNC(GJ7/VLOOKUP("PCS-OzTL748",[1]ARBOR!$A:$C,3,0)-1,4)))))</f>
        <v/>
      </c>
      <c r="GL7" s="204" t="str">
        <f>IF(ISERROR(IF(GK7="","",VLOOKUP(($AY7&amp;GK7&amp;"Template desconto FLAT Plano Principal Oi TV nível conta"),[1]BENEFICIOS!$A:$G,5,0))),"Criar",IF(GK7="","",VLOOKUP(($AY7&amp;GK7&amp;"Template desconto FLAT Plano Principal Oi TV nível conta"),[1]BENEFICIOS!$A:$G,5,0)))</f>
        <v/>
      </c>
      <c r="GM7" s="129">
        <v>75</v>
      </c>
      <c r="GN7" s="127">
        <f>IF(GM7=0,"",IF(GM7=VLOOKUP("PCS-OzTL34",[1]ARBOR!$A:$C,3,0),0.0001,IF(GM7&gt;VLOOKUP("PCS-OzTL34",[1]ARBOR!$A:$C,3,0),"Maior que CAP!",IF((DOLLAR(GM7+(VLOOKUP("PCS-OzTL34",[1]ARBOR!$A:$C,3,0)*-TRUNC(GM7/VLOOKUP("PCS-OzTL34",[1]ARBOR!$A:$C,3,0)-1,4)),6))&lt;&gt;(DOLLAR(VLOOKUP("PCS-OzTL34",[1]ARBOR!$A:$C,3,0),6)),-TRUNC(GM7/VLOOKUP("PCS-OzTL34",[1]ARBOR!$A:$C,3,0)-1,4)+0.0001,-TRUNC(GM7/VLOOKUP("PCS-OzTL34",[1]ARBOR!$A:$C,3,0)-1,4)))))</f>
        <v>0.31900000000000001</v>
      </c>
      <c r="GO7" s="204" t="s">
        <v>161</v>
      </c>
      <c r="GP7" s="129">
        <v>19.899999999999999</v>
      </c>
      <c r="GQ7" s="127">
        <f>IF(GP7=0,"",IF(GP7=VLOOKUP("PCS-OzTL31",[1]ARBOR!$A:$C,3,0),0.0001,IF(GP7&gt;VLOOKUP("PCS-OzTL31",[1]ARBOR!$A:$C,3,0),"Maior que CAP!",IF((DOLLAR(GP7+(VLOOKUP("PCS-OzTL31",[1]ARBOR!$A:$C,3,0)*-TRUNC(GP7/VLOOKUP("PCS-OzTL31",[1]ARBOR!$A:$C,3,0)-1,4)),6))&lt;&gt;(DOLLAR(VLOOKUP("PCS-OzTL31",[1]ARBOR!$A:$C,3,0),6)),-TRUNC(GP7/VLOOKUP("PCS-OzTL31",[1]ARBOR!$A:$C,3,0)-1,4)+0.0001,-TRUNC(GP7/VLOOKUP("PCS-OzTL31",[1]ARBOR!$A:$C,3,0)-1,4)))))</f>
        <v>9.1800000000000007E-2</v>
      </c>
      <c r="GR7" s="204" t="s">
        <v>162</v>
      </c>
      <c r="GS7" s="129">
        <v>19.899999999999999</v>
      </c>
      <c r="GT7" s="127">
        <f>IF(GS7=0,"",IF(GS7=VLOOKUP("PCS-OzTL32",[1]ARBOR!$A:$C,3,0),0.0001,IF(GS7&gt;VLOOKUP("PCS-OzTL32",[1]ARBOR!$A:$C,3,0),"Maior que CAP!",IF((DOLLAR(GS7+(VLOOKUP("PCS-OzTL32",[1]ARBOR!$A:$C,3,0)*-TRUNC(GS7/VLOOKUP("PCS-OzTL32",[1]ARBOR!$A:$C,3,0)-1,4)),6))&lt;&gt;(DOLLAR(VLOOKUP("PCS-OzTL32",[1]ARBOR!$A:$C,3,0),6)),-TRUNC(GS7/VLOOKUP("PCS-OzTL32",[1]ARBOR!$A:$C,3,0)-1,4)+0.0001,-TRUNC(GS7/VLOOKUP("PCS-OzTL32",[1]ARBOR!$A:$C,3,0)-1,4)))))</f>
        <v>9.1800000000000007E-2</v>
      </c>
      <c r="GU7" s="204" t="s">
        <v>163</v>
      </c>
      <c r="GV7" s="129">
        <v>29.9</v>
      </c>
      <c r="GW7" s="127">
        <f>IF(GV7=0,"",IF(GV7=VLOOKUP("PCS-OzTL33",[1]ARBOR!$A:$C,3,0),0.0001,IF(GV7&gt;VLOOKUP("PCS-OzTL33",[1]ARBOR!$A:$C,3,0),"Maior que CAP!",IF((DOLLAR(GV7+(VLOOKUP("PCS-OzTL33",[1]ARBOR!$A:$C,3,0)*-TRUNC(GV7/VLOOKUP("PCS-OzTL33",[1]ARBOR!$A:$C,3,0)-1,4)),6))&lt;&gt;(DOLLAR(VLOOKUP("PCS-OzTL33",[1]ARBOR!$A:$C,3,0),6)),-TRUNC(GV7/VLOOKUP("PCS-OzTL33",[1]ARBOR!$A:$C,3,0)-1,4)+0.0001,-TRUNC(GV7/VLOOKUP("PCS-OzTL33",[1]ARBOR!$A:$C,3,0)-1,4)))))</f>
        <v>9.1800000000000007E-2</v>
      </c>
      <c r="GX7" s="204" t="s">
        <v>164</v>
      </c>
      <c r="GY7" s="129">
        <v>14.9</v>
      </c>
      <c r="GZ7" s="127">
        <f>IF(GY7=0,"",IF(GY7=VLOOKUP("PCS-OzTL503",[1]ARBOR!$A:$C,3,0),0.0001,IF(GY7&gt;VLOOKUP("PCS-OzTL503",[1]ARBOR!$A:$C,3,0),"Maior que CAP!",IF((DOLLAR(GY7+(VLOOKUP("PCS-OzTL503",[1]ARBOR!$A:$C,3,0)*-TRUNC(GY7/VLOOKUP("PCS-OzTL503",[1]ARBOR!$A:$C,3,0)-1,4)),6))&lt;&gt;(DOLLAR(VLOOKUP("PCS-OzTL503",[1]ARBOR!$A:$C,3,0),6)),-TRUNC(GY7/VLOOKUP("PCS-OzTL503",[1]ARBOR!$A:$C,3,0)-1,4)+0.0001,-TRUNC(GY7/VLOOKUP("PCS-OzTL503",[1]ARBOR!$A:$C,3,0)-1,4)))))</f>
        <v>9.1499999999999998E-2</v>
      </c>
      <c r="HA7" s="204" t="s">
        <v>165</v>
      </c>
      <c r="HB7" s="129">
        <v>10</v>
      </c>
      <c r="HC7" s="127">
        <f>IF(HB7=0,"",IF(HB7=VLOOKUP("PCS-OzTL500",[1]ARBOR!$A:$C,3,0),0.0001,IF(HB7&gt;VLOOKUP("PCS-OzTL500",[1]ARBOR!$A:$C,3,0),"Maior que CAP!",IF((DOLLAR(HB7+(VLOOKUP("PCS-OzTL500",[1]ARBOR!$A:$C,3,0)*-TRUNC(HB7/VLOOKUP("PCS-OzTL500",[1]ARBOR!$A:$C,3,0)-1,4)),6))&lt;&gt;(DOLLAR(VLOOKUP("PCS-OzTL500",[1]ARBOR!$A:$C,3,0),6)),-TRUNC(HB7/VLOOKUP("PCS-OzTL500",[1]ARBOR!$A:$C,3,0)-1,4)+0.0001,-TRUNC(HB7/VLOOKUP("PCS-OzTL500",[1]ARBOR!$A:$C,3,0)-1,4)))))</f>
        <v>9.1800000000000007E-2</v>
      </c>
      <c r="HD7" s="204" t="s">
        <v>166</v>
      </c>
      <c r="HE7" s="129" t="s">
        <v>167</v>
      </c>
      <c r="HF7" s="127"/>
      <c r="HG7" s="204"/>
      <c r="HH7" s="129" t="s">
        <v>168</v>
      </c>
      <c r="HI7" s="127"/>
      <c r="HJ7" s="204"/>
      <c r="HK7" s="129" t="s">
        <v>169</v>
      </c>
      <c r="HL7" s="127"/>
      <c r="HM7" s="204"/>
      <c r="HN7" s="129" t="s">
        <v>170</v>
      </c>
      <c r="HO7" s="127"/>
      <c r="HP7" s="204"/>
      <c r="HQ7" s="129" t="s">
        <v>171</v>
      </c>
      <c r="HR7" s="127"/>
      <c r="HS7" s="204"/>
      <c r="HT7" s="129">
        <v>24.9</v>
      </c>
      <c r="HU7" s="127">
        <f>IF(HT7=0,"",IF(HT7=VLOOKUP("PCS-OzTL99",[1]ARBOR!$A:$C,3,0),0.0001,IF(HT7&gt;VLOOKUP("PCS-OzTL99",[1]ARBOR!$A:$C,3,0),"Maior que CAP!",IF((DOLLAR(HT7+(VLOOKUP("PCS-OzTL99",[1]ARBOR!$A:$C,3,0)*-TRUNC(HT7/VLOOKUP("PCS-OzTL99",[1]ARBOR!$A:$C,3,0)-1,4)),6))&lt;&gt;(DOLLAR(VLOOKUP("PCS-OzTL99",[1]ARBOR!$A:$C,3,0),6)),-TRUNC(HT7/VLOOKUP("PCS-OzTL99",[1]ARBOR!$A:$C,3,0)-1,4)+0.0001,-TRUNC(HT7/VLOOKUP("PCS-OzTL99",[1]ARBOR!$A:$C,3,0)-1,4)))))</f>
        <v>0.16729999999999998</v>
      </c>
      <c r="HV7" s="205" t="s">
        <v>172</v>
      </c>
      <c r="HW7" s="196" t="s">
        <v>149</v>
      </c>
      <c r="HX7" s="204" t="str">
        <f t="shared" si="4"/>
        <v>PCS-34704</v>
      </c>
      <c r="HY7" s="206" t="str">
        <f>IFERROR((IF(AZ7="","",VLOOKUP(AZ7,[1]ARBOR!A:C,3,0))),"")</f>
        <v/>
      </c>
      <c r="HZ7" s="207"/>
      <c r="IA7" s="184" t="str">
        <f>IF(HZ7="","",ROUND(1-(HZ7/VLOOKUP(AZ7&amp;"ASS",[1]ARBOR!A:C,3,0)),4))</f>
        <v/>
      </c>
      <c r="IB7" s="184"/>
      <c r="IC7" s="208"/>
      <c r="ID7" s="209"/>
      <c r="IE7" s="127" t="str">
        <f>IF(ID7="","",ROUND(IF(ID7=0,"",IF(ID7=HY7,0.0001,1-((ID7+(VLOOKUP(AZ7&amp;"ASS",[1]ARBOR!A:C,3,0)-HZ7))/HY7))),4))</f>
        <v/>
      </c>
      <c r="IF7" s="127" t="str">
        <f>IF(ISERROR(IF(IE7="","",VLOOKUP(($AY7&amp;IE7&amp;"Template de desconto percentual FLAT Móvel - Conta Total - Varejo - Ganho Tributário Cross"),[1]BENEFICIOS!$A:$E,5,0))),"Criar",IF(IE7="","",VLOOKUP(($AY7&amp;IE7&amp;"Template de desconto percentual FLAT Móvel - Conta Total - Varejo - Ganho Tributário Cross"),[1]BENEFICIOS!$A:$E,5,0)))</f>
        <v/>
      </c>
      <c r="IG7" s="193"/>
      <c r="IH7" s="127"/>
      <c r="II7" s="210"/>
      <c r="IJ7" s="211"/>
      <c r="IK7" s="127"/>
      <c r="IL7" s="127"/>
      <c r="IM7" s="212"/>
      <c r="IN7" s="212"/>
      <c r="IO7" s="213"/>
      <c r="IP7" s="214" t="str">
        <f>IF(IO7=0,"",IF(IO7=VLOOKUP("PCS-813566",[1]ARBOR!$A:$C,3,0),0.0001,IF(IO7&gt;VLOOKUP("PCS-813566",[1]ARBOR!$A:$C,3,0),"Maior que CAP!",ROUND(-1*(IO7/VLOOKUP("PCS-813566",[1]ARBOR!$A:$C,3,0)-1),4))))</f>
        <v/>
      </c>
      <c r="IQ7" s="215" t="str">
        <f>IF(ISERROR(IF(IP7="","",VLOOKUP(("Oi Internet Pra Celular 300MB"&amp;IP7&amp;"Template Flat Instância Dados"),[1]BENEFICIOS!$A:$E,5,0))),"Criar",IF(IP7="","",VLOOKUP(("Oi Internet Pra Celular 300MB"&amp;IP7&amp;"Template Flat Instância Dados"),[1]BENEFICIOS!$A:$E,5,0)))</f>
        <v/>
      </c>
      <c r="IR7" s="216"/>
      <c r="IS7" s="217" t="str">
        <f>IF(IR7=0,"",IF(IR7=VLOOKUP("sva_bancas",[1]ARBOR!$A:$C,3,0),0.0001,IF(IR7&gt;VLOOKUP("sva_livros",[1]ARBOR!$A:$C,3,0),"Maior que CAP!",ROUND(-1*(IR7/VLOOKUP("sva_bancas",[1]ARBOR!$A:$C,3,0)-1),4))))</f>
        <v/>
      </c>
      <c r="IT7" s="218" t="str">
        <f>IF(ISERROR(IF(IS7="","",VLOOKUP(("Oi Internet Pra Celular 300MB"&amp;IS7&amp;"Template Desconto % SVA DADOS B2C"),[1]BENEFICIOS!$A:$E,5,0))),"Criar",IF(IS7="","",VLOOKUP(("Oi Internet Pra Celular 300MB"&amp;IS7&amp;"Template Desconto % SVA DADOS B2C"),[1]BENEFICIOS!$A:$E,5,0)))</f>
        <v/>
      </c>
      <c r="IU7" s="213"/>
      <c r="IV7" s="214" t="str">
        <f>IF(IU7=0,"",IF(IU7=VLOOKUP("PCS-813564",[1]ARBOR!$A:$C,3,0),0.0001,IF(IU7&gt;VLOOKUP("PCS-813564",[1]ARBOR!$A:$C,3,0),"Maior que CAP!",ROUND(-1*(IU7/VLOOKUP("PCS-813564",[1]ARBOR!$A:$C,3,0)-1),4))))</f>
        <v/>
      </c>
      <c r="IW7" s="215" t="str">
        <f>IF(ISERROR(IF(IV7="","",VLOOKUP(("Oi Internet Pra Celular 500MB"&amp;IV7&amp;"Template Flat Instância Dados"),[1]BENEFICIOS!$A:$E,5,0))),"Criar",IF(IV7="","",VLOOKUP(("Oi Internet Pra Celular 500MB"&amp;IV7&amp;"Template Flat Instância Dados"),[1]BENEFICIOS!$A:$E,5,0)))</f>
        <v/>
      </c>
      <c r="IX7" s="216"/>
      <c r="IY7" s="217" t="str">
        <f>IF(IX7=0,"",IF(IX7=VLOOKUP("sva_livros",[1]ARBOR!$A:$C,3,0),0.0001,IF(IX7&gt;VLOOKUP("sva_livros",[1]ARBOR!$A:$C,3,0),"Maior que CAP!",ROUND(-1*(IX7/VLOOKUP("sva_livros",[1]ARBOR!$A:$C,3,0)-1),4))))</f>
        <v/>
      </c>
      <c r="IZ7" s="218" t="str">
        <f>IF(ISERROR(IF(IY7="","",VLOOKUP(("Oi Internet Pra Celular 500MB"&amp;IY7&amp;"Template Desconto % SVA DADOS B2C"),[1]BENEFICIOS!$A:$E,5,0))),"Criar",IF(IY7="","",VLOOKUP(("Oi Internet Pra Celular 500MB"&amp;IY7&amp;"Template Desconto % SVA DADOS B2C"),[1]BENEFICIOS!$A:$E,5,0)))</f>
        <v/>
      </c>
      <c r="JA7" s="213"/>
      <c r="JB7" s="214" t="str">
        <f>IF(JA7=0,"",IF(JA7=VLOOKUP("PCS-10357",[1]ARBOR!$A:$C,3,0),0.0001,IF(JA7&gt;VLOOKUP("PCS-10357",[1]ARBOR!$A:$C,3,0),"Maior que CAP!",ROUND(-1*(JA7/VLOOKUP("PCS-10357",[1]ARBOR!$A:$C,3,0)-1),4))))</f>
        <v/>
      </c>
      <c r="JC7" s="215" t="str">
        <f>IF(ISERROR(IF(JB7="","",VLOOKUP(("Oi Internet Pra Celular 1GB"&amp;JB7&amp;"Template Flat Instância Dados"),[1]BENEFICIOS!$A:$E,5,0))),"Criar",IF(JB7="","",VLOOKUP(("Oi Internet Pra Celular 1GB"&amp;JB7&amp;"Template Flat Instância Dados"),[1]BENEFICIOS!$A:$E,5,0)))</f>
        <v/>
      </c>
      <c r="JD7" s="216"/>
      <c r="JE7" s="217" t="str">
        <f>IF(JD7=0,"",IF(JD7=VLOOKUP("sva_livros",[1]ARBOR!$A:$C,3,0),0.0001,IF(JD7&gt;VLOOKUP("sva_livros",[1]ARBOR!$A:$C,3,0),"Maior que CAP!",ROUND(-1*(JD7/VLOOKUP("sva_livros",[1]ARBOR!$A:$C,3,0)-1),4))))</f>
        <v/>
      </c>
      <c r="JF7" s="218" t="str">
        <f>IF(ISERROR(IF(JE7="","",VLOOKUP(("Oi Internet Pra Celular 1GB"&amp;JE7&amp;"Template Desconto % SVA DADOS B2C"),[1]BENEFICIOS!$A:$E,5,0))),"Criar",IF(JE7="","",VLOOKUP(("Oi Internet Pra Celular 1GB"&amp;JE7&amp;"Template Desconto % SVA DADOS B2C"),[1]BENEFICIOS!$A:$E,5,0)))</f>
        <v/>
      </c>
      <c r="JG7" s="213"/>
      <c r="JH7" s="214" t="str">
        <f>IF(JG7=0,"",IF(JG7=VLOOKUP("PCS-813565",[1]ARBOR!$A:$C,3,0),0.0001,IF(JG7&gt;VLOOKUP("PCS-813565",[1]ARBOR!$A:$C,3,0),"Maior que CAP!",ROUND(-1*(JG7/VLOOKUP("PCS-813565",[1]ARBOR!$A:$C,3,0)-1),4))))</f>
        <v/>
      </c>
      <c r="JI7" s="215" t="str">
        <f>IF(ISERROR(IF(JH7="","",VLOOKUP(("Oi Internet Pra Celular 2GB"&amp;JH7&amp;"Template Flat Instância Dados"),[1]BENEFICIOS!$A:$E,5,0))),"Criar",IF(JH7="","",VLOOKUP(("Oi Internet Pra Celular 2GB"&amp;JH7&amp;"Template Flat Instância Dados"),[1]BENEFICIOS!$A:$E,5,0)))</f>
        <v/>
      </c>
      <c r="JJ7" s="216"/>
      <c r="JK7" s="217" t="str">
        <f>IF(JJ7=0,"",IF(JJ7=VLOOKUP("sva_livros",[1]ARBOR!$A:$C,3,0),0.0001,IF(JJ7&gt;VLOOKUP("sva_livros",[1]ARBOR!$A:$C,3,0),"Maior que CAP!",ROUND(-1*(JJ7/VLOOKUP("sva_livros",[1]ARBOR!$A:$C,3,0)-1),4))))</f>
        <v/>
      </c>
      <c r="JL7" s="218" t="str">
        <f>IF(ISERROR(IF(JK7="","",VLOOKUP(("Oi Internet Pra Celular 2GB"&amp;JK7&amp;"Template Desconto % SVA DADOS B2C"),[1]BENEFICIOS!$A:$E,5,0))),"Criar",IF(JK7="","",VLOOKUP(("Oi Internet Pra Celular 2GB"&amp;JK7&amp;"Template Desconto % SVA DADOS B2C"),[1]BENEFICIOS!$A:$E,5,0)))</f>
        <v/>
      </c>
      <c r="JM7" s="213"/>
      <c r="JN7" s="214" t="str">
        <f>IF(JM7=0,"",IF(JM7=VLOOKUP("PCS-7171B",[1]ARBOR!$A:$C,3,0),0.0001,IF(JM7&gt;VLOOKUP("PCS-7171B",[1]ARBOR!$A:$C,3,0),"Maior que CAP!",ROUND(-1*(JM7/VLOOKUP("PCS-7171B",[1]ARBOR!$A:$C,3,0)-1),4))))</f>
        <v/>
      </c>
      <c r="JO7" s="215" t="str">
        <f>IF(ISERROR(IF(JN7="","",VLOOKUP(("Oi Internet Pra Celular 3GB"&amp;JN7&amp;"Template Flat Instância Dados"),[1]BENEFICIOS!$A:$E,5,0))),"Criar",IF(JN7="","",VLOOKUP(("Oi Internet Pra Celular 3GB"&amp;JN7&amp;"Template Flat Instância Dados"),[1]BENEFICIOS!$A:$E,5,0)))</f>
        <v/>
      </c>
      <c r="JP7" s="216"/>
      <c r="JQ7" s="217" t="str">
        <f>IF(JP7=0,"",IF(JP7=VLOOKUP("sva_livros",[1]ARBOR!$A:$C,3,0),0.0001,IF(JP7&gt;VLOOKUP("sva_livros",[1]ARBOR!$A:$C,3,0),"Maior que CAP!",ROUND(-1*(JP7/VLOOKUP("sva_livros",[1]ARBOR!$A:$C,3,0)-1),4))))</f>
        <v/>
      </c>
      <c r="JR7" s="218" t="str">
        <f>IF(ISERROR(IF(JQ7="","",VLOOKUP(("Oi Internet Pra Celular 3GB"&amp;JQ7&amp;"Template Desconto % SVA DADOS B2C"),[1]BENEFICIOS!$A:$E,5,0))),"Criar",IF(JQ7="","",VLOOKUP(("Oi Internet Pra Celular 3GB"&amp;JQ7&amp;"Template Desconto % SVA DADOS B2C"),[1]BENEFICIOS!$A:$E,5,0)))</f>
        <v/>
      </c>
      <c r="JS7" s="213"/>
      <c r="JT7" s="214" t="str">
        <f>IF(JS7=0,"",IF(JS7=VLOOKUP("PCS-51793o08",[1]ARBOR!$A:$C,3,0),0.0001,IF(JS7&gt;VLOOKUP("PCS-51793o08",[1]ARBOR!$A:$C,3,0),"Maior que CAP!",ROUND(-1*(JS7/VLOOKUP("PCS-51793o08",[1]ARBOR!$A:$C,3,0)-1),4))))</f>
        <v/>
      </c>
      <c r="JU7" s="215" t="str">
        <f>IF(ISERROR(IF(JT7="","",VLOOKUP(("Oi Internet Pra Celular 5GB"&amp;JT7&amp;"Template Flat Instância Dados"),[1]BENEFICIOS!$A:$E,5,0))),"Criar",IF(JT7="","",VLOOKUP(("Oi Internet Pra Celular 5GB"&amp;JT7&amp;"Template Flat Instância Dados"),[1]BENEFICIOS!$A:$E,5,0)))</f>
        <v/>
      </c>
      <c r="JV7" s="216"/>
      <c r="JW7" s="217" t="str">
        <f>IF(JV7=0,"",IF(JV7=VLOOKUP("sva_curtas",[1]ARBOR!$A:$C,3,0),0.0001,IF(JV7&gt;VLOOKUP("sva_curtas",[1]ARBOR!$A:$C,3,0),"Maior que CAP!",ROUND(-1*(JV7/VLOOKUP("sva_curtas",[1]ARBOR!$A:$C,3,0)-1),4))))</f>
        <v/>
      </c>
      <c r="JX7" s="218" t="str">
        <f>IF(ISERROR(IF(JW7="","",VLOOKUP(("Oi Internet Pra Celular 5GB"&amp;JW7&amp;"Template Desconto % SVA DADOS B2C"),[1]BENEFICIOS!$A:$E,5,0))),"Criar",IF(JW7="","",VLOOKUP(("Oi Internet Pra Celular 5GB"&amp;JW7&amp;"Template Desconto % SVA DADOS B2C"),[1]BENEFICIOS!$A:$E,5,0)))</f>
        <v/>
      </c>
      <c r="JY7" s="213"/>
      <c r="JZ7" s="214" t="str">
        <f>IF(JY7=0,"",IF(JY7=VLOOKUP("PCS-7171A",[1]ARBOR!$A:$C,3,0),0.0001,IF(JY7&gt;VLOOKUP("PCS-7171A",[1]ARBOR!$A:$C,3,0),"Maior que CAP!",ROUND(-1*(JY7/VLOOKUP("PCS-7171A",[1]ARBOR!$A:$C,3,0)-1),4))))</f>
        <v/>
      </c>
      <c r="KA7" s="219" t="str">
        <f>IF(ISERROR(IF(JZ7="","",VLOOKUP(("Oi Internet Pra Celular 10GB"&amp;JZ7&amp;"Template Flat Instância Dados"),[1]BENEFICIOS!$A:$E,5,0))),"Criar",IF(JZ7="","",VLOOKUP(("Oi Internet Pra Celular 10GB"&amp;JZ7&amp;"Template Flat Instância Dados"),[1]BENEFICIOS!$A:$E,5,0)))</f>
        <v/>
      </c>
      <c r="KB7" s="216"/>
      <c r="KC7" s="217" t="str">
        <f>IF(KB7=0,"",IF(KB7=VLOOKUP("sva_curtas",[1]ARBOR!$A:$C,3,0),0.0001,IF(KB7&gt;VLOOKUP("sva_curtas",[1]ARBOR!$A:$C,3,0),"Maior que CAP!",ROUND(-1*(KB7/VLOOKUP("sva_curtas",[1]ARBOR!$A:$C,3,0)-1),4))))</f>
        <v/>
      </c>
      <c r="KD7" s="218" t="str">
        <f>IF(ISERROR(IF(KC7="","",VLOOKUP(("Oi Internet Pra Celular 10GB"&amp;KC7&amp;"Template Desconto % SVA DADOS B2C"),[1]BENEFICIOS!$A:$E,5,0))),"Criar",IF(KC7="","",VLOOKUP(("Oi Internet Pra Celular 10GB"&amp;KC7&amp;"Template Desconto % SVA DADOS B2C"),[1]BENEFICIOS!$A:$E,5,0)))</f>
        <v/>
      </c>
      <c r="KE7" s="220"/>
      <c r="KF7" s="221"/>
      <c r="KG7" s="222" t="s">
        <v>149</v>
      </c>
      <c r="KH7" s="223" t="s">
        <v>173</v>
      </c>
      <c r="KI7" s="224">
        <v>799</v>
      </c>
      <c r="KJ7" s="223">
        <v>12</v>
      </c>
      <c r="KK7" s="225" t="str">
        <f t="shared" si="5"/>
        <v>Oi benefício fidelização Multiprodutos</v>
      </c>
      <c r="KL7" s="226" t="str">
        <f t="shared" si="6"/>
        <v>PCS-Fk83324</v>
      </c>
      <c r="KM7" s="226" t="str">
        <f t="shared" si="7"/>
        <v>PCS-SBL553142</v>
      </c>
      <c r="KN7" s="227" t="s">
        <v>174</v>
      </c>
      <c r="KO7" s="228" t="s">
        <v>175</v>
      </c>
      <c r="KP7" s="228" t="s">
        <v>176</v>
      </c>
      <c r="KQ7" s="227" t="s">
        <v>177</v>
      </c>
      <c r="KR7" s="225" t="s">
        <v>178</v>
      </c>
      <c r="KS7" s="226" t="s">
        <v>179</v>
      </c>
      <c r="KT7" s="229" t="s">
        <v>180</v>
      </c>
      <c r="KU7" s="155"/>
      <c r="KV7" s="155"/>
      <c r="KW7" s="155"/>
      <c r="KX7" s="155"/>
      <c r="KY7" s="155"/>
      <c r="KZ7" s="155"/>
      <c r="LA7" s="155"/>
      <c r="LB7" s="155"/>
      <c r="LC7" s="155"/>
      <c r="LD7" s="155"/>
      <c r="LE7" s="155"/>
      <c r="LF7" s="155"/>
      <c r="LG7" s="155"/>
      <c r="LH7" s="155"/>
      <c r="LI7" s="155"/>
      <c r="LJ7" s="155"/>
      <c r="LK7" s="230"/>
      <c r="LL7" s="231"/>
      <c r="LM7" s="232"/>
      <c r="LN7" s="232"/>
      <c r="LO7" s="232"/>
      <c r="LP7" s="232"/>
      <c r="LQ7" s="232"/>
      <c r="LR7" s="232"/>
      <c r="LS7" s="232"/>
      <c r="LT7" s="232"/>
      <c r="LU7" s="233"/>
      <c r="LV7" t="s">
        <v>193</v>
      </c>
      <c r="LW7" t="s">
        <v>183</v>
      </c>
    </row>
    <row r="8" spans="1:335" x14ac:dyDescent="0.25">
      <c r="A8" s="160" t="s">
        <v>146</v>
      </c>
      <c r="B8" s="161" t="s">
        <v>147</v>
      </c>
      <c r="C8" s="161" t="s">
        <v>148</v>
      </c>
      <c r="D8" s="162" t="s">
        <v>149</v>
      </c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5"/>
      <c r="R8" s="165"/>
      <c r="S8" s="166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234"/>
      <c r="AF8" s="164"/>
      <c r="AG8" s="164"/>
      <c r="AH8" s="168"/>
      <c r="AI8" s="235" t="s">
        <v>194</v>
      </c>
      <c r="AJ8" s="85" t="s">
        <v>151</v>
      </c>
      <c r="AK8" s="86" t="s">
        <v>152</v>
      </c>
      <c r="AL8" s="169">
        <v>43039</v>
      </c>
      <c r="AM8" s="170">
        <v>43159</v>
      </c>
      <c r="AN8" s="89" t="s">
        <v>153</v>
      </c>
      <c r="AO8" s="90" t="s">
        <v>153</v>
      </c>
      <c r="AP8" s="171"/>
      <c r="AQ8" s="171" t="s">
        <v>154</v>
      </c>
      <c r="AR8" s="171">
        <v>20</v>
      </c>
      <c r="AS8" s="171">
        <v>10000</v>
      </c>
      <c r="AT8" s="172" t="s">
        <v>155</v>
      </c>
      <c r="AU8" s="173" t="s">
        <v>149</v>
      </c>
      <c r="AV8" s="174" t="s">
        <v>156</v>
      </c>
      <c r="AW8" s="175" t="s">
        <v>156</v>
      </c>
      <c r="AX8" s="176" t="s">
        <v>194</v>
      </c>
      <c r="AY8" s="177" t="s">
        <v>188</v>
      </c>
      <c r="AZ8" s="178" t="str">
        <f>IF(ISERROR(VLOOKUP(AY8,[1]PLANOS!B:C,2,0)),"",VLOOKUP(AY8,[1]PLANOS!B:C,2,0))</f>
        <v>PCS-3PHipi</v>
      </c>
      <c r="BA8" s="179" t="s">
        <v>156</v>
      </c>
      <c r="BB8" s="180" t="str">
        <f t="shared" si="1"/>
        <v/>
      </c>
      <c r="BC8" s="181"/>
      <c r="BD8" s="182"/>
      <c r="BE8" s="183">
        <v>50.11</v>
      </c>
      <c r="BF8" s="127">
        <f>IF(BE8=0,"",IF(BE8=VLOOKUP("FIXO",[1]ARBOR!$A:$C,3,0),0.0001,IF(BE8&gt;VLOOKUP("FIXO",[1]ARBOR!$A:$C,3,0),"Maior que CAP!",IF((DOLLAR(BE8+(VLOOKUP("FIXO",[1]ARBOR!$A:$C,3,0)*-TRUNC(BE8/VLOOKUP("FIXO",[1]ARBOR!$A:$C,3,0)-1,4)),6))&lt;&gt;(DOLLAR(VLOOKUP("FIXO",[1]ARBOR!$A:$C,3,0),6)),-TRUNC(BE8/VLOOKUP("FIXO",[1]ARBOR!$A:$C,3,0)-1,4)+0.0001,-TRUNC(BE8/VLOOKUP("FIXO",[1]ARBOR!$A:$C,3,0)-1,4)))))</f>
        <v>0.33929999999999999</v>
      </c>
      <c r="BG8" s="184"/>
      <c r="BH8" s="127" t="str">
        <f>IF(BG8=0,"",IF(BG8=VLOOKUP("FIXO",[1]ARBOR!$A:$C,3,0),0.0001,IF(BG8&gt;VLOOKUP("FIXO",[1]ARBOR!$A:$C,3,0),"Maior que CAP!",IF((DOLLAR(BG8+(VLOOKUP("FIXO",[1]ARBOR!$A:$C,3,0)*-TRUNC(BG8/VLOOKUP("FIXO",[1]ARBOR!$A:$C,3,0)-1,4)),6))&lt;&gt;(DOLLAR(VLOOKUP("FIXO",[1]ARBOR!$A:$C,3,0),6)),-TRUNC(BG8/VLOOKUP("FIXO",[1]ARBOR!$A:$C,3,0)-1,4)+0.0001,-TRUNC(BG8/VLOOKUP("FIXO",[1]ARBOR!$A:$C,3,0)-1,4)))))</f>
        <v/>
      </c>
      <c r="BI8" s="127" t="str">
        <f>IF(ISERROR(IF(BF8="","",VLOOKUP(($AY8&amp;BF8&amp;"Template de desconto FLAT bundle - Fixo - Varejo - Ganho Tributário Cross"),[1]BENEFICIOS!$A:$E,5,0))),"Criar",IF(BF8="","",VLOOKUP(($AY8&amp;BF8&amp;"Template de desconto FLAT bundle - Fixo - Varejo - Ganho Tributário Cross"),[1]BENEFICIOS!$A:$E,5,0)))</f>
        <v>MKT-1-9825728196</v>
      </c>
      <c r="BJ8" s="185"/>
      <c r="BK8" s="127" t="str">
        <f t="shared" si="2"/>
        <v/>
      </c>
      <c r="BL8" s="186"/>
      <c r="BM8" s="127" t="str">
        <f>IF(BL8=0,"",IF(BL8=VLOOKUP("FIXO",[1]ARBOR!$A:$C,3,0),0.0001,IF(BL8&gt;VLOOKUP("FIXO",[1]ARBOR!$A:$C,3,0),"Maior que CAP!",IF(BF8&lt;&gt;"",-ROUND(BL8/VLOOKUP("FIXO",[1]ARBOR!$A:$C,3,0)-1,4)-BF8,-ROUND(BL8/VLOOKUP("FIXO",[1]ARBOR!$A:$C,3,0)-1,4)))))</f>
        <v/>
      </c>
      <c r="BN8" s="187"/>
      <c r="BO8" s="127" t="str">
        <f>IF(ISERROR(IF(BK8="","",VLOOKUP(($AY8&amp;BK8&amp;"Template de desconto FLAT bundle - Fixo - Varejo - Ganho Tributário Cross"),[1]BENEFICIOS!$A:$E,5,0))),"Criar",IF(BK8="","",VLOOKUP(($AY8&amp;BK8&amp;"Template de desconto FLAT bundle - Fixo - Varejo - Ganho Tributário Cross"),[1]BENEFICIOS!$A:$E,5,0)))</f>
        <v/>
      </c>
      <c r="BP8" s="188" t="s">
        <v>158</v>
      </c>
      <c r="BQ8" s="189" t="s">
        <v>159</v>
      </c>
      <c r="BR8" s="190" t="s">
        <v>156</v>
      </c>
      <c r="BS8" s="191" t="str">
        <f t="shared" si="0"/>
        <v/>
      </c>
      <c r="BT8" s="181"/>
      <c r="BU8" s="192"/>
      <c r="BV8" s="193" t="s">
        <v>86</v>
      </c>
      <c r="BW8" s="194">
        <v>44.9</v>
      </c>
      <c r="BX8" s="127">
        <f>IF(BW8=0,"",IF(BW8=VLOOKUP("PCS-30874g",[1]ARBOR!$A:$C,3,0),0.0001,IF(BW8&gt;VLOOKUP("PCS-30874g",[1]ARBOR!$A:$C,3,0),"Maior que CAP!",IF((DOLLAR(BW8+(VLOOKUP("PCS-30874g",[1]ARBOR!$A:$C,3,0)*-TRUNC(BW8/VLOOKUP("PCS-30874g",[1]ARBOR!$A:$C,3,0)-1,4)),6))&lt;&gt;(DOLLAR(VLOOKUP("PCS-30874g",[1]ARBOR!$A:$C,3,0),6)),-TRUNC(BW8/VLOOKUP("PCS-30874g",[1]ARBOR!$A:$C,3,0)-1,4)+0.0001,-TRUNC(BW8/VLOOKUP("PCS-30874g",[1]ARBOR!$A:$C,3,0)-1,4)))))</f>
        <v>0.53679999999999994</v>
      </c>
      <c r="BY8" s="189" t="str">
        <f>IF(ISERROR(IF(BX8="","",VLOOKUP(($AY8&amp;BX8&amp;"Template de desconto FLAT bundle - Velox XDSL - Varejo"),[1]BENEFICIOS!$A:$E,5,0))),"Criar",IF(BX8="","",VLOOKUP(($AY8&amp;BX8&amp;"Template de desconto FLAT bundle - Velox XDSL - Varejo"),[1]BENEFICIOS!$A:$E,5,0)))</f>
        <v>MKT-1-9829477373</v>
      </c>
      <c r="BZ8" s="193" t="s">
        <v>86</v>
      </c>
      <c r="CA8" s="194">
        <v>44.9</v>
      </c>
      <c r="CB8" s="127">
        <f>IF(CA8=0,"",IF(CA8=VLOOKUP("PCS-30577g",[1]ARBOR!$A:$C,3,0),0.0001,IF(CA8&gt;VLOOKUP("PCS-30577g",[1]ARBOR!$A:$C,3,0),"Maior que CAP!",IF((DOLLAR(CA8+(VLOOKUP("PCS-30577g",[1]ARBOR!$A:$C,3,0)*-TRUNC(CA8/VLOOKUP("PCS-30577g",[1]ARBOR!$A:$C,3,0)-1,4)),6))&lt;&gt;(DOLLAR(VLOOKUP("PCS-30577g",[1]ARBOR!$A:$C,3,0),6)),-TRUNC(CA8/VLOOKUP("PCS-30577g",[1]ARBOR!$A:$C,3,0)-1,4)+0.0001,-TRUNC(CA8/VLOOKUP("PCS-30577g",[1]ARBOR!$A:$C,3,0)-1,4)))))</f>
        <v>0.53679999999999994</v>
      </c>
      <c r="CC8" s="189" t="str">
        <f>IF(ISERROR(IF(CB8="","",VLOOKUP(($AY8&amp;CB8&amp;"Template de desconto FLAT bundle - Velox XDSL - Varejo"),[1]BENEFICIOS!$A:$E,5,0))),"Criar",IF(CB8="","",VLOOKUP(($AY8&amp;CB8&amp;"Template de desconto FLAT bundle - Velox XDSL - Varejo"),[1]BENEFICIOS!$A:$E,5,0)))</f>
        <v>MKT-1-9829477373</v>
      </c>
      <c r="CD8" s="193" t="s">
        <v>86</v>
      </c>
      <c r="CE8" s="194">
        <v>44.9</v>
      </c>
      <c r="CF8" s="127">
        <f>IF(CE8=0,"",IF(CE8=VLOOKUP("PCS-30604g",[1]ARBOR!$A:$C,3,0),0.0001,IF(CE8&gt;VLOOKUP("PCS-30604g",[1]ARBOR!$A:$C,3,0),"Maior que CAP!",IF((DOLLAR(CE8+(VLOOKUP("PCS-30604g",[1]ARBOR!$A:$C,3,0)*-TRUNC(CE8/VLOOKUP("PCS-30604g",[1]ARBOR!$A:$C,3,0)-1,4)),6))&lt;&gt;(DOLLAR(VLOOKUP("PCS-30604g",[1]ARBOR!$A:$C,3,0),6)),-TRUNC(CE8/VLOOKUP("PCS-30604g",[1]ARBOR!$A:$C,3,0)-1,4)+0.0001,-TRUNC(CE8/VLOOKUP("PCS-30604g",[1]ARBOR!$A:$C,3,0)-1,4)))))</f>
        <v>0.53679999999999994</v>
      </c>
      <c r="CG8" s="189" t="str">
        <f>IF(ISERROR(IF(CF8="","",VLOOKUP(($AY8&amp;CF8&amp;"Template de desconto FLAT bundle - Velox XDSL - Varejo"),[1]BENEFICIOS!$A:$E,5,0))),"Criar",IF(CF8="","",VLOOKUP(($AY8&amp;CF8&amp;"Template de desconto FLAT bundle - Velox XDSL - Varejo"),[1]BENEFICIOS!$A:$E,5,0)))</f>
        <v>MKT-1-9829477373</v>
      </c>
      <c r="CH8" s="193" t="s">
        <v>86</v>
      </c>
      <c r="CI8" s="194">
        <v>44.9</v>
      </c>
      <c r="CJ8" s="127">
        <f>IF(CI8=0,"",IF(CI8=VLOOKUP("PCS-30631g",[1]ARBOR!$A:$C,3,0),0.0001,IF(CI8&gt;VLOOKUP("PCS-30631g",[1]ARBOR!$A:$C,3,0),"Maior que CAP!",IF((DOLLAR(CI8+(VLOOKUP("PCS-30631g",[1]ARBOR!$A:$C,3,0)*-TRUNC(CI8/VLOOKUP("PCS-30631g",[1]ARBOR!$A:$C,3,0)-1,4)),6))&lt;&gt;(DOLLAR(VLOOKUP("PCS-30631g",[1]ARBOR!$A:$C,3,0),6)),-TRUNC(CI8/VLOOKUP("PCS-30631g",[1]ARBOR!$A:$C,3,0)-1,4)+0.0001,-TRUNC(CI8/VLOOKUP("PCS-30631g",[1]ARBOR!$A:$C,3,0)-1,4)))))</f>
        <v>0.54310000000000003</v>
      </c>
      <c r="CK8" s="189" t="str">
        <f>IF(ISERROR(IF(CJ8="","",VLOOKUP(($AY8&amp;CJ8&amp;"Template de desconto FLAT bundle - Velox XDSL - Varejo"),[1]BENEFICIOS!$A:$E,5,0))),"Criar",IF(CJ8="","",VLOOKUP(($AY8&amp;CJ8&amp;"Template de desconto FLAT bundle - Velox XDSL - Varejo"),[1]BENEFICIOS!$A:$E,5,0)))</f>
        <v>MKT-1-9828219079</v>
      </c>
      <c r="CL8" s="193"/>
      <c r="CM8" s="194"/>
      <c r="CN8" s="127" t="str">
        <f>IF(CM8=0,"",IF(CM8=VLOOKUP("PCS-30658g",[1]ARBOR!$A:$C,3,0),0.0001,IF(CM8&gt;VLOOKUP("PCS-30658g",[1]ARBOR!$A:$C,3,0),"Maior que CAP!",IF((DOLLAR(CM8+(VLOOKUP("PCS-30658g",[1]ARBOR!$A:$C,3,0)*-TRUNC(CM8/VLOOKUP("PCS-30658g",[1]ARBOR!$A:$C,3,0)-1,4)),6))&lt;&gt;(DOLLAR(VLOOKUP("PCS-30658g",[1]ARBOR!$A:$C,3,0),6)),-TRUNC(CM8/VLOOKUP("PCS-30658g",[1]ARBOR!$A:$C,3,0)-1,4)+0.0001,-TRUNC(CM8/VLOOKUP("PCS-30658g",[1]ARBOR!$A:$C,3,0)-1,4)))))</f>
        <v/>
      </c>
      <c r="CO8" s="189" t="str">
        <f>IF(ISERROR(IF(CN8="","",VLOOKUP(($AY8&amp;CN8&amp;"Template de desconto FLAT bundle - Velox XDSL - Varejo"),[1]BENEFICIOS!$A:$E,5,0))),"Criar",IF(CN8="","",VLOOKUP(($AY8&amp;CN8&amp;"Template de desconto FLAT bundle - Velox XDSL - Varejo"),[1]BENEFICIOS!$A:$E,5,0)))</f>
        <v/>
      </c>
      <c r="CP8" s="193"/>
      <c r="CQ8" s="194"/>
      <c r="CR8" s="127" t="str">
        <f>IF(CQ8=0,"",IF(CQ8=VLOOKUP("PCS-30685g",[1]ARBOR!$A:$C,3,0),0.0001,IF(CQ8&gt;VLOOKUP("PCS-30685g",[1]ARBOR!$A:$C,3,0),"Maior que CAP!",IF((DOLLAR(CQ8+(VLOOKUP("PCS-30685g",[1]ARBOR!$A:$C,3,0)*-TRUNC(CQ8/VLOOKUP("PCS-30685g",[1]ARBOR!$A:$C,3,0)-1,4)),6))&lt;&gt;(DOLLAR(VLOOKUP("PCS-30685g",[1]ARBOR!$A:$C,3,0),6)),-TRUNC(CQ8/VLOOKUP("PCS-30685g",[1]ARBOR!$A:$C,3,0)-1,4)+0.0001,-TRUNC(CQ8/VLOOKUP("PCS-30685g",[1]ARBOR!$A:$C,3,0)-1,4)))))</f>
        <v/>
      </c>
      <c r="CS8" s="189" t="str">
        <f>IF(ISERROR(IF(CR8="","",VLOOKUP(($AY8&amp;CR8&amp;"Template de desconto FLAT bundle - Velox XDSL - Varejo"),[1]BENEFICIOS!$A:$E,5,0))),"Criar",IF(CR8="","",VLOOKUP(($AY8&amp;CR8&amp;"Template de desconto FLAT bundle - Velox XDSL - Varejo"),[1]BENEFICIOS!$A:$E,5,0)))</f>
        <v/>
      </c>
      <c r="CT8" s="193"/>
      <c r="CU8" s="194"/>
      <c r="CV8" s="127" t="str">
        <f>IF(CU8=0,"",IF(CU8=VLOOKUP("PCS-30712g",[1]ARBOR!$A:$C,3,0),0.0001,IF(CU8&gt;VLOOKUP("PCS-30712g",[1]ARBOR!$A:$C,3,0),"Maior que CAP!",IF((DOLLAR(CU8+(VLOOKUP("PCS-30712g",[1]ARBOR!$A:$C,3,0)*-TRUNC(CU8/VLOOKUP("PCS-30712g",[1]ARBOR!$A:$C,3,0)-1,4)),6))&lt;&gt;(DOLLAR(VLOOKUP("PCS-30712g",[1]ARBOR!$A:$C,3,0),6)),-TRUNC(CU8/VLOOKUP("PCS-30712g",[1]ARBOR!$A:$C,3,0)-1,4)+0.0001,-TRUNC(CU8/VLOOKUP("PCS-30712g",[1]ARBOR!$A:$C,3,0)-1,4)))))</f>
        <v/>
      </c>
      <c r="CW8" s="189" t="str">
        <f>IF(ISERROR(IF(CV8="","",VLOOKUP(($AY8&amp;CV8&amp;"Template de desconto FLAT bundle - Velox XDSL - Varejo"),[1]BENEFICIOS!$A:$E,5,0))),"Criar",IF(CV8="","",VLOOKUP(($AY8&amp;CV8&amp;"Template de desconto FLAT bundle - Velox XDSL - Varejo"),[1]BENEFICIOS!$A:$E,5,0)))</f>
        <v/>
      </c>
      <c r="CX8" s="193"/>
      <c r="CY8" s="194"/>
      <c r="CZ8" s="127" t="str">
        <f>IF(CY8=0,"",IF(CY8=VLOOKUP("PCS-30739g",[1]ARBOR!$A:$C,3,0),0.0001,IF(CY8&gt;VLOOKUP("PCS-30739g",[1]ARBOR!$A:$C,3,0),"Maior que CAP!",IF((DOLLAR(CY8+(VLOOKUP("PCS-30739g",[1]ARBOR!$A:$C,3,0)*-TRUNC(CY8/VLOOKUP("PCS-30739g",[1]ARBOR!$A:$C,3,0)-1,4)),6))&lt;&gt;(DOLLAR(VLOOKUP("PCS-30739g",[1]ARBOR!$A:$C,3,0),6)),-TRUNC(CY8/VLOOKUP("PCS-30739g",[1]ARBOR!$A:$C,3,0)-1,4)+0.0001,-TRUNC(CY8/VLOOKUP("PCS-30739g",[1]ARBOR!$A:$C,3,0)-1,4)))))</f>
        <v/>
      </c>
      <c r="DA8" s="195" t="str">
        <f>IF(ISERROR(IF(CZ8="","",VLOOKUP(($AY8&amp;CZ8&amp;"Template de desconto FLAT bundle - Velox XDSL - Varejo"),[1]BENEFICIOS!$A:$E,5,0))),"Criar",IF(CZ8="","",VLOOKUP(($AY8&amp;CZ8&amp;"Template de desconto FLAT bundle - Velox XDSL - Varejo"),[1]BENEFICIOS!$A:$E,5,0)))</f>
        <v/>
      </c>
      <c r="DB8" s="196"/>
      <c r="DC8" s="197"/>
      <c r="DD8" s="127" t="str">
        <f>IF(DB8=0,"",IF(DB8=VLOOKUP("PCS-30739g",[1]ARBOR!$A:$C,3,0),0.0001,IF(DB8&gt;VLOOKUP("PCS-30739g",[1]ARBOR!$A:$C,3,0),"Maior que CAP!",IF((DOLLAR(DB8+(VLOOKUP("PCS-30739g",[1]ARBOR!$A:$C,3,0)*-TRUNC(DB8/VLOOKUP("PCS-30739g",[1]ARBOR!$A:$C,3,0)-1,4)),6))&lt;&gt;(DOLLAR(VLOOKUP("PCS-30739g",[1]ARBOR!$A:$C,3,0),6)),(-TRUNC(DB8/VLOOKUP("PCS-30739g",[1]ARBOR!$A:$C,3,0)-1,4)+0.0001)-CZ8,-TRUNC(DB8/VLOOKUP("PCS-30739g",[1]ARBOR!$A:$C,3,0)-1,4)-CZ8))))</f>
        <v/>
      </c>
      <c r="DE8" s="189" t="str">
        <f>IF(ISERROR(IF(DD8="","",VLOOKUP(($AY8&amp;DD8&amp;"Template de desconto percentual Bundle - Velox XDSL - Varejo"),[1]BENEFICIOS!$A:$E,5,0))),"Criar",IF(DD8="","",VLOOKUP(($AY8&amp;DD8&amp;"Template de desconto percentual Bundle - Velox XDSL - Varejo"),[1]BENEFICIOS!$A:$E,5,0)))</f>
        <v/>
      </c>
      <c r="DF8" s="193"/>
      <c r="DG8" s="194"/>
      <c r="DH8" s="127" t="str">
        <f>IF(DG8=0,"",IF(DG8=VLOOKUP("PCS-30766g",[1]ARBOR!$A:$C,3,0),0.0001,IF(DG8&gt;VLOOKUP("PCS-30766g",[1]ARBOR!$A:$C,3,0),"Maior que CAP!",IF((DOLLAR(DG8+(VLOOKUP("PCS-30766g",[1]ARBOR!$A:$C,3,0)*-TRUNC(DG8/VLOOKUP("PCS-30766g",[1]ARBOR!$A:$C,3,0)-1,4)),6))&lt;&gt;(DOLLAR(VLOOKUP("PCS-30766g",[1]ARBOR!$A:$C,3,0),6)),-TRUNC(DG8/VLOOKUP("PCS-30766g",[1]ARBOR!$A:$C,3,0)-1,4)+0.0001,-TRUNC(DG8/VLOOKUP("PCS-30766g",[1]ARBOR!$A:$C,3,0)-1,4)))))</f>
        <v/>
      </c>
      <c r="DI8" s="195" t="str">
        <f>IF(ISERROR(IF(DH8="","",VLOOKUP(($AY8&amp;DH8&amp;"Template de desconto FLAT bundle - Velox XDSL - Varejo"),[1]BENEFICIOS!$A:$E,5,0))),"Criar",IF(DH8="","",VLOOKUP(($AY8&amp;DH8&amp;"Template de desconto FLAT bundle - Velox XDSL - Varejo"),[1]BENEFICIOS!$A:$E,5,0)))</f>
        <v/>
      </c>
      <c r="DJ8" s="196"/>
      <c r="DK8" s="197"/>
      <c r="DL8" s="127" t="str">
        <f>IF(DJ8=0,"",IF(DJ8=VLOOKUP("PCS-30766g",[1]ARBOR!$A:$C,3,0),0.0001,IF(DJ8&gt;VLOOKUP("PCS-30766g",[1]ARBOR!$A:$C,3,0),"Maior que CAP!",IF((DOLLAR(DJ8+(VLOOKUP("PCS-30766g",[1]ARBOR!$A:$C,3,0)*-TRUNC(DJ8/VLOOKUP("PCS-30766g",[1]ARBOR!$A:$C,3,0)-1,4)),6))&lt;&gt;(DOLLAR(VLOOKUP("PCS-30766g",[1]ARBOR!$A:$C,3,0),6)),(-TRUNC(DJ8/VLOOKUP("PCS-30766g",[1]ARBOR!$A:$C,3,0)-1,4)+0.0001)-DH8,-TRUNC(DJ8/VLOOKUP("PCS-30766g",[1]ARBOR!$A:$C,3,0)-1,4)-DH8))))</f>
        <v/>
      </c>
      <c r="DM8" s="189" t="str">
        <f>IF(ISERROR(IF(DL8="","",VLOOKUP(($AY8&amp;DL8&amp;"Template de desconto percentual Bundle - Velox XDSL - Varejo"),[1]BENEFICIOS!$A:$E,5,0))),"Criar",IF(DL8="","",VLOOKUP(($AY8&amp;DL8&amp;"Template de desconto percentual Bundle - Velox XDSL - Varejo"),[1]BENEFICIOS!$A:$E,5,0)))</f>
        <v/>
      </c>
      <c r="DN8" s="193"/>
      <c r="DO8" s="194"/>
      <c r="DP8" s="127" t="str">
        <f>IF(DO8=0,"",IF(DO8=VLOOKUP("PCS-30793g",[1]ARBOR!$A:$C,3,0),0.0001,IF(DO8&gt;VLOOKUP("PCS-30793g",[1]ARBOR!$A:$C,3,0),"Maior que CAP!",IF((DOLLAR(DO8+(VLOOKUP("PCS-30793g",[1]ARBOR!$A:$C,3,0)*-TRUNC(DO8/VLOOKUP("PCS-30793g",[1]ARBOR!$A:$C,3,0)-1,4)),6))&lt;&gt;(DOLLAR(VLOOKUP("PCS-30793g",[1]ARBOR!$A:$C,3,0),6)),-TRUNC(DO8/VLOOKUP("PCS-30793g",[1]ARBOR!$A:$C,3,0)-1,4)+0.0001,-TRUNC(DO8/VLOOKUP("PCS-30793g",[1]ARBOR!$A:$C,3,0)-1,4)))))</f>
        <v/>
      </c>
      <c r="DQ8" s="195" t="str">
        <f>IF(ISERROR(IF(DP8="","",VLOOKUP(($AY8&amp;DP8&amp;"Template de desconto FLAT bundle - Velox XDSL - Varejo"),[1]BENEFICIOS!$A:$E,5,0))),"Criar",IF(DP8="","",VLOOKUP(($AY8&amp;DP8&amp;"Template de desconto FLAT bundle - Velox XDSL - Varejo"),[1]BENEFICIOS!$A:$E,5,0)))</f>
        <v/>
      </c>
      <c r="DR8" s="196"/>
      <c r="DS8" s="197"/>
      <c r="DT8" s="127" t="str">
        <f>IF(DR8=0,"",IF(DR8=VLOOKUP("PCS-30793g",[1]ARBOR!$A:$C,3,0),0.0001,IF(DR8&gt;VLOOKUP("PCS-30793g",[1]ARBOR!$A:$C,3,0),"Maior que CAP!",IF((DOLLAR(DR8+(VLOOKUP("PCS-30793g",[1]ARBOR!$A:$C,3,0)*-TRUNC(DR8/VLOOKUP("PCS-30793g",[1]ARBOR!$A:$C,3,0)-1,4)),6))&lt;&gt;(DOLLAR(VLOOKUP("PCS-30793g",[1]ARBOR!$A:$C,3,0),6)),(-TRUNC(DR8/VLOOKUP("PCS-30793g",[1]ARBOR!$A:$C,3,0)-1,4)+0.0001)-DP8,-TRUNC(DR8/VLOOKUP("PCS-30793g",[1]ARBOR!$A:$C,3,0)-1,4)-DP8))))</f>
        <v/>
      </c>
      <c r="DU8" s="189" t="str">
        <f>IF(ISERROR(IF(DT8="","",VLOOKUP(($AY8&amp;DT8&amp;"Template de desconto percentual Bundle - Velox XDSL - Varejo"),[1]BENEFICIOS!$A:$E,5,0))),"Criar",IF(DT8="","",VLOOKUP(($AY8&amp;DT8&amp;"Template de desconto percentual Bundle - Velox XDSL - Varejo"),[1]BENEFICIOS!$A:$E,5,0)))</f>
        <v/>
      </c>
      <c r="DV8" s="193"/>
      <c r="DW8" s="194"/>
      <c r="DX8" s="127" t="str">
        <f>IF(DW8=0,"",IF(DW8=VLOOKUP("PCS-30820g",[1]ARBOR!$A:$C,3,0),0.0001,IF(DW8&gt;VLOOKUP("PCS-30820g",[1]ARBOR!$A:$C,3,0),"Maior que CAP!",IF((DOLLAR(DW8+(VLOOKUP("PCS-30820g",[1]ARBOR!$A:$C,3,0)*-TRUNC(DW8/VLOOKUP("PCS-30820g",[1]ARBOR!$A:$C,3,0)-1,4)),6))&lt;&gt;(DOLLAR(VLOOKUP("PCS-30820g",[1]ARBOR!$A:$C,3,0),6)),-TRUNC(DW8/VLOOKUP("PCS-30820g",[1]ARBOR!$A:$C,3,0)-1,4)+0.0001,-TRUNC(DW8/VLOOKUP("PCS-30820g",[1]ARBOR!$A:$C,3,0)-1,4)))))</f>
        <v/>
      </c>
      <c r="DY8" s="195" t="str">
        <f>IF(ISERROR(IF(DX8="","",VLOOKUP(($AY8&amp;DX8&amp;"Template de desconto FLAT bundle - Velox XDSL - Varejo"),[1]BENEFICIOS!$A:$E,5,0))),"Criar",IF(DX8="","",VLOOKUP(($AY8&amp;DX8&amp;"Template de desconto FLAT bundle - Velox XDSL - Varejo"),[1]BENEFICIOS!$A:$E,5,0)))</f>
        <v/>
      </c>
      <c r="DZ8" s="196"/>
      <c r="EA8" s="197"/>
      <c r="EB8" s="127" t="str">
        <f>IF(DZ8=0,"",IF(DZ8=VLOOKUP("PCS-30820g",[1]ARBOR!$A:$C,3,0),0.0001,IF(DZ8&gt;VLOOKUP("PCS-30820g",[1]ARBOR!$A:$C,3,0),"Maior que CAP!",IF((DOLLAR(DZ8+(VLOOKUP("PCS-30820g",[1]ARBOR!$A:$C,3,0)*-TRUNC(DZ8/VLOOKUP("PCS-30820g",[1]ARBOR!$A:$C,3,0)-1,4)),6))&lt;&gt;(DOLLAR(VLOOKUP("PCS-30820g",[1]ARBOR!$A:$C,3,0),6)),(-TRUNC(DZ8/VLOOKUP("PCS-30820g",[1]ARBOR!$A:$C,3,0)-1,4)+0.0001)-DX8,-TRUNC(DZ8/VLOOKUP("PCS-30820g",[1]ARBOR!$A:$C,3,0)-1,4)-DX8))))</f>
        <v/>
      </c>
      <c r="EC8" s="189" t="str">
        <f>IF(ISERROR(IF(EB8="","",VLOOKUP(($AY8&amp;EB8&amp;"Template de desconto percentual Bundle - Velox XDSL - Varejo"),[1]BENEFICIOS!$A:$E,5,0))),"Criar",IF(EB8="","",VLOOKUP(($AY8&amp;EB8&amp;"Template de desconto percentual Bundle - Velox XDSL - Varejo"),[1]BENEFICIOS!$A:$E,5,0)))</f>
        <v/>
      </c>
      <c r="ED8" s="198">
        <v>44.9</v>
      </c>
      <c r="EE8" s="127">
        <f>IF(ED8=0,"",IF(ED8=VLOOKUP("PCS-21448p2",[1]ARBOR!$A:$C,3,0),0.0001,IF(ED8&gt;VLOOKUP("PCS-21448p2",[1]ARBOR!$A:$C,3,0),"Maior que CAP!",IF((DOLLAR(ED8+(VLOOKUP("PCS-21448p2",[1]ARBOR!$A:$C,3,0)*-TRUNC(ED8/VLOOKUP("PCS-21448p2",[1]ARBOR!$A:$C,3,0)-1,4)),6))&lt;&gt;(DOLLAR(VLOOKUP("PCS-21448p2",[1]ARBOR!$A:$C,3,0),6)),-TRUNC(ED8/VLOOKUP("PCS-21448p2",[1]ARBOR!$A:$C,3,0)-1,4)+0.0001,-TRUNC(ED8/VLOOKUP("PCS-21448p2",[1]ARBOR!$A:$C,3,0)-1,4)))))</f>
        <v>0.64900000000000002</v>
      </c>
      <c r="EF8" s="127" t="str">
        <f>IF(ISERROR(IF(EE8="","",VLOOKUP(("Oi Conta Total Plug 10GB Downgrade"&amp;EE8&amp;"Template de desconto percentual BL Móvel - Internet Total - Varejo"),[1]BENEFICIOS!$A:$E,5,0))),"Criar",IF(EE8="","",VLOOKUP(("Oi Conta Total Plug 10GB Downgrade"&amp;EE8&amp;"Template de desconto percentual BL Móvel - Internet Total - Varejo"),[1]BENEFICIOS!$A:$E,5,0)))</f>
        <v>MKT-1-9825544790</v>
      </c>
      <c r="EG8" s="199">
        <v>16.5</v>
      </c>
      <c r="EH8" s="200">
        <f>IF(EG8=0,"",IF(EG8=VLOOKUP("SVA",[1]ARBOR!$A:$C,3,0),0.0001,IF(EG8&gt;VLOOKUP("SVA",[1]ARBOR!$A:$C,3,0),"Maior que CAP!",IF((DOLLAR(EG8+(VLOOKUP("SVA",[1]ARBOR!$A:$C,3,0)*-TRUNC(EG8/VLOOKUP("SVA",[1]ARBOR!$A:$C,3,0)-1,4)),6))&lt;&gt;(DOLLAR(VLOOKUP("SVA",[1]ARBOR!$A:$C,3,0),6)),-TRUNC(EG8/VLOOKUP("SVA",[1]ARBOR!$A:$C,3,0)-1,4)+0.0001,-TRUNC(EG8/VLOOKUP("SVA",[1]ARBOR!$A:$C,3,0)-1,4)))))</f>
        <v>0.2301</v>
      </c>
      <c r="EI8" s="200" t="s">
        <v>160</v>
      </c>
      <c r="EJ8" s="201"/>
      <c r="EK8" s="202"/>
      <c r="EL8" s="203" t="str">
        <f t="shared" si="3"/>
        <v/>
      </c>
      <c r="EM8" s="200" t="str">
        <f>IF(EL8="S/Desc","S/Desc",IF(ISERROR(IF(EL8="","",VLOOKUP(($BX8&amp;EL8&amp;"Template Desc. % sobre Serviço SVA B2C"),[1]BENEFICIOS!$A:$G,5,0))),"Criar",IF(EL8="","",VLOOKUP(($BX8&amp;EL8&amp;"Template Desc. % sobre Serviço SVA B2C"),[1]BENEFICIOS!$A:$G,5,0))))</f>
        <v/>
      </c>
      <c r="EN8" s="129"/>
      <c r="EO8" s="127" t="str">
        <f>IF(EN8=0,"",IF(EN8=VLOOKUP("PCS-OzTL40",[1]ARBOR!$A:$C,3,0),0.0001,IF(EN8&gt;VLOOKUP("PCS-OzTL40",[1]ARBOR!$A:$C,3,0),"Maior que CAP!",IF((DOLLAR(EN8+(VLOOKUP("PCS-OzTL40",[1]ARBOR!$A:$C,3,0)*-TRUNC(EN8/VLOOKUP("PCS-OzTL40",[1]ARBOR!$A:$C,3,0)-1,4)),6))&lt;&gt;(DOLLAR(VLOOKUP("PCS-OzTL40",[1]ARBOR!$A:$C,3,0),6)),-TRUNC(EN8/VLOOKUP("PCS-OzTL40",[1]ARBOR!$A:$C,3,0)-1,4)+0.0001,-TRUNC(EN8/VLOOKUP("PCS-OzTL40",[1]ARBOR!$A:$C,3,0)-1,4)))))</f>
        <v/>
      </c>
      <c r="EP8" s="189" t="str">
        <f>IF(ISERROR(IF(EO8="","",VLOOKUP(($AY8&amp;EO8&amp;"Template desconto FLAT Plano Principal Oi TV nível conta"),[1]BENEFICIOS!$A:$G,5,0))),"Criar",IF(EO8="","",VLOOKUP(($AY8&amp;EO8&amp;"Template desconto FLAT Plano Principal Oi TV nível conta"),[1]BENEFICIOS!$A:$G,5,0)))</f>
        <v/>
      </c>
      <c r="EQ8" s="129"/>
      <c r="ER8" s="127" t="str">
        <f>IF(EQ8=0,"",IF(EQ8=VLOOKUP("PCS-OzTL41",[1]ARBOR!$A:$C,3,0),0.0001,IF(EQ8&gt;VLOOKUP("PCS-OzTL41",[1]ARBOR!$A:$C,3,0),"Maior que CAP!",IF((DOLLAR(EQ8+(VLOOKUP("PCS-OzTL41",[1]ARBOR!$A:$C,3,0)*-TRUNC(EQ8/VLOOKUP("PCS-OzTL41",[1]ARBOR!$A:$C,3,0)-1,4)),6))&lt;&gt;(DOLLAR(VLOOKUP("PCS-OzTL41",[1]ARBOR!$A:$C,3,0),6)),-TRUNC(EQ8/VLOOKUP("PCS-OzTL41",[1]ARBOR!$A:$C,3,0)-1,4)+0.0001,-TRUNC(EQ8/VLOOKUP("PCS-OzTL41",[1]ARBOR!$A:$C,3,0)-1,4)))))</f>
        <v/>
      </c>
      <c r="ES8" s="204" t="str">
        <f>IF(ISERROR(IF(ER8="","",VLOOKUP(($AY8&amp;ER8&amp;"Template desconto FLAT Plano Principal Oi TV nível conta"),[1]BENEFICIOS!$A:$G,5,0))),"Criar",IF(ER8="","",VLOOKUP(($AY8&amp;ER8&amp;"Template desconto FLAT Plano Principal Oi TV nível conta"),[1]BENEFICIOS!$A:$G,5,0)))</f>
        <v/>
      </c>
      <c r="ET8" s="129"/>
      <c r="EU8" s="127" t="str">
        <f>IF(ET8=0,"",IF(ET8=VLOOKUP("PCS-OzTL44",[1]ARBOR!$A:$C,3,0),0.0001,IF(ET8&gt;VLOOKUP("PCS-OzTL44",[1]ARBOR!$A:$C,3,0),"Maior que CAP!",IF((DOLLAR(ET8+(VLOOKUP("PCS-OzTL44",[1]ARBOR!$A:$C,3,0)*-TRUNC(ET8/VLOOKUP("PCS-OzTL44",[1]ARBOR!$A:$C,3,0)-1,4)),6))&lt;&gt;(DOLLAR(VLOOKUP("PCS-OzTL44",[1]ARBOR!$A:$C,3,0),6)),-TRUNC(ET8/VLOOKUP("PCS-OzTL44",[1]ARBOR!$A:$C,3,0)-1,4)+0.0001,-TRUNC(ET8/VLOOKUP("PCS-OzTL44",[1]ARBOR!$A:$C,3,0)-1,4)))))</f>
        <v/>
      </c>
      <c r="EV8" s="204" t="str">
        <f>IF(ISERROR(IF(EU8="","",VLOOKUP(($AY8&amp;EU8&amp;"Template desconto FLAT Plano Principal Oi TV nível conta"),[1]BENEFICIOS!$A:$G,5,0))),"Criar",IF(EU8="","",VLOOKUP(($AY8&amp;EU8&amp;"Template desconto FLAT Plano Principal Oi TV nível conta"),[1]BENEFICIOS!$A:$G,5,0)))</f>
        <v/>
      </c>
      <c r="EW8" s="129"/>
      <c r="EX8" s="127" t="str">
        <f>IF(EW8=0,"",IF(EW8=VLOOKUP("PCS-OzTL43",[1]ARBOR!$A:$C,3,0),0.0001,IF(EW8&gt;VLOOKUP("PCS-OzTL43",[1]ARBOR!$A:$C,3,0),"Maior que CAP!",IF((DOLLAR(EW8+(VLOOKUP("PCS-OzTL43",[1]ARBOR!$A:$C,3,0)*-TRUNC(EW8/VLOOKUP("PCS-OzTL43",[1]ARBOR!$A:$C,3,0)-1,4)),6))&lt;&gt;(DOLLAR(VLOOKUP("PCS-OzTL43",[1]ARBOR!$A:$C,3,0),6)),-TRUNC(EW8/VLOOKUP("PCS-OzTL43",[1]ARBOR!$A:$C,3,0)-1,4)+0.0001,-TRUNC(EW8/VLOOKUP("PCS-OzTL43",[1]ARBOR!$A:$C,3,0)-1,4)))))</f>
        <v/>
      </c>
      <c r="EY8" s="204" t="str">
        <f>IF(ISERROR(IF(EX8="","",VLOOKUP(($AY8&amp;EX8&amp;"Template desconto FLAT Plano Principal Oi TV nível conta"),[1]BENEFICIOS!$A:$G,5,0))),"Criar",IF(EX8="","",VLOOKUP(($AY8&amp;EX8&amp;"Template desconto FLAT Plano Principal Oi TV nível conta"),[1]BENEFICIOS!$A:$G,5,0)))</f>
        <v/>
      </c>
      <c r="EZ8" s="129"/>
      <c r="FA8" s="127" t="str">
        <f>IF(EZ8=0,"",IF(EZ8=VLOOKUP("PCS-OzTL45",[1]ARBOR!$A:$C,3,0),0.0001,IF(EZ8&gt;VLOOKUP("PCS-OzTL45",[1]ARBOR!$A:$C,3,0),"Maior que CAP!",IF((DOLLAR(EZ8+(VLOOKUP("PCS-OzTL45",[1]ARBOR!$A:$C,3,0)*-TRUNC(EZ8/VLOOKUP("PCS-OzTL45",[1]ARBOR!$A:$C,3,0)-1,4)),6))&lt;&gt;(DOLLAR(VLOOKUP("PCS-OzTL45",[1]ARBOR!$A:$C,3,0),6)),-TRUNC(EZ8/VLOOKUP("PCS-OzTL45",[1]ARBOR!$A:$C,3,0)-1,4)+0.0001,-TRUNC(EZ8/VLOOKUP("PCS-OzTL45",[1]ARBOR!$A:$C,3,0)-1,4)))))</f>
        <v/>
      </c>
      <c r="FB8" s="204" t="str">
        <f>IF(ISERROR(IF(FA8="","",VLOOKUP(($AY8&amp;FA8&amp;"Template desconto FLAT Plano Principal Oi TV nível conta"),[1]BENEFICIOS!$A:$G,5,0))),"Criar",IF(FA8="","",VLOOKUP(($AY8&amp;FA8&amp;"Template desconto FLAT Plano Principal Oi TV nível conta"),[1]BENEFICIOS!$A:$G,5,0)))</f>
        <v/>
      </c>
      <c r="FC8" s="129"/>
      <c r="FD8" s="127" t="str">
        <f>IF(FC8=0,"",IF(FC8=VLOOKUP("PCS-OzTL741",[1]ARBOR!$A:$C,3,0),0.0001,IF(FC8&gt;VLOOKUP("PCS-OzTL741",[1]ARBOR!$A:$C,3,0),"Maior que CAP!",IF((DOLLAR(FC8+(VLOOKUP("PCS-OzTL741",[1]ARBOR!$A:$C,3,0)*-TRUNC(FC8/VLOOKUP("PCS-OzTL741",[1]ARBOR!$A:$C,3,0)-1,4)),6))&lt;&gt;(DOLLAR(VLOOKUP("PCS-OzTL741",[1]ARBOR!$A:$C,3,0),6)),-TRUNC(FC8/VLOOKUP("PCS-OzTL741",[1]ARBOR!$A:$C,3,0)-1,4)+0.0001,-TRUNC(FC8/VLOOKUP("PCS-OzTL741",[1]ARBOR!$A:$C,3,0)-1,4)))))</f>
        <v/>
      </c>
      <c r="FE8" s="204" t="str">
        <f>IF(ISERROR(IF(FD8="","",VLOOKUP(($AY8&amp;FD8&amp;"Template desconto FLAT Plano Principal Oi TV nível conta"),[1]BENEFICIOS!$A:$G,5,0))),"Criar",IF(FD8="","",VLOOKUP(($AY8&amp;FD8&amp;"Template desconto FLAT Plano Principal Oi TV nível conta"),[1]BENEFICIOS!$A:$G,5,0)))</f>
        <v/>
      </c>
      <c r="FF8" s="129"/>
      <c r="FG8" s="127" t="str">
        <f>IF(FF8=0,"",IF(FF8=VLOOKUP("PCS-OzTL744",[1]ARBOR!$A:$C,3,0),0.0001,IF(FF8&gt;VLOOKUP("PCS-OzTL744",[1]ARBOR!$A:$C,3,0),"Maior que CAP!",IF((DOLLAR(FF8+(VLOOKUP("PCS-OzTL744",[1]ARBOR!$A:$C,3,0)*-TRUNC(FF8/VLOOKUP("PCS-OzTL744",[1]ARBOR!$A:$C,3,0)-1,4)),6))&lt;&gt;(DOLLAR(VLOOKUP("PCS-OzTL744",[1]ARBOR!$A:$C,3,0),6)),-TRUNC(FF8/VLOOKUP("PCS-OzTL744",[1]ARBOR!$A:$C,3,0)-1,4)+0.0001,-TRUNC(FF8/VLOOKUP("PCS-OzTL744",[1]ARBOR!$A:$C,3,0)-1,4)))))</f>
        <v/>
      </c>
      <c r="FH8" s="204" t="str">
        <f>IF(ISERROR(IF(FG8="","",VLOOKUP(($AY8&amp;FG8&amp;"Template desconto FLAT Plano Principal Oi TV nível conta"),[1]BENEFICIOS!$A:$G,5,0))),"Criar",IF(FG8="","",VLOOKUP(($AY8&amp;FG8&amp;"Template desconto FLAT Plano Principal Oi TV nível conta"),[1]BENEFICIOS!$A:$G,5,0)))</f>
        <v/>
      </c>
      <c r="FI8" s="129"/>
      <c r="FJ8" s="127" t="str">
        <f>IF(FI8=0,"",IF(FI8=VLOOKUP("PCS-OzTL743",[1]ARBOR!$A:$C,3,0),0.0001,IF(FI8&gt;VLOOKUP("PCS-OzTL743",[1]ARBOR!$A:$C,3,0),"Maior que CAP!",IF((DOLLAR(FI8+(VLOOKUP("PCS-OzTL743",[1]ARBOR!$A:$C,3,0)*-TRUNC(FI8/VLOOKUP("PCS-OzTL743",[1]ARBOR!$A:$C,3,0)-1,4)),6))&lt;&gt;(DOLLAR(VLOOKUP("PCS-OzTL743",[1]ARBOR!$A:$C,3,0),6)),-TRUNC(FI8/VLOOKUP("PCS-OzTL743",[1]ARBOR!$A:$C,3,0)-1,4)+0.0001,-TRUNC(FI8/VLOOKUP("PCS-OzTL743",[1]ARBOR!$A:$C,3,0)-1,4)))))</f>
        <v/>
      </c>
      <c r="FK8" s="204" t="str">
        <f>IF(ISERROR(IF(FJ8="","",VLOOKUP(($AY8&amp;FJ8&amp;"Template desconto FLAT Plano Principal Oi TV nível conta"),[1]BENEFICIOS!$A:$G,5,0))),"Criar",IF(FJ8="","",VLOOKUP(($AY8&amp;FJ8&amp;"Template desconto FLAT Plano Principal Oi TV nível conta"),[1]BENEFICIOS!$A:$G,5,0)))</f>
        <v/>
      </c>
      <c r="FL8" s="129"/>
      <c r="FM8" s="127" t="str">
        <f>IF(FL8=0,"",IF(FL8=VLOOKUP("PCS-OzTL745",[1]ARBOR!$A:$C,3,0),0.0001,IF(FL8&gt;VLOOKUP("PCS-OzTL745",[1]ARBOR!$A:$C,3,0),"Maior que CAP!",IF((DOLLAR(FL8+(VLOOKUP("PCS-OzTL745",[1]ARBOR!$A:$C,3,0)*-TRUNC(FL8/VLOOKUP("PCS-OzTL745",[1]ARBOR!$A:$C,3,0)-1,4)),6))&lt;&gt;(DOLLAR(VLOOKUP("PCS-OzTL745",[1]ARBOR!$A:$C,3,0),6)),-TRUNC(FL8/VLOOKUP("PCS-OzTL745",[1]ARBOR!$A:$C,3,0)-1,4)+0.0001,-TRUNC(FL8/VLOOKUP("PCS-OzTL745",[1]ARBOR!$A:$C,3,0)-1,4)))))</f>
        <v/>
      </c>
      <c r="FN8" s="204" t="str">
        <f>IF(ISERROR(IF(FM8="","",VLOOKUP(($AY8&amp;FM8&amp;"Template desconto FLAT Plano Principal Oi TV nível conta"),[1]BENEFICIOS!$A:$G,5,0))),"Criar",IF(FM8="","",VLOOKUP(($AY8&amp;FM8&amp;"Template desconto FLAT Plano Principal Oi TV nível conta"),[1]BENEFICIOS!$A:$G,5,0)))</f>
        <v/>
      </c>
      <c r="FO8" s="129"/>
      <c r="FP8" s="127" t="str">
        <f>IF(FO8=0,"",IF(FO8=VLOOKUP("PCS-OzTL42",[1]ARBOR!$A:$C,3,0),0.0001,IF(FO8&gt;VLOOKUP("PCS-OzTL42",[1]ARBOR!$A:$C,3,0),"Maior que CAP!",IF((DOLLAR(FO8+(VLOOKUP("PCS-OzTL42",[1]ARBOR!$A:$C,3,0)*-TRUNC(FO8/VLOOKUP("PCS-OzTL42",[1]ARBOR!$A:$C,3,0)-1,4)),6))&lt;&gt;(DOLLAR(VLOOKUP("PCS-OzTL42",[1]ARBOR!$A:$C,3,0),6)),-TRUNC(FO8/VLOOKUP("PCS-OzTL42",[1]ARBOR!$A:$C,3,0)-1,4)+0.0001,-TRUNC(FO8/VLOOKUP("PCS-OzTL42",[1]ARBOR!$A:$C,3,0)-1,4)))))</f>
        <v/>
      </c>
      <c r="FQ8" s="204" t="str">
        <f>IF(ISERROR(IF(FP8="","",VLOOKUP(($AY8&amp;FP8&amp;"Template desconto FLAT Plano Principal Oi TV nível conta"),[1]BENEFICIOS!$A:$G,5,0))),"Criar",IF(FP8="","",VLOOKUP(($AY8&amp;FP8&amp;"Template desconto FLAT Plano Principal Oi TV nível conta"),[1]BENEFICIOS!$A:$G,5,0)))</f>
        <v/>
      </c>
      <c r="FR8" s="129"/>
      <c r="FS8" s="127" t="str">
        <f>IF(FR8=0,"",IF(FR8=VLOOKUP("PCS-OzTL47",[1]ARBOR!$A:$C,3,0),0.0001,IF(FR8&gt;VLOOKUP("PCS-OzTL47",[1]ARBOR!$A:$C,3,0),"Maior que CAP!",IF((DOLLAR(FR8+(VLOOKUP("PCS-OzTL47",[1]ARBOR!$A:$C,3,0)*-TRUNC(FR8/VLOOKUP("PCS-OzTL47",[1]ARBOR!$A:$C,3,0)-1,4)),6))&lt;&gt;(DOLLAR(VLOOKUP("PCS-OzTL47",[1]ARBOR!$A:$C,3,0),6)),-TRUNC(FR8/VLOOKUP("PCS-OzTL47",[1]ARBOR!$A:$C,3,0)-1,4)+0.0001,-TRUNC(FR8/VLOOKUP("PCS-OzTL47",[1]ARBOR!$A:$C,3,0)-1,4)))))</f>
        <v/>
      </c>
      <c r="FT8" s="204" t="str">
        <f>IF(ISERROR(IF(FS8="","",VLOOKUP(($AY8&amp;FS8&amp;"Template desconto FLAT Plano Principal Oi TV nível conta"),[1]BENEFICIOS!$A:$G,5,0))),"Criar",IF(FS8="","",VLOOKUP(($AY8&amp;FS8&amp;"Template desconto FLAT Plano Principal Oi TV nível conta"),[1]BENEFICIOS!$A:$G,5,0)))</f>
        <v/>
      </c>
      <c r="FU8" s="129"/>
      <c r="FV8" s="127" t="str">
        <f>IF(FU8=0,"",IF(FU8=VLOOKUP("PCS-OzTL46",[1]ARBOR!$A:$C,3,0),0.0001,IF(FU8&gt;VLOOKUP("PCS-OzTL46",[1]ARBOR!$A:$C,3,0),"Maior que CAP!",IF((DOLLAR(FU8+(VLOOKUP("PCS-OzTL46",[1]ARBOR!$A:$C,3,0)*-TRUNC(FU8/VLOOKUP("PCS-OzTL46",[1]ARBOR!$A:$C,3,0)-1,4)),6))&lt;&gt;(DOLLAR(VLOOKUP("PCS-OzTL46",[1]ARBOR!$A:$C,3,0),6)),-TRUNC(FU8/VLOOKUP("PCS-OzTL46",[1]ARBOR!$A:$C,3,0)-1,4)+0.0001,-TRUNC(FU8/VLOOKUP("PCS-OzTL46",[1]ARBOR!$A:$C,3,0)-1,4)))))</f>
        <v/>
      </c>
      <c r="FW8" s="204" t="str">
        <f>IF(ISERROR(IF(FV8="","",VLOOKUP(($AY8&amp;FV8&amp;"Template desconto FLAT Plano Principal Oi TV nível conta"),[1]BENEFICIOS!$A:$G,5,0))),"Criar",IF(FV8="","",VLOOKUP(($AY8&amp;FV8&amp;"Template desconto FLAT Plano Principal Oi TV nível conta"),[1]BENEFICIOS!$A:$G,5,0)))</f>
        <v/>
      </c>
      <c r="FX8" s="129"/>
      <c r="FY8" s="127" t="str">
        <f>IF(FX8=0,"",IF(FX8=VLOOKUP("PCS-OzTL48",[1]ARBOR!$A:$C,3,0),0.0001,IF(FX8&gt;VLOOKUP("PCS-OzTL48",[1]ARBOR!$A:$C,3,0),"Maior que CAP!",IF((DOLLAR(FX8+(VLOOKUP("PCS-OzTL48",[1]ARBOR!$A:$C,3,0)*-TRUNC(FX8/VLOOKUP("PCS-OzTL48",[1]ARBOR!$A:$C,3,0)-1,4)),6))&lt;&gt;(DOLLAR(VLOOKUP("PCS-OzTL48",[1]ARBOR!$A:$C,3,0),6)),-TRUNC(FX8/VLOOKUP("PCS-OzTL48",[1]ARBOR!$A:$C,3,0)-1,4)+0.0001,-TRUNC(FX8/VLOOKUP("PCS-OzTL48",[1]ARBOR!$A:$C,3,0)-1,4)))))</f>
        <v/>
      </c>
      <c r="FZ8" s="204" t="str">
        <f>IF(ISERROR(IF(FY8="","",VLOOKUP(($AY8&amp;FY8&amp;"Template desconto FLAT Plano Principal Oi TV nível conta"),[1]BENEFICIOS!$A:$G,5,0))),"Criar",IF(FY8="","",VLOOKUP(($AY8&amp;FY8&amp;"Template desconto FLAT Plano Principal Oi TV nível conta"),[1]BENEFICIOS!$A:$G,5,0)))</f>
        <v/>
      </c>
      <c r="GA8" s="129"/>
      <c r="GB8" s="127" t="str">
        <f>IF(GA8=0,"",IF(GA8=VLOOKUP("PCS-OzTL742",[1]ARBOR!$A:$C,3,0),0.0001,IF(GA8&gt;VLOOKUP("PCS-OzTL742",[1]ARBOR!$A:$C,3,0),"Maior que CAP!",IF((DOLLAR(GA8+(VLOOKUP("PCS-OzTL742",[1]ARBOR!$A:$C,3,0)*-TRUNC(GA8/VLOOKUP("PCS-OzTL742",[1]ARBOR!$A:$C,3,0)-1,4)),6))&lt;&gt;(DOLLAR(VLOOKUP("PCS-OzTL742",[1]ARBOR!$A:$C,3,0),6)),-TRUNC(GA8/VLOOKUP("PCS-OzTL742",[1]ARBOR!$A:$C,3,0)-1,4)+0.0001,-TRUNC(GA8/VLOOKUP("PCS-OzTL742",[1]ARBOR!$A:$C,3,0)-1,4)))))</f>
        <v/>
      </c>
      <c r="GC8" s="204" t="str">
        <f>IF(ISERROR(IF(GB8="","",VLOOKUP(($AY8&amp;GB8&amp;"Template desconto FLAT Plano Principal Oi TV nível conta"),[1]BENEFICIOS!$A:$G,5,0))),"Criar",IF(GB8="","",VLOOKUP(($AY8&amp;GB8&amp;"Template desconto FLAT Plano Principal Oi TV nível conta"),[1]BENEFICIOS!$A:$G,5,0)))</f>
        <v/>
      </c>
      <c r="GD8" s="129"/>
      <c r="GE8" s="127" t="str">
        <f>IF(GD8=0,"",IF(GD8=VLOOKUP("PCS-OzTL747",[1]ARBOR!$A:$C,3,0),0.0001,IF(GD8&gt;VLOOKUP("PCS-OzTL747",[1]ARBOR!$A:$C,3,0),"Maior que CAP!",IF((DOLLAR(GD8+(VLOOKUP("PCS-OzTL747",[1]ARBOR!$A:$C,3,0)*-TRUNC(GD8/VLOOKUP("PCS-OzTL747",[1]ARBOR!$A:$C,3,0)-1,4)),6))&lt;&gt;(DOLLAR(VLOOKUP("PCS-OzTL747",[1]ARBOR!$A:$C,3,0),6)),-TRUNC(GD8/VLOOKUP("PCS-OzTL747",[1]ARBOR!$A:$C,3,0)-1,4)+0.0001,-TRUNC(GD8/VLOOKUP("PCS-OzTL747",[1]ARBOR!$A:$C,3,0)-1,4)))))</f>
        <v/>
      </c>
      <c r="GF8" s="204" t="str">
        <f>IF(ISERROR(IF(GE8="","",VLOOKUP(($AY8&amp;GE8&amp;"Template desconto FLAT Plano Principal Oi TV nível conta"),[1]BENEFICIOS!$A:$G,5,0))),"Criar",IF(GE8="","",VLOOKUP(($AY8&amp;GE8&amp;"Template desconto FLAT Plano Principal Oi TV nível conta"),[1]BENEFICIOS!$A:$G,5,0)))</f>
        <v/>
      </c>
      <c r="GG8" s="129"/>
      <c r="GH8" s="127" t="str">
        <f>IF(GG8=0,"",IF(GG8=VLOOKUP("PCS-OzTL746",[1]ARBOR!$A:$C,3,0),0.0001,IF(GG8&gt;VLOOKUP("PCS-OzTL746",[1]ARBOR!$A:$C,3,0),"Maior que CAP!",IF((DOLLAR(GG8+(VLOOKUP("PCS-OzTL746",[1]ARBOR!$A:$C,3,0)*-TRUNC(GG8/VLOOKUP("PCS-OzTL746",[1]ARBOR!$A:$C,3,0)-1,4)),6))&lt;&gt;(DOLLAR(VLOOKUP("PCS-OzTL746",[1]ARBOR!$A:$C,3,0),6)),-TRUNC(GG8/VLOOKUP("PCS-OzTL746",[1]ARBOR!$A:$C,3,0)-1,4)+0.0001,-TRUNC(GG8/VLOOKUP("PCS-OzTL746",[1]ARBOR!$A:$C,3,0)-1,4)))))</f>
        <v/>
      </c>
      <c r="GI8" s="204" t="str">
        <f>IF(ISERROR(IF(GH8="","",VLOOKUP(($AY8&amp;GH8&amp;"Template desconto FLAT Plano Principal Oi TV nível conta"),[1]BENEFICIOS!$A:$G,5,0))),"Criar",IF(GH8="","",VLOOKUP(($AY8&amp;GH8&amp;"Template desconto FLAT Plano Principal Oi TV nível conta"),[1]BENEFICIOS!$A:$G,5,0)))</f>
        <v/>
      </c>
      <c r="GJ8" s="129">
        <v>189.9</v>
      </c>
      <c r="GK8" s="127">
        <f>IF(GJ8=0,"",IF(GJ8=VLOOKUP("PCS-OzTL748",[1]ARBOR!$A:$C,3,0),0.0001,IF(GJ8&gt;VLOOKUP("PCS-OzTL748",[1]ARBOR!$A:$C,3,0),"Maior que CAP!",IF((DOLLAR(GJ8+(VLOOKUP("PCS-OzTL748",[1]ARBOR!$A:$C,3,0)*-TRUNC(GJ8/VLOOKUP("PCS-OzTL748",[1]ARBOR!$A:$C,3,0)-1,4)),6))&lt;&gt;(DOLLAR(VLOOKUP("PCS-OzTL748",[1]ARBOR!$A:$C,3,0),6)),-TRUNC(GJ8/VLOOKUP("PCS-OzTL748",[1]ARBOR!$A:$C,3,0)-1,4)+0.0001,-TRUNC(GJ8/VLOOKUP("PCS-OzTL748",[1]ARBOR!$A:$C,3,0)-1,4)))))</f>
        <v>0.38400000000000001</v>
      </c>
      <c r="GL8" s="204" t="str">
        <f>IF(ISERROR(IF(GK8="","",VLOOKUP(($AY8&amp;GK8&amp;"Template desconto FLAT Plano Principal Oi TV nível conta"),[1]BENEFICIOS!$A:$G,5,0))),"Criar",IF(GK8="","",VLOOKUP(($AY8&amp;GK8&amp;"Template desconto FLAT Plano Principal Oi TV nível conta"),[1]BENEFICIOS!$A:$G,5,0)))</f>
        <v>MKT-1-9827464097</v>
      </c>
      <c r="GM8" s="129">
        <v>75</v>
      </c>
      <c r="GN8" s="127">
        <f>IF(GM8=0,"",IF(GM8=VLOOKUP("PCS-OzTL34",[1]ARBOR!$A:$C,3,0),0.0001,IF(GM8&gt;VLOOKUP("PCS-OzTL34",[1]ARBOR!$A:$C,3,0),"Maior que CAP!",IF((DOLLAR(GM8+(VLOOKUP("PCS-OzTL34",[1]ARBOR!$A:$C,3,0)*-TRUNC(GM8/VLOOKUP("PCS-OzTL34",[1]ARBOR!$A:$C,3,0)-1,4)),6))&lt;&gt;(DOLLAR(VLOOKUP("PCS-OzTL34",[1]ARBOR!$A:$C,3,0),6)),-TRUNC(GM8/VLOOKUP("PCS-OzTL34",[1]ARBOR!$A:$C,3,0)-1,4)+0.0001,-TRUNC(GM8/VLOOKUP("PCS-OzTL34",[1]ARBOR!$A:$C,3,0)-1,4)))))</f>
        <v>0.31900000000000001</v>
      </c>
      <c r="GO8" s="204" t="s">
        <v>161</v>
      </c>
      <c r="GP8" s="129">
        <v>19.899999999999999</v>
      </c>
      <c r="GQ8" s="127">
        <f>IF(GP8=0,"",IF(GP8=VLOOKUP("PCS-OzTL31",[1]ARBOR!$A:$C,3,0),0.0001,IF(GP8&gt;VLOOKUP("PCS-OzTL31",[1]ARBOR!$A:$C,3,0),"Maior que CAP!",IF((DOLLAR(GP8+(VLOOKUP("PCS-OzTL31",[1]ARBOR!$A:$C,3,0)*-TRUNC(GP8/VLOOKUP("PCS-OzTL31",[1]ARBOR!$A:$C,3,0)-1,4)),6))&lt;&gt;(DOLLAR(VLOOKUP("PCS-OzTL31",[1]ARBOR!$A:$C,3,0),6)),-TRUNC(GP8/VLOOKUP("PCS-OzTL31",[1]ARBOR!$A:$C,3,0)-1,4)+0.0001,-TRUNC(GP8/VLOOKUP("PCS-OzTL31",[1]ARBOR!$A:$C,3,0)-1,4)))))</f>
        <v>9.1800000000000007E-2</v>
      </c>
      <c r="GR8" s="204" t="s">
        <v>162</v>
      </c>
      <c r="GS8" s="129">
        <v>19.899999999999999</v>
      </c>
      <c r="GT8" s="127">
        <f>IF(GS8=0,"",IF(GS8=VLOOKUP("PCS-OzTL32",[1]ARBOR!$A:$C,3,0),0.0001,IF(GS8&gt;VLOOKUP("PCS-OzTL32",[1]ARBOR!$A:$C,3,0),"Maior que CAP!",IF((DOLLAR(GS8+(VLOOKUP("PCS-OzTL32",[1]ARBOR!$A:$C,3,0)*-TRUNC(GS8/VLOOKUP("PCS-OzTL32",[1]ARBOR!$A:$C,3,0)-1,4)),6))&lt;&gt;(DOLLAR(VLOOKUP("PCS-OzTL32",[1]ARBOR!$A:$C,3,0),6)),-TRUNC(GS8/VLOOKUP("PCS-OzTL32",[1]ARBOR!$A:$C,3,0)-1,4)+0.0001,-TRUNC(GS8/VLOOKUP("PCS-OzTL32",[1]ARBOR!$A:$C,3,0)-1,4)))))</f>
        <v>9.1800000000000007E-2</v>
      </c>
      <c r="GU8" s="204" t="s">
        <v>163</v>
      </c>
      <c r="GV8" s="129">
        <v>29.9</v>
      </c>
      <c r="GW8" s="127">
        <f>IF(GV8=0,"",IF(GV8=VLOOKUP("PCS-OzTL33",[1]ARBOR!$A:$C,3,0),0.0001,IF(GV8&gt;VLOOKUP("PCS-OzTL33",[1]ARBOR!$A:$C,3,0),"Maior que CAP!",IF((DOLLAR(GV8+(VLOOKUP("PCS-OzTL33",[1]ARBOR!$A:$C,3,0)*-TRUNC(GV8/VLOOKUP("PCS-OzTL33",[1]ARBOR!$A:$C,3,0)-1,4)),6))&lt;&gt;(DOLLAR(VLOOKUP("PCS-OzTL33",[1]ARBOR!$A:$C,3,0),6)),-TRUNC(GV8/VLOOKUP("PCS-OzTL33",[1]ARBOR!$A:$C,3,0)-1,4)+0.0001,-TRUNC(GV8/VLOOKUP("PCS-OzTL33",[1]ARBOR!$A:$C,3,0)-1,4)))))</f>
        <v>9.1800000000000007E-2</v>
      </c>
      <c r="GX8" s="204" t="s">
        <v>164</v>
      </c>
      <c r="GY8" s="129">
        <v>14.9</v>
      </c>
      <c r="GZ8" s="127">
        <f>IF(GY8=0,"",IF(GY8=VLOOKUP("PCS-OzTL503",[1]ARBOR!$A:$C,3,0),0.0001,IF(GY8&gt;VLOOKUP("PCS-OzTL503",[1]ARBOR!$A:$C,3,0),"Maior que CAP!",IF((DOLLAR(GY8+(VLOOKUP("PCS-OzTL503",[1]ARBOR!$A:$C,3,0)*-TRUNC(GY8/VLOOKUP("PCS-OzTL503",[1]ARBOR!$A:$C,3,0)-1,4)),6))&lt;&gt;(DOLLAR(VLOOKUP("PCS-OzTL503",[1]ARBOR!$A:$C,3,0),6)),-TRUNC(GY8/VLOOKUP("PCS-OzTL503",[1]ARBOR!$A:$C,3,0)-1,4)+0.0001,-TRUNC(GY8/VLOOKUP("PCS-OzTL503",[1]ARBOR!$A:$C,3,0)-1,4)))))</f>
        <v>9.1499999999999998E-2</v>
      </c>
      <c r="HA8" s="204" t="s">
        <v>165</v>
      </c>
      <c r="HB8" s="129">
        <v>10</v>
      </c>
      <c r="HC8" s="127">
        <f>IF(HB8=0,"",IF(HB8=VLOOKUP("PCS-OzTL500",[1]ARBOR!$A:$C,3,0),0.0001,IF(HB8&gt;VLOOKUP("PCS-OzTL500",[1]ARBOR!$A:$C,3,0),"Maior que CAP!",IF((DOLLAR(HB8+(VLOOKUP("PCS-OzTL500",[1]ARBOR!$A:$C,3,0)*-TRUNC(HB8/VLOOKUP("PCS-OzTL500",[1]ARBOR!$A:$C,3,0)-1,4)),6))&lt;&gt;(DOLLAR(VLOOKUP("PCS-OzTL500",[1]ARBOR!$A:$C,3,0),6)),-TRUNC(HB8/VLOOKUP("PCS-OzTL500",[1]ARBOR!$A:$C,3,0)-1,4)+0.0001,-TRUNC(HB8/VLOOKUP("PCS-OzTL500",[1]ARBOR!$A:$C,3,0)-1,4)))))</f>
        <v>9.1800000000000007E-2</v>
      </c>
      <c r="HD8" s="204" t="s">
        <v>166</v>
      </c>
      <c r="HE8" s="129" t="s">
        <v>167</v>
      </c>
      <c r="HF8" s="127"/>
      <c r="HG8" s="204"/>
      <c r="HH8" s="129" t="s">
        <v>168</v>
      </c>
      <c r="HI8" s="127"/>
      <c r="HJ8" s="204"/>
      <c r="HK8" s="129" t="s">
        <v>169</v>
      </c>
      <c r="HL8" s="127"/>
      <c r="HM8" s="204"/>
      <c r="HN8" s="129" t="s">
        <v>170</v>
      </c>
      <c r="HO8" s="127"/>
      <c r="HP8" s="204"/>
      <c r="HQ8" s="129" t="s">
        <v>171</v>
      </c>
      <c r="HR8" s="127"/>
      <c r="HS8" s="204"/>
      <c r="HT8" s="129">
        <v>24.9</v>
      </c>
      <c r="HU8" s="127">
        <f>IF(HT8=0,"",IF(HT8=VLOOKUP("PCS-OzTL99",[1]ARBOR!$A:$C,3,0),0.0001,IF(HT8&gt;VLOOKUP("PCS-OzTL99",[1]ARBOR!$A:$C,3,0),"Maior que CAP!",IF((DOLLAR(HT8+(VLOOKUP("PCS-OzTL99",[1]ARBOR!$A:$C,3,0)*-TRUNC(HT8/VLOOKUP("PCS-OzTL99",[1]ARBOR!$A:$C,3,0)-1,4)),6))&lt;&gt;(DOLLAR(VLOOKUP("PCS-OzTL99",[1]ARBOR!$A:$C,3,0),6)),-TRUNC(HT8/VLOOKUP("PCS-OzTL99",[1]ARBOR!$A:$C,3,0)-1,4)+0.0001,-TRUNC(HT8/VLOOKUP("PCS-OzTL99",[1]ARBOR!$A:$C,3,0)-1,4)))))</f>
        <v>0.16729999999999998</v>
      </c>
      <c r="HV8" s="205" t="s">
        <v>172</v>
      </c>
      <c r="HW8" s="196" t="s">
        <v>149</v>
      </c>
      <c r="HX8" s="204" t="str">
        <f t="shared" si="4"/>
        <v>PCS-34704</v>
      </c>
      <c r="HY8" s="206" t="str">
        <f>IFERROR((IF(AZ8="","",VLOOKUP(AZ8,[1]ARBOR!A:C,3,0))),"")</f>
        <v/>
      </c>
      <c r="HZ8" s="207"/>
      <c r="IA8" s="184" t="str">
        <f>IF(HZ8="","",ROUND(1-(HZ8/VLOOKUP(AZ8&amp;"ASS",[1]ARBOR!A:C,3,0)),4))</f>
        <v/>
      </c>
      <c r="IB8" s="184"/>
      <c r="IC8" s="208"/>
      <c r="ID8" s="209"/>
      <c r="IE8" s="127" t="str">
        <f>IF(ID8="","",ROUND(IF(ID8=0,"",IF(ID8=HY8,0.0001,1-((ID8+(VLOOKUP(AZ8&amp;"ASS",[1]ARBOR!A:C,3,0)-HZ8))/HY8))),4))</f>
        <v/>
      </c>
      <c r="IF8" s="127" t="str">
        <f>IF(ISERROR(IF(IE8="","",VLOOKUP(($AY8&amp;IE8&amp;"Template de desconto percentual FLAT Móvel - Conta Total - Varejo - Ganho Tributário Cross"),[1]BENEFICIOS!$A:$E,5,0))),"Criar",IF(IE8="","",VLOOKUP(($AY8&amp;IE8&amp;"Template de desconto percentual FLAT Móvel - Conta Total - Varejo - Ganho Tributário Cross"),[1]BENEFICIOS!$A:$E,5,0)))</f>
        <v/>
      </c>
      <c r="IG8" s="193"/>
      <c r="IH8" s="127"/>
      <c r="II8" s="210"/>
      <c r="IJ8" s="211"/>
      <c r="IK8" s="127"/>
      <c r="IL8" s="127"/>
      <c r="IM8" s="212"/>
      <c r="IN8" s="212"/>
      <c r="IO8" s="213"/>
      <c r="IP8" s="214" t="str">
        <f>IF(IO8=0,"",IF(IO8=VLOOKUP("PCS-813566",[1]ARBOR!$A:$C,3,0),0.0001,IF(IO8&gt;VLOOKUP("PCS-813566",[1]ARBOR!$A:$C,3,0),"Maior que CAP!",ROUND(-1*(IO8/VLOOKUP("PCS-813566",[1]ARBOR!$A:$C,3,0)-1),4))))</f>
        <v/>
      </c>
      <c r="IQ8" s="215" t="str">
        <f>IF(ISERROR(IF(IP8="","",VLOOKUP(("Oi Internet Pra Celular 300MB"&amp;IP8&amp;"Template Flat Instância Dados"),[1]BENEFICIOS!$A:$E,5,0))),"Criar",IF(IP8="","",VLOOKUP(("Oi Internet Pra Celular 300MB"&amp;IP8&amp;"Template Flat Instância Dados"),[1]BENEFICIOS!$A:$E,5,0)))</f>
        <v/>
      </c>
      <c r="IR8" s="216"/>
      <c r="IS8" s="217" t="str">
        <f>IF(IR8=0,"",IF(IR8=VLOOKUP("sva_bancas",[1]ARBOR!$A:$C,3,0),0.0001,IF(IR8&gt;VLOOKUP("sva_livros",[1]ARBOR!$A:$C,3,0),"Maior que CAP!",ROUND(-1*(IR8/VLOOKUP("sva_bancas",[1]ARBOR!$A:$C,3,0)-1),4))))</f>
        <v/>
      </c>
      <c r="IT8" s="218" t="str">
        <f>IF(ISERROR(IF(IS8="","",VLOOKUP(("Oi Internet Pra Celular 300MB"&amp;IS8&amp;"Template Desconto % SVA DADOS B2C"),[1]BENEFICIOS!$A:$E,5,0))),"Criar",IF(IS8="","",VLOOKUP(("Oi Internet Pra Celular 300MB"&amp;IS8&amp;"Template Desconto % SVA DADOS B2C"),[1]BENEFICIOS!$A:$E,5,0)))</f>
        <v/>
      </c>
      <c r="IU8" s="213"/>
      <c r="IV8" s="214" t="str">
        <f>IF(IU8=0,"",IF(IU8=VLOOKUP("PCS-813564",[1]ARBOR!$A:$C,3,0),0.0001,IF(IU8&gt;VLOOKUP("PCS-813564",[1]ARBOR!$A:$C,3,0),"Maior que CAP!",ROUND(-1*(IU8/VLOOKUP("PCS-813564",[1]ARBOR!$A:$C,3,0)-1),4))))</f>
        <v/>
      </c>
      <c r="IW8" s="215" t="str">
        <f>IF(ISERROR(IF(IV8="","",VLOOKUP(("Oi Internet Pra Celular 500MB"&amp;IV8&amp;"Template Flat Instância Dados"),[1]BENEFICIOS!$A:$E,5,0))),"Criar",IF(IV8="","",VLOOKUP(("Oi Internet Pra Celular 500MB"&amp;IV8&amp;"Template Flat Instância Dados"),[1]BENEFICIOS!$A:$E,5,0)))</f>
        <v/>
      </c>
      <c r="IX8" s="216"/>
      <c r="IY8" s="217" t="str">
        <f>IF(IX8=0,"",IF(IX8=VLOOKUP("sva_livros",[1]ARBOR!$A:$C,3,0),0.0001,IF(IX8&gt;VLOOKUP("sva_livros",[1]ARBOR!$A:$C,3,0),"Maior que CAP!",ROUND(-1*(IX8/VLOOKUP("sva_livros",[1]ARBOR!$A:$C,3,0)-1),4))))</f>
        <v/>
      </c>
      <c r="IZ8" s="218" t="str">
        <f>IF(ISERROR(IF(IY8="","",VLOOKUP(("Oi Internet Pra Celular 500MB"&amp;IY8&amp;"Template Desconto % SVA DADOS B2C"),[1]BENEFICIOS!$A:$E,5,0))),"Criar",IF(IY8="","",VLOOKUP(("Oi Internet Pra Celular 500MB"&amp;IY8&amp;"Template Desconto % SVA DADOS B2C"),[1]BENEFICIOS!$A:$E,5,0)))</f>
        <v/>
      </c>
      <c r="JA8" s="213"/>
      <c r="JB8" s="214" t="str">
        <f>IF(JA8=0,"",IF(JA8=VLOOKUP("PCS-10357",[1]ARBOR!$A:$C,3,0),0.0001,IF(JA8&gt;VLOOKUP("PCS-10357",[1]ARBOR!$A:$C,3,0),"Maior que CAP!",ROUND(-1*(JA8/VLOOKUP("PCS-10357",[1]ARBOR!$A:$C,3,0)-1),4))))</f>
        <v/>
      </c>
      <c r="JC8" s="215" t="str">
        <f>IF(ISERROR(IF(JB8="","",VLOOKUP(("Oi Internet Pra Celular 1GB"&amp;JB8&amp;"Template Flat Instância Dados"),[1]BENEFICIOS!$A:$E,5,0))),"Criar",IF(JB8="","",VLOOKUP(("Oi Internet Pra Celular 1GB"&amp;JB8&amp;"Template Flat Instância Dados"),[1]BENEFICIOS!$A:$E,5,0)))</f>
        <v/>
      </c>
      <c r="JD8" s="216"/>
      <c r="JE8" s="217" t="str">
        <f>IF(JD8=0,"",IF(JD8=VLOOKUP("sva_livros",[1]ARBOR!$A:$C,3,0),0.0001,IF(JD8&gt;VLOOKUP("sva_livros",[1]ARBOR!$A:$C,3,0),"Maior que CAP!",ROUND(-1*(JD8/VLOOKUP("sva_livros",[1]ARBOR!$A:$C,3,0)-1),4))))</f>
        <v/>
      </c>
      <c r="JF8" s="218" t="str">
        <f>IF(ISERROR(IF(JE8="","",VLOOKUP(("Oi Internet Pra Celular 1GB"&amp;JE8&amp;"Template Desconto % SVA DADOS B2C"),[1]BENEFICIOS!$A:$E,5,0))),"Criar",IF(JE8="","",VLOOKUP(("Oi Internet Pra Celular 1GB"&amp;JE8&amp;"Template Desconto % SVA DADOS B2C"),[1]BENEFICIOS!$A:$E,5,0)))</f>
        <v/>
      </c>
      <c r="JG8" s="213"/>
      <c r="JH8" s="214" t="str">
        <f>IF(JG8=0,"",IF(JG8=VLOOKUP("PCS-813565",[1]ARBOR!$A:$C,3,0),0.0001,IF(JG8&gt;VLOOKUP("PCS-813565",[1]ARBOR!$A:$C,3,0),"Maior que CAP!",ROUND(-1*(JG8/VLOOKUP("PCS-813565",[1]ARBOR!$A:$C,3,0)-1),4))))</f>
        <v/>
      </c>
      <c r="JI8" s="215" t="str">
        <f>IF(ISERROR(IF(JH8="","",VLOOKUP(("Oi Internet Pra Celular 2GB"&amp;JH8&amp;"Template Flat Instância Dados"),[1]BENEFICIOS!$A:$E,5,0))),"Criar",IF(JH8="","",VLOOKUP(("Oi Internet Pra Celular 2GB"&amp;JH8&amp;"Template Flat Instância Dados"),[1]BENEFICIOS!$A:$E,5,0)))</f>
        <v/>
      </c>
      <c r="JJ8" s="216"/>
      <c r="JK8" s="217" t="str">
        <f>IF(JJ8=0,"",IF(JJ8=VLOOKUP("sva_livros",[1]ARBOR!$A:$C,3,0),0.0001,IF(JJ8&gt;VLOOKUP("sva_livros",[1]ARBOR!$A:$C,3,0),"Maior que CAP!",ROUND(-1*(JJ8/VLOOKUP("sva_livros",[1]ARBOR!$A:$C,3,0)-1),4))))</f>
        <v/>
      </c>
      <c r="JL8" s="218" t="str">
        <f>IF(ISERROR(IF(JK8="","",VLOOKUP(("Oi Internet Pra Celular 2GB"&amp;JK8&amp;"Template Desconto % SVA DADOS B2C"),[1]BENEFICIOS!$A:$E,5,0))),"Criar",IF(JK8="","",VLOOKUP(("Oi Internet Pra Celular 2GB"&amp;JK8&amp;"Template Desconto % SVA DADOS B2C"),[1]BENEFICIOS!$A:$E,5,0)))</f>
        <v/>
      </c>
      <c r="JM8" s="213"/>
      <c r="JN8" s="214" t="str">
        <f>IF(JM8=0,"",IF(JM8=VLOOKUP("PCS-7171B",[1]ARBOR!$A:$C,3,0),0.0001,IF(JM8&gt;VLOOKUP("PCS-7171B",[1]ARBOR!$A:$C,3,0),"Maior que CAP!",ROUND(-1*(JM8/VLOOKUP("PCS-7171B",[1]ARBOR!$A:$C,3,0)-1),4))))</f>
        <v/>
      </c>
      <c r="JO8" s="215" t="str">
        <f>IF(ISERROR(IF(JN8="","",VLOOKUP(("Oi Internet Pra Celular 3GB"&amp;JN8&amp;"Template Flat Instância Dados"),[1]BENEFICIOS!$A:$E,5,0))),"Criar",IF(JN8="","",VLOOKUP(("Oi Internet Pra Celular 3GB"&amp;JN8&amp;"Template Flat Instância Dados"),[1]BENEFICIOS!$A:$E,5,0)))</f>
        <v/>
      </c>
      <c r="JP8" s="216"/>
      <c r="JQ8" s="217" t="str">
        <f>IF(JP8=0,"",IF(JP8=VLOOKUP("sva_livros",[1]ARBOR!$A:$C,3,0),0.0001,IF(JP8&gt;VLOOKUP("sva_livros",[1]ARBOR!$A:$C,3,0),"Maior que CAP!",ROUND(-1*(JP8/VLOOKUP("sva_livros",[1]ARBOR!$A:$C,3,0)-1),4))))</f>
        <v/>
      </c>
      <c r="JR8" s="218" t="str">
        <f>IF(ISERROR(IF(JQ8="","",VLOOKUP(("Oi Internet Pra Celular 3GB"&amp;JQ8&amp;"Template Desconto % SVA DADOS B2C"),[1]BENEFICIOS!$A:$E,5,0))),"Criar",IF(JQ8="","",VLOOKUP(("Oi Internet Pra Celular 3GB"&amp;JQ8&amp;"Template Desconto % SVA DADOS B2C"),[1]BENEFICIOS!$A:$E,5,0)))</f>
        <v/>
      </c>
      <c r="JS8" s="213"/>
      <c r="JT8" s="214" t="str">
        <f>IF(JS8=0,"",IF(JS8=VLOOKUP("PCS-51793o08",[1]ARBOR!$A:$C,3,0),0.0001,IF(JS8&gt;VLOOKUP("PCS-51793o08",[1]ARBOR!$A:$C,3,0),"Maior que CAP!",ROUND(-1*(JS8/VLOOKUP("PCS-51793o08",[1]ARBOR!$A:$C,3,0)-1),4))))</f>
        <v/>
      </c>
      <c r="JU8" s="215" t="str">
        <f>IF(ISERROR(IF(JT8="","",VLOOKUP(("Oi Internet Pra Celular 5GB"&amp;JT8&amp;"Template Flat Instância Dados"),[1]BENEFICIOS!$A:$E,5,0))),"Criar",IF(JT8="","",VLOOKUP(("Oi Internet Pra Celular 5GB"&amp;JT8&amp;"Template Flat Instância Dados"),[1]BENEFICIOS!$A:$E,5,0)))</f>
        <v/>
      </c>
      <c r="JV8" s="216"/>
      <c r="JW8" s="217" t="str">
        <f>IF(JV8=0,"",IF(JV8=VLOOKUP("sva_curtas",[1]ARBOR!$A:$C,3,0),0.0001,IF(JV8&gt;VLOOKUP("sva_curtas",[1]ARBOR!$A:$C,3,0),"Maior que CAP!",ROUND(-1*(JV8/VLOOKUP("sva_curtas",[1]ARBOR!$A:$C,3,0)-1),4))))</f>
        <v/>
      </c>
      <c r="JX8" s="218" t="str">
        <f>IF(ISERROR(IF(JW8="","",VLOOKUP(("Oi Internet Pra Celular 5GB"&amp;JW8&amp;"Template Desconto % SVA DADOS B2C"),[1]BENEFICIOS!$A:$E,5,0))),"Criar",IF(JW8="","",VLOOKUP(("Oi Internet Pra Celular 5GB"&amp;JW8&amp;"Template Desconto % SVA DADOS B2C"),[1]BENEFICIOS!$A:$E,5,0)))</f>
        <v/>
      </c>
      <c r="JY8" s="213"/>
      <c r="JZ8" s="214" t="str">
        <f>IF(JY8=0,"",IF(JY8=VLOOKUP("PCS-7171A",[1]ARBOR!$A:$C,3,0),0.0001,IF(JY8&gt;VLOOKUP("PCS-7171A",[1]ARBOR!$A:$C,3,0),"Maior que CAP!",ROUND(-1*(JY8/VLOOKUP("PCS-7171A",[1]ARBOR!$A:$C,3,0)-1),4))))</f>
        <v/>
      </c>
      <c r="KA8" s="219" t="str">
        <f>IF(ISERROR(IF(JZ8="","",VLOOKUP(("Oi Internet Pra Celular 10GB"&amp;JZ8&amp;"Template Flat Instância Dados"),[1]BENEFICIOS!$A:$E,5,0))),"Criar",IF(JZ8="","",VLOOKUP(("Oi Internet Pra Celular 10GB"&amp;JZ8&amp;"Template Flat Instância Dados"),[1]BENEFICIOS!$A:$E,5,0)))</f>
        <v/>
      </c>
      <c r="KB8" s="216"/>
      <c r="KC8" s="217" t="str">
        <f>IF(KB8=0,"",IF(KB8=VLOOKUP("sva_curtas",[1]ARBOR!$A:$C,3,0),0.0001,IF(KB8&gt;VLOOKUP("sva_curtas",[1]ARBOR!$A:$C,3,0),"Maior que CAP!",ROUND(-1*(KB8/VLOOKUP("sva_curtas",[1]ARBOR!$A:$C,3,0)-1),4))))</f>
        <v/>
      </c>
      <c r="KD8" s="218" t="str">
        <f>IF(ISERROR(IF(KC8="","",VLOOKUP(("Oi Internet Pra Celular 10GB"&amp;KC8&amp;"Template Desconto % SVA DADOS B2C"),[1]BENEFICIOS!$A:$E,5,0))),"Criar",IF(KC8="","",VLOOKUP(("Oi Internet Pra Celular 10GB"&amp;KC8&amp;"Template Desconto % SVA DADOS B2C"),[1]BENEFICIOS!$A:$E,5,0)))</f>
        <v/>
      </c>
      <c r="KE8" s="220"/>
      <c r="KF8" s="221"/>
      <c r="KG8" s="222" t="s">
        <v>149</v>
      </c>
      <c r="KH8" s="223" t="s">
        <v>173</v>
      </c>
      <c r="KI8" s="224">
        <v>899</v>
      </c>
      <c r="KJ8" s="223">
        <v>12</v>
      </c>
      <c r="KK8" s="225" t="str">
        <f t="shared" si="5"/>
        <v>Oi benefício fidelização Multiprodutos</v>
      </c>
      <c r="KL8" s="226" t="str">
        <f t="shared" si="6"/>
        <v>PCS-Fk83324</v>
      </c>
      <c r="KM8" s="226" t="str">
        <f t="shared" si="7"/>
        <v>PCS-SBL553142</v>
      </c>
      <c r="KN8" s="227" t="s">
        <v>174</v>
      </c>
      <c r="KO8" s="228" t="s">
        <v>175</v>
      </c>
      <c r="KP8" s="228" t="s">
        <v>176</v>
      </c>
      <c r="KQ8" s="227" t="s">
        <v>177</v>
      </c>
      <c r="KR8" s="225" t="s">
        <v>178</v>
      </c>
      <c r="KS8" s="226" t="s">
        <v>179</v>
      </c>
      <c r="KT8" s="229" t="s">
        <v>180</v>
      </c>
      <c r="KU8" s="155" t="s">
        <v>181</v>
      </c>
      <c r="KV8" s="155" t="s">
        <v>181</v>
      </c>
      <c r="KW8" s="155" t="s">
        <v>181</v>
      </c>
      <c r="KX8" s="155" t="s">
        <v>181</v>
      </c>
      <c r="KY8" s="155" t="s">
        <v>181</v>
      </c>
      <c r="KZ8" s="155" t="s">
        <v>181</v>
      </c>
      <c r="LA8" s="155" t="s">
        <v>181</v>
      </c>
      <c r="LB8" s="155" t="s">
        <v>181</v>
      </c>
      <c r="LC8" s="155" t="s">
        <v>181</v>
      </c>
      <c r="LD8" s="155" t="s">
        <v>181</v>
      </c>
      <c r="LE8" s="155" t="s">
        <v>181</v>
      </c>
      <c r="LF8" s="155" t="s">
        <v>181</v>
      </c>
      <c r="LG8" s="155" t="s">
        <v>181</v>
      </c>
      <c r="LH8" s="155" t="s">
        <v>181</v>
      </c>
      <c r="LI8" s="155" t="s">
        <v>181</v>
      </c>
      <c r="LJ8" s="155" t="s">
        <v>181</v>
      </c>
      <c r="LK8" s="230">
        <v>240.01</v>
      </c>
      <c r="LL8" s="231"/>
      <c r="LM8" s="232"/>
      <c r="LN8" s="232"/>
      <c r="LO8" s="232"/>
      <c r="LP8" s="232"/>
      <c r="LQ8" s="232"/>
      <c r="LR8" s="232"/>
      <c r="LS8" s="232"/>
      <c r="LT8" s="232"/>
      <c r="LU8" s="233"/>
      <c r="LV8" t="s">
        <v>195</v>
      </c>
      <c r="LW8" t="s">
        <v>183</v>
      </c>
    </row>
    <row r="9" spans="1:335" x14ac:dyDescent="0.25">
      <c r="A9" s="160" t="s">
        <v>146</v>
      </c>
      <c r="B9" s="161" t="s">
        <v>147</v>
      </c>
      <c r="C9" s="161" t="s">
        <v>148</v>
      </c>
      <c r="D9" s="162" t="s">
        <v>149</v>
      </c>
      <c r="E9" s="163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5"/>
      <c r="Q9" s="165"/>
      <c r="R9" s="165"/>
      <c r="S9" s="166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234"/>
      <c r="AF9" s="164"/>
      <c r="AG9" s="164"/>
      <c r="AH9" s="168"/>
      <c r="AI9" s="235" t="s">
        <v>196</v>
      </c>
      <c r="AJ9" s="85" t="s">
        <v>151</v>
      </c>
      <c r="AK9" s="86" t="s">
        <v>197</v>
      </c>
      <c r="AL9" s="169">
        <v>43039</v>
      </c>
      <c r="AM9" s="170">
        <v>43159</v>
      </c>
      <c r="AN9" s="89" t="s">
        <v>153</v>
      </c>
      <c r="AO9" s="90" t="s">
        <v>153</v>
      </c>
      <c r="AP9" s="171"/>
      <c r="AQ9" s="171" t="s">
        <v>154</v>
      </c>
      <c r="AR9" s="171">
        <v>20</v>
      </c>
      <c r="AS9" s="171">
        <v>10000</v>
      </c>
      <c r="AT9" s="172" t="s">
        <v>155</v>
      </c>
      <c r="AU9" s="173" t="s">
        <v>149</v>
      </c>
      <c r="AV9" s="174" t="s">
        <v>156</v>
      </c>
      <c r="AW9" s="175" t="s">
        <v>156</v>
      </c>
      <c r="AX9" s="176" t="s">
        <v>196</v>
      </c>
      <c r="AY9" s="177" t="s">
        <v>157</v>
      </c>
      <c r="AZ9" s="178" t="str">
        <f>IF(ISERROR(VLOOKUP(AY9,[1]PLANOS!B:C,2,0)),"",VLOOKUP(AY9,[1]PLANOS!B:C,2,0))</f>
        <v>PCS-3PLowpi</v>
      </c>
      <c r="BA9" s="179" t="s">
        <v>156</v>
      </c>
      <c r="BB9" s="180" t="str">
        <f t="shared" si="1"/>
        <v/>
      </c>
      <c r="BC9" s="181"/>
      <c r="BD9" s="182"/>
      <c r="BE9" s="236">
        <v>55.11</v>
      </c>
      <c r="BF9" s="127">
        <f>IF(BE9=0,"",IF(BE9=VLOOKUP("FIXO",[1]ARBOR!$A:$C,3,0),0.0001,IF(BE9&gt;VLOOKUP("FIXO",[1]ARBOR!$A:$C,3,0),"Maior que CAP!",IF((DOLLAR(BE9+(VLOOKUP("FIXO",[1]ARBOR!$A:$C,3,0)*-TRUNC(BE9/VLOOKUP("FIXO",[1]ARBOR!$A:$C,3,0)-1,4)),6))&lt;&gt;(DOLLAR(VLOOKUP("FIXO",[1]ARBOR!$A:$C,3,0),6)),-TRUNC(BE9/VLOOKUP("FIXO",[1]ARBOR!$A:$C,3,0)-1,4)+0.0001,-TRUNC(BE9/VLOOKUP("FIXO",[1]ARBOR!$A:$C,3,0)-1,4)))))</f>
        <v>0.27339999999999998</v>
      </c>
      <c r="BG9" s="184"/>
      <c r="BH9" s="127" t="str">
        <f>IF(BG9=0,"",IF(BG9=VLOOKUP("FIXO",[1]ARBOR!$A:$C,3,0),0.0001,IF(BG9&gt;VLOOKUP("FIXO",[1]ARBOR!$A:$C,3,0),"Maior que CAP!",IF((DOLLAR(BG9+(VLOOKUP("FIXO",[1]ARBOR!$A:$C,3,0)*-TRUNC(BG9/VLOOKUP("FIXO",[1]ARBOR!$A:$C,3,0)-1,4)),6))&lt;&gt;(DOLLAR(VLOOKUP("FIXO",[1]ARBOR!$A:$C,3,0),6)),-TRUNC(BG9/VLOOKUP("FIXO",[1]ARBOR!$A:$C,3,0)-1,4)+0.0001,-TRUNC(BG9/VLOOKUP("FIXO",[1]ARBOR!$A:$C,3,0)-1,4)))))</f>
        <v/>
      </c>
      <c r="BI9" s="237" t="str">
        <f>IF(ISERROR(IF(BF9="","",VLOOKUP(($AY9&amp;BF9&amp;"Template de desconto FLAT bundle - Fixo - Varejo - Ganho Tributário Cross"),[1]BENEFICIOS!$A:$E,5,0))),"Criar",IF(BF9="","",VLOOKUP(($AY9&amp;BF9&amp;"Template de desconto FLAT bundle - Fixo - Varejo - Ganho Tributário Cross"),[1]BENEFICIOS!$A:$E,5,0)))</f>
        <v>MKT-1-9825728397</v>
      </c>
      <c r="BJ9" s="185"/>
      <c r="BK9" s="127" t="str">
        <f t="shared" si="2"/>
        <v/>
      </c>
      <c r="BL9" s="186"/>
      <c r="BM9" s="127" t="str">
        <f>IF(BL9=0,"",IF(BL9=VLOOKUP("FIXO",[1]ARBOR!$A:$C,3,0),0.0001,IF(BL9&gt;VLOOKUP("FIXO",[1]ARBOR!$A:$C,3,0),"Maior que CAP!",IF(BF9&lt;&gt;"",-ROUND(BL9/VLOOKUP("FIXO",[1]ARBOR!$A:$C,3,0)-1,4)-BF9,-ROUND(BL9/VLOOKUP("FIXO",[1]ARBOR!$A:$C,3,0)-1,4)))))</f>
        <v/>
      </c>
      <c r="BN9" s="187"/>
      <c r="BO9" s="127" t="str">
        <f>IF(ISERROR(IF(BK9="","",VLOOKUP(($AY9&amp;BK9&amp;"Template de desconto FLAT bundle - Fixo - Varejo - Ganho Tributário Cross"),[1]BENEFICIOS!$A:$E,5,0))),"Criar",IF(BK9="","",VLOOKUP(($AY9&amp;BK9&amp;"Template de desconto FLAT bundle - Fixo - Varejo - Ganho Tributário Cross"),[1]BENEFICIOS!$A:$E,5,0)))</f>
        <v/>
      </c>
      <c r="BP9" s="188" t="s">
        <v>158</v>
      </c>
      <c r="BQ9" s="189" t="s">
        <v>159</v>
      </c>
      <c r="BR9" s="190" t="s">
        <v>156</v>
      </c>
      <c r="BS9" s="191" t="str">
        <f t="shared" si="0"/>
        <v/>
      </c>
      <c r="BT9" s="181"/>
      <c r="BU9" s="192"/>
      <c r="BV9" s="193" t="s">
        <v>198</v>
      </c>
      <c r="BW9" s="194">
        <v>44.9</v>
      </c>
      <c r="BX9" s="127">
        <f>IF(BW9=0,"",IF(BW9=VLOOKUP("PCS-30874g",[1]ARBOR!$A:$C,3,0),0.0001,IF(BW9&gt;VLOOKUP("PCS-30874g",[1]ARBOR!$A:$C,3,0),"Maior que CAP!",IF((DOLLAR(BW9+(VLOOKUP("PCS-30874g",[1]ARBOR!$A:$C,3,0)*-TRUNC(BW9/VLOOKUP("PCS-30874g",[1]ARBOR!$A:$C,3,0)-1,4)),6))&lt;&gt;(DOLLAR(VLOOKUP("PCS-30874g",[1]ARBOR!$A:$C,3,0),6)),-TRUNC(BW9/VLOOKUP("PCS-30874g",[1]ARBOR!$A:$C,3,0)-1,4)+0.0001,-TRUNC(BW9/VLOOKUP("PCS-30874g",[1]ARBOR!$A:$C,3,0)-1,4)))))</f>
        <v>0.53679999999999994</v>
      </c>
      <c r="BY9" s="189" t="str">
        <f>IF(ISERROR(IF(BX9="","",VLOOKUP(($AY9&amp;BX9&amp;"Template de desconto FLAT bundle - Velox XDSL - Varejo"),[1]BENEFICIOS!$A:$E,5,0))),"Criar",IF(BX9="","",VLOOKUP(($AY9&amp;BX9&amp;"Template de desconto FLAT bundle - Velox XDSL - Varejo"),[1]BENEFICIOS!$A:$E,5,0)))</f>
        <v>MKT-1-9831719752</v>
      </c>
      <c r="BZ9" s="193" t="s">
        <v>198</v>
      </c>
      <c r="CA9" s="194">
        <v>44.9</v>
      </c>
      <c r="CB9" s="127">
        <f>IF(CA9=0,"",IF(CA9=VLOOKUP("PCS-30577g",[1]ARBOR!$A:$C,3,0),0.0001,IF(CA9&gt;VLOOKUP("PCS-30577g",[1]ARBOR!$A:$C,3,0),"Maior que CAP!",IF((DOLLAR(CA9+(VLOOKUP("PCS-30577g",[1]ARBOR!$A:$C,3,0)*-TRUNC(CA9/VLOOKUP("PCS-30577g",[1]ARBOR!$A:$C,3,0)-1,4)),6))&lt;&gt;(DOLLAR(VLOOKUP("PCS-30577g",[1]ARBOR!$A:$C,3,0),6)),-TRUNC(CA9/VLOOKUP("PCS-30577g",[1]ARBOR!$A:$C,3,0)-1,4)+0.0001,-TRUNC(CA9/VLOOKUP("PCS-30577g",[1]ARBOR!$A:$C,3,0)-1,4)))))</f>
        <v>0.53679999999999994</v>
      </c>
      <c r="CC9" s="189" t="str">
        <f>IF(ISERROR(IF(CB9="","",VLOOKUP(($AY9&amp;CB9&amp;"Template de desconto FLAT bundle - Velox XDSL - Varejo"),[1]BENEFICIOS!$A:$E,5,0))),"Criar",IF(CB9="","",VLOOKUP(($AY9&amp;CB9&amp;"Template de desconto FLAT bundle - Velox XDSL - Varejo"),[1]BENEFICIOS!$A:$E,5,0)))</f>
        <v>MKT-1-9831719752</v>
      </c>
      <c r="CD9" s="193" t="s">
        <v>198</v>
      </c>
      <c r="CE9" s="194">
        <v>44.9</v>
      </c>
      <c r="CF9" s="127">
        <f>IF(CE9=0,"",IF(CE9=VLOOKUP("PCS-30604g",[1]ARBOR!$A:$C,3,0),0.0001,IF(CE9&gt;VLOOKUP("PCS-30604g",[1]ARBOR!$A:$C,3,0),"Maior que CAP!",IF((DOLLAR(CE9+(VLOOKUP("PCS-30604g",[1]ARBOR!$A:$C,3,0)*-TRUNC(CE9/VLOOKUP("PCS-30604g",[1]ARBOR!$A:$C,3,0)-1,4)),6))&lt;&gt;(DOLLAR(VLOOKUP("PCS-30604g",[1]ARBOR!$A:$C,3,0),6)),-TRUNC(CE9/VLOOKUP("PCS-30604g",[1]ARBOR!$A:$C,3,0)-1,4)+0.0001,-TRUNC(CE9/VLOOKUP("PCS-30604g",[1]ARBOR!$A:$C,3,0)-1,4)))))</f>
        <v>0.53679999999999994</v>
      </c>
      <c r="CG9" s="189" t="str">
        <f>IF(ISERROR(IF(CF9="","",VLOOKUP(($AY9&amp;CF9&amp;"Template de desconto FLAT bundle - Velox XDSL - Varejo"),[1]BENEFICIOS!$A:$E,5,0))),"Criar",IF(CF9="","",VLOOKUP(($AY9&amp;CF9&amp;"Template de desconto FLAT bundle - Velox XDSL - Varejo"),[1]BENEFICIOS!$A:$E,5,0)))</f>
        <v>MKT-1-9831719752</v>
      </c>
      <c r="CH9" s="193" t="s">
        <v>198</v>
      </c>
      <c r="CI9" s="194">
        <v>44.9</v>
      </c>
      <c r="CJ9" s="127">
        <f>IF(CI9=0,"",IF(CI9=VLOOKUP("PCS-30631g",[1]ARBOR!$A:$C,3,0),0.0001,IF(CI9&gt;VLOOKUP("PCS-30631g",[1]ARBOR!$A:$C,3,0),"Maior que CAP!",IF((DOLLAR(CI9+(VLOOKUP("PCS-30631g",[1]ARBOR!$A:$C,3,0)*-TRUNC(CI9/VLOOKUP("PCS-30631g",[1]ARBOR!$A:$C,3,0)-1,4)),6))&lt;&gt;(DOLLAR(VLOOKUP("PCS-30631g",[1]ARBOR!$A:$C,3,0),6)),-TRUNC(CI9/VLOOKUP("PCS-30631g",[1]ARBOR!$A:$C,3,0)-1,4)+0.0001,-TRUNC(CI9/VLOOKUP("PCS-30631g",[1]ARBOR!$A:$C,3,0)-1,4)))))</f>
        <v>0.54310000000000003</v>
      </c>
      <c r="CK9" s="189" t="str">
        <f>IF(ISERROR(IF(CJ9="","",VLOOKUP(($AY9&amp;CJ9&amp;"Template de desconto FLAT bundle - Velox XDSL - Varejo"),[1]BENEFICIOS!$A:$E,5,0))),"Criar",IF(CJ9="","",VLOOKUP(($AY9&amp;CJ9&amp;"Template de desconto FLAT bundle - Velox XDSL - Varejo"),[1]BENEFICIOS!$A:$E,5,0)))</f>
        <v>MKT-1-9828191673</v>
      </c>
      <c r="CL9" s="193" t="s">
        <v>86</v>
      </c>
      <c r="CM9" s="194">
        <v>49.9</v>
      </c>
      <c r="CN9" s="127">
        <f>IF(CM9=0,"",IF(CM9=VLOOKUP("PCS-30658g",[1]ARBOR!$A:$C,3,0),0.0001,IF(CM9&gt;VLOOKUP("PCS-30658g",[1]ARBOR!$A:$C,3,0),"Maior que CAP!",IF((DOLLAR(CM9+(VLOOKUP("PCS-30658g",[1]ARBOR!$A:$C,3,0)*-TRUNC(CM9/VLOOKUP("PCS-30658g",[1]ARBOR!$A:$C,3,0)-1,4)),6))&lt;&gt;(DOLLAR(VLOOKUP("PCS-30658g",[1]ARBOR!$A:$C,3,0),6)),-TRUNC(CM9/VLOOKUP("PCS-30658g",[1]ARBOR!$A:$C,3,0)-1,4)+0.0001,-TRUNC(CM9/VLOOKUP("PCS-30658g",[1]ARBOR!$A:$C,3,0)-1,4)))))</f>
        <v>0.55569999999999997</v>
      </c>
      <c r="CO9" s="189" t="str">
        <f>IF(ISERROR(IF(CN9="","",VLOOKUP(($AY9&amp;CN9&amp;"Template de desconto FLAT bundle - Velox XDSL - Varejo"),[1]BENEFICIOS!$A:$E,5,0))),"Criar",IF(CN9="","",VLOOKUP(($AY9&amp;CN9&amp;"Template de desconto FLAT bundle - Velox XDSL - Varejo"),[1]BENEFICIOS!$A:$E,5,0)))</f>
        <v>MKT-1-9828234782</v>
      </c>
      <c r="CP9" s="193" t="s">
        <v>86</v>
      </c>
      <c r="CQ9" s="194">
        <v>49.9</v>
      </c>
      <c r="CR9" s="127">
        <f>IF(CQ9=0,"",IF(CQ9=VLOOKUP("PCS-30685g",[1]ARBOR!$A:$C,3,0),0.0001,IF(CQ9&gt;VLOOKUP("PCS-30685g",[1]ARBOR!$A:$C,3,0),"Maior que CAP!",IF((DOLLAR(CQ9+(VLOOKUP("PCS-30685g",[1]ARBOR!$A:$C,3,0)*-TRUNC(CQ9/VLOOKUP("PCS-30685g",[1]ARBOR!$A:$C,3,0)-1,4)),6))&lt;&gt;(DOLLAR(VLOOKUP("PCS-30685g",[1]ARBOR!$A:$C,3,0),6)),-TRUNC(CQ9/VLOOKUP("PCS-30685g",[1]ARBOR!$A:$C,3,0)-1,4)+0.0001,-TRUNC(CQ9/VLOOKUP("PCS-30685g",[1]ARBOR!$A:$C,3,0)-1,4)))))</f>
        <v>0.60509999999999997</v>
      </c>
      <c r="CS9" s="189" t="str">
        <f>IF(ISERROR(IF(CR9="","",VLOOKUP(($AY9&amp;CR9&amp;"Template de desconto FLAT bundle - Velox XDSL - Varejo"),[1]BENEFICIOS!$A:$E,5,0))),"Criar",IF(CR9="","",VLOOKUP(($AY9&amp;CR9&amp;"Template de desconto FLAT bundle - Velox XDSL - Varejo"),[1]BENEFICIOS!$A:$E,5,0)))</f>
        <v>MKT-1-9828243951</v>
      </c>
      <c r="CT9" s="193"/>
      <c r="CU9" s="194"/>
      <c r="CV9" s="127" t="str">
        <f>IF(CU9=0,"",IF(CU9=VLOOKUP("PCS-30712g",[1]ARBOR!$A:$C,3,0),0.0001,IF(CU9&gt;VLOOKUP("PCS-30712g",[1]ARBOR!$A:$C,3,0),"Maior que CAP!",IF((DOLLAR(CU9+(VLOOKUP("PCS-30712g",[1]ARBOR!$A:$C,3,0)*-TRUNC(CU9/VLOOKUP("PCS-30712g",[1]ARBOR!$A:$C,3,0)-1,4)),6))&lt;&gt;(DOLLAR(VLOOKUP("PCS-30712g",[1]ARBOR!$A:$C,3,0),6)),-TRUNC(CU9/VLOOKUP("PCS-30712g",[1]ARBOR!$A:$C,3,0)-1,4)+0.0001,-TRUNC(CU9/VLOOKUP("PCS-30712g",[1]ARBOR!$A:$C,3,0)-1,4)))))</f>
        <v/>
      </c>
      <c r="CW9" s="189" t="str">
        <f>IF(ISERROR(IF(CV9="","",VLOOKUP(($AY9&amp;CV9&amp;"Template de desconto FLAT bundle - Velox XDSL - Varejo"),[1]BENEFICIOS!$A:$E,5,0))),"Criar",IF(CV9="","",VLOOKUP(($AY9&amp;CV9&amp;"Template de desconto FLAT bundle - Velox XDSL - Varejo"),[1]BENEFICIOS!$A:$E,5,0)))</f>
        <v/>
      </c>
      <c r="CX9" s="193"/>
      <c r="CY9" s="194"/>
      <c r="CZ9" s="127" t="str">
        <f>IF(CY9=0,"",IF(CY9=VLOOKUP("PCS-30739g",[1]ARBOR!$A:$C,3,0),0.0001,IF(CY9&gt;VLOOKUP("PCS-30739g",[1]ARBOR!$A:$C,3,0),"Maior que CAP!",IF((DOLLAR(CY9+(VLOOKUP("PCS-30739g",[1]ARBOR!$A:$C,3,0)*-TRUNC(CY9/VLOOKUP("PCS-30739g",[1]ARBOR!$A:$C,3,0)-1,4)),6))&lt;&gt;(DOLLAR(VLOOKUP("PCS-30739g",[1]ARBOR!$A:$C,3,0),6)),-TRUNC(CY9/VLOOKUP("PCS-30739g",[1]ARBOR!$A:$C,3,0)-1,4)+0.0001,-TRUNC(CY9/VLOOKUP("PCS-30739g",[1]ARBOR!$A:$C,3,0)-1,4)))))</f>
        <v/>
      </c>
      <c r="DA9" s="195" t="str">
        <f>IF(ISERROR(IF(CZ9="","",VLOOKUP(($AY9&amp;CZ9&amp;"Template de desconto FLAT bundle - Velox XDSL - Varejo"),[1]BENEFICIOS!$A:$E,5,0))),"Criar",IF(CZ9="","",VLOOKUP(($AY9&amp;CZ9&amp;"Template de desconto FLAT bundle - Velox XDSL - Varejo"),[1]BENEFICIOS!$A:$E,5,0)))</f>
        <v/>
      </c>
      <c r="DB9" s="196"/>
      <c r="DC9" s="197"/>
      <c r="DD9" s="127" t="str">
        <f>IF(DB9=0,"",IF(DB9=VLOOKUP("PCS-30739g",[1]ARBOR!$A:$C,3,0),0.0001,IF(DB9&gt;VLOOKUP("PCS-30739g",[1]ARBOR!$A:$C,3,0),"Maior que CAP!",IF((DOLLAR(DB9+(VLOOKUP("PCS-30739g",[1]ARBOR!$A:$C,3,0)*-TRUNC(DB9/VLOOKUP("PCS-30739g",[1]ARBOR!$A:$C,3,0)-1,4)),6))&lt;&gt;(DOLLAR(VLOOKUP("PCS-30739g",[1]ARBOR!$A:$C,3,0),6)),(-TRUNC(DB9/VLOOKUP("PCS-30739g",[1]ARBOR!$A:$C,3,0)-1,4)+0.0001)-CZ9,-TRUNC(DB9/VLOOKUP("PCS-30739g",[1]ARBOR!$A:$C,3,0)-1,4)-CZ9))))</f>
        <v/>
      </c>
      <c r="DE9" s="189" t="str">
        <f>IF(ISERROR(IF(DD9="","",VLOOKUP(($AY9&amp;DD9&amp;"Template de desconto percentual Bundle - Velox XDSL - Varejo"),[1]BENEFICIOS!$A:$E,5,0))),"Criar",IF(DD9="","",VLOOKUP(($AY9&amp;DD9&amp;"Template de desconto percentual Bundle - Velox XDSL - Varejo"),[1]BENEFICIOS!$A:$E,5,0)))</f>
        <v/>
      </c>
      <c r="DF9" s="193"/>
      <c r="DG9" s="194"/>
      <c r="DH9" s="127" t="str">
        <f>IF(DG9=0,"",IF(DG9=VLOOKUP("PCS-30766g",[1]ARBOR!$A:$C,3,0),0.0001,IF(DG9&gt;VLOOKUP("PCS-30766g",[1]ARBOR!$A:$C,3,0),"Maior que CAP!",IF((DOLLAR(DG9+(VLOOKUP("PCS-30766g",[1]ARBOR!$A:$C,3,0)*-TRUNC(DG9/VLOOKUP("PCS-30766g",[1]ARBOR!$A:$C,3,0)-1,4)),6))&lt;&gt;(DOLLAR(VLOOKUP("PCS-30766g",[1]ARBOR!$A:$C,3,0),6)),-TRUNC(DG9/VLOOKUP("PCS-30766g",[1]ARBOR!$A:$C,3,0)-1,4)+0.0001,-TRUNC(DG9/VLOOKUP("PCS-30766g",[1]ARBOR!$A:$C,3,0)-1,4)))))</f>
        <v/>
      </c>
      <c r="DI9" s="195" t="str">
        <f>IF(ISERROR(IF(DH9="","",VLOOKUP(($AY9&amp;DH9&amp;"Template de desconto FLAT bundle - Velox XDSL - Varejo"),[1]BENEFICIOS!$A:$E,5,0))),"Criar",IF(DH9="","",VLOOKUP(($AY9&amp;DH9&amp;"Template de desconto FLAT bundle - Velox XDSL - Varejo"),[1]BENEFICIOS!$A:$E,5,0)))</f>
        <v/>
      </c>
      <c r="DJ9" s="196"/>
      <c r="DK9" s="197"/>
      <c r="DL9" s="127" t="str">
        <f>IF(DJ9=0,"",IF(DJ9=VLOOKUP("PCS-30766g",[1]ARBOR!$A:$C,3,0),0.0001,IF(DJ9&gt;VLOOKUP("PCS-30766g",[1]ARBOR!$A:$C,3,0),"Maior que CAP!",IF((DOLLAR(DJ9+(VLOOKUP("PCS-30766g",[1]ARBOR!$A:$C,3,0)*-TRUNC(DJ9/VLOOKUP("PCS-30766g",[1]ARBOR!$A:$C,3,0)-1,4)),6))&lt;&gt;(DOLLAR(VLOOKUP("PCS-30766g",[1]ARBOR!$A:$C,3,0),6)),(-TRUNC(DJ9/VLOOKUP("PCS-30766g",[1]ARBOR!$A:$C,3,0)-1,4)+0.0001)-DH9,-TRUNC(DJ9/VLOOKUP("PCS-30766g",[1]ARBOR!$A:$C,3,0)-1,4)-DH9))))</f>
        <v/>
      </c>
      <c r="DM9" s="189" t="str">
        <f>IF(ISERROR(IF(DL9="","",VLOOKUP(($AY9&amp;DL9&amp;"Template de desconto percentual Bundle - Velox XDSL - Varejo"),[1]BENEFICIOS!$A:$E,5,0))),"Criar",IF(DL9="","",VLOOKUP(($AY9&amp;DL9&amp;"Template de desconto percentual Bundle - Velox XDSL - Varejo"),[1]BENEFICIOS!$A:$E,5,0)))</f>
        <v/>
      </c>
      <c r="DN9" s="193"/>
      <c r="DO9" s="194"/>
      <c r="DP9" s="127" t="str">
        <f>IF(DO9=0,"",IF(DO9=VLOOKUP("PCS-30793g",[1]ARBOR!$A:$C,3,0),0.0001,IF(DO9&gt;VLOOKUP("PCS-30793g",[1]ARBOR!$A:$C,3,0),"Maior que CAP!",IF((DOLLAR(DO9+(VLOOKUP("PCS-30793g",[1]ARBOR!$A:$C,3,0)*-TRUNC(DO9/VLOOKUP("PCS-30793g",[1]ARBOR!$A:$C,3,0)-1,4)),6))&lt;&gt;(DOLLAR(VLOOKUP("PCS-30793g",[1]ARBOR!$A:$C,3,0),6)),-TRUNC(DO9/VLOOKUP("PCS-30793g",[1]ARBOR!$A:$C,3,0)-1,4)+0.0001,-TRUNC(DO9/VLOOKUP("PCS-30793g",[1]ARBOR!$A:$C,3,0)-1,4)))))</f>
        <v/>
      </c>
      <c r="DQ9" s="195" t="str">
        <f>IF(ISERROR(IF(DP9="","",VLOOKUP(($AY9&amp;DP9&amp;"Template de desconto FLAT bundle - Velox XDSL - Varejo"),[1]BENEFICIOS!$A:$E,5,0))),"Criar",IF(DP9="","",VLOOKUP(($AY9&amp;DP9&amp;"Template de desconto FLAT bundle - Velox XDSL - Varejo"),[1]BENEFICIOS!$A:$E,5,0)))</f>
        <v/>
      </c>
      <c r="DR9" s="196"/>
      <c r="DS9" s="197"/>
      <c r="DT9" s="127" t="str">
        <f>IF(DR9=0,"",IF(DR9=VLOOKUP("PCS-30793g",[1]ARBOR!$A:$C,3,0),0.0001,IF(DR9&gt;VLOOKUP("PCS-30793g",[1]ARBOR!$A:$C,3,0),"Maior que CAP!",IF((DOLLAR(DR9+(VLOOKUP("PCS-30793g",[1]ARBOR!$A:$C,3,0)*-TRUNC(DR9/VLOOKUP("PCS-30793g",[1]ARBOR!$A:$C,3,0)-1,4)),6))&lt;&gt;(DOLLAR(VLOOKUP("PCS-30793g",[1]ARBOR!$A:$C,3,0),6)),(-TRUNC(DR9/VLOOKUP("PCS-30793g",[1]ARBOR!$A:$C,3,0)-1,4)+0.0001)-DP9,-TRUNC(DR9/VLOOKUP("PCS-30793g",[1]ARBOR!$A:$C,3,0)-1,4)-DP9))))</f>
        <v/>
      </c>
      <c r="DU9" s="189" t="str">
        <f>IF(ISERROR(IF(DT9="","",VLOOKUP(($AY9&amp;DT9&amp;"Template de desconto percentual Bundle - Velox XDSL - Varejo"),[1]BENEFICIOS!$A:$E,5,0))),"Criar",IF(DT9="","",VLOOKUP(($AY9&amp;DT9&amp;"Template de desconto percentual Bundle - Velox XDSL - Varejo"),[1]BENEFICIOS!$A:$E,5,0)))</f>
        <v/>
      </c>
      <c r="DV9" s="193"/>
      <c r="DW9" s="194"/>
      <c r="DX9" s="127" t="str">
        <f>IF(DW9=0,"",IF(DW9=VLOOKUP("PCS-30820g",[1]ARBOR!$A:$C,3,0),0.0001,IF(DW9&gt;VLOOKUP("PCS-30820g",[1]ARBOR!$A:$C,3,0),"Maior que CAP!",IF((DOLLAR(DW9+(VLOOKUP("PCS-30820g",[1]ARBOR!$A:$C,3,0)*-TRUNC(DW9/VLOOKUP("PCS-30820g",[1]ARBOR!$A:$C,3,0)-1,4)),6))&lt;&gt;(DOLLAR(VLOOKUP("PCS-30820g",[1]ARBOR!$A:$C,3,0),6)),-TRUNC(DW9/VLOOKUP("PCS-30820g",[1]ARBOR!$A:$C,3,0)-1,4)+0.0001,-TRUNC(DW9/VLOOKUP("PCS-30820g",[1]ARBOR!$A:$C,3,0)-1,4)))))</f>
        <v/>
      </c>
      <c r="DY9" s="195" t="str">
        <f>IF(ISERROR(IF(DX9="","",VLOOKUP(($AY9&amp;DX9&amp;"Template de desconto FLAT bundle - Velox XDSL - Varejo"),[1]BENEFICIOS!$A:$E,5,0))),"Criar",IF(DX9="","",VLOOKUP(($AY9&amp;DX9&amp;"Template de desconto FLAT bundle - Velox XDSL - Varejo"),[1]BENEFICIOS!$A:$E,5,0)))</f>
        <v/>
      </c>
      <c r="DZ9" s="196"/>
      <c r="EA9" s="197"/>
      <c r="EB9" s="127" t="str">
        <f>IF(DZ9=0,"",IF(DZ9=VLOOKUP("PCS-30820g",[1]ARBOR!$A:$C,3,0),0.0001,IF(DZ9&gt;VLOOKUP("PCS-30820g",[1]ARBOR!$A:$C,3,0),"Maior que CAP!",IF((DOLLAR(DZ9+(VLOOKUP("PCS-30820g",[1]ARBOR!$A:$C,3,0)*-TRUNC(DZ9/VLOOKUP("PCS-30820g",[1]ARBOR!$A:$C,3,0)-1,4)),6))&lt;&gt;(DOLLAR(VLOOKUP("PCS-30820g",[1]ARBOR!$A:$C,3,0),6)),(-TRUNC(DZ9/VLOOKUP("PCS-30820g",[1]ARBOR!$A:$C,3,0)-1,4)+0.0001)-DX9,-TRUNC(DZ9/VLOOKUP("PCS-30820g",[1]ARBOR!$A:$C,3,0)-1,4)-DX9))))</f>
        <v/>
      </c>
      <c r="EC9" s="189" t="str">
        <f>IF(ISERROR(IF(EB9="","",VLOOKUP(($AY9&amp;EB9&amp;"Template de desconto percentual Bundle - Velox XDSL - Varejo"),[1]BENEFICIOS!$A:$E,5,0))),"Criar",IF(EB9="","",VLOOKUP(($AY9&amp;EB9&amp;"Template de desconto percentual Bundle - Velox XDSL - Varejo"),[1]BENEFICIOS!$A:$E,5,0)))</f>
        <v/>
      </c>
      <c r="ED9" s="198"/>
      <c r="EE9" s="127" t="str">
        <f>IF(ED9=0,"",IF(ED9=VLOOKUP("PCS-21448p2",[1]ARBOR!$A:$C,3,0),0.0001,IF(ED9&gt;VLOOKUP("PCS-21448p2",[1]ARBOR!$A:$C,3,0),"Maior que CAP!",IF((DOLLAR(ED9+(VLOOKUP("PCS-21448p2",[1]ARBOR!$A:$C,3,0)*-TRUNC(ED9/VLOOKUP("PCS-21448p2",[1]ARBOR!$A:$C,3,0)-1,4)),6))&lt;&gt;(DOLLAR(VLOOKUP("PCS-21448p2",[1]ARBOR!$A:$C,3,0),6)),-TRUNC(ED9/VLOOKUP("PCS-21448p2",[1]ARBOR!$A:$C,3,0)-1,4)+0.0001,-TRUNC(ED9/VLOOKUP("PCS-21448p2",[1]ARBOR!$A:$C,3,0)-1,4)))))</f>
        <v/>
      </c>
      <c r="EF9" s="127" t="str">
        <f>IF(ISERROR(IF(EE9="","",VLOOKUP(("Oi Conta Total Plug 10GB Downgrade"&amp;EE9&amp;"Template de desconto percentual BL Móvel - Internet Total - Varejo"),[1]BENEFICIOS!$A:$E,5,0))),"Criar",IF(EE9="","",VLOOKUP(("Oi Conta Total Plug 10GB Downgrade"&amp;EE9&amp;"Template de desconto percentual BL Móvel - Internet Total - Varejo"),[1]BENEFICIOS!$A:$E,5,0)))</f>
        <v/>
      </c>
      <c r="EG9" s="199">
        <v>19.899999999999999</v>
      </c>
      <c r="EH9" s="200">
        <f>IF(EG9=0,"",IF(EG9=VLOOKUP("SVA",[1]ARBOR!$A:$C,3,0),0.0001,IF(EG9&gt;VLOOKUP("SVA",[1]ARBOR!$A:$C,3,0),"Maior que CAP!",IF((DOLLAR(EG9+(VLOOKUP("SVA",[1]ARBOR!$A:$C,3,0)*-TRUNC(EG9/VLOOKUP("SVA",[1]ARBOR!$A:$C,3,0)-1,4)),6))&lt;&gt;(DOLLAR(VLOOKUP("SVA",[1]ARBOR!$A:$C,3,0),6)),-TRUNC(EG9/VLOOKUP("SVA",[1]ARBOR!$A:$C,3,0)-1,4)+0.0001,-TRUNC(EG9/VLOOKUP("SVA",[1]ARBOR!$A:$C,3,0)-1,4)))))</f>
        <v>7.1400000000000005E-2</v>
      </c>
      <c r="EI9" s="200" t="s">
        <v>199</v>
      </c>
      <c r="EJ9" s="201"/>
      <c r="EK9" s="202"/>
      <c r="EL9" s="203" t="str">
        <f t="shared" si="3"/>
        <v/>
      </c>
      <c r="EM9" s="200" t="str">
        <f>IF(EL9="S/Desc","S/Desc",IF(ISERROR(IF(EL9="","",VLOOKUP(($BX9&amp;EL9&amp;"Template Desc. % sobre Serviço SVA B2C"),[1]BENEFICIOS!$A:$G,5,0))),"Criar",IF(EL9="","",VLOOKUP(($BX9&amp;EL9&amp;"Template Desc. % sobre Serviço SVA B2C"),[1]BENEFICIOS!$A:$G,5,0))))</f>
        <v/>
      </c>
      <c r="EN9" s="129">
        <v>84.9</v>
      </c>
      <c r="EO9" s="127">
        <f>IF(EN9=0,"",IF(EN9=VLOOKUP("PCS-OzTL40",[1]ARBOR!$A:$C,3,0),0.0001,IF(EN9&gt;VLOOKUP("PCS-OzTL40",[1]ARBOR!$A:$C,3,0),"Maior que CAP!",IF((DOLLAR(EN9+(VLOOKUP("PCS-OzTL40",[1]ARBOR!$A:$C,3,0)*-TRUNC(EN9/VLOOKUP("PCS-OzTL40",[1]ARBOR!$A:$C,3,0)-1,4)),6))&lt;&gt;(DOLLAR(VLOOKUP("PCS-OzTL40",[1]ARBOR!$A:$C,3,0),6)),-TRUNC(EN9/VLOOKUP("PCS-OzTL40",[1]ARBOR!$A:$C,3,0)-1,4)+0.0001,-TRUNC(EN9/VLOOKUP("PCS-OzTL40",[1]ARBOR!$A:$C,3,0)-1,4)))))</f>
        <v>0.14249999999999999</v>
      </c>
      <c r="EP9" s="189" t="str">
        <f>IF(ISERROR(IF(EO9="","",VLOOKUP(($AY9&amp;EO9&amp;"Template desconto FLAT Plano Principal Oi TV nível conta"),[1]BENEFICIOS!$A:$G,5,0))),"Criar",IF(EO9="","",VLOOKUP(($AY9&amp;EO9&amp;"Template desconto FLAT Plano Principal Oi TV nível conta"),[1]BENEFICIOS!$A:$G,5,0)))</f>
        <v>MKT-1-10140955511</v>
      </c>
      <c r="EQ9" s="129"/>
      <c r="ER9" s="127" t="str">
        <f>IF(EQ9=0,"",IF(EQ9=VLOOKUP("PCS-OzTL41",[1]ARBOR!$A:$C,3,0),0.0001,IF(EQ9&gt;VLOOKUP("PCS-OzTL41",[1]ARBOR!$A:$C,3,0),"Maior que CAP!",IF((DOLLAR(EQ9+(VLOOKUP("PCS-OzTL41",[1]ARBOR!$A:$C,3,0)*-TRUNC(EQ9/VLOOKUP("PCS-OzTL41",[1]ARBOR!$A:$C,3,0)-1,4)),6))&lt;&gt;(DOLLAR(VLOOKUP("PCS-OzTL41",[1]ARBOR!$A:$C,3,0),6)),-TRUNC(EQ9/VLOOKUP("PCS-OzTL41",[1]ARBOR!$A:$C,3,0)-1,4)+0.0001,-TRUNC(EQ9/VLOOKUP("PCS-OzTL41",[1]ARBOR!$A:$C,3,0)-1,4)))))</f>
        <v/>
      </c>
      <c r="ES9" s="204" t="str">
        <f>IF(ISERROR(IF(ER9="","",VLOOKUP(($AY9&amp;ER9&amp;"Template desconto FLAT Plano Principal Oi TV nível conta"),[1]BENEFICIOS!$A:$G,5,0))),"Criar",IF(ER9="","",VLOOKUP(($AY9&amp;ER9&amp;"Template desconto FLAT Plano Principal Oi TV nível conta"),[1]BENEFICIOS!$A:$G,5,0)))</f>
        <v/>
      </c>
      <c r="ET9" s="129"/>
      <c r="EU9" s="127" t="str">
        <f>IF(ET9=0,"",IF(ET9=VLOOKUP("PCS-OzTL44",[1]ARBOR!$A:$C,3,0),0.0001,IF(ET9&gt;VLOOKUP("PCS-OzTL44",[1]ARBOR!$A:$C,3,0),"Maior que CAP!",IF((DOLLAR(ET9+(VLOOKUP("PCS-OzTL44",[1]ARBOR!$A:$C,3,0)*-TRUNC(ET9/VLOOKUP("PCS-OzTL44",[1]ARBOR!$A:$C,3,0)-1,4)),6))&lt;&gt;(DOLLAR(VLOOKUP("PCS-OzTL44",[1]ARBOR!$A:$C,3,0),6)),-TRUNC(ET9/VLOOKUP("PCS-OzTL44",[1]ARBOR!$A:$C,3,0)-1,4)+0.0001,-TRUNC(ET9/VLOOKUP("PCS-OzTL44",[1]ARBOR!$A:$C,3,0)-1,4)))))</f>
        <v/>
      </c>
      <c r="EV9" s="204" t="str">
        <f>IF(ISERROR(IF(EU9="","",VLOOKUP(($AY9&amp;EU9&amp;"Template desconto FLAT Plano Principal Oi TV nível conta"),[1]BENEFICIOS!$A:$G,5,0))),"Criar",IF(EU9="","",VLOOKUP(($AY9&amp;EU9&amp;"Template desconto FLAT Plano Principal Oi TV nível conta"),[1]BENEFICIOS!$A:$G,5,0)))</f>
        <v/>
      </c>
      <c r="EW9" s="129"/>
      <c r="EX9" s="127" t="str">
        <f>IF(EW9=0,"",IF(EW9=VLOOKUP("PCS-OzTL43",[1]ARBOR!$A:$C,3,0),0.0001,IF(EW9&gt;VLOOKUP("PCS-OzTL43",[1]ARBOR!$A:$C,3,0),"Maior que CAP!",IF((DOLLAR(EW9+(VLOOKUP("PCS-OzTL43",[1]ARBOR!$A:$C,3,0)*-TRUNC(EW9/VLOOKUP("PCS-OzTL43",[1]ARBOR!$A:$C,3,0)-1,4)),6))&lt;&gt;(DOLLAR(VLOOKUP("PCS-OzTL43",[1]ARBOR!$A:$C,3,0),6)),-TRUNC(EW9/VLOOKUP("PCS-OzTL43",[1]ARBOR!$A:$C,3,0)-1,4)+0.0001,-TRUNC(EW9/VLOOKUP("PCS-OzTL43",[1]ARBOR!$A:$C,3,0)-1,4)))))</f>
        <v/>
      </c>
      <c r="EY9" s="204" t="str">
        <f>IF(ISERROR(IF(EX9="","",VLOOKUP(($AY9&amp;EX9&amp;"Template desconto FLAT Plano Principal Oi TV nível conta"),[1]BENEFICIOS!$A:$G,5,0))),"Criar",IF(EX9="","",VLOOKUP(($AY9&amp;EX9&amp;"Template desconto FLAT Plano Principal Oi TV nível conta"),[1]BENEFICIOS!$A:$G,5,0)))</f>
        <v/>
      </c>
      <c r="EZ9" s="129"/>
      <c r="FA9" s="127" t="str">
        <f>IF(EZ9=0,"",IF(EZ9=VLOOKUP("PCS-OzTL45",[1]ARBOR!$A:$C,3,0),0.0001,IF(EZ9&gt;VLOOKUP("PCS-OzTL45",[1]ARBOR!$A:$C,3,0),"Maior que CAP!",IF((DOLLAR(EZ9+(VLOOKUP("PCS-OzTL45",[1]ARBOR!$A:$C,3,0)*-TRUNC(EZ9/VLOOKUP("PCS-OzTL45",[1]ARBOR!$A:$C,3,0)-1,4)),6))&lt;&gt;(DOLLAR(VLOOKUP("PCS-OzTL45",[1]ARBOR!$A:$C,3,0),6)),-TRUNC(EZ9/VLOOKUP("PCS-OzTL45",[1]ARBOR!$A:$C,3,0)-1,4)+0.0001,-TRUNC(EZ9/VLOOKUP("PCS-OzTL45",[1]ARBOR!$A:$C,3,0)-1,4)))))</f>
        <v/>
      </c>
      <c r="FB9" s="204" t="str">
        <f>IF(ISERROR(IF(FA9="","",VLOOKUP(($AY9&amp;FA9&amp;"Template desconto FLAT Plano Principal Oi TV nível conta"),[1]BENEFICIOS!$A:$G,5,0))),"Criar",IF(FA9="","",VLOOKUP(($AY9&amp;FA9&amp;"Template desconto FLAT Plano Principal Oi TV nível conta"),[1]BENEFICIOS!$A:$G,5,0)))</f>
        <v/>
      </c>
      <c r="FC9" s="129"/>
      <c r="FD9" s="127" t="str">
        <f>IF(FC9=0,"",IF(FC9=VLOOKUP("PCS-OzTL741",[1]ARBOR!$A:$C,3,0),0.0001,IF(FC9&gt;VLOOKUP("PCS-OzTL741",[1]ARBOR!$A:$C,3,0),"Maior que CAP!",IF((DOLLAR(FC9+(VLOOKUP("PCS-OzTL741",[1]ARBOR!$A:$C,3,0)*-TRUNC(FC9/VLOOKUP("PCS-OzTL741",[1]ARBOR!$A:$C,3,0)-1,4)),6))&lt;&gt;(DOLLAR(VLOOKUP("PCS-OzTL741",[1]ARBOR!$A:$C,3,0),6)),-TRUNC(FC9/VLOOKUP("PCS-OzTL741",[1]ARBOR!$A:$C,3,0)-1,4)+0.0001,-TRUNC(FC9/VLOOKUP("PCS-OzTL741",[1]ARBOR!$A:$C,3,0)-1,4)))))</f>
        <v/>
      </c>
      <c r="FE9" s="204" t="str">
        <f>IF(ISERROR(IF(FD9="","",VLOOKUP(($AY9&amp;FD9&amp;"Template desconto FLAT Plano Principal Oi TV nível conta"),[1]BENEFICIOS!$A:$G,5,0))),"Criar",IF(FD9="","",VLOOKUP(($AY9&amp;FD9&amp;"Template desconto FLAT Plano Principal Oi TV nível conta"),[1]BENEFICIOS!$A:$G,5,0)))</f>
        <v/>
      </c>
      <c r="FF9" s="129"/>
      <c r="FG9" s="127" t="str">
        <f>IF(FF9=0,"",IF(FF9=VLOOKUP("PCS-OzTL744",[1]ARBOR!$A:$C,3,0),0.0001,IF(FF9&gt;VLOOKUP("PCS-OzTL744",[1]ARBOR!$A:$C,3,0),"Maior que CAP!",IF((DOLLAR(FF9+(VLOOKUP("PCS-OzTL744",[1]ARBOR!$A:$C,3,0)*-TRUNC(FF9/VLOOKUP("PCS-OzTL744",[1]ARBOR!$A:$C,3,0)-1,4)),6))&lt;&gt;(DOLLAR(VLOOKUP("PCS-OzTL744",[1]ARBOR!$A:$C,3,0),6)),-TRUNC(FF9/VLOOKUP("PCS-OzTL744",[1]ARBOR!$A:$C,3,0)-1,4)+0.0001,-TRUNC(FF9/VLOOKUP("PCS-OzTL744",[1]ARBOR!$A:$C,3,0)-1,4)))))</f>
        <v/>
      </c>
      <c r="FH9" s="204" t="str">
        <f>IF(ISERROR(IF(FG9="","",VLOOKUP(($AY9&amp;FG9&amp;"Template desconto FLAT Plano Principal Oi TV nível conta"),[1]BENEFICIOS!$A:$G,5,0))),"Criar",IF(FG9="","",VLOOKUP(($AY9&amp;FG9&amp;"Template desconto FLAT Plano Principal Oi TV nível conta"),[1]BENEFICIOS!$A:$G,5,0)))</f>
        <v/>
      </c>
      <c r="FI9" s="129"/>
      <c r="FJ9" s="127" t="str">
        <f>IF(FI9=0,"",IF(FI9=VLOOKUP("PCS-OzTL743",[1]ARBOR!$A:$C,3,0),0.0001,IF(FI9&gt;VLOOKUP("PCS-OzTL743",[1]ARBOR!$A:$C,3,0),"Maior que CAP!",IF((DOLLAR(FI9+(VLOOKUP("PCS-OzTL743",[1]ARBOR!$A:$C,3,0)*-TRUNC(FI9/VLOOKUP("PCS-OzTL743",[1]ARBOR!$A:$C,3,0)-1,4)),6))&lt;&gt;(DOLLAR(VLOOKUP("PCS-OzTL743",[1]ARBOR!$A:$C,3,0),6)),-TRUNC(FI9/VLOOKUP("PCS-OzTL743",[1]ARBOR!$A:$C,3,0)-1,4)+0.0001,-TRUNC(FI9/VLOOKUP("PCS-OzTL743",[1]ARBOR!$A:$C,3,0)-1,4)))))</f>
        <v/>
      </c>
      <c r="FK9" s="204" t="str">
        <f>IF(ISERROR(IF(FJ9="","",VLOOKUP(($AY9&amp;FJ9&amp;"Template desconto FLAT Plano Principal Oi TV nível conta"),[1]BENEFICIOS!$A:$G,5,0))),"Criar",IF(FJ9="","",VLOOKUP(($AY9&amp;FJ9&amp;"Template desconto FLAT Plano Principal Oi TV nível conta"),[1]BENEFICIOS!$A:$G,5,0)))</f>
        <v/>
      </c>
      <c r="FL9" s="129"/>
      <c r="FM9" s="127" t="str">
        <f>IF(FL9=0,"",IF(FL9=VLOOKUP("PCS-OzTL745",[1]ARBOR!$A:$C,3,0),0.0001,IF(FL9&gt;VLOOKUP("PCS-OzTL745",[1]ARBOR!$A:$C,3,0),"Maior que CAP!",IF((DOLLAR(FL9+(VLOOKUP("PCS-OzTL745",[1]ARBOR!$A:$C,3,0)*-TRUNC(FL9/VLOOKUP("PCS-OzTL745",[1]ARBOR!$A:$C,3,0)-1,4)),6))&lt;&gt;(DOLLAR(VLOOKUP("PCS-OzTL745",[1]ARBOR!$A:$C,3,0),6)),-TRUNC(FL9/VLOOKUP("PCS-OzTL745",[1]ARBOR!$A:$C,3,0)-1,4)+0.0001,-TRUNC(FL9/VLOOKUP("PCS-OzTL745",[1]ARBOR!$A:$C,3,0)-1,4)))))</f>
        <v/>
      </c>
      <c r="FN9" s="204" t="str">
        <f>IF(ISERROR(IF(FM9="","",VLOOKUP(($AY9&amp;FM9&amp;"Template desconto FLAT Plano Principal Oi TV nível conta"),[1]BENEFICIOS!$A:$G,5,0))),"Criar",IF(FM9="","",VLOOKUP(($AY9&amp;FM9&amp;"Template desconto FLAT Plano Principal Oi TV nível conta"),[1]BENEFICIOS!$A:$G,5,0)))</f>
        <v/>
      </c>
      <c r="FO9" s="129"/>
      <c r="FP9" s="127" t="str">
        <f>IF(FO9=0,"",IF(FO9=VLOOKUP("PCS-OzTL42",[1]ARBOR!$A:$C,3,0),0.0001,IF(FO9&gt;VLOOKUP("PCS-OzTL42",[1]ARBOR!$A:$C,3,0),"Maior que CAP!",IF((DOLLAR(FO9+(VLOOKUP("PCS-OzTL42",[1]ARBOR!$A:$C,3,0)*-TRUNC(FO9/VLOOKUP("PCS-OzTL42",[1]ARBOR!$A:$C,3,0)-1,4)),6))&lt;&gt;(DOLLAR(VLOOKUP("PCS-OzTL42",[1]ARBOR!$A:$C,3,0),6)),-TRUNC(FO9/VLOOKUP("PCS-OzTL42",[1]ARBOR!$A:$C,3,0)-1,4)+0.0001,-TRUNC(FO9/VLOOKUP("PCS-OzTL42",[1]ARBOR!$A:$C,3,0)-1,4)))))</f>
        <v/>
      </c>
      <c r="FQ9" s="204" t="str">
        <f>IF(ISERROR(IF(FP9="","",VLOOKUP(($AY9&amp;FP9&amp;"Template desconto FLAT Plano Principal Oi TV nível conta"),[1]BENEFICIOS!$A:$G,5,0))),"Criar",IF(FP9="","",VLOOKUP(($AY9&amp;FP9&amp;"Template desconto FLAT Plano Principal Oi TV nível conta"),[1]BENEFICIOS!$A:$G,5,0)))</f>
        <v/>
      </c>
      <c r="FR9" s="129"/>
      <c r="FS9" s="127" t="str">
        <f>IF(FR9=0,"",IF(FR9=VLOOKUP("PCS-OzTL47",[1]ARBOR!$A:$C,3,0),0.0001,IF(FR9&gt;VLOOKUP("PCS-OzTL47",[1]ARBOR!$A:$C,3,0),"Maior que CAP!",IF((DOLLAR(FR9+(VLOOKUP("PCS-OzTL47",[1]ARBOR!$A:$C,3,0)*-TRUNC(FR9/VLOOKUP("PCS-OzTL47",[1]ARBOR!$A:$C,3,0)-1,4)),6))&lt;&gt;(DOLLAR(VLOOKUP("PCS-OzTL47",[1]ARBOR!$A:$C,3,0),6)),-TRUNC(FR9/VLOOKUP("PCS-OzTL47",[1]ARBOR!$A:$C,3,0)-1,4)+0.0001,-TRUNC(FR9/VLOOKUP("PCS-OzTL47",[1]ARBOR!$A:$C,3,0)-1,4)))))</f>
        <v/>
      </c>
      <c r="FT9" s="204" t="str">
        <f>IF(ISERROR(IF(FS9="","",VLOOKUP(($AY9&amp;FS9&amp;"Template desconto FLAT Plano Principal Oi TV nível conta"),[1]BENEFICIOS!$A:$G,5,0))),"Criar",IF(FS9="","",VLOOKUP(($AY9&amp;FS9&amp;"Template desconto FLAT Plano Principal Oi TV nível conta"),[1]BENEFICIOS!$A:$G,5,0)))</f>
        <v/>
      </c>
      <c r="FU9" s="129"/>
      <c r="FV9" s="127" t="str">
        <f>IF(FU9=0,"",IF(FU9=VLOOKUP("PCS-OzTL46",[1]ARBOR!$A:$C,3,0),0.0001,IF(FU9&gt;VLOOKUP("PCS-OzTL46",[1]ARBOR!$A:$C,3,0),"Maior que CAP!",IF((DOLLAR(FU9+(VLOOKUP("PCS-OzTL46",[1]ARBOR!$A:$C,3,0)*-TRUNC(FU9/VLOOKUP("PCS-OzTL46",[1]ARBOR!$A:$C,3,0)-1,4)),6))&lt;&gt;(DOLLAR(VLOOKUP("PCS-OzTL46",[1]ARBOR!$A:$C,3,0),6)),-TRUNC(FU9/VLOOKUP("PCS-OzTL46",[1]ARBOR!$A:$C,3,0)-1,4)+0.0001,-TRUNC(FU9/VLOOKUP("PCS-OzTL46",[1]ARBOR!$A:$C,3,0)-1,4)))))</f>
        <v/>
      </c>
      <c r="FW9" s="204" t="str">
        <f>IF(ISERROR(IF(FV9="","",VLOOKUP(($AY9&amp;FV9&amp;"Template desconto FLAT Plano Principal Oi TV nível conta"),[1]BENEFICIOS!$A:$G,5,0))),"Criar",IF(FV9="","",VLOOKUP(($AY9&amp;FV9&amp;"Template desconto FLAT Plano Principal Oi TV nível conta"),[1]BENEFICIOS!$A:$G,5,0)))</f>
        <v/>
      </c>
      <c r="FX9" s="129"/>
      <c r="FY9" s="127" t="str">
        <f>IF(FX9=0,"",IF(FX9=VLOOKUP("PCS-OzTL48",[1]ARBOR!$A:$C,3,0),0.0001,IF(FX9&gt;VLOOKUP("PCS-OzTL48",[1]ARBOR!$A:$C,3,0),"Maior que CAP!",IF((DOLLAR(FX9+(VLOOKUP("PCS-OzTL48",[1]ARBOR!$A:$C,3,0)*-TRUNC(FX9/VLOOKUP("PCS-OzTL48",[1]ARBOR!$A:$C,3,0)-1,4)),6))&lt;&gt;(DOLLAR(VLOOKUP("PCS-OzTL48",[1]ARBOR!$A:$C,3,0),6)),-TRUNC(FX9/VLOOKUP("PCS-OzTL48",[1]ARBOR!$A:$C,3,0)-1,4)+0.0001,-TRUNC(FX9/VLOOKUP("PCS-OzTL48",[1]ARBOR!$A:$C,3,0)-1,4)))))</f>
        <v/>
      </c>
      <c r="FZ9" s="204" t="str">
        <f>IF(ISERROR(IF(FY9="","",VLOOKUP(($AY9&amp;FY9&amp;"Template desconto FLAT Plano Principal Oi TV nível conta"),[1]BENEFICIOS!$A:$G,5,0))),"Criar",IF(FY9="","",VLOOKUP(($AY9&amp;FY9&amp;"Template desconto FLAT Plano Principal Oi TV nível conta"),[1]BENEFICIOS!$A:$G,5,0)))</f>
        <v/>
      </c>
      <c r="GA9" s="129"/>
      <c r="GB9" s="127" t="str">
        <f>IF(GA9=0,"",IF(GA9=VLOOKUP("PCS-OzTL742",[1]ARBOR!$A:$C,3,0),0.0001,IF(GA9&gt;VLOOKUP("PCS-OzTL742",[1]ARBOR!$A:$C,3,0),"Maior que CAP!",IF((DOLLAR(GA9+(VLOOKUP("PCS-OzTL742",[1]ARBOR!$A:$C,3,0)*-TRUNC(GA9/VLOOKUP("PCS-OzTL742",[1]ARBOR!$A:$C,3,0)-1,4)),6))&lt;&gt;(DOLLAR(VLOOKUP("PCS-OzTL742",[1]ARBOR!$A:$C,3,0),6)),-TRUNC(GA9/VLOOKUP("PCS-OzTL742",[1]ARBOR!$A:$C,3,0)-1,4)+0.0001,-TRUNC(GA9/VLOOKUP("PCS-OzTL742",[1]ARBOR!$A:$C,3,0)-1,4)))))</f>
        <v/>
      </c>
      <c r="GC9" s="204" t="str">
        <f>IF(ISERROR(IF(GB9="","",VLOOKUP(($AY9&amp;GB9&amp;"Template desconto FLAT Plano Principal Oi TV nível conta"),[1]BENEFICIOS!$A:$G,5,0))),"Criar",IF(GB9="","",VLOOKUP(($AY9&amp;GB9&amp;"Template desconto FLAT Plano Principal Oi TV nível conta"),[1]BENEFICIOS!$A:$G,5,0)))</f>
        <v/>
      </c>
      <c r="GD9" s="129"/>
      <c r="GE9" s="127" t="str">
        <f>IF(GD9=0,"",IF(GD9=VLOOKUP("PCS-OzTL747",[1]ARBOR!$A:$C,3,0),0.0001,IF(GD9&gt;VLOOKUP("PCS-OzTL747",[1]ARBOR!$A:$C,3,0),"Maior que CAP!",IF((DOLLAR(GD9+(VLOOKUP("PCS-OzTL747",[1]ARBOR!$A:$C,3,0)*-TRUNC(GD9/VLOOKUP("PCS-OzTL747",[1]ARBOR!$A:$C,3,0)-1,4)),6))&lt;&gt;(DOLLAR(VLOOKUP("PCS-OzTL747",[1]ARBOR!$A:$C,3,0),6)),-TRUNC(GD9/VLOOKUP("PCS-OzTL747",[1]ARBOR!$A:$C,3,0)-1,4)+0.0001,-TRUNC(GD9/VLOOKUP("PCS-OzTL747",[1]ARBOR!$A:$C,3,0)-1,4)))))</f>
        <v/>
      </c>
      <c r="GF9" s="204" t="str">
        <f>IF(ISERROR(IF(GE9="","",VLOOKUP(($AY9&amp;GE9&amp;"Template desconto FLAT Plano Principal Oi TV nível conta"),[1]BENEFICIOS!$A:$G,5,0))),"Criar",IF(GE9="","",VLOOKUP(($AY9&amp;GE9&amp;"Template desconto FLAT Plano Principal Oi TV nível conta"),[1]BENEFICIOS!$A:$G,5,0)))</f>
        <v/>
      </c>
      <c r="GG9" s="129"/>
      <c r="GH9" s="127" t="str">
        <f>IF(GG9=0,"",IF(GG9=VLOOKUP("PCS-OzTL746",[1]ARBOR!$A:$C,3,0),0.0001,IF(GG9&gt;VLOOKUP("PCS-OzTL746",[1]ARBOR!$A:$C,3,0),"Maior que CAP!",IF((DOLLAR(GG9+(VLOOKUP("PCS-OzTL746",[1]ARBOR!$A:$C,3,0)*-TRUNC(GG9/VLOOKUP("PCS-OzTL746",[1]ARBOR!$A:$C,3,0)-1,4)),6))&lt;&gt;(DOLLAR(VLOOKUP("PCS-OzTL746",[1]ARBOR!$A:$C,3,0),6)),-TRUNC(GG9/VLOOKUP("PCS-OzTL746",[1]ARBOR!$A:$C,3,0)-1,4)+0.0001,-TRUNC(GG9/VLOOKUP("PCS-OzTL746",[1]ARBOR!$A:$C,3,0)-1,4)))))</f>
        <v/>
      </c>
      <c r="GI9" s="204" t="str">
        <f>IF(ISERROR(IF(GH9="","",VLOOKUP(($AY9&amp;GH9&amp;"Template desconto FLAT Plano Principal Oi TV nível conta"),[1]BENEFICIOS!$A:$G,5,0))),"Criar",IF(GH9="","",VLOOKUP(($AY9&amp;GH9&amp;"Template desconto FLAT Plano Principal Oi TV nível conta"),[1]BENEFICIOS!$A:$G,5,0)))</f>
        <v/>
      </c>
      <c r="GJ9" s="129"/>
      <c r="GK9" s="127" t="str">
        <f>IF(GJ9=0,"",IF(GJ9=VLOOKUP("PCS-OzTL748",[1]ARBOR!$A:$C,3,0),0.0001,IF(GJ9&gt;VLOOKUP("PCS-OzTL748",[1]ARBOR!$A:$C,3,0),"Maior que CAP!",IF((DOLLAR(GJ9+(VLOOKUP("PCS-OzTL748",[1]ARBOR!$A:$C,3,0)*-TRUNC(GJ9/VLOOKUP("PCS-OzTL748",[1]ARBOR!$A:$C,3,0)-1,4)),6))&lt;&gt;(DOLLAR(VLOOKUP("PCS-OzTL748",[1]ARBOR!$A:$C,3,0),6)),-TRUNC(GJ9/VLOOKUP("PCS-OzTL748",[1]ARBOR!$A:$C,3,0)-1,4)+0.0001,-TRUNC(GJ9/VLOOKUP("PCS-OzTL748",[1]ARBOR!$A:$C,3,0)-1,4)))))</f>
        <v/>
      </c>
      <c r="GL9" s="204" t="str">
        <f>IF(ISERROR(IF(GK9="","",VLOOKUP(($AY9&amp;GK9&amp;"Template desconto FLAT Plano Principal Oi TV nível conta"),[1]BENEFICIOS!$A:$G,5,0))),"Criar",IF(GK9="","",VLOOKUP(($AY9&amp;GK9&amp;"Template desconto FLAT Plano Principal Oi TV nível conta"),[1]BENEFICIOS!$A:$G,5,0)))</f>
        <v/>
      </c>
      <c r="GM9" s="129">
        <v>75</v>
      </c>
      <c r="GN9" s="127">
        <f>IF(GM9=0,"",IF(GM9=VLOOKUP("PCS-OzTL34",[1]ARBOR!$A:$C,3,0),0.0001,IF(GM9&gt;VLOOKUP("PCS-OzTL34",[1]ARBOR!$A:$C,3,0),"Maior que CAP!",IF((DOLLAR(GM9+(VLOOKUP("PCS-OzTL34",[1]ARBOR!$A:$C,3,0)*-TRUNC(GM9/VLOOKUP("PCS-OzTL34",[1]ARBOR!$A:$C,3,0)-1,4)),6))&lt;&gt;(DOLLAR(VLOOKUP("PCS-OzTL34",[1]ARBOR!$A:$C,3,0),6)),-TRUNC(GM9/VLOOKUP("PCS-OzTL34",[1]ARBOR!$A:$C,3,0)-1,4)+0.0001,-TRUNC(GM9/VLOOKUP("PCS-OzTL34",[1]ARBOR!$A:$C,3,0)-1,4)))))</f>
        <v>0.31900000000000001</v>
      </c>
      <c r="GO9" s="204" t="s">
        <v>161</v>
      </c>
      <c r="GP9" s="129">
        <v>19.899999999999999</v>
      </c>
      <c r="GQ9" s="127">
        <f>IF(GP9=0,"",IF(GP9=VLOOKUP("PCS-OzTL31",[1]ARBOR!$A:$C,3,0),0.0001,IF(GP9&gt;VLOOKUP("PCS-OzTL31",[1]ARBOR!$A:$C,3,0),"Maior que CAP!",IF((DOLLAR(GP9+(VLOOKUP("PCS-OzTL31",[1]ARBOR!$A:$C,3,0)*-TRUNC(GP9/VLOOKUP("PCS-OzTL31",[1]ARBOR!$A:$C,3,0)-1,4)),6))&lt;&gt;(DOLLAR(VLOOKUP("PCS-OzTL31",[1]ARBOR!$A:$C,3,0),6)),-TRUNC(GP9/VLOOKUP("PCS-OzTL31",[1]ARBOR!$A:$C,3,0)-1,4)+0.0001,-TRUNC(GP9/VLOOKUP("PCS-OzTL31",[1]ARBOR!$A:$C,3,0)-1,4)))))</f>
        <v>9.1800000000000007E-2</v>
      </c>
      <c r="GR9" s="204" t="s">
        <v>162</v>
      </c>
      <c r="GS9" s="129">
        <v>19.899999999999999</v>
      </c>
      <c r="GT9" s="127">
        <f>IF(GS9=0,"",IF(GS9=VLOOKUP("PCS-OzTL32",[1]ARBOR!$A:$C,3,0),0.0001,IF(GS9&gt;VLOOKUP("PCS-OzTL32",[1]ARBOR!$A:$C,3,0),"Maior que CAP!",IF((DOLLAR(GS9+(VLOOKUP("PCS-OzTL32",[1]ARBOR!$A:$C,3,0)*-TRUNC(GS9/VLOOKUP("PCS-OzTL32",[1]ARBOR!$A:$C,3,0)-1,4)),6))&lt;&gt;(DOLLAR(VLOOKUP("PCS-OzTL32",[1]ARBOR!$A:$C,3,0),6)),-TRUNC(GS9/VLOOKUP("PCS-OzTL32",[1]ARBOR!$A:$C,3,0)-1,4)+0.0001,-TRUNC(GS9/VLOOKUP("PCS-OzTL32",[1]ARBOR!$A:$C,3,0)-1,4)))))</f>
        <v>9.1800000000000007E-2</v>
      </c>
      <c r="GU9" s="204" t="s">
        <v>163</v>
      </c>
      <c r="GV9" s="129">
        <v>29.9</v>
      </c>
      <c r="GW9" s="127">
        <f>IF(GV9=0,"",IF(GV9=VLOOKUP("PCS-OzTL33",[1]ARBOR!$A:$C,3,0),0.0001,IF(GV9&gt;VLOOKUP("PCS-OzTL33",[1]ARBOR!$A:$C,3,0),"Maior que CAP!",IF((DOLLAR(GV9+(VLOOKUP("PCS-OzTL33",[1]ARBOR!$A:$C,3,0)*-TRUNC(GV9/VLOOKUP("PCS-OzTL33",[1]ARBOR!$A:$C,3,0)-1,4)),6))&lt;&gt;(DOLLAR(VLOOKUP("PCS-OzTL33",[1]ARBOR!$A:$C,3,0),6)),-TRUNC(GV9/VLOOKUP("PCS-OzTL33",[1]ARBOR!$A:$C,3,0)-1,4)+0.0001,-TRUNC(GV9/VLOOKUP("PCS-OzTL33",[1]ARBOR!$A:$C,3,0)-1,4)))))</f>
        <v>9.1800000000000007E-2</v>
      </c>
      <c r="GX9" s="204" t="s">
        <v>164</v>
      </c>
      <c r="GY9" s="129">
        <v>14.9</v>
      </c>
      <c r="GZ9" s="127">
        <f>IF(GY9=0,"",IF(GY9=VLOOKUP("PCS-OzTL503",[1]ARBOR!$A:$C,3,0),0.0001,IF(GY9&gt;VLOOKUP("PCS-OzTL503",[1]ARBOR!$A:$C,3,0),"Maior que CAP!",IF((DOLLAR(GY9+(VLOOKUP("PCS-OzTL503",[1]ARBOR!$A:$C,3,0)*-TRUNC(GY9/VLOOKUP("PCS-OzTL503",[1]ARBOR!$A:$C,3,0)-1,4)),6))&lt;&gt;(DOLLAR(VLOOKUP("PCS-OzTL503",[1]ARBOR!$A:$C,3,0),6)),-TRUNC(GY9/VLOOKUP("PCS-OzTL503",[1]ARBOR!$A:$C,3,0)-1,4)+0.0001,-TRUNC(GY9/VLOOKUP("PCS-OzTL503",[1]ARBOR!$A:$C,3,0)-1,4)))))</f>
        <v>9.1499999999999998E-2</v>
      </c>
      <c r="HA9" s="204" t="s">
        <v>165</v>
      </c>
      <c r="HB9" s="129">
        <v>10</v>
      </c>
      <c r="HC9" s="127">
        <f>IF(HB9=0,"",IF(HB9=VLOOKUP("PCS-OzTL500",[1]ARBOR!$A:$C,3,0),0.0001,IF(HB9&gt;VLOOKUP("PCS-OzTL500",[1]ARBOR!$A:$C,3,0),"Maior que CAP!",IF((DOLLAR(HB9+(VLOOKUP("PCS-OzTL500",[1]ARBOR!$A:$C,3,0)*-TRUNC(HB9/VLOOKUP("PCS-OzTL500",[1]ARBOR!$A:$C,3,0)-1,4)),6))&lt;&gt;(DOLLAR(VLOOKUP("PCS-OzTL500",[1]ARBOR!$A:$C,3,0),6)),-TRUNC(HB9/VLOOKUP("PCS-OzTL500",[1]ARBOR!$A:$C,3,0)-1,4)+0.0001,-TRUNC(HB9/VLOOKUP("PCS-OzTL500",[1]ARBOR!$A:$C,3,0)-1,4)))))</f>
        <v>9.1800000000000007E-2</v>
      </c>
      <c r="HD9" s="204" t="s">
        <v>166</v>
      </c>
      <c r="HE9" s="129" t="s">
        <v>167</v>
      </c>
      <c r="HF9" s="127"/>
      <c r="HG9" s="204"/>
      <c r="HH9" s="129" t="s">
        <v>168</v>
      </c>
      <c r="HI9" s="127"/>
      <c r="HJ9" s="204"/>
      <c r="HK9" s="129" t="s">
        <v>169</v>
      </c>
      <c r="HL9" s="127"/>
      <c r="HM9" s="204"/>
      <c r="HN9" s="129" t="s">
        <v>170</v>
      </c>
      <c r="HO9" s="127"/>
      <c r="HP9" s="204"/>
      <c r="HQ9" s="129" t="s">
        <v>171</v>
      </c>
      <c r="HR9" s="127"/>
      <c r="HS9" s="204"/>
      <c r="HT9" s="129">
        <v>24.9</v>
      </c>
      <c r="HU9" s="127">
        <f>IF(HT9=0,"",IF(HT9=VLOOKUP("PCS-OzTL99",[1]ARBOR!$A:$C,3,0),0.0001,IF(HT9&gt;VLOOKUP("PCS-OzTL99",[1]ARBOR!$A:$C,3,0),"Maior que CAP!",IF((DOLLAR(HT9+(VLOOKUP("PCS-OzTL99",[1]ARBOR!$A:$C,3,0)*-TRUNC(HT9/VLOOKUP("PCS-OzTL99",[1]ARBOR!$A:$C,3,0)-1,4)),6))&lt;&gt;(DOLLAR(VLOOKUP("PCS-OzTL99",[1]ARBOR!$A:$C,3,0),6)),-TRUNC(HT9/VLOOKUP("PCS-OzTL99",[1]ARBOR!$A:$C,3,0)-1,4)+0.0001,-TRUNC(HT9/VLOOKUP("PCS-OzTL99",[1]ARBOR!$A:$C,3,0)-1,4)))))</f>
        <v>0.16729999999999998</v>
      </c>
      <c r="HV9" s="205" t="s">
        <v>172</v>
      </c>
      <c r="HW9" s="196" t="s">
        <v>156</v>
      </c>
      <c r="HX9" s="204" t="str">
        <f t="shared" si="4"/>
        <v/>
      </c>
      <c r="HY9" s="206" t="str">
        <f>IFERROR((IF(AZ9="","",VLOOKUP(AZ9,[1]ARBOR!A:C,3,0))),"")</f>
        <v/>
      </c>
      <c r="HZ9" s="207"/>
      <c r="IA9" s="184" t="str">
        <f>IF(HZ9="","",ROUND(1-(HZ9/VLOOKUP(AZ9&amp;"ASS",[1]ARBOR!A:C,3,0)),4))</f>
        <v/>
      </c>
      <c r="IB9" s="184"/>
      <c r="IC9" s="208"/>
      <c r="ID9" s="209"/>
      <c r="IE9" s="127" t="str">
        <f>IF(ID9="","",ROUND(IF(ID9=0,"",IF(ID9=HY9,0.0001,1-((ID9+(VLOOKUP(AZ9&amp;"ASS",[1]ARBOR!A:C,3,0)-HZ9))/HY9))),4))</f>
        <v/>
      </c>
      <c r="IF9" s="127" t="str">
        <f>IF(ISERROR(IF(IE9="","",VLOOKUP(($AY9&amp;IE9&amp;"Template de desconto percentual FLAT Móvel - Conta Total - Varejo - Ganho Tributário Cross"),[1]BENEFICIOS!$A:$E,5,0))),"Criar",IF(IE9="","",VLOOKUP(($AY9&amp;IE9&amp;"Template de desconto percentual FLAT Móvel - Conta Total - Varejo - Ganho Tributário Cross"),[1]BENEFICIOS!$A:$E,5,0)))</f>
        <v/>
      </c>
      <c r="IG9" s="193"/>
      <c r="IH9" s="127"/>
      <c r="II9" s="210"/>
      <c r="IJ9" s="211"/>
      <c r="IK9" s="127"/>
      <c r="IL9" s="127"/>
      <c r="IM9" s="212"/>
      <c r="IN9" s="212"/>
      <c r="IO9" s="213"/>
      <c r="IP9" s="214" t="str">
        <f>IF(IO9=0,"",IF(IO9=VLOOKUP("PCS-813566",[1]ARBOR!$A:$C,3,0),0.0001,IF(IO9&gt;VLOOKUP("PCS-813566",[1]ARBOR!$A:$C,3,0),"Maior que CAP!",ROUND(-1*(IO9/VLOOKUP("PCS-813566",[1]ARBOR!$A:$C,3,0)-1),4))))</f>
        <v/>
      </c>
      <c r="IQ9" s="215" t="str">
        <f>IF(ISERROR(IF(IP9="","",VLOOKUP(("Oi Internet Pra Celular 300MB"&amp;IP9&amp;"Template Flat Instância Dados"),[1]BENEFICIOS!$A:$E,5,0))),"Criar",IF(IP9="","",VLOOKUP(("Oi Internet Pra Celular 300MB"&amp;IP9&amp;"Template Flat Instância Dados"),[1]BENEFICIOS!$A:$E,5,0)))</f>
        <v/>
      </c>
      <c r="IR9" s="216"/>
      <c r="IS9" s="217" t="str">
        <f>IF(IR9=0,"",IF(IR9=VLOOKUP("sva_bancas",[1]ARBOR!$A:$C,3,0),0.0001,IF(IR9&gt;VLOOKUP("sva_livros",[1]ARBOR!$A:$C,3,0),"Maior que CAP!",ROUND(-1*(IR9/VLOOKUP("sva_bancas",[1]ARBOR!$A:$C,3,0)-1),4))))</f>
        <v/>
      </c>
      <c r="IT9" s="218" t="str">
        <f>IF(ISERROR(IF(IS9="","",VLOOKUP(("Oi Internet Pra Celular 300MB"&amp;IS9&amp;"Template Desconto % SVA DADOS B2C"),[1]BENEFICIOS!$A:$E,5,0))),"Criar",IF(IS9="","",VLOOKUP(("Oi Internet Pra Celular 300MB"&amp;IS9&amp;"Template Desconto % SVA DADOS B2C"),[1]BENEFICIOS!$A:$E,5,0)))</f>
        <v/>
      </c>
      <c r="IU9" s="213"/>
      <c r="IV9" s="214" t="str">
        <f>IF(IU9=0,"",IF(IU9=VLOOKUP("PCS-813564",[1]ARBOR!$A:$C,3,0),0.0001,IF(IU9&gt;VLOOKUP("PCS-813564",[1]ARBOR!$A:$C,3,0),"Maior que CAP!",ROUND(-1*(IU9/VLOOKUP("PCS-813564",[1]ARBOR!$A:$C,3,0)-1),4))))</f>
        <v/>
      </c>
      <c r="IW9" s="215" t="str">
        <f>IF(ISERROR(IF(IV9="","",VLOOKUP(("Oi Internet Pra Celular 500MB"&amp;IV9&amp;"Template Flat Instância Dados"),[1]BENEFICIOS!$A:$E,5,0))),"Criar",IF(IV9="","",VLOOKUP(("Oi Internet Pra Celular 500MB"&amp;IV9&amp;"Template Flat Instância Dados"),[1]BENEFICIOS!$A:$E,5,0)))</f>
        <v/>
      </c>
      <c r="IX9" s="216"/>
      <c r="IY9" s="217" t="str">
        <f>IF(IX9=0,"",IF(IX9=VLOOKUP("sva_livros",[1]ARBOR!$A:$C,3,0),0.0001,IF(IX9&gt;VLOOKUP("sva_livros",[1]ARBOR!$A:$C,3,0),"Maior que CAP!",ROUND(-1*(IX9/VLOOKUP("sva_livros",[1]ARBOR!$A:$C,3,0)-1),4))))</f>
        <v/>
      </c>
      <c r="IZ9" s="218" t="str">
        <f>IF(ISERROR(IF(IY9="","",VLOOKUP(("Oi Internet Pra Celular 500MB"&amp;IY9&amp;"Template Desconto % SVA DADOS B2C"),[1]BENEFICIOS!$A:$E,5,0))),"Criar",IF(IY9="","",VLOOKUP(("Oi Internet Pra Celular 500MB"&amp;IY9&amp;"Template Desconto % SVA DADOS B2C"),[1]BENEFICIOS!$A:$E,5,0)))</f>
        <v/>
      </c>
      <c r="JA9" s="213"/>
      <c r="JB9" s="214" t="str">
        <f>IF(JA9=0,"",IF(JA9=VLOOKUP("PCS-10357",[1]ARBOR!$A:$C,3,0),0.0001,IF(JA9&gt;VLOOKUP("PCS-10357",[1]ARBOR!$A:$C,3,0),"Maior que CAP!",ROUND(-1*(JA9/VLOOKUP("PCS-10357",[1]ARBOR!$A:$C,3,0)-1),4))))</f>
        <v/>
      </c>
      <c r="JC9" s="215" t="str">
        <f>IF(ISERROR(IF(JB9="","",VLOOKUP(("Oi Internet Pra Celular 1GB"&amp;JB9&amp;"Template Flat Instância Dados"),[1]BENEFICIOS!$A:$E,5,0))),"Criar",IF(JB9="","",VLOOKUP(("Oi Internet Pra Celular 1GB"&amp;JB9&amp;"Template Flat Instância Dados"),[1]BENEFICIOS!$A:$E,5,0)))</f>
        <v/>
      </c>
      <c r="JD9" s="216"/>
      <c r="JE9" s="217" t="str">
        <f>IF(JD9=0,"",IF(JD9=VLOOKUP("sva_livros",[1]ARBOR!$A:$C,3,0),0.0001,IF(JD9&gt;VLOOKUP("sva_livros",[1]ARBOR!$A:$C,3,0),"Maior que CAP!",ROUND(-1*(JD9/VLOOKUP("sva_livros",[1]ARBOR!$A:$C,3,0)-1),4))))</f>
        <v/>
      </c>
      <c r="JF9" s="218" t="str">
        <f>IF(ISERROR(IF(JE9="","",VLOOKUP(("Oi Internet Pra Celular 1GB"&amp;JE9&amp;"Template Desconto % SVA DADOS B2C"),[1]BENEFICIOS!$A:$E,5,0))),"Criar",IF(JE9="","",VLOOKUP(("Oi Internet Pra Celular 1GB"&amp;JE9&amp;"Template Desconto % SVA DADOS B2C"),[1]BENEFICIOS!$A:$E,5,0)))</f>
        <v/>
      </c>
      <c r="JG9" s="213"/>
      <c r="JH9" s="214" t="str">
        <f>IF(JG9=0,"",IF(JG9=VLOOKUP("PCS-813565",[1]ARBOR!$A:$C,3,0),0.0001,IF(JG9&gt;VLOOKUP("PCS-813565",[1]ARBOR!$A:$C,3,0),"Maior que CAP!",ROUND(-1*(JG9/VLOOKUP("PCS-813565",[1]ARBOR!$A:$C,3,0)-1),4))))</f>
        <v/>
      </c>
      <c r="JI9" s="215" t="str">
        <f>IF(ISERROR(IF(JH9="","",VLOOKUP(("Oi Internet Pra Celular 2GB"&amp;JH9&amp;"Template Flat Instância Dados"),[1]BENEFICIOS!$A:$E,5,0))),"Criar",IF(JH9="","",VLOOKUP(("Oi Internet Pra Celular 2GB"&amp;JH9&amp;"Template Flat Instância Dados"),[1]BENEFICIOS!$A:$E,5,0)))</f>
        <v/>
      </c>
      <c r="JJ9" s="216"/>
      <c r="JK9" s="217" t="str">
        <f>IF(JJ9=0,"",IF(JJ9=VLOOKUP("sva_livros",[1]ARBOR!$A:$C,3,0),0.0001,IF(JJ9&gt;VLOOKUP("sva_livros",[1]ARBOR!$A:$C,3,0),"Maior que CAP!",ROUND(-1*(JJ9/VLOOKUP("sva_livros",[1]ARBOR!$A:$C,3,0)-1),4))))</f>
        <v/>
      </c>
      <c r="JL9" s="218" t="str">
        <f>IF(ISERROR(IF(JK9="","",VLOOKUP(("Oi Internet Pra Celular 2GB"&amp;JK9&amp;"Template Desconto % SVA DADOS B2C"),[1]BENEFICIOS!$A:$E,5,0))),"Criar",IF(JK9="","",VLOOKUP(("Oi Internet Pra Celular 2GB"&amp;JK9&amp;"Template Desconto % SVA DADOS B2C"),[1]BENEFICIOS!$A:$E,5,0)))</f>
        <v/>
      </c>
      <c r="JM9" s="213"/>
      <c r="JN9" s="214" t="str">
        <f>IF(JM9=0,"",IF(JM9=VLOOKUP("PCS-7171B",[1]ARBOR!$A:$C,3,0),0.0001,IF(JM9&gt;VLOOKUP("PCS-7171B",[1]ARBOR!$A:$C,3,0),"Maior que CAP!",ROUND(-1*(JM9/VLOOKUP("PCS-7171B",[1]ARBOR!$A:$C,3,0)-1),4))))</f>
        <v/>
      </c>
      <c r="JO9" s="215" t="str">
        <f>IF(ISERROR(IF(JN9="","",VLOOKUP(("Oi Internet Pra Celular 3GB"&amp;JN9&amp;"Template Flat Instância Dados"),[1]BENEFICIOS!$A:$E,5,0))),"Criar",IF(JN9="","",VLOOKUP(("Oi Internet Pra Celular 3GB"&amp;JN9&amp;"Template Flat Instância Dados"),[1]BENEFICIOS!$A:$E,5,0)))</f>
        <v/>
      </c>
      <c r="JP9" s="216"/>
      <c r="JQ9" s="217" t="str">
        <f>IF(JP9=0,"",IF(JP9=VLOOKUP("sva_livros",[1]ARBOR!$A:$C,3,0),0.0001,IF(JP9&gt;VLOOKUP("sva_livros",[1]ARBOR!$A:$C,3,0),"Maior que CAP!",ROUND(-1*(JP9/VLOOKUP("sva_livros",[1]ARBOR!$A:$C,3,0)-1),4))))</f>
        <v/>
      </c>
      <c r="JR9" s="218" t="str">
        <f>IF(ISERROR(IF(JQ9="","",VLOOKUP(("Oi Internet Pra Celular 3GB"&amp;JQ9&amp;"Template Desconto % SVA DADOS B2C"),[1]BENEFICIOS!$A:$E,5,0))),"Criar",IF(JQ9="","",VLOOKUP(("Oi Internet Pra Celular 3GB"&amp;JQ9&amp;"Template Desconto % SVA DADOS B2C"),[1]BENEFICIOS!$A:$E,5,0)))</f>
        <v/>
      </c>
      <c r="JS9" s="213"/>
      <c r="JT9" s="214" t="str">
        <f>IF(JS9=0,"",IF(JS9=VLOOKUP("PCS-51793o08",[1]ARBOR!$A:$C,3,0),0.0001,IF(JS9&gt;VLOOKUP("PCS-51793o08",[1]ARBOR!$A:$C,3,0),"Maior que CAP!",ROUND(-1*(JS9/VLOOKUP("PCS-51793o08",[1]ARBOR!$A:$C,3,0)-1),4))))</f>
        <v/>
      </c>
      <c r="JU9" s="215" t="str">
        <f>IF(ISERROR(IF(JT9="","",VLOOKUP(("Oi Internet Pra Celular 5GB"&amp;JT9&amp;"Template Flat Instância Dados"),[1]BENEFICIOS!$A:$E,5,0))),"Criar",IF(JT9="","",VLOOKUP(("Oi Internet Pra Celular 5GB"&amp;JT9&amp;"Template Flat Instância Dados"),[1]BENEFICIOS!$A:$E,5,0)))</f>
        <v/>
      </c>
      <c r="JV9" s="216"/>
      <c r="JW9" s="217" t="str">
        <f>IF(JV9=0,"",IF(JV9=VLOOKUP("sva_curtas",[1]ARBOR!$A:$C,3,0),0.0001,IF(JV9&gt;VLOOKUP("sva_curtas",[1]ARBOR!$A:$C,3,0),"Maior que CAP!",ROUND(-1*(JV9/VLOOKUP("sva_curtas",[1]ARBOR!$A:$C,3,0)-1),4))))</f>
        <v/>
      </c>
      <c r="JX9" s="218" t="str">
        <f>IF(ISERROR(IF(JW9="","",VLOOKUP(("Oi Internet Pra Celular 5GB"&amp;JW9&amp;"Template Desconto % SVA DADOS B2C"),[1]BENEFICIOS!$A:$E,5,0))),"Criar",IF(JW9="","",VLOOKUP(("Oi Internet Pra Celular 5GB"&amp;JW9&amp;"Template Desconto % SVA DADOS B2C"),[1]BENEFICIOS!$A:$E,5,0)))</f>
        <v/>
      </c>
      <c r="JY9" s="213"/>
      <c r="JZ9" s="214" t="str">
        <f>IF(JY9=0,"",IF(JY9=VLOOKUP("PCS-7171A",[1]ARBOR!$A:$C,3,0),0.0001,IF(JY9&gt;VLOOKUP("PCS-7171A",[1]ARBOR!$A:$C,3,0),"Maior que CAP!",ROUND(-1*(JY9/VLOOKUP("PCS-7171A",[1]ARBOR!$A:$C,3,0)-1),4))))</f>
        <v/>
      </c>
      <c r="KA9" s="219" t="str">
        <f>IF(ISERROR(IF(JZ9="","",VLOOKUP(("Oi Internet Pra Celular 10GB"&amp;JZ9&amp;"Template Flat Instância Dados"),[1]BENEFICIOS!$A:$E,5,0))),"Criar",IF(JZ9="","",VLOOKUP(("Oi Internet Pra Celular 10GB"&amp;JZ9&amp;"Template Flat Instância Dados"),[1]BENEFICIOS!$A:$E,5,0)))</f>
        <v/>
      </c>
      <c r="KB9" s="216"/>
      <c r="KC9" s="217" t="str">
        <f>IF(KB9=0,"",IF(KB9=VLOOKUP("sva_curtas",[1]ARBOR!$A:$C,3,0),0.0001,IF(KB9&gt;VLOOKUP("sva_curtas",[1]ARBOR!$A:$C,3,0),"Maior que CAP!",ROUND(-1*(KB9/VLOOKUP("sva_curtas",[1]ARBOR!$A:$C,3,0)-1),4))))</f>
        <v/>
      </c>
      <c r="KD9" s="218" t="str">
        <f>IF(ISERROR(IF(KC9="","",VLOOKUP(("Oi Internet Pra Celular 10GB"&amp;KC9&amp;"Template Desconto % SVA DADOS B2C"),[1]BENEFICIOS!$A:$E,5,0))),"Criar",IF(KC9="","",VLOOKUP(("Oi Internet Pra Celular 10GB"&amp;KC9&amp;"Template Desconto % SVA DADOS B2C"),[1]BENEFICIOS!$A:$E,5,0)))</f>
        <v/>
      </c>
      <c r="KE9" s="220"/>
      <c r="KF9" s="221"/>
      <c r="KG9" s="222" t="s">
        <v>149</v>
      </c>
      <c r="KH9" s="223" t="s">
        <v>173</v>
      </c>
      <c r="KI9" s="224">
        <v>599</v>
      </c>
      <c r="KJ9" s="223">
        <v>12</v>
      </c>
      <c r="KK9" s="225" t="str">
        <f t="shared" si="5"/>
        <v>Oi benefício fidelização Multiprodutos</v>
      </c>
      <c r="KL9" s="226" t="str">
        <f t="shared" si="6"/>
        <v>PCS-Fk83324</v>
      </c>
      <c r="KM9" s="226" t="str">
        <f t="shared" si="7"/>
        <v>PCS-SBL553142</v>
      </c>
      <c r="KN9" s="227" t="s">
        <v>174</v>
      </c>
      <c r="KO9" s="228" t="s">
        <v>175</v>
      </c>
      <c r="KP9" s="228" t="s">
        <v>176</v>
      </c>
      <c r="KQ9" s="227" t="s">
        <v>177</v>
      </c>
      <c r="KR9" s="225" t="s">
        <v>178</v>
      </c>
      <c r="KS9" s="226" t="s">
        <v>179</v>
      </c>
      <c r="KT9" s="229" t="s">
        <v>180</v>
      </c>
      <c r="KU9" s="155">
        <v>179.91</v>
      </c>
      <c r="KV9" s="155" t="s">
        <v>181</v>
      </c>
      <c r="KW9" s="155" t="s">
        <v>181</v>
      </c>
      <c r="KX9" s="155" t="s">
        <v>181</v>
      </c>
      <c r="KY9" s="155" t="s">
        <v>181</v>
      </c>
      <c r="KZ9" s="155" t="s">
        <v>181</v>
      </c>
      <c r="LA9" s="155" t="s">
        <v>181</v>
      </c>
      <c r="LB9" s="155" t="s">
        <v>181</v>
      </c>
      <c r="LC9" s="155" t="s">
        <v>181</v>
      </c>
      <c r="LD9" s="155" t="s">
        <v>181</v>
      </c>
      <c r="LE9" s="155" t="s">
        <v>181</v>
      </c>
      <c r="LF9" s="155" t="s">
        <v>181</v>
      </c>
      <c r="LG9" s="155" t="s">
        <v>181</v>
      </c>
      <c r="LH9" s="155" t="s">
        <v>181</v>
      </c>
      <c r="LI9" s="155" t="s">
        <v>181</v>
      </c>
      <c r="LJ9" s="155" t="s">
        <v>181</v>
      </c>
      <c r="LK9" s="230" t="s">
        <v>181</v>
      </c>
      <c r="LL9" s="231"/>
      <c r="LM9" s="232"/>
      <c r="LN9" s="232"/>
      <c r="LO9" s="232"/>
      <c r="LP9" s="232"/>
      <c r="LQ9" s="232"/>
      <c r="LR9" s="232"/>
      <c r="LS9" s="232"/>
      <c r="LT9" s="232"/>
      <c r="LU9" s="233"/>
      <c r="LV9" t="s">
        <v>200</v>
      </c>
      <c r="LW9" t="s">
        <v>183</v>
      </c>
    </row>
    <row r="10" spans="1:335" x14ac:dyDescent="0.25">
      <c r="A10" s="160" t="s">
        <v>146</v>
      </c>
      <c r="B10" s="161" t="s">
        <v>147</v>
      </c>
      <c r="C10" s="161" t="s">
        <v>148</v>
      </c>
      <c r="D10" s="162" t="s">
        <v>149</v>
      </c>
      <c r="E10" s="163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5"/>
      <c r="Q10" s="165"/>
      <c r="R10" s="165"/>
      <c r="S10" s="166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234"/>
      <c r="AF10" s="164"/>
      <c r="AG10" s="164"/>
      <c r="AH10" s="168"/>
      <c r="AI10" s="235" t="s">
        <v>201</v>
      </c>
      <c r="AJ10" s="85" t="s">
        <v>151</v>
      </c>
      <c r="AK10" s="86" t="s">
        <v>197</v>
      </c>
      <c r="AL10" s="169">
        <v>43039</v>
      </c>
      <c r="AM10" s="170">
        <v>43159</v>
      </c>
      <c r="AN10" s="89" t="s">
        <v>153</v>
      </c>
      <c r="AO10" s="90" t="s">
        <v>153</v>
      </c>
      <c r="AP10" s="171"/>
      <c r="AQ10" s="171" t="s">
        <v>154</v>
      </c>
      <c r="AR10" s="171">
        <v>20</v>
      </c>
      <c r="AS10" s="171">
        <v>10000</v>
      </c>
      <c r="AT10" s="172" t="s">
        <v>155</v>
      </c>
      <c r="AU10" s="173" t="s">
        <v>149</v>
      </c>
      <c r="AV10" s="174" t="s">
        <v>156</v>
      </c>
      <c r="AW10" s="175" t="s">
        <v>156</v>
      </c>
      <c r="AX10" s="176" t="s">
        <v>201</v>
      </c>
      <c r="AY10" s="177" t="s">
        <v>185</v>
      </c>
      <c r="AZ10" s="178" t="str">
        <f>IF(ISERROR(VLOOKUP(AY10,[1]PLANOS!B:C,2,0)),"",VLOOKUP(AY10,[1]PLANOS!B:C,2,0))</f>
        <v>PCS-3PMepi</v>
      </c>
      <c r="BA10" s="179" t="s">
        <v>156</v>
      </c>
      <c r="BB10" s="180" t="str">
        <f t="shared" si="1"/>
        <v/>
      </c>
      <c r="BC10" s="181"/>
      <c r="BD10" s="182"/>
      <c r="BE10" s="183">
        <v>50.11</v>
      </c>
      <c r="BF10" s="127">
        <f>IF(BE10=0,"",IF(BE10=VLOOKUP("FIXO",[1]ARBOR!$A:$C,3,0),0.0001,IF(BE10&gt;VLOOKUP("FIXO",[1]ARBOR!$A:$C,3,0),"Maior que CAP!",IF((DOLLAR(BE10+(VLOOKUP("FIXO",[1]ARBOR!$A:$C,3,0)*-TRUNC(BE10/VLOOKUP("FIXO",[1]ARBOR!$A:$C,3,0)-1,4)),6))&lt;&gt;(DOLLAR(VLOOKUP("FIXO",[1]ARBOR!$A:$C,3,0),6)),-TRUNC(BE10/VLOOKUP("FIXO",[1]ARBOR!$A:$C,3,0)-1,4)+0.0001,-TRUNC(BE10/VLOOKUP("FIXO",[1]ARBOR!$A:$C,3,0)-1,4)))))</f>
        <v>0.33929999999999999</v>
      </c>
      <c r="BG10" s="184"/>
      <c r="BH10" s="127" t="str">
        <f>IF(BG10=0,"",IF(BG10=VLOOKUP("FIXO",[1]ARBOR!$A:$C,3,0),0.0001,IF(BG10&gt;VLOOKUP("FIXO",[1]ARBOR!$A:$C,3,0),"Maior que CAP!",IF((DOLLAR(BG10+(VLOOKUP("FIXO",[1]ARBOR!$A:$C,3,0)*-TRUNC(BG10/VLOOKUP("FIXO",[1]ARBOR!$A:$C,3,0)-1,4)),6))&lt;&gt;(DOLLAR(VLOOKUP("FIXO",[1]ARBOR!$A:$C,3,0),6)),-TRUNC(BG10/VLOOKUP("FIXO",[1]ARBOR!$A:$C,3,0)-1,4)+0.0001,-TRUNC(BG10/VLOOKUP("FIXO",[1]ARBOR!$A:$C,3,0)-1,4)))))</f>
        <v/>
      </c>
      <c r="BI10" s="127" t="str">
        <f>IF(ISERROR(IF(BF10="","",VLOOKUP(($AY10&amp;BF10&amp;"Template de desconto FLAT bundle - Fixo - Varejo - Ganho Tributário Cross"),[1]BENEFICIOS!$A:$E,5,0))),"Criar",IF(BF10="","",VLOOKUP(($AY10&amp;BF10&amp;"Template de desconto FLAT bundle - Fixo - Varejo - Ganho Tributário Cross"),[1]BENEFICIOS!$A:$E,5,0)))</f>
        <v>MKT-1-9825718835</v>
      </c>
      <c r="BJ10" s="185"/>
      <c r="BK10" s="127" t="str">
        <f t="shared" si="2"/>
        <v/>
      </c>
      <c r="BL10" s="186"/>
      <c r="BM10" s="127" t="str">
        <f>IF(BL10=0,"",IF(BL10=VLOOKUP("FIXO",[1]ARBOR!$A:$C,3,0),0.0001,IF(BL10&gt;VLOOKUP("FIXO",[1]ARBOR!$A:$C,3,0),"Maior que CAP!",IF(BF10&lt;&gt;"",-ROUND(BL10/VLOOKUP("FIXO",[1]ARBOR!$A:$C,3,0)-1,4)-BF10,-ROUND(BL10/VLOOKUP("FIXO",[1]ARBOR!$A:$C,3,0)-1,4)))))</f>
        <v/>
      </c>
      <c r="BN10" s="187"/>
      <c r="BO10" s="127" t="str">
        <f>IF(ISERROR(IF(BK10="","",VLOOKUP(($AY10&amp;BK10&amp;"Template de desconto FLAT bundle - Fixo - Varejo - Ganho Tributário Cross"),[1]BENEFICIOS!$A:$E,5,0))),"Criar",IF(BK10="","",VLOOKUP(($AY10&amp;BK10&amp;"Template de desconto FLAT bundle - Fixo - Varejo - Ganho Tributário Cross"),[1]BENEFICIOS!$A:$E,5,0)))</f>
        <v/>
      </c>
      <c r="BP10" s="188" t="s">
        <v>158</v>
      </c>
      <c r="BQ10" s="189" t="s">
        <v>159</v>
      </c>
      <c r="BR10" s="190" t="s">
        <v>156</v>
      </c>
      <c r="BS10" s="191" t="str">
        <f t="shared" si="0"/>
        <v/>
      </c>
      <c r="BT10" s="181"/>
      <c r="BU10" s="192"/>
      <c r="BV10" s="193" t="s">
        <v>198</v>
      </c>
      <c r="BW10" s="194">
        <v>44.9</v>
      </c>
      <c r="BX10" s="127">
        <f>IF(BW10=0,"",IF(BW10=VLOOKUP("PCS-30874g",[1]ARBOR!$A:$C,3,0),0.0001,IF(BW10&gt;VLOOKUP("PCS-30874g",[1]ARBOR!$A:$C,3,0),"Maior que CAP!",IF((DOLLAR(BW10+(VLOOKUP("PCS-30874g",[1]ARBOR!$A:$C,3,0)*-TRUNC(BW10/VLOOKUP("PCS-30874g",[1]ARBOR!$A:$C,3,0)-1,4)),6))&lt;&gt;(DOLLAR(VLOOKUP("PCS-30874g",[1]ARBOR!$A:$C,3,0),6)),-TRUNC(BW10/VLOOKUP("PCS-30874g",[1]ARBOR!$A:$C,3,0)-1,4)+0.0001,-TRUNC(BW10/VLOOKUP("PCS-30874g",[1]ARBOR!$A:$C,3,0)-1,4)))))</f>
        <v>0.53679999999999994</v>
      </c>
      <c r="BY10" s="189" t="str">
        <f>IF(ISERROR(IF(BX10="","",VLOOKUP(($AY10&amp;BX10&amp;"Template de desconto FLAT bundle - Velox XDSL - Varejo"),[1]BENEFICIOS!$A:$E,5,0))),"Criar",IF(BX10="","",VLOOKUP(($AY10&amp;BX10&amp;"Template de desconto FLAT bundle - Velox XDSL - Varejo"),[1]BENEFICIOS!$A:$E,5,0)))</f>
        <v>MKT-1-9828849818</v>
      </c>
      <c r="BZ10" s="193" t="s">
        <v>198</v>
      </c>
      <c r="CA10" s="194">
        <v>44.9</v>
      </c>
      <c r="CB10" s="127">
        <f>IF(CA10=0,"",IF(CA10=VLOOKUP("PCS-30577g",[1]ARBOR!$A:$C,3,0),0.0001,IF(CA10&gt;VLOOKUP("PCS-30577g",[1]ARBOR!$A:$C,3,0),"Maior que CAP!",IF((DOLLAR(CA10+(VLOOKUP("PCS-30577g",[1]ARBOR!$A:$C,3,0)*-TRUNC(CA10/VLOOKUP("PCS-30577g",[1]ARBOR!$A:$C,3,0)-1,4)),6))&lt;&gt;(DOLLAR(VLOOKUP("PCS-30577g",[1]ARBOR!$A:$C,3,0),6)),-TRUNC(CA10/VLOOKUP("PCS-30577g",[1]ARBOR!$A:$C,3,0)-1,4)+0.0001,-TRUNC(CA10/VLOOKUP("PCS-30577g",[1]ARBOR!$A:$C,3,0)-1,4)))))</f>
        <v>0.53679999999999994</v>
      </c>
      <c r="CC10" s="189" t="str">
        <f>IF(ISERROR(IF(CB10="","",VLOOKUP(($AY10&amp;CB10&amp;"Template de desconto FLAT bundle - Velox XDSL - Varejo"),[1]BENEFICIOS!$A:$E,5,0))),"Criar",IF(CB10="","",VLOOKUP(($AY10&amp;CB10&amp;"Template de desconto FLAT bundle - Velox XDSL - Varejo"),[1]BENEFICIOS!$A:$E,5,0)))</f>
        <v>MKT-1-9828849818</v>
      </c>
      <c r="CD10" s="193" t="s">
        <v>198</v>
      </c>
      <c r="CE10" s="194">
        <v>44.9</v>
      </c>
      <c r="CF10" s="127">
        <f>IF(CE10=0,"",IF(CE10=VLOOKUP("PCS-30604g",[1]ARBOR!$A:$C,3,0),0.0001,IF(CE10&gt;VLOOKUP("PCS-30604g",[1]ARBOR!$A:$C,3,0),"Maior que CAP!",IF((DOLLAR(CE10+(VLOOKUP("PCS-30604g",[1]ARBOR!$A:$C,3,0)*-TRUNC(CE10/VLOOKUP("PCS-30604g",[1]ARBOR!$A:$C,3,0)-1,4)),6))&lt;&gt;(DOLLAR(VLOOKUP("PCS-30604g",[1]ARBOR!$A:$C,3,0),6)),-TRUNC(CE10/VLOOKUP("PCS-30604g",[1]ARBOR!$A:$C,3,0)-1,4)+0.0001,-TRUNC(CE10/VLOOKUP("PCS-30604g",[1]ARBOR!$A:$C,3,0)-1,4)))))</f>
        <v>0.53679999999999994</v>
      </c>
      <c r="CG10" s="189" t="str">
        <f>IF(ISERROR(IF(CF10="","",VLOOKUP(($AY10&amp;CF10&amp;"Template de desconto FLAT bundle - Velox XDSL - Varejo"),[1]BENEFICIOS!$A:$E,5,0))),"Criar",IF(CF10="","",VLOOKUP(($AY10&amp;CF10&amp;"Template de desconto FLAT bundle - Velox XDSL - Varejo"),[1]BENEFICIOS!$A:$E,5,0)))</f>
        <v>MKT-1-9828849818</v>
      </c>
      <c r="CH10" s="193" t="s">
        <v>198</v>
      </c>
      <c r="CI10" s="194">
        <v>44.9</v>
      </c>
      <c r="CJ10" s="127">
        <f>IF(CI10=0,"",IF(CI10=VLOOKUP("PCS-30631g",[1]ARBOR!$A:$C,3,0),0.0001,IF(CI10&gt;VLOOKUP("PCS-30631g",[1]ARBOR!$A:$C,3,0),"Maior que CAP!",IF((DOLLAR(CI10+(VLOOKUP("PCS-30631g",[1]ARBOR!$A:$C,3,0)*-TRUNC(CI10/VLOOKUP("PCS-30631g",[1]ARBOR!$A:$C,3,0)-1,4)),6))&lt;&gt;(DOLLAR(VLOOKUP("PCS-30631g",[1]ARBOR!$A:$C,3,0),6)),-TRUNC(CI10/VLOOKUP("PCS-30631g",[1]ARBOR!$A:$C,3,0)-1,4)+0.0001,-TRUNC(CI10/VLOOKUP("PCS-30631g",[1]ARBOR!$A:$C,3,0)-1,4)))))</f>
        <v>0.54310000000000003</v>
      </c>
      <c r="CK10" s="189" t="str">
        <f>IF(ISERROR(IF(CJ10="","",VLOOKUP(($AY10&amp;CJ10&amp;"Template de desconto FLAT bundle - Velox XDSL - Varejo"),[1]BENEFICIOS!$A:$E,5,0))),"Criar",IF(CJ10="","",VLOOKUP(($AY10&amp;CJ10&amp;"Template de desconto FLAT bundle - Velox XDSL - Varejo"),[1]BENEFICIOS!$A:$E,5,0)))</f>
        <v>MKT-1-9828191916</v>
      </c>
      <c r="CL10" s="193" t="s">
        <v>86</v>
      </c>
      <c r="CM10" s="194">
        <v>49.9</v>
      </c>
      <c r="CN10" s="127">
        <f>IF(CM10=0,"",IF(CM10=VLOOKUP("PCS-30658g",[1]ARBOR!$A:$C,3,0),0.0001,IF(CM10&gt;VLOOKUP("PCS-30658g",[1]ARBOR!$A:$C,3,0),"Maior que CAP!",IF((DOLLAR(CM10+(VLOOKUP("PCS-30658g",[1]ARBOR!$A:$C,3,0)*-TRUNC(CM10/VLOOKUP("PCS-30658g",[1]ARBOR!$A:$C,3,0)-1,4)),6))&lt;&gt;(DOLLAR(VLOOKUP("PCS-30658g",[1]ARBOR!$A:$C,3,0),6)),-TRUNC(CM10/VLOOKUP("PCS-30658g",[1]ARBOR!$A:$C,3,0)-1,4)+0.0001,-TRUNC(CM10/VLOOKUP("PCS-30658g",[1]ARBOR!$A:$C,3,0)-1,4)))))</f>
        <v>0.55569999999999997</v>
      </c>
      <c r="CO10" s="189" t="str">
        <f>IF(ISERROR(IF(CN10="","",VLOOKUP(($AY10&amp;CN10&amp;"Template de desconto FLAT bundle - Velox XDSL - Varejo"),[1]BENEFICIOS!$A:$E,5,0))),"Criar",IF(CN10="","",VLOOKUP(($AY10&amp;CN10&amp;"Template de desconto FLAT bundle - Velox XDSL - Varejo"),[1]BENEFICIOS!$A:$E,5,0)))</f>
        <v>MKT-1-9828235005</v>
      </c>
      <c r="CP10" s="193" t="s">
        <v>86</v>
      </c>
      <c r="CQ10" s="194">
        <v>49.9</v>
      </c>
      <c r="CR10" s="127">
        <f>IF(CQ10=0,"",IF(CQ10=VLOOKUP("PCS-30685g",[1]ARBOR!$A:$C,3,0),0.0001,IF(CQ10&gt;VLOOKUP("PCS-30685g",[1]ARBOR!$A:$C,3,0),"Maior que CAP!",IF((DOLLAR(CQ10+(VLOOKUP("PCS-30685g",[1]ARBOR!$A:$C,3,0)*-TRUNC(CQ10/VLOOKUP("PCS-30685g",[1]ARBOR!$A:$C,3,0)-1,4)),6))&lt;&gt;(DOLLAR(VLOOKUP("PCS-30685g",[1]ARBOR!$A:$C,3,0),6)),-TRUNC(CQ10/VLOOKUP("PCS-30685g",[1]ARBOR!$A:$C,3,0)-1,4)+0.0001,-TRUNC(CQ10/VLOOKUP("PCS-30685g",[1]ARBOR!$A:$C,3,0)-1,4)))))</f>
        <v>0.60509999999999997</v>
      </c>
      <c r="CS10" s="189" t="str">
        <f>IF(ISERROR(IF(CR10="","",VLOOKUP(($AY10&amp;CR10&amp;"Template de desconto FLAT bundle - Velox XDSL - Varejo"),[1]BENEFICIOS!$A:$E,5,0))),"Criar",IF(CR10="","",VLOOKUP(($AY10&amp;CR10&amp;"Template de desconto FLAT bundle - Velox XDSL - Varejo"),[1]BENEFICIOS!$A:$E,5,0)))</f>
        <v>MKT-1-9828260224</v>
      </c>
      <c r="CT10" s="193" t="s">
        <v>86</v>
      </c>
      <c r="CU10" s="194">
        <v>49.9</v>
      </c>
      <c r="CV10" s="127">
        <f>IF(CU10=0,"",IF(CU10=VLOOKUP("PCS-30712g",[1]ARBOR!$A:$C,3,0),0.0001,IF(CU10&gt;VLOOKUP("PCS-30712g",[1]ARBOR!$A:$C,3,0),"Maior que CAP!",IF((DOLLAR(CU10+(VLOOKUP("PCS-30712g",[1]ARBOR!$A:$C,3,0)*-TRUNC(CU10/VLOOKUP("PCS-30712g",[1]ARBOR!$A:$C,3,0)-1,4)),6))&lt;&gt;(DOLLAR(VLOOKUP("PCS-30712g",[1]ARBOR!$A:$C,3,0),6)),-TRUNC(CU10/VLOOKUP("PCS-30712g",[1]ARBOR!$A:$C,3,0)-1,4)+0.0001,-TRUNC(CU10/VLOOKUP("PCS-30712g",[1]ARBOR!$A:$C,3,0)-1,4)))))</f>
        <v>0.64459999999999995</v>
      </c>
      <c r="CW10" s="189" t="str">
        <f>IF(ISERROR(IF(CV10="","",VLOOKUP(($AY10&amp;CV10&amp;"Template de desconto FLAT bundle - Velox XDSL - Varejo"),[1]BENEFICIOS!$A:$E,5,0))),"Criar",IF(CV10="","",VLOOKUP(($AY10&amp;CV10&amp;"Template de desconto FLAT bundle - Velox XDSL - Varejo"),[1]BENEFICIOS!$A:$E,5,0)))</f>
        <v>MKT-1-9828260833</v>
      </c>
      <c r="CX10" s="193" t="s">
        <v>86</v>
      </c>
      <c r="CY10" s="194">
        <v>59.9</v>
      </c>
      <c r="CZ10" s="127">
        <f>IF(CY10=0,"",IF(CY10=VLOOKUP("PCS-30739g",[1]ARBOR!$A:$C,3,0),0.0001,IF(CY10&gt;VLOOKUP("PCS-30739g",[1]ARBOR!$A:$C,3,0),"Maior que CAP!",IF((DOLLAR(CY10+(VLOOKUP("PCS-30739g",[1]ARBOR!$A:$C,3,0)*-TRUNC(CY10/VLOOKUP("PCS-30739g",[1]ARBOR!$A:$C,3,0)-1,4)),6))&lt;&gt;(DOLLAR(VLOOKUP("PCS-30739g",[1]ARBOR!$A:$C,3,0),6)),-TRUNC(CY10/VLOOKUP("PCS-30739g",[1]ARBOR!$A:$C,3,0)-1,4)+0.0001,-TRUNC(CY10/VLOOKUP("PCS-30739g",[1]ARBOR!$A:$C,3,0)-1,4)))))</f>
        <v>0.71560000000000001</v>
      </c>
      <c r="DA10" s="195" t="str">
        <f>IF(ISERROR(IF(CZ10="","",VLOOKUP(($AY10&amp;CZ10&amp;"Template de desconto FLAT bundle - Velox XDSL - Varejo"),[1]BENEFICIOS!$A:$E,5,0))),"Criar",IF(CZ10="","",VLOOKUP(($AY10&amp;CZ10&amp;"Template de desconto FLAT bundle - Velox XDSL - Varejo"),[1]BENEFICIOS!$A:$E,5,0)))</f>
        <v>MKT-1-9828272112</v>
      </c>
      <c r="DB10" s="196"/>
      <c r="DC10" s="197"/>
      <c r="DD10" s="127" t="str">
        <f>IF(DB10=0,"",IF(DB10=VLOOKUP("PCS-30739g",[1]ARBOR!$A:$C,3,0),0.0001,IF(DB10&gt;VLOOKUP("PCS-30739g",[1]ARBOR!$A:$C,3,0),"Maior que CAP!",IF((DOLLAR(DB10+(VLOOKUP("PCS-30739g",[1]ARBOR!$A:$C,3,0)*-TRUNC(DB10/VLOOKUP("PCS-30739g",[1]ARBOR!$A:$C,3,0)-1,4)),6))&lt;&gt;(DOLLAR(VLOOKUP("PCS-30739g",[1]ARBOR!$A:$C,3,0),6)),(-TRUNC(DB10/VLOOKUP("PCS-30739g",[1]ARBOR!$A:$C,3,0)-1,4)+0.0001)-CZ10,-TRUNC(DB10/VLOOKUP("PCS-30739g",[1]ARBOR!$A:$C,3,0)-1,4)-CZ10))))</f>
        <v/>
      </c>
      <c r="DE10" s="189" t="str">
        <f>IF(ISERROR(IF(DD10="","",VLOOKUP(($AY10&amp;DD10&amp;"Template de desconto percentual Bundle - Velox XDSL - Varejo"),[1]BENEFICIOS!$A:$E,5,0))),"Criar",IF(DD10="","",VLOOKUP(($AY10&amp;DD10&amp;"Template de desconto percentual Bundle - Velox XDSL - Varejo"),[1]BENEFICIOS!$A:$E,5,0)))</f>
        <v/>
      </c>
      <c r="DF10" s="193" t="s">
        <v>86</v>
      </c>
      <c r="DG10" s="194">
        <v>59.9</v>
      </c>
      <c r="DH10" s="127">
        <f>IF(DG10=0,"",IF(DG10=VLOOKUP("PCS-30766g",[1]ARBOR!$A:$C,3,0),0.0001,IF(DG10&gt;VLOOKUP("PCS-30766g",[1]ARBOR!$A:$C,3,0),"Maior que CAP!",IF((DOLLAR(DG10+(VLOOKUP("PCS-30766g",[1]ARBOR!$A:$C,3,0)*-TRUNC(DG10/VLOOKUP("PCS-30766g",[1]ARBOR!$A:$C,3,0)-1,4)),6))&lt;&gt;(DOLLAR(VLOOKUP("PCS-30766g",[1]ARBOR!$A:$C,3,0),6)),-TRUNC(DG10/VLOOKUP("PCS-30766g",[1]ARBOR!$A:$C,3,0)-1,4)+0.0001,-TRUNC(DG10/VLOOKUP("PCS-30766g",[1]ARBOR!$A:$C,3,0)-1,4)))))</f>
        <v>0.78669999999999995</v>
      </c>
      <c r="DI10" s="195" t="str">
        <f>IF(ISERROR(IF(DH10="","",VLOOKUP(($AY10&amp;DH10&amp;"Template de desconto FLAT bundle - Velox XDSL - Varejo"),[1]BENEFICIOS!$A:$E,5,0))),"Criar",IF(DH10="","",VLOOKUP(($AY10&amp;DH10&amp;"Template de desconto FLAT bundle - Velox XDSL - Varejo"),[1]BENEFICIOS!$A:$E,5,0)))</f>
        <v>MKT-1-9828278651</v>
      </c>
      <c r="DJ10" s="196"/>
      <c r="DK10" s="197"/>
      <c r="DL10" s="127" t="str">
        <f>IF(DJ10=0,"",IF(DJ10=VLOOKUP("PCS-30766g",[1]ARBOR!$A:$C,3,0),0.0001,IF(DJ10&gt;VLOOKUP("PCS-30766g",[1]ARBOR!$A:$C,3,0),"Maior que CAP!",IF((DOLLAR(DJ10+(VLOOKUP("PCS-30766g",[1]ARBOR!$A:$C,3,0)*-TRUNC(DJ10/VLOOKUP("PCS-30766g",[1]ARBOR!$A:$C,3,0)-1,4)),6))&lt;&gt;(DOLLAR(VLOOKUP("PCS-30766g",[1]ARBOR!$A:$C,3,0),6)),(-TRUNC(DJ10/VLOOKUP("PCS-30766g",[1]ARBOR!$A:$C,3,0)-1,4)+0.0001)-DH10,-TRUNC(DJ10/VLOOKUP("PCS-30766g",[1]ARBOR!$A:$C,3,0)-1,4)-DH10))))</f>
        <v/>
      </c>
      <c r="DM10" s="189" t="str">
        <f>IF(ISERROR(IF(DL10="","",VLOOKUP(($AY10&amp;DL10&amp;"Template de desconto percentual Bundle - Velox XDSL - Varejo"),[1]BENEFICIOS!$A:$E,5,0))),"Criar",IF(DL10="","",VLOOKUP(($AY10&amp;DL10&amp;"Template de desconto percentual Bundle - Velox XDSL - Varejo"),[1]BENEFICIOS!$A:$E,5,0)))</f>
        <v/>
      </c>
      <c r="DN10" s="193" t="s">
        <v>198</v>
      </c>
      <c r="DO10" s="194">
        <v>69.900000000000006</v>
      </c>
      <c r="DP10" s="127">
        <f>IF(DO10=0,"",IF(DO10=VLOOKUP("PCS-30793g",[1]ARBOR!$A:$C,3,0),0.0001,IF(DO10&gt;VLOOKUP("PCS-30793g",[1]ARBOR!$A:$C,3,0),"Maior que CAP!",IF((DOLLAR(DO10+(VLOOKUP("PCS-30793g",[1]ARBOR!$A:$C,3,0)*-TRUNC(DO10/VLOOKUP("PCS-30793g",[1]ARBOR!$A:$C,3,0)-1,4)),6))&lt;&gt;(DOLLAR(VLOOKUP("PCS-30793g",[1]ARBOR!$A:$C,3,0),6)),-TRUNC(DO10/VLOOKUP("PCS-30793g",[1]ARBOR!$A:$C,3,0)-1,4)+0.0001,-TRUNC(DO10/VLOOKUP("PCS-30793g",[1]ARBOR!$A:$C,3,0)-1,4)))))</f>
        <v>0.75109999999999999</v>
      </c>
      <c r="DQ10" s="195" t="str">
        <f>IF(ISERROR(IF(DP10="","",VLOOKUP(($AY10&amp;DP10&amp;"Template de desconto FLAT bundle - Velox XDSL - Varejo"),[1]BENEFICIOS!$A:$E,5,0))),"Criar",IF(DP10="","",VLOOKUP(($AY10&amp;DP10&amp;"Template de desconto FLAT bundle - Velox XDSL - Varejo"),[1]BENEFICIOS!$A:$E,5,0)))</f>
        <v>MKT-1-9828296896</v>
      </c>
      <c r="DR10" s="196"/>
      <c r="DS10" s="197"/>
      <c r="DT10" s="127" t="str">
        <f>IF(DR10=0,"",IF(DR10=VLOOKUP("PCS-30793g",[1]ARBOR!$A:$C,3,0),0.0001,IF(DR10&gt;VLOOKUP("PCS-30793g",[1]ARBOR!$A:$C,3,0),"Maior que CAP!",IF((DOLLAR(DR10+(VLOOKUP("PCS-30793g",[1]ARBOR!$A:$C,3,0)*-TRUNC(DR10/VLOOKUP("PCS-30793g",[1]ARBOR!$A:$C,3,0)-1,4)),6))&lt;&gt;(DOLLAR(VLOOKUP("PCS-30793g",[1]ARBOR!$A:$C,3,0),6)),(-TRUNC(DR10/VLOOKUP("PCS-30793g",[1]ARBOR!$A:$C,3,0)-1,4)+0.0001)-DP10,-TRUNC(DR10/VLOOKUP("PCS-30793g",[1]ARBOR!$A:$C,3,0)-1,4)-DP10))))</f>
        <v/>
      </c>
      <c r="DU10" s="189" t="str">
        <f>IF(ISERROR(IF(DT10="","",VLOOKUP(($AY10&amp;DT10&amp;"Template de desconto percentual Bundle - Velox XDSL - Varejo"),[1]BENEFICIOS!$A:$E,5,0))),"Criar",IF(DT10="","",VLOOKUP(($AY10&amp;DT10&amp;"Template de desconto percentual Bundle - Velox XDSL - Varejo"),[1]BENEFICIOS!$A:$E,5,0)))</f>
        <v/>
      </c>
      <c r="DV10" s="193" t="s">
        <v>86</v>
      </c>
      <c r="DW10" s="194">
        <v>69.900000000000006</v>
      </c>
      <c r="DX10" s="127">
        <f>IF(DW10=0,"",IF(DW10=VLOOKUP("PCS-30820g",[1]ARBOR!$A:$C,3,0),0.0001,IF(DW10&gt;VLOOKUP("PCS-30820g",[1]ARBOR!$A:$C,3,0),"Maior que CAP!",IF((DOLLAR(DW10+(VLOOKUP("PCS-30820g",[1]ARBOR!$A:$C,3,0)*-TRUNC(DW10/VLOOKUP("PCS-30820g",[1]ARBOR!$A:$C,3,0)-1,4)),6))&lt;&gt;(DOLLAR(VLOOKUP("PCS-30820g",[1]ARBOR!$A:$C,3,0),6)),-TRUNC(DW10/VLOOKUP("PCS-30820g",[1]ARBOR!$A:$C,3,0)-1,4)+0.0001,-TRUNC(DW10/VLOOKUP("PCS-30820g",[1]ARBOR!$A:$C,3,0)-1,4)))))</f>
        <v>0.75109999999999999</v>
      </c>
      <c r="DY10" s="195" t="str">
        <f>IF(ISERROR(IF(DX10="","",VLOOKUP(($AY10&amp;DX10&amp;"Template de desconto FLAT bundle - Velox XDSL - Varejo"),[1]BENEFICIOS!$A:$E,5,0))),"Criar",IF(DX10="","",VLOOKUP(($AY10&amp;DX10&amp;"Template de desconto FLAT bundle - Velox XDSL - Varejo"),[1]BENEFICIOS!$A:$E,5,0)))</f>
        <v>MKT-1-9828296896</v>
      </c>
      <c r="DZ10" s="196"/>
      <c r="EA10" s="197"/>
      <c r="EB10" s="127" t="str">
        <f>IF(DZ10=0,"",IF(DZ10=VLOOKUP("PCS-30820g",[1]ARBOR!$A:$C,3,0),0.0001,IF(DZ10&gt;VLOOKUP("PCS-30820g",[1]ARBOR!$A:$C,3,0),"Maior que CAP!",IF((DOLLAR(DZ10+(VLOOKUP("PCS-30820g",[1]ARBOR!$A:$C,3,0)*-TRUNC(DZ10/VLOOKUP("PCS-30820g",[1]ARBOR!$A:$C,3,0)-1,4)),6))&lt;&gt;(DOLLAR(VLOOKUP("PCS-30820g",[1]ARBOR!$A:$C,3,0),6)),(-TRUNC(DZ10/VLOOKUP("PCS-30820g",[1]ARBOR!$A:$C,3,0)-1,4)+0.0001)-DX10,-TRUNC(DZ10/VLOOKUP("PCS-30820g",[1]ARBOR!$A:$C,3,0)-1,4)-DX10))))</f>
        <v/>
      </c>
      <c r="EC10" s="189" t="str">
        <f>IF(ISERROR(IF(EB10="","",VLOOKUP(($AY10&amp;EB10&amp;"Template de desconto percentual Bundle - Velox XDSL - Varejo"),[1]BENEFICIOS!$A:$E,5,0))),"Criar",IF(EB10="","",VLOOKUP(($AY10&amp;EB10&amp;"Template de desconto percentual Bundle - Velox XDSL - Varejo"),[1]BENEFICIOS!$A:$E,5,0)))</f>
        <v/>
      </c>
      <c r="ED10" s="198"/>
      <c r="EE10" s="127" t="str">
        <f>IF(ED10=0,"",IF(ED10=VLOOKUP("PCS-21448p2",[1]ARBOR!$A:$C,3,0),0.0001,IF(ED10&gt;VLOOKUP("PCS-21448p2",[1]ARBOR!$A:$C,3,0),"Maior que CAP!",IF((DOLLAR(ED10+(VLOOKUP("PCS-21448p2",[1]ARBOR!$A:$C,3,0)*-TRUNC(ED10/VLOOKUP("PCS-21448p2",[1]ARBOR!$A:$C,3,0)-1,4)),6))&lt;&gt;(DOLLAR(VLOOKUP("PCS-21448p2",[1]ARBOR!$A:$C,3,0),6)),-TRUNC(ED10/VLOOKUP("PCS-21448p2",[1]ARBOR!$A:$C,3,0)-1,4)+0.0001,-TRUNC(ED10/VLOOKUP("PCS-21448p2",[1]ARBOR!$A:$C,3,0)-1,4)))))</f>
        <v/>
      </c>
      <c r="EF10" s="127" t="str">
        <f>IF(ISERROR(IF(EE10="","",VLOOKUP(("Oi Conta Total Plug 10GB Downgrade"&amp;EE10&amp;"Template de desconto percentual BL Móvel - Internet Total - Varejo"),[1]BENEFICIOS!$A:$E,5,0))),"Criar",IF(EE10="","",VLOOKUP(("Oi Conta Total Plug 10GB Downgrade"&amp;EE10&amp;"Template de desconto percentual BL Móvel - Internet Total - Varejo"),[1]BENEFICIOS!$A:$E,5,0)))</f>
        <v/>
      </c>
      <c r="EG10" s="199">
        <v>19.899999999999999</v>
      </c>
      <c r="EH10" s="200">
        <f>IF(EG10=0,"",IF(EG10=VLOOKUP("SVA",[1]ARBOR!$A:$C,3,0),0.0001,IF(EG10&gt;VLOOKUP("SVA",[1]ARBOR!$A:$C,3,0),"Maior que CAP!",IF((DOLLAR(EG10+(VLOOKUP("SVA",[1]ARBOR!$A:$C,3,0)*-TRUNC(EG10/VLOOKUP("SVA",[1]ARBOR!$A:$C,3,0)-1,4)),6))&lt;&gt;(DOLLAR(VLOOKUP("SVA",[1]ARBOR!$A:$C,3,0),6)),-TRUNC(EG10/VLOOKUP("SVA",[1]ARBOR!$A:$C,3,0)-1,4)+0.0001,-TRUNC(EG10/VLOOKUP("SVA",[1]ARBOR!$A:$C,3,0)-1,4)))))</f>
        <v>7.1400000000000005E-2</v>
      </c>
      <c r="EI10" s="200" t="s">
        <v>199</v>
      </c>
      <c r="EJ10" s="201"/>
      <c r="EK10" s="202"/>
      <c r="EL10" s="203" t="str">
        <f t="shared" si="3"/>
        <v/>
      </c>
      <c r="EM10" s="200" t="str">
        <f>IF(EL10="S/Desc","S/Desc",IF(ISERROR(IF(EL10="","",VLOOKUP(($BX10&amp;EL10&amp;"Template Desc. % sobre Serviço SVA B2C"),[1]BENEFICIOS!$A:$G,5,0))),"Criar",IF(EL10="","",VLOOKUP(($BX10&amp;EL10&amp;"Template Desc. % sobre Serviço SVA B2C"),[1]BENEFICIOS!$A:$G,5,0))))</f>
        <v/>
      </c>
      <c r="EN10" s="129"/>
      <c r="EO10" s="127" t="str">
        <f>IF(EN10=0,"",IF(EN10=VLOOKUP("PCS-OzTL40",[1]ARBOR!$A:$C,3,0),0.0001,IF(EN10&gt;VLOOKUP("PCS-OzTL40",[1]ARBOR!$A:$C,3,0),"Maior que CAP!",IF((DOLLAR(EN10+(VLOOKUP("PCS-OzTL40",[1]ARBOR!$A:$C,3,0)*-TRUNC(EN10/VLOOKUP("PCS-OzTL40",[1]ARBOR!$A:$C,3,0)-1,4)),6))&lt;&gt;(DOLLAR(VLOOKUP("PCS-OzTL40",[1]ARBOR!$A:$C,3,0),6)),-TRUNC(EN10/VLOOKUP("PCS-OzTL40",[1]ARBOR!$A:$C,3,0)-1,4)+0.0001,-TRUNC(EN10/VLOOKUP("PCS-OzTL40",[1]ARBOR!$A:$C,3,0)-1,4)))))</f>
        <v/>
      </c>
      <c r="EP10" s="189" t="str">
        <f>IF(ISERROR(IF(EO10="","",VLOOKUP(($AY10&amp;EO10&amp;"Template desconto FLAT Plano Principal Oi TV nível conta"),[1]BENEFICIOS!$A:$G,5,0))),"Criar",IF(EO10="","",VLOOKUP(($AY10&amp;EO10&amp;"Template desconto FLAT Plano Principal Oi TV nível conta"),[1]BENEFICIOS!$A:$G,5,0)))</f>
        <v/>
      </c>
      <c r="EQ10" s="129">
        <v>99.9</v>
      </c>
      <c r="ER10" s="127">
        <f>IF(EQ10=0,"",IF(EQ10=VLOOKUP("PCS-OzTL41",[1]ARBOR!$A:$C,3,0),0.0001,IF(EQ10&gt;VLOOKUP("PCS-OzTL41",[1]ARBOR!$A:$C,3,0),"Maior que CAP!",IF((DOLLAR(EQ10+(VLOOKUP("PCS-OzTL41",[1]ARBOR!$A:$C,3,0)*-TRUNC(EQ10/VLOOKUP("PCS-OzTL41",[1]ARBOR!$A:$C,3,0)-1,4)),6))&lt;&gt;(DOLLAR(VLOOKUP("PCS-OzTL41",[1]ARBOR!$A:$C,3,0),6)),-TRUNC(EQ10/VLOOKUP("PCS-OzTL41",[1]ARBOR!$A:$C,3,0)-1,4)+0.0001,-TRUNC(EQ10/VLOOKUP("PCS-OzTL41",[1]ARBOR!$A:$C,3,0)-1,4)))))</f>
        <v>0.17459999999999998</v>
      </c>
      <c r="ES10" s="204" t="str">
        <f>IF(ISERROR(IF(ER10="","",VLOOKUP(($AY10&amp;ER10&amp;"Template desconto FLAT Plano Principal Oi TV nível conta"),[1]BENEFICIOS!$A:$G,5,0))),"Criar",IF(ER10="","",VLOOKUP(($AY10&amp;ER10&amp;"Template desconto FLAT Plano Principal Oi TV nível conta"),[1]BENEFICIOS!$A:$G,5,0)))</f>
        <v>MKT-1-9827346410</v>
      </c>
      <c r="ET10" s="129"/>
      <c r="EU10" s="127" t="str">
        <f>IF(ET10=0,"",IF(ET10=VLOOKUP("PCS-OzTL44",[1]ARBOR!$A:$C,3,0),0.0001,IF(ET10&gt;VLOOKUP("PCS-OzTL44",[1]ARBOR!$A:$C,3,0),"Maior que CAP!",IF((DOLLAR(ET10+(VLOOKUP("PCS-OzTL44",[1]ARBOR!$A:$C,3,0)*-TRUNC(ET10/VLOOKUP("PCS-OzTL44",[1]ARBOR!$A:$C,3,0)-1,4)),6))&lt;&gt;(DOLLAR(VLOOKUP("PCS-OzTL44",[1]ARBOR!$A:$C,3,0),6)),-TRUNC(ET10/VLOOKUP("PCS-OzTL44",[1]ARBOR!$A:$C,3,0)-1,4)+0.0001,-TRUNC(ET10/VLOOKUP("PCS-OzTL44",[1]ARBOR!$A:$C,3,0)-1,4)))))</f>
        <v/>
      </c>
      <c r="EV10" s="204" t="str">
        <f>IF(ISERROR(IF(EU10="","",VLOOKUP(($AY10&amp;EU10&amp;"Template desconto FLAT Plano Principal Oi TV nível conta"),[1]BENEFICIOS!$A:$G,5,0))),"Criar",IF(EU10="","",VLOOKUP(($AY10&amp;EU10&amp;"Template desconto FLAT Plano Principal Oi TV nível conta"),[1]BENEFICIOS!$A:$G,5,0)))</f>
        <v/>
      </c>
      <c r="EW10" s="129"/>
      <c r="EX10" s="127" t="str">
        <f>IF(EW10=0,"",IF(EW10=VLOOKUP("PCS-OzTL43",[1]ARBOR!$A:$C,3,0),0.0001,IF(EW10&gt;VLOOKUP("PCS-OzTL43",[1]ARBOR!$A:$C,3,0),"Maior que CAP!",IF((DOLLAR(EW10+(VLOOKUP("PCS-OzTL43",[1]ARBOR!$A:$C,3,0)*-TRUNC(EW10/VLOOKUP("PCS-OzTL43",[1]ARBOR!$A:$C,3,0)-1,4)),6))&lt;&gt;(DOLLAR(VLOOKUP("PCS-OzTL43",[1]ARBOR!$A:$C,3,0),6)),-TRUNC(EW10/VLOOKUP("PCS-OzTL43",[1]ARBOR!$A:$C,3,0)-1,4)+0.0001,-TRUNC(EW10/VLOOKUP("PCS-OzTL43",[1]ARBOR!$A:$C,3,0)-1,4)))))</f>
        <v/>
      </c>
      <c r="EY10" s="204" t="str">
        <f>IF(ISERROR(IF(EX10="","",VLOOKUP(($AY10&amp;EX10&amp;"Template desconto FLAT Plano Principal Oi TV nível conta"),[1]BENEFICIOS!$A:$G,5,0))),"Criar",IF(EX10="","",VLOOKUP(($AY10&amp;EX10&amp;"Template desconto FLAT Plano Principal Oi TV nível conta"),[1]BENEFICIOS!$A:$G,5,0)))</f>
        <v/>
      </c>
      <c r="EZ10" s="129"/>
      <c r="FA10" s="127" t="str">
        <f>IF(EZ10=0,"",IF(EZ10=VLOOKUP("PCS-OzTL45",[1]ARBOR!$A:$C,3,0),0.0001,IF(EZ10&gt;VLOOKUP("PCS-OzTL45",[1]ARBOR!$A:$C,3,0),"Maior que CAP!",IF((DOLLAR(EZ10+(VLOOKUP("PCS-OzTL45",[1]ARBOR!$A:$C,3,0)*-TRUNC(EZ10/VLOOKUP("PCS-OzTL45",[1]ARBOR!$A:$C,3,0)-1,4)),6))&lt;&gt;(DOLLAR(VLOOKUP("PCS-OzTL45",[1]ARBOR!$A:$C,3,0),6)),-TRUNC(EZ10/VLOOKUP("PCS-OzTL45",[1]ARBOR!$A:$C,3,0)-1,4)+0.0001,-TRUNC(EZ10/VLOOKUP("PCS-OzTL45",[1]ARBOR!$A:$C,3,0)-1,4)))))</f>
        <v/>
      </c>
      <c r="FB10" s="204" t="str">
        <f>IF(ISERROR(IF(FA10="","",VLOOKUP(($AY10&amp;FA10&amp;"Template desconto FLAT Plano Principal Oi TV nível conta"),[1]BENEFICIOS!$A:$G,5,0))),"Criar",IF(FA10="","",VLOOKUP(($AY10&amp;FA10&amp;"Template desconto FLAT Plano Principal Oi TV nível conta"),[1]BENEFICIOS!$A:$G,5,0)))</f>
        <v/>
      </c>
      <c r="FC10" s="129"/>
      <c r="FD10" s="127" t="str">
        <f>IF(FC10=0,"",IF(FC10=VLOOKUP("PCS-OzTL741",[1]ARBOR!$A:$C,3,0),0.0001,IF(FC10&gt;VLOOKUP("PCS-OzTL741",[1]ARBOR!$A:$C,3,0),"Maior que CAP!",IF((DOLLAR(FC10+(VLOOKUP("PCS-OzTL741",[1]ARBOR!$A:$C,3,0)*-TRUNC(FC10/VLOOKUP("PCS-OzTL741",[1]ARBOR!$A:$C,3,0)-1,4)),6))&lt;&gt;(DOLLAR(VLOOKUP("PCS-OzTL741",[1]ARBOR!$A:$C,3,0),6)),-TRUNC(FC10/VLOOKUP("PCS-OzTL741",[1]ARBOR!$A:$C,3,0)-1,4)+0.0001,-TRUNC(FC10/VLOOKUP("PCS-OzTL741",[1]ARBOR!$A:$C,3,0)-1,4)))))</f>
        <v/>
      </c>
      <c r="FE10" s="204" t="str">
        <f>IF(ISERROR(IF(FD10="","",VLOOKUP(($AY10&amp;FD10&amp;"Template desconto FLAT Plano Principal Oi TV nível conta"),[1]BENEFICIOS!$A:$G,5,0))),"Criar",IF(FD10="","",VLOOKUP(($AY10&amp;FD10&amp;"Template desconto FLAT Plano Principal Oi TV nível conta"),[1]BENEFICIOS!$A:$G,5,0)))</f>
        <v/>
      </c>
      <c r="FF10" s="129"/>
      <c r="FG10" s="127" t="str">
        <f>IF(FF10=0,"",IF(FF10=VLOOKUP("PCS-OzTL744",[1]ARBOR!$A:$C,3,0),0.0001,IF(FF10&gt;VLOOKUP("PCS-OzTL744",[1]ARBOR!$A:$C,3,0),"Maior que CAP!",IF((DOLLAR(FF10+(VLOOKUP("PCS-OzTL744",[1]ARBOR!$A:$C,3,0)*-TRUNC(FF10/VLOOKUP("PCS-OzTL744",[1]ARBOR!$A:$C,3,0)-1,4)),6))&lt;&gt;(DOLLAR(VLOOKUP("PCS-OzTL744",[1]ARBOR!$A:$C,3,0),6)),-TRUNC(FF10/VLOOKUP("PCS-OzTL744",[1]ARBOR!$A:$C,3,0)-1,4)+0.0001,-TRUNC(FF10/VLOOKUP("PCS-OzTL744",[1]ARBOR!$A:$C,3,0)-1,4)))))</f>
        <v/>
      </c>
      <c r="FH10" s="204" t="str">
        <f>IF(ISERROR(IF(FG10="","",VLOOKUP(($AY10&amp;FG10&amp;"Template desconto FLAT Plano Principal Oi TV nível conta"),[1]BENEFICIOS!$A:$G,5,0))),"Criar",IF(FG10="","",VLOOKUP(($AY10&amp;FG10&amp;"Template desconto FLAT Plano Principal Oi TV nível conta"),[1]BENEFICIOS!$A:$G,5,0)))</f>
        <v/>
      </c>
      <c r="FI10" s="129"/>
      <c r="FJ10" s="127" t="str">
        <f>IF(FI10=0,"",IF(FI10=VLOOKUP("PCS-OzTL743",[1]ARBOR!$A:$C,3,0),0.0001,IF(FI10&gt;VLOOKUP("PCS-OzTL743",[1]ARBOR!$A:$C,3,0),"Maior que CAP!",IF((DOLLAR(FI10+(VLOOKUP("PCS-OzTL743",[1]ARBOR!$A:$C,3,0)*-TRUNC(FI10/VLOOKUP("PCS-OzTL743",[1]ARBOR!$A:$C,3,0)-1,4)),6))&lt;&gt;(DOLLAR(VLOOKUP("PCS-OzTL743",[1]ARBOR!$A:$C,3,0),6)),-TRUNC(FI10/VLOOKUP("PCS-OzTL743",[1]ARBOR!$A:$C,3,0)-1,4)+0.0001,-TRUNC(FI10/VLOOKUP("PCS-OzTL743",[1]ARBOR!$A:$C,3,0)-1,4)))))</f>
        <v/>
      </c>
      <c r="FK10" s="204" t="str">
        <f>IF(ISERROR(IF(FJ10="","",VLOOKUP(($AY10&amp;FJ10&amp;"Template desconto FLAT Plano Principal Oi TV nível conta"),[1]BENEFICIOS!$A:$G,5,0))),"Criar",IF(FJ10="","",VLOOKUP(($AY10&amp;FJ10&amp;"Template desconto FLAT Plano Principal Oi TV nível conta"),[1]BENEFICIOS!$A:$G,5,0)))</f>
        <v/>
      </c>
      <c r="FL10" s="129"/>
      <c r="FM10" s="127" t="str">
        <f>IF(FL10=0,"",IF(FL10=VLOOKUP("PCS-OzTL745",[1]ARBOR!$A:$C,3,0),0.0001,IF(FL10&gt;VLOOKUP("PCS-OzTL745",[1]ARBOR!$A:$C,3,0),"Maior que CAP!",IF((DOLLAR(FL10+(VLOOKUP("PCS-OzTL745",[1]ARBOR!$A:$C,3,0)*-TRUNC(FL10/VLOOKUP("PCS-OzTL745",[1]ARBOR!$A:$C,3,0)-1,4)),6))&lt;&gt;(DOLLAR(VLOOKUP("PCS-OzTL745",[1]ARBOR!$A:$C,3,0),6)),-TRUNC(FL10/VLOOKUP("PCS-OzTL745",[1]ARBOR!$A:$C,3,0)-1,4)+0.0001,-TRUNC(FL10/VLOOKUP("PCS-OzTL745",[1]ARBOR!$A:$C,3,0)-1,4)))))</f>
        <v/>
      </c>
      <c r="FN10" s="204" t="str">
        <f>IF(ISERROR(IF(FM10="","",VLOOKUP(($AY10&amp;FM10&amp;"Template desconto FLAT Plano Principal Oi TV nível conta"),[1]BENEFICIOS!$A:$G,5,0))),"Criar",IF(FM10="","",VLOOKUP(($AY10&amp;FM10&amp;"Template desconto FLAT Plano Principal Oi TV nível conta"),[1]BENEFICIOS!$A:$G,5,0)))</f>
        <v/>
      </c>
      <c r="FO10" s="129"/>
      <c r="FP10" s="127" t="str">
        <f>IF(FO10=0,"",IF(FO10=VLOOKUP("PCS-OzTL42",[1]ARBOR!$A:$C,3,0),0.0001,IF(FO10&gt;VLOOKUP("PCS-OzTL42",[1]ARBOR!$A:$C,3,0),"Maior que CAP!",IF((DOLLAR(FO10+(VLOOKUP("PCS-OzTL42",[1]ARBOR!$A:$C,3,0)*-TRUNC(FO10/VLOOKUP("PCS-OzTL42",[1]ARBOR!$A:$C,3,0)-1,4)),6))&lt;&gt;(DOLLAR(VLOOKUP("PCS-OzTL42",[1]ARBOR!$A:$C,3,0),6)),-TRUNC(FO10/VLOOKUP("PCS-OzTL42",[1]ARBOR!$A:$C,3,0)-1,4)+0.0001,-TRUNC(FO10/VLOOKUP("PCS-OzTL42",[1]ARBOR!$A:$C,3,0)-1,4)))))</f>
        <v/>
      </c>
      <c r="FQ10" s="204" t="str">
        <f>IF(ISERROR(IF(FP10="","",VLOOKUP(($AY10&amp;FP10&amp;"Template desconto FLAT Plano Principal Oi TV nível conta"),[1]BENEFICIOS!$A:$G,5,0))),"Criar",IF(FP10="","",VLOOKUP(($AY10&amp;FP10&amp;"Template desconto FLAT Plano Principal Oi TV nível conta"),[1]BENEFICIOS!$A:$G,5,0)))</f>
        <v/>
      </c>
      <c r="FR10" s="129"/>
      <c r="FS10" s="127" t="str">
        <f>IF(FR10=0,"",IF(FR10=VLOOKUP("PCS-OzTL47",[1]ARBOR!$A:$C,3,0),0.0001,IF(FR10&gt;VLOOKUP("PCS-OzTL47",[1]ARBOR!$A:$C,3,0),"Maior que CAP!",IF((DOLLAR(FR10+(VLOOKUP("PCS-OzTL47",[1]ARBOR!$A:$C,3,0)*-TRUNC(FR10/VLOOKUP("PCS-OzTL47",[1]ARBOR!$A:$C,3,0)-1,4)),6))&lt;&gt;(DOLLAR(VLOOKUP("PCS-OzTL47",[1]ARBOR!$A:$C,3,0),6)),-TRUNC(FR10/VLOOKUP("PCS-OzTL47",[1]ARBOR!$A:$C,3,0)-1,4)+0.0001,-TRUNC(FR10/VLOOKUP("PCS-OzTL47",[1]ARBOR!$A:$C,3,0)-1,4)))))</f>
        <v/>
      </c>
      <c r="FT10" s="204" t="str">
        <f>IF(ISERROR(IF(FS10="","",VLOOKUP(($AY10&amp;FS10&amp;"Template desconto FLAT Plano Principal Oi TV nível conta"),[1]BENEFICIOS!$A:$G,5,0))),"Criar",IF(FS10="","",VLOOKUP(($AY10&amp;FS10&amp;"Template desconto FLAT Plano Principal Oi TV nível conta"),[1]BENEFICIOS!$A:$G,5,0)))</f>
        <v/>
      </c>
      <c r="FU10" s="129"/>
      <c r="FV10" s="127" t="str">
        <f>IF(FU10=0,"",IF(FU10=VLOOKUP("PCS-OzTL46",[1]ARBOR!$A:$C,3,0),0.0001,IF(FU10&gt;VLOOKUP("PCS-OzTL46",[1]ARBOR!$A:$C,3,0),"Maior que CAP!",IF((DOLLAR(FU10+(VLOOKUP("PCS-OzTL46",[1]ARBOR!$A:$C,3,0)*-TRUNC(FU10/VLOOKUP("PCS-OzTL46",[1]ARBOR!$A:$C,3,0)-1,4)),6))&lt;&gt;(DOLLAR(VLOOKUP("PCS-OzTL46",[1]ARBOR!$A:$C,3,0),6)),-TRUNC(FU10/VLOOKUP("PCS-OzTL46",[1]ARBOR!$A:$C,3,0)-1,4)+0.0001,-TRUNC(FU10/VLOOKUP("PCS-OzTL46",[1]ARBOR!$A:$C,3,0)-1,4)))))</f>
        <v/>
      </c>
      <c r="FW10" s="204" t="str">
        <f>IF(ISERROR(IF(FV10="","",VLOOKUP(($AY10&amp;FV10&amp;"Template desconto FLAT Plano Principal Oi TV nível conta"),[1]BENEFICIOS!$A:$G,5,0))),"Criar",IF(FV10="","",VLOOKUP(($AY10&amp;FV10&amp;"Template desconto FLAT Plano Principal Oi TV nível conta"),[1]BENEFICIOS!$A:$G,5,0)))</f>
        <v/>
      </c>
      <c r="FX10" s="129"/>
      <c r="FY10" s="127" t="str">
        <f>IF(FX10=0,"",IF(FX10=VLOOKUP("PCS-OzTL48",[1]ARBOR!$A:$C,3,0),0.0001,IF(FX10&gt;VLOOKUP("PCS-OzTL48",[1]ARBOR!$A:$C,3,0),"Maior que CAP!",IF((DOLLAR(FX10+(VLOOKUP("PCS-OzTL48",[1]ARBOR!$A:$C,3,0)*-TRUNC(FX10/VLOOKUP("PCS-OzTL48",[1]ARBOR!$A:$C,3,0)-1,4)),6))&lt;&gt;(DOLLAR(VLOOKUP("PCS-OzTL48",[1]ARBOR!$A:$C,3,0),6)),-TRUNC(FX10/VLOOKUP("PCS-OzTL48",[1]ARBOR!$A:$C,3,0)-1,4)+0.0001,-TRUNC(FX10/VLOOKUP("PCS-OzTL48",[1]ARBOR!$A:$C,3,0)-1,4)))))</f>
        <v/>
      </c>
      <c r="FZ10" s="204" t="str">
        <f>IF(ISERROR(IF(FY10="","",VLOOKUP(($AY10&amp;FY10&amp;"Template desconto FLAT Plano Principal Oi TV nível conta"),[1]BENEFICIOS!$A:$G,5,0))),"Criar",IF(FY10="","",VLOOKUP(($AY10&amp;FY10&amp;"Template desconto FLAT Plano Principal Oi TV nível conta"),[1]BENEFICIOS!$A:$G,5,0)))</f>
        <v/>
      </c>
      <c r="GA10" s="129"/>
      <c r="GB10" s="127" t="str">
        <f>IF(GA10=0,"",IF(GA10=VLOOKUP("PCS-OzTL742",[1]ARBOR!$A:$C,3,0),0.0001,IF(GA10&gt;VLOOKUP("PCS-OzTL742",[1]ARBOR!$A:$C,3,0),"Maior que CAP!",IF((DOLLAR(GA10+(VLOOKUP("PCS-OzTL742",[1]ARBOR!$A:$C,3,0)*-TRUNC(GA10/VLOOKUP("PCS-OzTL742",[1]ARBOR!$A:$C,3,0)-1,4)),6))&lt;&gt;(DOLLAR(VLOOKUP("PCS-OzTL742",[1]ARBOR!$A:$C,3,0),6)),-TRUNC(GA10/VLOOKUP("PCS-OzTL742",[1]ARBOR!$A:$C,3,0)-1,4)+0.0001,-TRUNC(GA10/VLOOKUP("PCS-OzTL742",[1]ARBOR!$A:$C,3,0)-1,4)))))</f>
        <v/>
      </c>
      <c r="GC10" s="204" t="str">
        <f>IF(ISERROR(IF(GB10="","",VLOOKUP(($AY10&amp;GB10&amp;"Template desconto FLAT Plano Principal Oi TV nível conta"),[1]BENEFICIOS!$A:$G,5,0))),"Criar",IF(GB10="","",VLOOKUP(($AY10&amp;GB10&amp;"Template desconto FLAT Plano Principal Oi TV nível conta"),[1]BENEFICIOS!$A:$G,5,0)))</f>
        <v/>
      </c>
      <c r="GD10" s="129"/>
      <c r="GE10" s="127" t="str">
        <f>IF(GD10=0,"",IF(GD10=VLOOKUP("PCS-OzTL747",[1]ARBOR!$A:$C,3,0),0.0001,IF(GD10&gt;VLOOKUP("PCS-OzTL747",[1]ARBOR!$A:$C,3,0),"Maior que CAP!",IF((DOLLAR(GD10+(VLOOKUP("PCS-OzTL747",[1]ARBOR!$A:$C,3,0)*-TRUNC(GD10/VLOOKUP("PCS-OzTL747",[1]ARBOR!$A:$C,3,0)-1,4)),6))&lt;&gt;(DOLLAR(VLOOKUP("PCS-OzTL747",[1]ARBOR!$A:$C,3,0),6)),-TRUNC(GD10/VLOOKUP("PCS-OzTL747",[1]ARBOR!$A:$C,3,0)-1,4)+0.0001,-TRUNC(GD10/VLOOKUP("PCS-OzTL747",[1]ARBOR!$A:$C,3,0)-1,4)))))</f>
        <v/>
      </c>
      <c r="GF10" s="204" t="str">
        <f>IF(ISERROR(IF(GE10="","",VLOOKUP(($AY10&amp;GE10&amp;"Template desconto FLAT Plano Principal Oi TV nível conta"),[1]BENEFICIOS!$A:$G,5,0))),"Criar",IF(GE10="","",VLOOKUP(($AY10&amp;GE10&amp;"Template desconto FLAT Plano Principal Oi TV nível conta"),[1]BENEFICIOS!$A:$G,5,0)))</f>
        <v/>
      </c>
      <c r="GG10" s="129"/>
      <c r="GH10" s="127" t="str">
        <f>IF(GG10=0,"",IF(GG10=VLOOKUP("PCS-OzTL746",[1]ARBOR!$A:$C,3,0),0.0001,IF(GG10&gt;VLOOKUP("PCS-OzTL746",[1]ARBOR!$A:$C,3,0),"Maior que CAP!",IF((DOLLAR(GG10+(VLOOKUP("PCS-OzTL746",[1]ARBOR!$A:$C,3,0)*-TRUNC(GG10/VLOOKUP("PCS-OzTL746",[1]ARBOR!$A:$C,3,0)-1,4)),6))&lt;&gt;(DOLLAR(VLOOKUP("PCS-OzTL746",[1]ARBOR!$A:$C,3,0),6)),-TRUNC(GG10/VLOOKUP("PCS-OzTL746",[1]ARBOR!$A:$C,3,0)-1,4)+0.0001,-TRUNC(GG10/VLOOKUP("PCS-OzTL746",[1]ARBOR!$A:$C,3,0)-1,4)))))</f>
        <v/>
      </c>
      <c r="GI10" s="204" t="str">
        <f>IF(ISERROR(IF(GH10="","",VLOOKUP(($AY10&amp;GH10&amp;"Template desconto FLAT Plano Principal Oi TV nível conta"),[1]BENEFICIOS!$A:$G,5,0))),"Criar",IF(GH10="","",VLOOKUP(($AY10&amp;GH10&amp;"Template desconto FLAT Plano Principal Oi TV nível conta"),[1]BENEFICIOS!$A:$G,5,0)))</f>
        <v/>
      </c>
      <c r="GJ10" s="129"/>
      <c r="GK10" s="127" t="str">
        <f>IF(GJ10=0,"",IF(GJ10=VLOOKUP("PCS-OzTL748",[1]ARBOR!$A:$C,3,0),0.0001,IF(GJ10&gt;VLOOKUP("PCS-OzTL748",[1]ARBOR!$A:$C,3,0),"Maior que CAP!",IF((DOLLAR(GJ10+(VLOOKUP("PCS-OzTL748",[1]ARBOR!$A:$C,3,0)*-TRUNC(GJ10/VLOOKUP("PCS-OzTL748",[1]ARBOR!$A:$C,3,0)-1,4)),6))&lt;&gt;(DOLLAR(VLOOKUP("PCS-OzTL748",[1]ARBOR!$A:$C,3,0),6)),-TRUNC(GJ10/VLOOKUP("PCS-OzTL748",[1]ARBOR!$A:$C,3,0)-1,4)+0.0001,-TRUNC(GJ10/VLOOKUP("PCS-OzTL748",[1]ARBOR!$A:$C,3,0)-1,4)))))</f>
        <v/>
      </c>
      <c r="GL10" s="204" t="str">
        <f>IF(ISERROR(IF(GK10="","",VLOOKUP(($AY10&amp;GK10&amp;"Template desconto FLAT Plano Principal Oi TV nível conta"),[1]BENEFICIOS!$A:$G,5,0))),"Criar",IF(GK10="","",VLOOKUP(($AY10&amp;GK10&amp;"Template desconto FLAT Plano Principal Oi TV nível conta"),[1]BENEFICIOS!$A:$G,5,0)))</f>
        <v/>
      </c>
      <c r="GM10" s="129">
        <v>75</v>
      </c>
      <c r="GN10" s="127">
        <f>IF(GM10=0,"",IF(GM10=VLOOKUP("PCS-OzTL34",[1]ARBOR!$A:$C,3,0),0.0001,IF(GM10&gt;VLOOKUP("PCS-OzTL34",[1]ARBOR!$A:$C,3,0),"Maior que CAP!",IF((DOLLAR(GM10+(VLOOKUP("PCS-OzTL34",[1]ARBOR!$A:$C,3,0)*-TRUNC(GM10/VLOOKUP("PCS-OzTL34",[1]ARBOR!$A:$C,3,0)-1,4)),6))&lt;&gt;(DOLLAR(VLOOKUP("PCS-OzTL34",[1]ARBOR!$A:$C,3,0),6)),-TRUNC(GM10/VLOOKUP("PCS-OzTL34",[1]ARBOR!$A:$C,3,0)-1,4)+0.0001,-TRUNC(GM10/VLOOKUP("PCS-OzTL34",[1]ARBOR!$A:$C,3,0)-1,4)))))</f>
        <v>0.31900000000000001</v>
      </c>
      <c r="GO10" s="204" t="s">
        <v>161</v>
      </c>
      <c r="GP10" s="129">
        <v>19.899999999999999</v>
      </c>
      <c r="GQ10" s="127">
        <f>IF(GP10=0,"",IF(GP10=VLOOKUP("PCS-OzTL31",[1]ARBOR!$A:$C,3,0),0.0001,IF(GP10&gt;VLOOKUP("PCS-OzTL31",[1]ARBOR!$A:$C,3,0),"Maior que CAP!",IF((DOLLAR(GP10+(VLOOKUP("PCS-OzTL31",[1]ARBOR!$A:$C,3,0)*-TRUNC(GP10/VLOOKUP("PCS-OzTL31",[1]ARBOR!$A:$C,3,0)-1,4)),6))&lt;&gt;(DOLLAR(VLOOKUP("PCS-OzTL31",[1]ARBOR!$A:$C,3,0),6)),-TRUNC(GP10/VLOOKUP("PCS-OzTL31",[1]ARBOR!$A:$C,3,0)-1,4)+0.0001,-TRUNC(GP10/VLOOKUP("PCS-OzTL31",[1]ARBOR!$A:$C,3,0)-1,4)))))</f>
        <v>9.1800000000000007E-2</v>
      </c>
      <c r="GR10" s="204" t="s">
        <v>162</v>
      </c>
      <c r="GS10" s="129">
        <v>19.899999999999999</v>
      </c>
      <c r="GT10" s="127">
        <f>IF(GS10=0,"",IF(GS10=VLOOKUP("PCS-OzTL32",[1]ARBOR!$A:$C,3,0),0.0001,IF(GS10&gt;VLOOKUP("PCS-OzTL32",[1]ARBOR!$A:$C,3,0),"Maior que CAP!",IF((DOLLAR(GS10+(VLOOKUP("PCS-OzTL32",[1]ARBOR!$A:$C,3,0)*-TRUNC(GS10/VLOOKUP("PCS-OzTL32",[1]ARBOR!$A:$C,3,0)-1,4)),6))&lt;&gt;(DOLLAR(VLOOKUP("PCS-OzTL32",[1]ARBOR!$A:$C,3,0),6)),-TRUNC(GS10/VLOOKUP("PCS-OzTL32",[1]ARBOR!$A:$C,3,0)-1,4)+0.0001,-TRUNC(GS10/VLOOKUP("PCS-OzTL32",[1]ARBOR!$A:$C,3,0)-1,4)))))</f>
        <v>9.1800000000000007E-2</v>
      </c>
      <c r="GU10" s="204" t="s">
        <v>163</v>
      </c>
      <c r="GV10" s="129">
        <v>29.9</v>
      </c>
      <c r="GW10" s="127">
        <f>IF(GV10=0,"",IF(GV10=VLOOKUP("PCS-OzTL33",[1]ARBOR!$A:$C,3,0),0.0001,IF(GV10&gt;VLOOKUP("PCS-OzTL33",[1]ARBOR!$A:$C,3,0),"Maior que CAP!",IF((DOLLAR(GV10+(VLOOKUP("PCS-OzTL33",[1]ARBOR!$A:$C,3,0)*-TRUNC(GV10/VLOOKUP("PCS-OzTL33",[1]ARBOR!$A:$C,3,0)-1,4)),6))&lt;&gt;(DOLLAR(VLOOKUP("PCS-OzTL33",[1]ARBOR!$A:$C,3,0),6)),-TRUNC(GV10/VLOOKUP("PCS-OzTL33",[1]ARBOR!$A:$C,3,0)-1,4)+0.0001,-TRUNC(GV10/VLOOKUP("PCS-OzTL33",[1]ARBOR!$A:$C,3,0)-1,4)))))</f>
        <v>9.1800000000000007E-2</v>
      </c>
      <c r="GX10" s="204" t="s">
        <v>164</v>
      </c>
      <c r="GY10" s="129">
        <v>14.9</v>
      </c>
      <c r="GZ10" s="127">
        <f>IF(GY10=0,"",IF(GY10=VLOOKUP("PCS-OzTL503",[1]ARBOR!$A:$C,3,0),0.0001,IF(GY10&gt;VLOOKUP("PCS-OzTL503",[1]ARBOR!$A:$C,3,0),"Maior que CAP!",IF((DOLLAR(GY10+(VLOOKUP("PCS-OzTL503",[1]ARBOR!$A:$C,3,0)*-TRUNC(GY10/VLOOKUP("PCS-OzTL503",[1]ARBOR!$A:$C,3,0)-1,4)),6))&lt;&gt;(DOLLAR(VLOOKUP("PCS-OzTL503",[1]ARBOR!$A:$C,3,0),6)),-TRUNC(GY10/VLOOKUP("PCS-OzTL503",[1]ARBOR!$A:$C,3,0)-1,4)+0.0001,-TRUNC(GY10/VLOOKUP("PCS-OzTL503",[1]ARBOR!$A:$C,3,0)-1,4)))))</f>
        <v>9.1499999999999998E-2</v>
      </c>
      <c r="HA10" s="204" t="s">
        <v>165</v>
      </c>
      <c r="HB10" s="129">
        <v>10</v>
      </c>
      <c r="HC10" s="127">
        <f>IF(HB10=0,"",IF(HB10=VLOOKUP("PCS-OzTL500",[1]ARBOR!$A:$C,3,0),0.0001,IF(HB10&gt;VLOOKUP("PCS-OzTL500",[1]ARBOR!$A:$C,3,0),"Maior que CAP!",IF((DOLLAR(HB10+(VLOOKUP("PCS-OzTL500",[1]ARBOR!$A:$C,3,0)*-TRUNC(HB10/VLOOKUP("PCS-OzTL500",[1]ARBOR!$A:$C,3,0)-1,4)),6))&lt;&gt;(DOLLAR(VLOOKUP("PCS-OzTL500",[1]ARBOR!$A:$C,3,0),6)),-TRUNC(HB10/VLOOKUP("PCS-OzTL500",[1]ARBOR!$A:$C,3,0)-1,4)+0.0001,-TRUNC(HB10/VLOOKUP("PCS-OzTL500",[1]ARBOR!$A:$C,3,0)-1,4)))))</f>
        <v>9.1800000000000007E-2</v>
      </c>
      <c r="HD10" s="204" t="s">
        <v>166</v>
      </c>
      <c r="HE10" s="129" t="s">
        <v>167</v>
      </c>
      <c r="HF10" s="127"/>
      <c r="HG10" s="204"/>
      <c r="HH10" s="129" t="s">
        <v>168</v>
      </c>
      <c r="HI10" s="127"/>
      <c r="HJ10" s="204"/>
      <c r="HK10" s="129" t="s">
        <v>169</v>
      </c>
      <c r="HL10" s="127"/>
      <c r="HM10" s="204"/>
      <c r="HN10" s="129" t="s">
        <v>170</v>
      </c>
      <c r="HO10" s="127"/>
      <c r="HP10" s="204"/>
      <c r="HQ10" s="129" t="s">
        <v>171</v>
      </c>
      <c r="HR10" s="127"/>
      <c r="HS10" s="204"/>
      <c r="HT10" s="129">
        <v>24.9</v>
      </c>
      <c r="HU10" s="127">
        <f>IF(HT10=0,"",IF(HT10=VLOOKUP("PCS-OzTL99",[1]ARBOR!$A:$C,3,0),0.0001,IF(HT10&gt;VLOOKUP("PCS-OzTL99",[1]ARBOR!$A:$C,3,0),"Maior que CAP!",IF((DOLLAR(HT10+(VLOOKUP("PCS-OzTL99",[1]ARBOR!$A:$C,3,0)*-TRUNC(HT10/VLOOKUP("PCS-OzTL99",[1]ARBOR!$A:$C,3,0)-1,4)),6))&lt;&gt;(DOLLAR(VLOOKUP("PCS-OzTL99",[1]ARBOR!$A:$C,3,0),6)),-TRUNC(HT10/VLOOKUP("PCS-OzTL99",[1]ARBOR!$A:$C,3,0)-1,4)+0.0001,-TRUNC(HT10/VLOOKUP("PCS-OzTL99",[1]ARBOR!$A:$C,3,0)-1,4)))))</f>
        <v>0.16729999999999998</v>
      </c>
      <c r="HV10" s="205" t="s">
        <v>172</v>
      </c>
      <c r="HW10" s="196" t="s">
        <v>149</v>
      </c>
      <c r="HX10" s="204" t="str">
        <f t="shared" si="4"/>
        <v>PCS-34704</v>
      </c>
      <c r="HY10" s="206" t="str">
        <f>IFERROR((IF(AZ10="","",VLOOKUP(AZ10,[1]ARBOR!A:C,3,0))),"")</f>
        <v/>
      </c>
      <c r="HZ10" s="207"/>
      <c r="IA10" s="184" t="str">
        <f>IF(HZ10="","",ROUND(1-(HZ10/VLOOKUP(AZ10&amp;"ASS",[1]ARBOR!A:C,3,0)),4))</f>
        <v/>
      </c>
      <c r="IB10" s="184"/>
      <c r="IC10" s="208"/>
      <c r="ID10" s="209"/>
      <c r="IE10" s="127" t="str">
        <f>IF(ID10="","",ROUND(IF(ID10=0,"",IF(ID10=HY10,0.0001,1-((ID10+(VLOOKUP(AZ10&amp;"ASS",[1]ARBOR!A:C,3,0)-HZ10))/HY10))),4))</f>
        <v/>
      </c>
      <c r="IF10" s="127" t="str">
        <f>IF(ISERROR(IF(IE10="","",VLOOKUP(($AY10&amp;IE10&amp;"Template de desconto percentual FLAT Móvel - Conta Total - Varejo - Ganho Tributário Cross"),[1]BENEFICIOS!$A:$E,5,0))),"Criar",IF(IE10="","",VLOOKUP(($AY10&amp;IE10&amp;"Template de desconto percentual FLAT Móvel - Conta Total - Varejo - Ganho Tributário Cross"),[1]BENEFICIOS!$A:$E,5,0)))</f>
        <v/>
      </c>
      <c r="IG10" s="193"/>
      <c r="IH10" s="127"/>
      <c r="II10" s="210"/>
      <c r="IJ10" s="211"/>
      <c r="IK10" s="127"/>
      <c r="IL10" s="127"/>
      <c r="IM10" s="212"/>
      <c r="IN10" s="212"/>
      <c r="IO10" s="213"/>
      <c r="IP10" s="214" t="str">
        <f>IF(IO10=0,"",IF(IO10=VLOOKUP("PCS-813566",[1]ARBOR!$A:$C,3,0),0.0001,IF(IO10&gt;VLOOKUP("PCS-813566",[1]ARBOR!$A:$C,3,0),"Maior que CAP!",ROUND(-1*(IO10/VLOOKUP("PCS-813566",[1]ARBOR!$A:$C,3,0)-1),4))))</f>
        <v/>
      </c>
      <c r="IQ10" s="215" t="str">
        <f>IF(ISERROR(IF(IP10="","",VLOOKUP(("Oi Internet Pra Celular 300MB"&amp;IP10&amp;"Template Flat Instância Dados"),[1]BENEFICIOS!$A:$E,5,0))),"Criar",IF(IP10="","",VLOOKUP(("Oi Internet Pra Celular 300MB"&amp;IP10&amp;"Template Flat Instância Dados"),[1]BENEFICIOS!$A:$E,5,0)))</f>
        <v/>
      </c>
      <c r="IR10" s="216"/>
      <c r="IS10" s="217" t="str">
        <f>IF(IR10=0,"",IF(IR10=VLOOKUP("sva_bancas",[1]ARBOR!$A:$C,3,0),0.0001,IF(IR10&gt;VLOOKUP("sva_livros",[1]ARBOR!$A:$C,3,0),"Maior que CAP!",ROUND(-1*(IR10/VLOOKUP("sva_bancas",[1]ARBOR!$A:$C,3,0)-1),4))))</f>
        <v/>
      </c>
      <c r="IT10" s="218" t="str">
        <f>IF(ISERROR(IF(IS10="","",VLOOKUP(("Oi Internet Pra Celular 300MB"&amp;IS10&amp;"Template Desconto % SVA DADOS B2C"),[1]BENEFICIOS!$A:$E,5,0))),"Criar",IF(IS10="","",VLOOKUP(("Oi Internet Pra Celular 300MB"&amp;IS10&amp;"Template Desconto % SVA DADOS B2C"),[1]BENEFICIOS!$A:$E,5,0)))</f>
        <v/>
      </c>
      <c r="IU10" s="213"/>
      <c r="IV10" s="214" t="str">
        <f>IF(IU10=0,"",IF(IU10=VLOOKUP("PCS-813564",[1]ARBOR!$A:$C,3,0),0.0001,IF(IU10&gt;VLOOKUP("PCS-813564",[1]ARBOR!$A:$C,3,0),"Maior que CAP!",ROUND(-1*(IU10/VLOOKUP("PCS-813564",[1]ARBOR!$A:$C,3,0)-1),4))))</f>
        <v/>
      </c>
      <c r="IW10" s="215" t="str">
        <f>IF(ISERROR(IF(IV10="","",VLOOKUP(("Oi Internet Pra Celular 500MB"&amp;IV10&amp;"Template Flat Instância Dados"),[1]BENEFICIOS!$A:$E,5,0))),"Criar",IF(IV10="","",VLOOKUP(("Oi Internet Pra Celular 500MB"&amp;IV10&amp;"Template Flat Instância Dados"),[1]BENEFICIOS!$A:$E,5,0)))</f>
        <v/>
      </c>
      <c r="IX10" s="216"/>
      <c r="IY10" s="217" t="str">
        <f>IF(IX10=0,"",IF(IX10=VLOOKUP("sva_livros",[1]ARBOR!$A:$C,3,0),0.0001,IF(IX10&gt;VLOOKUP("sva_livros",[1]ARBOR!$A:$C,3,0),"Maior que CAP!",ROUND(-1*(IX10/VLOOKUP("sva_livros",[1]ARBOR!$A:$C,3,0)-1),4))))</f>
        <v/>
      </c>
      <c r="IZ10" s="218" t="str">
        <f>IF(ISERROR(IF(IY10="","",VLOOKUP(("Oi Internet Pra Celular 500MB"&amp;IY10&amp;"Template Desconto % SVA DADOS B2C"),[1]BENEFICIOS!$A:$E,5,0))),"Criar",IF(IY10="","",VLOOKUP(("Oi Internet Pra Celular 500MB"&amp;IY10&amp;"Template Desconto % SVA DADOS B2C"),[1]BENEFICIOS!$A:$E,5,0)))</f>
        <v/>
      </c>
      <c r="JA10" s="213"/>
      <c r="JB10" s="214" t="str">
        <f>IF(JA10=0,"",IF(JA10=VLOOKUP("PCS-10357",[1]ARBOR!$A:$C,3,0),0.0001,IF(JA10&gt;VLOOKUP("PCS-10357",[1]ARBOR!$A:$C,3,0),"Maior que CAP!",ROUND(-1*(JA10/VLOOKUP("PCS-10357",[1]ARBOR!$A:$C,3,0)-1),4))))</f>
        <v/>
      </c>
      <c r="JC10" s="215" t="str">
        <f>IF(ISERROR(IF(JB10="","",VLOOKUP(("Oi Internet Pra Celular 1GB"&amp;JB10&amp;"Template Flat Instância Dados"),[1]BENEFICIOS!$A:$E,5,0))),"Criar",IF(JB10="","",VLOOKUP(("Oi Internet Pra Celular 1GB"&amp;JB10&amp;"Template Flat Instância Dados"),[1]BENEFICIOS!$A:$E,5,0)))</f>
        <v/>
      </c>
      <c r="JD10" s="216"/>
      <c r="JE10" s="217" t="str">
        <f>IF(JD10=0,"",IF(JD10=VLOOKUP("sva_livros",[1]ARBOR!$A:$C,3,0),0.0001,IF(JD10&gt;VLOOKUP("sva_livros",[1]ARBOR!$A:$C,3,0),"Maior que CAP!",ROUND(-1*(JD10/VLOOKUP("sva_livros",[1]ARBOR!$A:$C,3,0)-1),4))))</f>
        <v/>
      </c>
      <c r="JF10" s="218" t="str">
        <f>IF(ISERROR(IF(JE10="","",VLOOKUP(("Oi Internet Pra Celular 1GB"&amp;JE10&amp;"Template Desconto % SVA DADOS B2C"),[1]BENEFICIOS!$A:$E,5,0))),"Criar",IF(JE10="","",VLOOKUP(("Oi Internet Pra Celular 1GB"&amp;JE10&amp;"Template Desconto % SVA DADOS B2C"),[1]BENEFICIOS!$A:$E,5,0)))</f>
        <v/>
      </c>
      <c r="JG10" s="213"/>
      <c r="JH10" s="214" t="str">
        <f>IF(JG10=0,"",IF(JG10=VLOOKUP("PCS-813565",[1]ARBOR!$A:$C,3,0),0.0001,IF(JG10&gt;VLOOKUP("PCS-813565",[1]ARBOR!$A:$C,3,0),"Maior que CAP!",ROUND(-1*(JG10/VLOOKUP("PCS-813565",[1]ARBOR!$A:$C,3,0)-1),4))))</f>
        <v/>
      </c>
      <c r="JI10" s="215" t="str">
        <f>IF(ISERROR(IF(JH10="","",VLOOKUP(("Oi Internet Pra Celular 2GB"&amp;JH10&amp;"Template Flat Instância Dados"),[1]BENEFICIOS!$A:$E,5,0))),"Criar",IF(JH10="","",VLOOKUP(("Oi Internet Pra Celular 2GB"&amp;JH10&amp;"Template Flat Instância Dados"),[1]BENEFICIOS!$A:$E,5,0)))</f>
        <v/>
      </c>
      <c r="JJ10" s="216"/>
      <c r="JK10" s="217" t="str">
        <f>IF(JJ10=0,"",IF(JJ10=VLOOKUP("sva_livros",[1]ARBOR!$A:$C,3,0),0.0001,IF(JJ10&gt;VLOOKUP("sva_livros",[1]ARBOR!$A:$C,3,0),"Maior que CAP!",ROUND(-1*(JJ10/VLOOKUP("sva_livros",[1]ARBOR!$A:$C,3,0)-1),4))))</f>
        <v/>
      </c>
      <c r="JL10" s="218" t="str">
        <f>IF(ISERROR(IF(JK10="","",VLOOKUP(("Oi Internet Pra Celular 2GB"&amp;JK10&amp;"Template Desconto % SVA DADOS B2C"),[1]BENEFICIOS!$A:$E,5,0))),"Criar",IF(JK10="","",VLOOKUP(("Oi Internet Pra Celular 2GB"&amp;JK10&amp;"Template Desconto % SVA DADOS B2C"),[1]BENEFICIOS!$A:$E,5,0)))</f>
        <v/>
      </c>
      <c r="JM10" s="213"/>
      <c r="JN10" s="214" t="str">
        <f>IF(JM10=0,"",IF(JM10=VLOOKUP("PCS-7171B",[1]ARBOR!$A:$C,3,0),0.0001,IF(JM10&gt;VLOOKUP("PCS-7171B",[1]ARBOR!$A:$C,3,0),"Maior que CAP!",ROUND(-1*(JM10/VLOOKUP("PCS-7171B",[1]ARBOR!$A:$C,3,0)-1),4))))</f>
        <v/>
      </c>
      <c r="JO10" s="215" t="str">
        <f>IF(ISERROR(IF(JN10="","",VLOOKUP(("Oi Internet Pra Celular 3GB"&amp;JN10&amp;"Template Flat Instância Dados"),[1]BENEFICIOS!$A:$E,5,0))),"Criar",IF(JN10="","",VLOOKUP(("Oi Internet Pra Celular 3GB"&amp;JN10&amp;"Template Flat Instância Dados"),[1]BENEFICIOS!$A:$E,5,0)))</f>
        <v/>
      </c>
      <c r="JP10" s="216"/>
      <c r="JQ10" s="217" t="str">
        <f>IF(JP10=0,"",IF(JP10=VLOOKUP("sva_livros",[1]ARBOR!$A:$C,3,0),0.0001,IF(JP10&gt;VLOOKUP("sva_livros",[1]ARBOR!$A:$C,3,0),"Maior que CAP!",ROUND(-1*(JP10/VLOOKUP("sva_livros",[1]ARBOR!$A:$C,3,0)-1),4))))</f>
        <v/>
      </c>
      <c r="JR10" s="218" t="str">
        <f>IF(ISERROR(IF(JQ10="","",VLOOKUP(("Oi Internet Pra Celular 3GB"&amp;JQ10&amp;"Template Desconto % SVA DADOS B2C"),[1]BENEFICIOS!$A:$E,5,0))),"Criar",IF(JQ10="","",VLOOKUP(("Oi Internet Pra Celular 3GB"&amp;JQ10&amp;"Template Desconto % SVA DADOS B2C"),[1]BENEFICIOS!$A:$E,5,0)))</f>
        <v/>
      </c>
      <c r="JS10" s="213"/>
      <c r="JT10" s="214" t="str">
        <f>IF(JS10=0,"",IF(JS10=VLOOKUP("PCS-51793o08",[1]ARBOR!$A:$C,3,0),0.0001,IF(JS10&gt;VLOOKUP("PCS-51793o08",[1]ARBOR!$A:$C,3,0),"Maior que CAP!",ROUND(-1*(JS10/VLOOKUP("PCS-51793o08",[1]ARBOR!$A:$C,3,0)-1),4))))</f>
        <v/>
      </c>
      <c r="JU10" s="215" t="str">
        <f>IF(ISERROR(IF(JT10="","",VLOOKUP(("Oi Internet Pra Celular 5GB"&amp;JT10&amp;"Template Flat Instância Dados"),[1]BENEFICIOS!$A:$E,5,0))),"Criar",IF(JT10="","",VLOOKUP(("Oi Internet Pra Celular 5GB"&amp;JT10&amp;"Template Flat Instância Dados"),[1]BENEFICIOS!$A:$E,5,0)))</f>
        <v/>
      </c>
      <c r="JV10" s="216"/>
      <c r="JW10" s="217" t="str">
        <f>IF(JV10=0,"",IF(JV10=VLOOKUP("sva_curtas",[1]ARBOR!$A:$C,3,0),0.0001,IF(JV10&gt;VLOOKUP("sva_curtas",[1]ARBOR!$A:$C,3,0),"Maior que CAP!",ROUND(-1*(JV10/VLOOKUP("sva_curtas",[1]ARBOR!$A:$C,3,0)-1),4))))</f>
        <v/>
      </c>
      <c r="JX10" s="218" t="str">
        <f>IF(ISERROR(IF(JW10="","",VLOOKUP(("Oi Internet Pra Celular 5GB"&amp;JW10&amp;"Template Desconto % SVA DADOS B2C"),[1]BENEFICIOS!$A:$E,5,0))),"Criar",IF(JW10="","",VLOOKUP(("Oi Internet Pra Celular 5GB"&amp;JW10&amp;"Template Desconto % SVA DADOS B2C"),[1]BENEFICIOS!$A:$E,5,0)))</f>
        <v/>
      </c>
      <c r="JY10" s="213"/>
      <c r="JZ10" s="214" t="str">
        <f>IF(JY10=0,"",IF(JY10=VLOOKUP("PCS-7171A",[1]ARBOR!$A:$C,3,0),0.0001,IF(JY10&gt;VLOOKUP("PCS-7171A",[1]ARBOR!$A:$C,3,0),"Maior que CAP!",ROUND(-1*(JY10/VLOOKUP("PCS-7171A",[1]ARBOR!$A:$C,3,0)-1),4))))</f>
        <v/>
      </c>
      <c r="KA10" s="219" t="str">
        <f>IF(ISERROR(IF(JZ10="","",VLOOKUP(("Oi Internet Pra Celular 10GB"&amp;JZ10&amp;"Template Flat Instância Dados"),[1]BENEFICIOS!$A:$E,5,0))),"Criar",IF(JZ10="","",VLOOKUP(("Oi Internet Pra Celular 10GB"&amp;JZ10&amp;"Template Flat Instância Dados"),[1]BENEFICIOS!$A:$E,5,0)))</f>
        <v/>
      </c>
      <c r="KB10" s="216"/>
      <c r="KC10" s="217" t="str">
        <f>IF(KB10=0,"",IF(KB10=VLOOKUP("sva_curtas",[1]ARBOR!$A:$C,3,0),0.0001,IF(KB10&gt;VLOOKUP("sva_curtas",[1]ARBOR!$A:$C,3,0),"Maior que CAP!",ROUND(-1*(KB10/VLOOKUP("sva_curtas",[1]ARBOR!$A:$C,3,0)-1),4))))</f>
        <v/>
      </c>
      <c r="KD10" s="218" t="str">
        <f>IF(ISERROR(IF(KC10="","",VLOOKUP(("Oi Internet Pra Celular 10GB"&amp;KC10&amp;"Template Desconto % SVA DADOS B2C"),[1]BENEFICIOS!$A:$E,5,0))),"Criar",IF(KC10="","",VLOOKUP(("Oi Internet Pra Celular 10GB"&amp;KC10&amp;"Template Desconto % SVA DADOS B2C"),[1]BENEFICIOS!$A:$E,5,0)))</f>
        <v/>
      </c>
      <c r="KE10" s="220"/>
      <c r="KF10" s="221"/>
      <c r="KG10" s="222" t="s">
        <v>149</v>
      </c>
      <c r="KH10" s="223" t="s">
        <v>173</v>
      </c>
      <c r="KI10" s="224">
        <v>699</v>
      </c>
      <c r="KJ10" s="223">
        <v>12</v>
      </c>
      <c r="KK10" s="225" t="str">
        <f t="shared" si="5"/>
        <v>Oi benefício fidelização Multiprodutos</v>
      </c>
      <c r="KL10" s="226" t="str">
        <f t="shared" si="6"/>
        <v>PCS-Fk83324</v>
      </c>
      <c r="KM10" s="226" t="str">
        <f t="shared" si="7"/>
        <v>PCS-SBL553142</v>
      </c>
      <c r="KN10" s="227" t="s">
        <v>174</v>
      </c>
      <c r="KO10" s="228" t="s">
        <v>175</v>
      </c>
      <c r="KP10" s="228" t="s">
        <v>176</v>
      </c>
      <c r="KQ10" s="227" t="s">
        <v>177</v>
      </c>
      <c r="KR10" s="225" t="s">
        <v>178</v>
      </c>
      <c r="KS10" s="226" t="s">
        <v>179</v>
      </c>
      <c r="KT10" s="229" t="s">
        <v>180</v>
      </c>
      <c r="KU10" s="155" t="s">
        <v>181</v>
      </c>
      <c r="KV10" s="155">
        <v>199.91</v>
      </c>
      <c r="KW10" s="155" t="s">
        <v>181</v>
      </c>
      <c r="KX10" s="155" t="s">
        <v>181</v>
      </c>
      <c r="KY10" s="155" t="s">
        <v>181</v>
      </c>
      <c r="KZ10" s="155" t="s">
        <v>181</v>
      </c>
      <c r="LA10" s="155" t="s">
        <v>181</v>
      </c>
      <c r="LB10" s="155" t="s">
        <v>181</v>
      </c>
      <c r="LC10" s="155" t="s">
        <v>181</v>
      </c>
      <c r="LD10" s="155" t="s">
        <v>181</v>
      </c>
      <c r="LE10" s="155" t="s">
        <v>181</v>
      </c>
      <c r="LF10" s="155" t="s">
        <v>181</v>
      </c>
      <c r="LG10" s="155" t="s">
        <v>181</v>
      </c>
      <c r="LH10" s="155" t="s">
        <v>181</v>
      </c>
      <c r="LI10" s="155" t="s">
        <v>181</v>
      </c>
      <c r="LJ10" s="155" t="s">
        <v>181</v>
      </c>
      <c r="LK10" s="230" t="s">
        <v>181</v>
      </c>
      <c r="LL10" s="238"/>
      <c r="LM10" s="239"/>
      <c r="LN10" s="239"/>
      <c r="LO10" s="239"/>
      <c r="LP10" s="239"/>
      <c r="LQ10" s="239"/>
      <c r="LR10" s="239"/>
      <c r="LS10" s="239"/>
      <c r="LT10" s="239"/>
      <c r="LU10" s="240"/>
      <c r="LV10" t="s">
        <v>202</v>
      </c>
      <c r="LW10" t="s">
        <v>183</v>
      </c>
    </row>
    <row r="11" spans="1:335" x14ac:dyDescent="0.25">
      <c r="A11" s="160" t="s">
        <v>146</v>
      </c>
      <c r="B11" s="161" t="s">
        <v>147</v>
      </c>
      <c r="C11" s="161" t="s">
        <v>148</v>
      </c>
      <c r="D11" s="162" t="s">
        <v>149</v>
      </c>
      <c r="E11" s="163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5"/>
      <c r="Q11" s="165"/>
      <c r="R11" s="165"/>
      <c r="S11" s="166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7"/>
      <c r="AF11" s="164"/>
      <c r="AG11" s="164"/>
      <c r="AH11" s="168"/>
      <c r="AI11" s="235" t="s">
        <v>203</v>
      </c>
      <c r="AJ11" s="85" t="s">
        <v>151</v>
      </c>
      <c r="AK11" s="86" t="s">
        <v>197</v>
      </c>
      <c r="AL11" s="169">
        <v>43039</v>
      </c>
      <c r="AM11" s="170">
        <v>43159</v>
      </c>
      <c r="AN11" s="89" t="s">
        <v>153</v>
      </c>
      <c r="AO11" s="90" t="s">
        <v>153</v>
      </c>
      <c r="AP11" s="171"/>
      <c r="AQ11" s="171" t="s">
        <v>154</v>
      </c>
      <c r="AR11" s="171">
        <v>20</v>
      </c>
      <c r="AS11" s="171">
        <v>10000</v>
      </c>
      <c r="AT11" s="172" t="s">
        <v>155</v>
      </c>
      <c r="AU11" s="173" t="s">
        <v>149</v>
      </c>
      <c r="AV11" s="174" t="s">
        <v>156</v>
      </c>
      <c r="AW11" s="175" t="s">
        <v>156</v>
      </c>
      <c r="AX11" s="176" t="s">
        <v>203</v>
      </c>
      <c r="AY11" s="177" t="s">
        <v>188</v>
      </c>
      <c r="AZ11" s="178" t="str">
        <f>IF(ISERROR(VLOOKUP(AY11,[1]PLANOS!B:C,2,0)),"",VLOOKUP(AY11,[1]PLANOS!B:C,2,0))</f>
        <v>PCS-3PHipi</v>
      </c>
      <c r="BA11" s="179" t="s">
        <v>156</v>
      </c>
      <c r="BB11" s="180" t="str">
        <f t="shared" si="1"/>
        <v/>
      </c>
      <c r="BC11" s="181"/>
      <c r="BD11" s="182"/>
      <c r="BE11" s="183">
        <v>50.11</v>
      </c>
      <c r="BF11" s="127">
        <f>IF(BE11=0,"",IF(BE11=VLOOKUP("FIXO",[1]ARBOR!$A:$C,3,0),0.0001,IF(BE11&gt;VLOOKUP("FIXO",[1]ARBOR!$A:$C,3,0),"Maior que CAP!",IF((DOLLAR(BE11+(VLOOKUP("FIXO",[1]ARBOR!$A:$C,3,0)*-TRUNC(BE11/VLOOKUP("FIXO",[1]ARBOR!$A:$C,3,0)-1,4)),6))&lt;&gt;(DOLLAR(VLOOKUP("FIXO",[1]ARBOR!$A:$C,3,0),6)),-TRUNC(BE11/VLOOKUP("FIXO",[1]ARBOR!$A:$C,3,0)-1,4)+0.0001,-TRUNC(BE11/VLOOKUP("FIXO",[1]ARBOR!$A:$C,3,0)-1,4)))))</f>
        <v>0.33929999999999999</v>
      </c>
      <c r="BG11" s="184"/>
      <c r="BH11" s="127" t="str">
        <f>IF(BG11=0,"",IF(BG11=VLOOKUP("FIXO",[1]ARBOR!$A:$C,3,0),0.0001,IF(BG11&gt;VLOOKUP("FIXO",[1]ARBOR!$A:$C,3,0),"Maior que CAP!",IF((DOLLAR(BG11+(VLOOKUP("FIXO",[1]ARBOR!$A:$C,3,0)*-TRUNC(BG11/VLOOKUP("FIXO",[1]ARBOR!$A:$C,3,0)-1,4)),6))&lt;&gt;(DOLLAR(VLOOKUP("FIXO",[1]ARBOR!$A:$C,3,0),6)),-TRUNC(BG11/VLOOKUP("FIXO",[1]ARBOR!$A:$C,3,0)-1,4)+0.0001,-TRUNC(BG11/VLOOKUP("FIXO",[1]ARBOR!$A:$C,3,0)-1,4)))))</f>
        <v/>
      </c>
      <c r="BI11" s="127" t="str">
        <f>IF(ISERROR(IF(BF11="","",VLOOKUP(($AY11&amp;BF11&amp;"Template de desconto FLAT bundle - Fixo - Varejo - Ganho Tributário Cross"),[1]BENEFICIOS!$A:$E,5,0))),"Criar",IF(BF11="","",VLOOKUP(($AY11&amp;BF11&amp;"Template de desconto FLAT bundle - Fixo - Varejo - Ganho Tributário Cross"),[1]BENEFICIOS!$A:$E,5,0)))</f>
        <v>MKT-1-9825728196</v>
      </c>
      <c r="BJ11" s="185"/>
      <c r="BK11" s="127" t="str">
        <f t="shared" si="2"/>
        <v/>
      </c>
      <c r="BL11" s="186"/>
      <c r="BM11" s="127" t="str">
        <f>IF(BL11=0,"",IF(BL11=VLOOKUP("FIXO",[1]ARBOR!$A:$C,3,0),0.0001,IF(BL11&gt;VLOOKUP("FIXO",[1]ARBOR!$A:$C,3,0),"Maior que CAP!",IF(BF11&lt;&gt;"",-ROUND(BL11/VLOOKUP("FIXO",[1]ARBOR!$A:$C,3,0)-1,4)-BF11,-ROUND(BL11/VLOOKUP("FIXO",[1]ARBOR!$A:$C,3,0)-1,4)))))</f>
        <v/>
      </c>
      <c r="BN11" s="187"/>
      <c r="BO11" s="127" t="str">
        <f>IF(ISERROR(IF(BK11="","",VLOOKUP(($AY11&amp;BK11&amp;"Template de desconto FLAT bundle - Fixo - Varejo - Ganho Tributário Cross"),[1]BENEFICIOS!$A:$E,5,0))),"Criar",IF(BK11="","",VLOOKUP(($AY11&amp;BK11&amp;"Template de desconto FLAT bundle - Fixo - Varejo - Ganho Tributário Cross"),[1]BENEFICIOS!$A:$E,5,0)))</f>
        <v/>
      </c>
      <c r="BP11" s="188" t="s">
        <v>158</v>
      </c>
      <c r="BQ11" s="189" t="s">
        <v>159</v>
      </c>
      <c r="BR11" s="190" t="s">
        <v>156</v>
      </c>
      <c r="BS11" s="191" t="str">
        <f t="shared" si="0"/>
        <v/>
      </c>
      <c r="BT11" s="181"/>
      <c r="BU11" s="192"/>
      <c r="BV11" s="193" t="s">
        <v>198</v>
      </c>
      <c r="BW11" s="194">
        <v>44.9</v>
      </c>
      <c r="BX11" s="127">
        <f>IF(BW11=0,"",IF(BW11=VLOOKUP("PCS-30874g",[1]ARBOR!$A:$C,3,0),0.0001,IF(BW11&gt;VLOOKUP("PCS-30874g",[1]ARBOR!$A:$C,3,0),"Maior que CAP!",IF((DOLLAR(BW11+(VLOOKUP("PCS-30874g",[1]ARBOR!$A:$C,3,0)*-TRUNC(BW11/VLOOKUP("PCS-30874g",[1]ARBOR!$A:$C,3,0)-1,4)),6))&lt;&gt;(DOLLAR(VLOOKUP("PCS-30874g",[1]ARBOR!$A:$C,3,0),6)),-TRUNC(BW11/VLOOKUP("PCS-30874g",[1]ARBOR!$A:$C,3,0)-1,4)+0.0001,-TRUNC(BW11/VLOOKUP("PCS-30874g",[1]ARBOR!$A:$C,3,0)-1,4)))))</f>
        <v>0.53679999999999994</v>
      </c>
      <c r="BY11" s="189" t="str">
        <f>IF(ISERROR(IF(BX11="","",VLOOKUP(($AY11&amp;BX11&amp;"Template de desconto FLAT bundle - Velox XDSL - Varejo"),[1]BENEFICIOS!$A:$E,5,0))),"Criar",IF(BX11="","",VLOOKUP(($AY11&amp;BX11&amp;"Template de desconto FLAT bundle - Velox XDSL - Varejo"),[1]BENEFICIOS!$A:$E,5,0)))</f>
        <v>MKT-1-9829477373</v>
      </c>
      <c r="BZ11" s="193" t="s">
        <v>198</v>
      </c>
      <c r="CA11" s="194">
        <v>44.9</v>
      </c>
      <c r="CB11" s="127">
        <f>IF(CA11=0,"",IF(CA11=VLOOKUP("PCS-30577g",[1]ARBOR!$A:$C,3,0),0.0001,IF(CA11&gt;VLOOKUP("PCS-30577g",[1]ARBOR!$A:$C,3,0),"Maior que CAP!",IF((DOLLAR(CA11+(VLOOKUP("PCS-30577g",[1]ARBOR!$A:$C,3,0)*-TRUNC(CA11/VLOOKUP("PCS-30577g",[1]ARBOR!$A:$C,3,0)-1,4)),6))&lt;&gt;(DOLLAR(VLOOKUP("PCS-30577g",[1]ARBOR!$A:$C,3,0),6)),-TRUNC(CA11/VLOOKUP("PCS-30577g",[1]ARBOR!$A:$C,3,0)-1,4)+0.0001,-TRUNC(CA11/VLOOKUP("PCS-30577g",[1]ARBOR!$A:$C,3,0)-1,4)))))</f>
        <v>0.53679999999999994</v>
      </c>
      <c r="CC11" s="189" t="str">
        <f>IF(ISERROR(IF(CB11="","",VLOOKUP(($AY11&amp;CB11&amp;"Template de desconto FLAT bundle - Velox XDSL - Varejo"),[1]BENEFICIOS!$A:$E,5,0))),"Criar",IF(CB11="","",VLOOKUP(($AY11&amp;CB11&amp;"Template de desconto FLAT bundle - Velox XDSL - Varejo"),[1]BENEFICIOS!$A:$E,5,0)))</f>
        <v>MKT-1-9829477373</v>
      </c>
      <c r="CD11" s="193" t="s">
        <v>198</v>
      </c>
      <c r="CE11" s="194">
        <v>44.9</v>
      </c>
      <c r="CF11" s="127">
        <f>IF(CE11=0,"",IF(CE11=VLOOKUP("PCS-30604g",[1]ARBOR!$A:$C,3,0),0.0001,IF(CE11&gt;VLOOKUP("PCS-30604g",[1]ARBOR!$A:$C,3,0),"Maior que CAP!",IF((DOLLAR(CE11+(VLOOKUP("PCS-30604g",[1]ARBOR!$A:$C,3,0)*-TRUNC(CE11/VLOOKUP("PCS-30604g",[1]ARBOR!$A:$C,3,0)-1,4)),6))&lt;&gt;(DOLLAR(VLOOKUP("PCS-30604g",[1]ARBOR!$A:$C,3,0),6)),-TRUNC(CE11/VLOOKUP("PCS-30604g",[1]ARBOR!$A:$C,3,0)-1,4)+0.0001,-TRUNC(CE11/VLOOKUP("PCS-30604g",[1]ARBOR!$A:$C,3,0)-1,4)))))</f>
        <v>0.53679999999999994</v>
      </c>
      <c r="CG11" s="189" t="str">
        <f>IF(ISERROR(IF(CF11="","",VLOOKUP(($AY11&amp;CF11&amp;"Template de desconto FLAT bundle - Velox XDSL - Varejo"),[1]BENEFICIOS!$A:$E,5,0))),"Criar",IF(CF11="","",VLOOKUP(($AY11&amp;CF11&amp;"Template de desconto FLAT bundle - Velox XDSL - Varejo"),[1]BENEFICIOS!$A:$E,5,0)))</f>
        <v>MKT-1-9829477373</v>
      </c>
      <c r="CH11" s="193" t="s">
        <v>198</v>
      </c>
      <c r="CI11" s="194">
        <v>44.9</v>
      </c>
      <c r="CJ11" s="127">
        <f>IF(CI11=0,"",IF(CI11=VLOOKUP("PCS-30631g",[1]ARBOR!$A:$C,3,0),0.0001,IF(CI11&gt;VLOOKUP("PCS-30631g",[1]ARBOR!$A:$C,3,0),"Maior que CAP!",IF((DOLLAR(CI11+(VLOOKUP("PCS-30631g",[1]ARBOR!$A:$C,3,0)*-TRUNC(CI11/VLOOKUP("PCS-30631g",[1]ARBOR!$A:$C,3,0)-1,4)),6))&lt;&gt;(DOLLAR(VLOOKUP("PCS-30631g",[1]ARBOR!$A:$C,3,0),6)),-TRUNC(CI11/VLOOKUP("PCS-30631g",[1]ARBOR!$A:$C,3,0)-1,4)+0.0001,-TRUNC(CI11/VLOOKUP("PCS-30631g",[1]ARBOR!$A:$C,3,0)-1,4)))))</f>
        <v>0.54310000000000003</v>
      </c>
      <c r="CK11" s="189" t="str">
        <f>IF(ISERROR(IF(CJ11="","",VLOOKUP(($AY11&amp;CJ11&amp;"Template de desconto FLAT bundle - Velox XDSL - Varejo"),[1]BENEFICIOS!$A:$E,5,0))),"Criar",IF(CJ11="","",VLOOKUP(($AY11&amp;CJ11&amp;"Template de desconto FLAT bundle - Velox XDSL - Varejo"),[1]BENEFICIOS!$A:$E,5,0)))</f>
        <v>MKT-1-9828219079</v>
      </c>
      <c r="CL11" s="193" t="s">
        <v>86</v>
      </c>
      <c r="CM11" s="194">
        <v>49.9</v>
      </c>
      <c r="CN11" s="127">
        <f>IF(CM11=0,"",IF(CM11=VLOOKUP("PCS-30658g",[1]ARBOR!$A:$C,3,0),0.0001,IF(CM11&gt;VLOOKUP("PCS-30658g",[1]ARBOR!$A:$C,3,0),"Maior que CAP!",IF((DOLLAR(CM11+(VLOOKUP("PCS-30658g",[1]ARBOR!$A:$C,3,0)*-TRUNC(CM11/VLOOKUP("PCS-30658g",[1]ARBOR!$A:$C,3,0)-1,4)),6))&lt;&gt;(DOLLAR(VLOOKUP("PCS-30658g",[1]ARBOR!$A:$C,3,0),6)),-TRUNC(CM11/VLOOKUP("PCS-30658g",[1]ARBOR!$A:$C,3,0)-1,4)+0.0001,-TRUNC(CM11/VLOOKUP("PCS-30658g",[1]ARBOR!$A:$C,3,0)-1,4)))))</f>
        <v>0.55569999999999997</v>
      </c>
      <c r="CO11" s="189" t="str">
        <f>IF(ISERROR(IF(CN11="","",VLOOKUP(($AY11&amp;CN11&amp;"Template de desconto FLAT bundle - Velox XDSL - Varejo"),[1]BENEFICIOS!$A:$E,5,0))),"Criar",IF(CN11="","",VLOOKUP(($AY11&amp;CN11&amp;"Template de desconto FLAT bundle - Velox XDSL - Varejo"),[1]BENEFICIOS!$A:$E,5,0)))</f>
        <v>MKT-1-9828243608</v>
      </c>
      <c r="CP11" s="193" t="s">
        <v>86</v>
      </c>
      <c r="CQ11" s="194">
        <v>49.9</v>
      </c>
      <c r="CR11" s="127">
        <f>IF(CQ11=0,"",IF(CQ11=VLOOKUP("PCS-30685g",[1]ARBOR!$A:$C,3,0),0.0001,IF(CQ11&gt;VLOOKUP("PCS-30685g",[1]ARBOR!$A:$C,3,0),"Maior que CAP!",IF((DOLLAR(CQ11+(VLOOKUP("PCS-30685g",[1]ARBOR!$A:$C,3,0)*-TRUNC(CQ11/VLOOKUP("PCS-30685g",[1]ARBOR!$A:$C,3,0)-1,4)),6))&lt;&gt;(DOLLAR(VLOOKUP("PCS-30685g",[1]ARBOR!$A:$C,3,0),6)),-TRUNC(CQ11/VLOOKUP("PCS-30685g",[1]ARBOR!$A:$C,3,0)-1,4)+0.0001,-TRUNC(CQ11/VLOOKUP("PCS-30685g",[1]ARBOR!$A:$C,3,0)-1,4)))))</f>
        <v>0.60509999999999997</v>
      </c>
      <c r="CS11" s="189" t="str">
        <f>IF(ISERROR(IF(CR11="","",VLOOKUP(($AY11&amp;CR11&amp;"Template de desconto FLAT bundle - Velox XDSL - Varejo"),[1]BENEFICIOS!$A:$E,5,0))),"Criar",IF(CR11="","",VLOOKUP(($AY11&amp;CR11&amp;"Template de desconto FLAT bundle - Velox XDSL - Varejo"),[1]BENEFICIOS!$A:$E,5,0)))</f>
        <v>MKT-1-9828260647</v>
      </c>
      <c r="CT11" s="193" t="s">
        <v>86</v>
      </c>
      <c r="CU11" s="194">
        <v>49.9</v>
      </c>
      <c r="CV11" s="127">
        <f>IF(CU11=0,"",IF(CU11=VLOOKUP("PCS-30712g",[1]ARBOR!$A:$C,3,0),0.0001,IF(CU11&gt;VLOOKUP("PCS-30712g",[1]ARBOR!$A:$C,3,0),"Maior que CAP!",IF((DOLLAR(CU11+(VLOOKUP("PCS-30712g",[1]ARBOR!$A:$C,3,0)*-TRUNC(CU11/VLOOKUP("PCS-30712g",[1]ARBOR!$A:$C,3,0)-1,4)),6))&lt;&gt;(DOLLAR(VLOOKUP("PCS-30712g",[1]ARBOR!$A:$C,3,0),6)),-TRUNC(CU11/VLOOKUP("PCS-30712g",[1]ARBOR!$A:$C,3,0)-1,4)+0.0001,-TRUNC(CU11/VLOOKUP("PCS-30712g",[1]ARBOR!$A:$C,3,0)-1,4)))))</f>
        <v>0.64459999999999995</v>
      </c>
      <c r="CW11" s="189" t="str">
        <f>IF(ISERROR(IF(CV11="","",VLOOKUP(($AY11&amp;CV11&amp;"Template de desconto FLAT bundle - Velox XDSL - Varejo"),[1]BENEFICIOS!$A:$E,5,0))),"Criar",IF(CV11="","",VLOOKUP(($AY11&amp;CV11&amp;"Template de desconto FLAT bundle - Velox XDSL - Varejo"),[1]BENEFICIOS!$A:$E,5,0)))</f>
        <v>MKT-1-9828260926</v>
      </c>
      <c r="CX11" s="193" t="s">
        <v>86</v>
      </c>
      <c r="CY11" s="194">
        <v>59.9</v>
      </c>
      <c r="CZ11" s="127">
        <f>IF(CY11=0,"",IF(CY11=VLOOKUP("PCS-30739g",[1]ARBOR!$A:$C,3,0),0.0001,IF(CY11&gt;VLOOKUP("PCS-30739g",[1]ARBOR!$A:$C,3,0),"Maior que CAP!",IF((DOLLAR(CY11+(VLOOKUP("PCS-30739g",[1]ARBOR!$A:$C,3,0)*-TRUNC(CY11/VLOOKUP("PCS-30739g",[1]ARBOR!$A:$C,3,0)-1,4)),6))&lt;&gt;(DOLLAR(VLOOKUP("PCS-30739g",[1]ARBOR!$A:$C,3,0),6)),-TRUNC(CY11/VLOOKUP("PCS-30739g",[1]ARBOR!$A:$C,3,0)-1,4)+0.0001,-TRUNC(CY11/VLOOKUP("PCS-30739g",[1]ARBOR!$A:$C,3,0)-1,4)))))</f>
        <v>0.71560000000000001</v>
      </c>
      <c r="DA11" s="195" t="str">
        <f>IF(ISERROR(IF(CZ11="","",VLOOKUP(($AY11&amp;CZ11&amp;"Template de desconto FLAT bundle - Velox XDSL - Varejo"),[1]BENEFICIOS!$A:$E,5,0))),"Criar",IF(CZ11="","",VLOOKUP(($AY11&amp;CZ11&amp;"Template de desconto FLAT bundle - Velox XDSL - Varejo"),[1]BENEFICIOS!$A:$E,5,0)))</f>
        <v>MKT-1-9828272465</v>
      </c>
      <c r="DB11" s="196"/>
      <c r="DC11" s="197"/>
      <c r="DD11" s="127" t="str">
        <f>IF(DB11=0,"",IF(DB11=VLOOKUP("PCS-30739g",[1]ARBOR!$A:$C,3,0),0.0001,IF(DB11&gt;VLOOKUP("PCS-30739g",[1]ARBOR!$A:$C,3,0),"Maior que CAP!",IF((DOLLAR(DB11+(VLOOKUP("PCS-30739g",[1]ARBOR!$A:$C,3,0)*-TRUNC(DB11/VLOOKUP("PCS-30739g",[1]ARBOR!$A:$C,3,0)-1,4)),6))&lt;&gt;(DOLLAR(VLOOKUP("PCS-30739g",[1]ARBOR!$A:$C,3,0),6)),(-TRUNC(DB11/VLOOKUP("PCS-30739g",[1]ARBOR!$A:$C,3,0)-1,4)+0.0001)-CZ11,-TRUNC(DB11/VLOOKUP("PCS-30739g",[1]ARBOR!$A:$C,3,0)-1,4)-CZ11))))</f>
        <v/>
      </c>
      <c r="DE11" s="189" t="str">
        <f>IF(ISERROR(IF(DD11="","",VLOOKUP(($AY11&amp;DD11&amp;"Template de desconto percentual Bundle - Velox XDSL - Varejo"),[1]BENEFICIOS!$A:$E,5,0))),"Criar",IF(DD11="","",VLOOKUP(($AY11&amp;DD11&amp;"Template de desconto percentual Bundle - Velox XDSL - Varejo"),[1]BENEFICIOS!$A:$E,5,0)))</f>
        <v/>
      </c>
      <c r="DF11" s="193" t="s">
        <v>86</v>
      </c>
      <c r="DG11" s="194">
        <v>59.9</v>
      </c>
      <c r="DH11" s="127">
        <f>IF(DG11=0,"",IF(DG11=VLOOKUP("PCS-30766g",[1]ARBOR!$A:$C,3,0),0.0001,IF(DG11&gt;VLOOKUP("PCS-30766g",[1]ARBOR!$A:$C,3,0),"Maior que CAP!",IF((DOLLAR(DG11+(VLOOKUP("PCS-30766g",[1]ARBOR!$A:$C,3,0)*-TRUNC(DG11/VLOOKUP("PCS-30766g",[1]ARBOR!$A:$C,3,0)-1,4)),6))&lt;&gt;(DOLLAR(VLOOKUP("PCS-30766g",[1]ARBOR!$A:$C,3,0),6)),-TRUNC(DG11/VLOOKUP("PCS-30766g",[1]ARBOR!$A:$C,3,0)-1,4)+0.0001,-TRUNC(DG11/VLOOKUP("PCS-30766g",[1]ARBOR!$A:$C,3,0)-1,4)))))</f>
        <v>0.78669999999999995</v>
      </c>
      <c r="DI11" s="195" t="str">
        <f>IF(ISERROR(IF(DH11="","",VLOOKUP(($AY11&amp;DH11&amp;"Template de desconto FLAT bundle - Velox XDSL - Varejo"),[1]BENEFICIOS!$A:$E,5,0))),"Criar",IF(DH11="","",VLOOKUP(($AY11&amp;DH11&amp;"Template de desconto FLAT bundle - Velox XDSL - Varejo"),[1]BENEFICIOS!$A:$E,5,0)))</f>
        <v>MKT-1-9828285890</v>
      </c>
      <c r="DJ11" s="196"/>
      <c r="DK11" s="197"/>
      <c r="DL11" s="127" t="str">
        <f>IF(DJ11=0,"",IF(DJ11=VLOOKUP("PCS-30766g",[1]ARBOR!$A:$C,3,0),0.0001,IF(DJ11&gt;VLOOKUP("PCS-30766g",[1]ARBOR!$A:$C,3,0),"Maior que CAP!",IF((DOLLAR(DJ11+(VLOOKUP("PCS-30766g",[1]ARBOR!$A:$C,3,0)*-TRUNC(DJ11/VLOOKUP("PCS-30766g",[1]ARBOR!$A:$C,3,0)-1,4)),6))&lt;&gt;(DOLLAR(VLOOKUP("PCS-30766g",[1]ARBOR!$A:$C,3,0),6)),(-TRUNC(DJ11/VLOOKUP("PCS-30766g",[1]ARBOR!$A:$C,3,0)-1,4)+0.0001)-DH11,-TRUNC(DJ11/VLOOKUP("PCS-30766g",[1]ARBOR!$A:$C,3,0)-1,4)-DH11))))</f>
        <v/>
      </c>
      <c r="DM11" s="189" t="str">
        <f>IF(ISERROR(IF(DL11="","",VLOOKUP(($AY11&amp;DL11&amp;"Template de desconto percentual Bundle - Velox XDSL - Varejo"),[1]BENEFICIOS!$A:$E,5,0))),"Criar",IF(DL11="","",VLOOKUP(($AY11&amp;DL11&amp;"Template de desconto percentual Bundle - Velox XDSL - Varejo"),[1]BENEFICIOS!$A:$E,5,0)))</f>
        <v/>
      </c>
      <c r="DN11" s="193" t="s">
        <v>198</v>
      </c>
      <c r="DO11" s="194">
        <v>69.900000000000006</v>
      </c>
      <c r="DP11" s="127">
        <f>IF(DO11=0,"",IF(DO11=VLOOKUP("PCS-30793g",[1]ARBOR!$A:$C,3,0),0.0001,IF(DO11&gt;VLOOKUP("PCS-30793g",[1]ARBOR!$A:$C,3,0),"Maior que CAP!",IF((DOLLAR(DO11+(VLOOKUP("PCS-30793g",[1]ARBOR!$A:$C,3,0)*-TRUNC(DO11/VLOOKUP("PCS-30793g",[1]ARBOR!$A:$C,3,0)-1,4)),6))&lt;&gt;(DOLLAR(VLOOKUP("PCS-30793g",[1]ARBOR!$A:$C,3,0),6)),-TRUNC(DO11/VLOOKUP("PCS-30793g",[1]ARBOR!$A:$C,3,0)-1,4)+0.0001,-TRUNC(DO11/VLOOKUP("PCS-30793g",[1]ARBOR!$A:$C,3,0)-1,4)))))</f>
        <v>0.75109999999999999</v>
      </c>
      <c r="DQ11" s="195" t="str">
        <f>IF(ISERROR(IF(DP11="","",VLOOKUP(($AY11&amp;DP11&amp;"Template de desconto FLAT bundle - Velox XDSL - Varejo"),[1]BENEFICIOS!$A:$E,5,0))),"Criar",IF(DP11="","",VLOOKUP(($AY11&amp;DP11&amp;"Template de desconto FLAT bundle - Velox XDSL - Varejo"),[1]BENEFICIOS!$A:$E,5,0)))</f>
        <v>MKT-1-9828314259</v>
      </c>
      <c r="DR11" s="196"/>
      <c r="DS11" s="197"/>
      <c r="DT11" s="127" t="str">
        <f>IF(DR11=0,"",IF(DR11=VLOOKUP("PCS-30793g",[1]ARBOR!$A:$C,3,0),0.0001,IF(DR11&gt;VLOOKUP("PCS-30793g",[1]ARBOR!$A:$C,3,0),"Maior que CAP!",IF((DOLLAR(DR11+(VLOOKUP("PCS-30793g",[1]ARBOR!$A:$C,3,0)*-TRUNC(DR11/VLOOKUP("PCS-30793g",[1]ARBOR!$A:$C,3,0)-1,4)),6))&lt;&gt;(DOLLAR(VLOOKUP("PCS-30793g",[1]ARBOR!$A:$C,3,0),6)),(-TRUNC(DR11/VLOOKUP("PCS-30793g",[1]ARBOR!$A:$C,3,0)-1,4)+0.0001)-DP11,-TRUNC(DR11/VLOOKUP("PCS-30793g",[1]ARBOR!$A:$C,3,0)-1,4)-DP11))))</f>
        <v/>
      </c>
      <c r="DU11" s="189" t="str">
        <f>IF(ISERROR(IF(DT11="","",VLOOKUP(($AY11&amp;DT11&amp;"Template de desconto percentual Bundle - Velox XDSL - Varejo"),[1]BENEFICIOS!$A:$E,5,0))),"Criar",IF(DT11="","",VLOOKUP(($AY11&amp;DT11&amp;"Template de desconto percentual Bundle - Velox XDSL - Varejo"),[1]BENEFICIOS!$A:$E,5,0)))</f>
        <v/>
      </c>
      <c r="DV11" s="193" t="s">
        <v>86</v>
      </c>
      <c r="DW11" s="194">
        <v>69.900000000000006</v>
      </c>
      <c r="DX11" s="127">
        <f>IF(DW11=0,"",IF(DW11=VLOOKUP("PCS-30820g",[1]ARBOR!$A:$C,3,0),0.0001,IF(DW11&gt;VLOOKUP("PCS-30820g",[1]ARBOR!$A:$C,3,0),"Maior que CAP!",IF((DOLLAR(DW11+(VLOOKUP("PCS-30820g",[1]ARBOR!$A:$C,3,0)*-TRUNC(DW11/VLOOKUP("PCS-30820g",[1]ARBOR!$A:$C,3,0)-1,4)),6))&lt;&gt;(DOLLAR(VLOOKUP("PCS-30820g",[1]ARBOR!$A:$C,3,0),6)),-TRUNC(DW11/VLOOKUP("PCS-30820g",[1]ARBOR!$A:$C,3,0)-1,4)+0.0001,-TRUNC(DW11/VLOOKUP("PCS-30820g",[1]ARBOR!$A:$C,3,0)-1,4)))))</f>
        <v>0.75109999999999999</v>
      </c>
      <c r="DY11" s="195" t="str">
        <f>IF(ISERROR(IF(DX11="","",VLOOKUP(($AY11&amp;DX11&amp;"Template de desconto FLAT bundle - Velox XDSL - Varejo"),[1]BENEFICIOS!$A:$E,5,0))),"Criar",IF(DX11="","",VLOOKUP(($AY11&amp;DX11&amp;"Template de desconto FLAT bundle - Velox XDSL - Varejo"),[1]BENEFICIOS!$A:$E,5,0)))</f>
        <v>MKT-1-9828314259</v>
      </c>
      <c r="DZ11" s="196"/>
      <c r="EA11" s="197"/>
      <c r="EB11" s="127" t="str">
        <f>IF(DZ11=0,"",IF(DZ11=VLOOKUP("PCS-30820g",[1]ARBOR!$A:$C,3,0),0.0001,IF(DZ11&gt;VLOOKUP("PCS-30820g",[1]ARBOR!$A:$C,3,0),"Maior que CAP!",IF((DOLLAR(DZ11+(VLOOKUP("PCS-30820g",[1]ARBOR!$A:$C,3,0)*-TRUNC(DZ11/VLOOKUP("PCS-30820g",[1]ARBOR!$A:$C,3,0)-1,4)),6))&lt;&gt;(DOLLAR(VLOOKUP("PCS-30820g",[1]ARBOR!$A:$C,3,0),6)),(-TRUNC(DZ11/VLOOKUP("PCS-30820g",[1]ARBOR!$A:$C,3,0)-1,4)+0.0001)-DX11,-TRUNC(DZ11/VLOOKUP("PCS-30820g",[1]ARBOR!$A:$C,3,0)-1,4)-DX11))))</f>
        <v/>
      </c>
      <c r="EC11" s="189" t="str">
        <f>IF(ISERROR(IF(EB11="","",VLOOKUP(($AY11&amp;EB11&amp;"Template de desconto percentual Bundle - Velox XDSL - Varejo"),[1]BENEFICIOS!$A:$E,5,0))),"Criar",IF(EB11="","",VLOOKUP(($AY11&amp;EB11&amp;"Template de desconto percentual Bundle - Velox XDSL - Varejo"),[1]BENEFICIOS!$A:$E,5,0)))</f>
        <v/>
      </c>
      <c r="ED11" s="198"/>
      <c r="EE11" s="127" t="str">
        <f>IF(ED11=0,"",IF(ED11=VLOOKUP("PCS-21448p2",[1]ARBOR!$A:$C,3,0),0.0001,IF(ED11&gt;VLOOKUP("PCS-21448p2",[1]ARBOR!$A:$C,3,0),"Maior que CAP!",IF((DOLLAR(ED11+(VLOOKUP("PCS-21448p2",[1]ARBOR!$A:$C,3,0)*-TRUNC(ED11/VLOOKUP("PCS-21448p2",[1]ARBOR!$A:$C,3,0)-1,4)),6))&lt;&gt;(DOLLAR(VLOOKUP("PCS-21448p2",[1]ARBOR!$A:$C,3,0),6)),-TRUNC(ED11/VLOOKUP("PCS-21448p2",[1]ARBOR!$A:$C,3,0)-1,4)+0.0001,-TRUNC(ED11/VLOOKUP("PCS-21448p2",[1]ARBOR!$A:$C,3,0)-1,4)))))</f>
        <v/>
      </c>
      <c r="EF11" s="127" t="str">
        <f>IF(ISERROR(IF(EE11="","",VLOOKUP(("Oi Conta Total Plug 10GB Downgrade"&amp;EE11&amp;"Template de desconto percentual BL Móvel - Internet Total - Varejo"),[1]BENEFICIOS!$A:$E,5,0))),"Criar",IF(EE11="","",VLOOKUP(("Oi Conta Total Plug 10GB Downgrade"&amp;EE11&amp;"Template de desconto percentual BL Móvel - Internet Total - Varejo"),[1]BENEFICIOS!$A:$E,5,0)))</f>
        <v/>
      </c>
      <c r="EG11" s="199">
        <v>19.899999999999999</v>
      </c>
      <c r="EH11" s="200">
        <f>IF(EG11=0,"",IF(EG11=VLOOKUP("SVA",[1]ARBOR!$A:$C,3,0),0.0001,IF(EG11&gt;VLOOKUP("SVA",[1]ARBOR!$A:$C,3,0),"Maior que CAP!",IF((DOLLAR(EG11+(VLOOKUP("SVA",[1]ARBOR!$A:$C,3,0)*-TRUNC(EG11/VLOOKUP("SVA",[1]ARBOR!$A:$C,3,0)-1,4)),6))&lt;&gt;(DOLLAR(VLOOKUP("SVA",[1]ARBOR!$A:$C,3,0),6)),-TRUNC(EG11/VLOOKUP("SVA",[1]ARBOR!$A:$C,3,0)-1,4)+0.0001,-TRUNC(EG11/VLOOKUP("SVA",[1]ARBOR!$A:$C,3,0)-1,4)))))</f>
        <v>7.1400000000000005E-2</v>
      </c>
      <c r="EI11" s="200" t="s">
        <v>199</v>
      </c>
      <c r="EJ11" s="201"/>
      <c r="EK11" s="202"/>
      <c r="EL11" s="203" t="str">
        <f t="shared" si="3"/>
        <v/>
      </c>
      <c r="EM11" s="200" t="str">
        <f>IF(EL11="S/Desc","S/Desc",IF(ISERROR(IF(EL11="","",VLOOKUP(($BX11&amp;EL11&amp;"Template Desc. % sobre Serviço SVA B2C"),[1]BENEFICIOS!$A:$G,5,0))),"Criar",IF(EL11="","",VLOOKUP(($BX11&amp;EL11&amp;"Template Desc. % sobre Serviço SVA B2C"),[1]BENEFICIOS!$A:$G,5,0))))</f>
        <v/>
      </c>
      <c r="EN11" s="129"/>
      <c r="EO11" s="127" t="str">
        <f>IF(EN11=0,"",IF(EN11=VLOOKUP("PCS-OzTL40",[1]ARBOR!$A:$C,3,0),0.0001,IF(EN11&gt;VLOOKUP("PCS-OzTL40",[1]ARBOR!$A:$C,3,0),"Maior que CAP!",IF((DOLLAR(EN11+(VLOOKUP("PCS-OzTL40",[1]ARBOR!$A:$C,3,0)*-TRUNC(EN11/VLOOKUP("PCS-OzTL40",[1]ARBOR!$A:$C,3,0)-1,4)),6))&lt;&gt;(DOLLAR(VLOOKUP("PCS-OzTL40",[1]ARBOR!$A:$C,3,0),6)),-TRUNC(EN11/VLOOKUP("PCS-OzTL40",[1]ARBOR!$A:$C,3,0)-1,4)+0.0001,-TRUNC(EN11/VLOOKUP("PCS-OzTL40",[1]ARBOR!$A:$C,3,0)-1,4)))))</f>
        <v/>
      </c>
      <c r="EP11" s="189" t="str">
        <f>IF(ISERROR(IF(EO11="","",VLOOKUP(($AY11&amp;EO11&amp;"Template desconto FLAT Plano Principal Oi TV nível conta"),[1]BENEFICIOS!$A:$G,5,0))),"Criar",IF(EO11="","",VLOOKUP(($AY11&amp;EO11&amp;"Template desconto FLAT Plano Principal Oi TV nível conta"),[1]BENEFICIOS!$A:$G,5,0)))</f>
        <v/>
      </c>
      <c r="EQ11" s="129"/>
      <c r="ER11" s="127" t="str">
        <f>IF(EQ11=0,"",IF(EQ11=VLOOKUP("PCS-OzTL41",[1]ARBOR!$A:$C,3,0),0.0001,IF(EQ11&gt;VLOOKUP("PCS-OzTL41",[1]ARBOR!$A:$C,3,0),"Maior que CAP!",IF((DOLLAR(EQ11+(VLOOKUP("PCS-OzTL41",[1]ARBOR!$A:$C,3,0)*-TRUNC(EQ11/VLOOKUP("PCS-OzTL41",[1]ARBOR!$A:$C,3,0)-1,4)),6))&lt;&gt;(DOLLAR(VLOOKUP("PCS-OzTL41",[1]ARBOR!$A:$C,3,0),6)),-TRUNC(EQ11/VLOOKUP("PCS-OzTL41",[1]ARBOR!$A:$C,3,0)-1,4)+0.0001,-TRUNC(EQ11/VLOOKUP("PCS-OzTL41",[1]ARBOR!$A:$C,3,0)-1,4)))))</f>
        <v/>
      </c>
      <c r="ES11" s="204" t="str">
        <f>IF(ISERROR(IF(ER11="","",VLOOKUP(($AY11&amp;ER11&amp;"Template desconto FLAT Plano Principal Oi TV nível conta"),[1]BENEFICIOS!$A:$G,5,0))),"Criar",IF(ER11="","",VLOOKUP(($AY11&amp;ER11&amp;"Template desconto FLAT Plano Principal Oi TV nível conta"),[1]BENEFICIOS!$A:$G,5,0)))</f>
        <v/>
      </c>
      <c r="ET11" s="129">
        <v>134.9</v>
      </c>
      <c r="EU11" s="127">
        <f>IF(ET11=0,"",IF(ET11=VLOOKUP("PCS-OzTL44",[1]ARBOR!$A:$C,3,0),0.0001,IF(ET11&gt;VLOOKUP("PCS-OzTL44",[1]ARBOR!$A:$C,3,0),"Maior que CAP!",IF((DOLLAR(ET11+(VLOOKUP("PCS-OzTL44",[1]ARBOR!$A:$C,3,0)*-TRUNC(ET11/VLOOKUP("PCS-OzTL44",[1]ARBOR!$A:$C,3,0)-1,4)),6))&lt;&gt;(DOLLAR(VLOOKUP("PCS-OzTL44",[1]ARBOR!$A:$C,3,0),6)),-TRUNC(ET11/VLOOKUP("PCS-OzTL44",[1]ARBOR!$A:$C,3,0)-1,4)+0.0001,-TRUNC(ET11/VLOOKUP("PCS-OzTL44",[1]ARBOR!$A:$C,3,0)-1,4)))))</f>
        <v>0.29969999999999997</v>
      </c>
      <c r="EV11" s="204" t="str">
        <f>IF(ISERROR(IF(EU11="","",VLOOKUP(($AY11&amp;EU11&amp;"Template desconto FLAT Plano Principal Oi TV nível conta"),[1]BENEFICIOS!$A:$G,5,0))),"Criar",IF(EU11="","",VLOOKUP(($AY11&amp;EU11&amp;"Template desconto FLAT Plano Principal Oi TV nível conta"),[1]BENEFICIOS!$A:$G,5,0)))</f>
        <v>MKT-1-9827358355</v>
      </c>
      <c r="EW11" s="129">
        <v>144.9</v>
      </c>
      <c r="EX11" s="127">
        <f>IF(EW11=0,"",IF(EW11=VLOOKUP("PCS-OzTL43",[1]ARBOR!$A:$C,3,0),0.0001,IF(EW11&gt;VLOOKUP("PCS-OzTL43",[1]ARBOR!$A:$C,3,0),"Maior que CAP!",IF((DOLLAR(EW11+(VLOOKUP("PCS-OzTL43",[1]ARBOR!$A:$C,3,0)*-TRUNC(EW11/VLOOKUP("PCS-OzTL43",[1]ARBOR!$A:$C,3,0)-1,4)),6))&lt;&gt;(DOLLAR(VLOOKUP("PCS-OzTL43",[1]ARBOR!$A:$C,3,0),6)),-TRUNC(EW11/VLOOKUP("PCS-OzTL43",[1]ARBOR!$A:$C,3,0)-1,4)+0.0001,-TRUNC(EW11/VLOOKUP("PCS-OzTL43",[1]ARBOR!$A:$C,3,0)-1,4)))))</f>
        <v>0.28849999999999998</v>
      </c>
      <c r="EY11" s="204" t="str">
        <f>IF(ISERROR(IF(EX11="","",VLOOKUP(($AY11&amp;EX11&amp;"Template desconto FLAT Plano Principal Oi TV nível conta"),[1]BENEFICIOS!$A:$G,5,0))),"Criar",IF(EX11="","",VLOOKUP(($AY11&amp;EX11&amp;"Template desconto FLAT Plano Principal Oi TV nível conta"),[1]BENEFICIOS!$A:$G,5,0)))</f>
        <v>MKT-1-9827358670</v>
      </c>
      <c r="EZ11" s="129">
        <v>179.9</v>
      </c>
      <c r="FA11" s="127">
        <f>IF(EZ11=0,"",IF(EZ11=VLOOKUP("PCS-OzTL45",[1]ARBOR!$A:$C,3,0),0.0001,IF(EZ11&gt;VLOOKUP("PCS-OzTL45",[1]ARBOR!$A:$C,3,0),"Maior que CAP!",IF((DOLLAR(EZ11+(VLOOKUP("PCS-OzTL45",[1]ARBOR!$A:$C,3,0)*-TRUNC(EZ11/VLOOKUP("PCS-OzTL45",[1]ARBOR!$A:$C,3,0)-1,4)),6))&lt;&gt;(DOLLAR(VLOOKUP("PCS-OzTL45",[1]ARBOR!$A:$C,3,0),6)),-TRUNC(EZ11/VLOOKUP("PCS-OzTL45",[1]ARBOR!$A:$C,3,0)-1,4)+0.0001,-TRUNC(EZ11/VLOOKUP("PCS-OzTL45",[1]ARBOR!$A:$C,3,0)-1,4)))))</f>
        <v>0.13979999999999998</v>
      </c>
      <c r="FB11" s="204" t="str">
        <f>IF(ISERROR(IF(FA11="","",VLOOKUP(($AY11&amp;FA11&amp;"Template desconto FLAT Plano Principal Oi TV nível conta"),[1]BENEFICIOS!$A:$G,5,0))),"Criar",IF(FA11="","",VLOOKUP(($AY11&amp;FA11&amp;"Template desconto FLAT Plano Principal Oi TV nível conta"),[1]BENEFICIOS!$A:$G,5,0)))</f>
        <v>MKT-1-9827358935</v>
      </c>
      <c r="FC11" s="129"/>
      <c r="FD11" s="127" t="str">
        <f>IF(FC11=0,"",IF(FC11=VLOOKUP("PCS-OzTL741",[1]ARBOR!$A:$C,3,0),0.0001,IF(FC11&gt;VLOOKUP("PCS-OzTL741",[1]ARBOR!$A:$C,3,0),"Maior que CAP!",IF((DOLLAR(FC11+(VLOOKUP("PCS-OzTL741",[1]ARBOR!$A:$C,3,0)*-TRUNC(FC11/VLOOKUP("PCS-OzTL741",[1]ARBOR!$A:$C,3,0)-1,4)),6))&lt;&gt;(DOLLAR(VLOOKUP("PCS-OzTL741",[1]ARBOR!$A:$C,3,0),6)),-TRUNC(FC11/VLOOKUP("PCS-OzTL741",[1]ARBOR!$A:$C,3,0)-1,4)+0.0001,-TRUNC(FC11/VLOOKUP("PCS-OzTL741",[1]ARBOR!$A:$C,3,0)-1,4)))))</f>
        <v/>
      </c>
      <c r="FE11" s="204" t="str">
        <f>IF(ISERROR(IF(FD11="","",VLOOKUP(($AY11&amp;FD11&amp;"Template desconto FLAT Plano Principal Oi TV nível conta"),[1]BENEFICIOS!$A:$G,5,0))),"Criar",IF(FD11="","",VLOOKUP(($AY11&amp;FD11&amp;"Template desconto FLAT Plano Principal Oi TV nível conta"),[1]BENEFICIOS!$A:$G,5,0)))</f>
        <v/>
      </c>
      <c r="FF11" s="129">
        <v>154.9</v>
      </c>
      <c r="FG11" s="127">
        <f>IF(FF11=0,"",IF(FF11=VLOOKUP("PCS-OzTL744",[1]ARBOR!$A:$C,3,0),0.0001,IF(FF11&gt;VLOOKUP("PCS-OzTL744",[1]ARBOR!$A:$C,3,0),"Maior que CAP!",IF((DOLLAR(FF11+(VLOOKUP("PCS-OzTL744",[1]ARBOR!$A:$C,3,0)*-TRUNC(FF11/VLOOKUP("PCS-OzTL744",[1]ARBOR!$A:$C,3,0)-1,4)),6))&lt;&gt;(DOLLAR(VLOOKUP("PCS-OzTL744",[1]ARBOR!$A:$C,3,0),6)),-TRUNC(FF11/VLOOKUP("PCS-OzTL744",[1]ARBOR!$A:$C,3,0)-1,4)+0.0001,-TRUNC(FF11/VLOOKUP("PCS-OzTL744",[1]ARBOR!$A:$C,3,0)-1,4)))))</f>
        <v>0.25939999999999996</v>
      </c>
      <c r="FH11" s="204" t="str">
        <f>IF(ISERROR(IF(FG11="","",VLOOKUP(($AY11&amp;FG11&amp;"Template desconto FLAT Plano Principal Oi TV nível conta"),[1]BENEFICIOS!$A:$G,5,0))),"Criar",IF(FG11="","",VLOOKUP(($AY11&amp;FG11&amp;"Template desconto FLAT Plano Principal Oi TV nível conta"),[1]BENEFICIOS!$A:$G,5,0)))</f>
        <v>MKT-1-9827370190</v>
      </c>
      <c r="FI11" s="129">
        <v>164.9</v>
      </c>
      <c r="FJ11" s="127">
        <f>IF(FI11=0,"",IF(FI11=VLOOKUP("PCS-OzTL743",[1]ARBOR!$A:$C,3,0),0.0001,IF(FI11&gt;VLOOKUP("PCS-OzTL743",[1]ARBOR!$A:$C,3,0),"Maior que CAP!",IF((DOLLAR(FI11+(VLOOKUP("PCS-OzTL743",[1]ARBOR!$A:$C,3,0)*-TRUNC(FI11/VLOOKUP("PCS-OzTL743",[1]ARBOR!$A:$C,3,0)-1,4)),6))&lt;&gt;(DOLLAR(VLOOKUP("PCS-OzTL743",[1]ARBOR!$A:$C,3,0),6)),-TRUNC(FI11/VLOOKUP("PCS-OzTL743",[1]ARBOR!$A:$C,3,0)-1,4)+0.0001,-TRUNC(FI11/VLOOKUP("PCS-OzTL743",[1]ARBOR!$A:$C,3,0)-1,4)))))</f>
        <v>0.251</v>
      </c>
      <c r="FK11" s="204" t="str">
        <f>IF(ISERROR(IF(FJ11="","",VLOOKUP(($AY11&amp;FJ11&amp;"Template desconto FLAT Plano Principal Oi TV nível conta"),[1]BENEFICIOS!$A:$G,5,0))),"Criar",IF(FJ11="","",VLOOKUP(($AY11&amp;FJ11&amp;"Template desconto FLAT Plano Principal Oi TV nível conta"),[1]BENEFICIOS!$A:$G,5,0)))</f>
        <v>MKT-1-9827370755</v>
      </c>
      <c r="FL11" s="129">
        <v>199.9</v>
      </c>
      <c r="FM11" s="127">
        <f>IF(FL11=0,"",IF(FL11=VLOOKUP("PCS-OzTL745",[1]ARBOR!$A:$C,3,0),0.0001,IF(FL11&gt;VLOOKUP("PCS-OzTL745",[1]ARBOR!$A:$C,3,0),"Maior que CAP!",IF((DOLLAR(FL11+(VLOOKUP("PCS-OzTL745",[1]ARBOR!$A:$C,3,0)*-TRUNC(FL11/VLOOKUP("PCS-OzTL745",[1]ARBOR!$A:$C,3,0)-1,4)),6))&lt;&gt;(DOLLAR(VLOOKUP("PCS-OzTL745",[1]ARBOR!$A:$C,3,0),6)),-TRUNC(FL11/VLOOKUP("PCS-OzTL745",[1]ARBOR!$A:$C,3,0)-1,4)+0.0001,-TRUNC(FL11/VLOOKUP("PCS-OzTL745",[1]ARBOR!$A:$C,3,0)-1,4)))))</f>
        <v>0.21049999999999999</v>
      </c>
      <c r="FN11" s="204" t="str">
        <f>IF(ISERROR(IF(FM11="","",VLOOKUP(($AY11&amp;FM11&amp;"Template desconto FLAT Plano Principal Oi TV nível conta"),[1]BENEFICIOS!$A:$G,5,0))),"Criar",IF(FM11="","",VLOOKUP(($AY11&amp;FM11&amp;"Template desconto FLAT Plano Principal Oi TV nível conta"),[1]BENEFICIOS!$A:$G,5,0)))</f>
        <v>MKT-1-9827396510</v>
      </c>
      <c r="FO11" s="129"/>
      <c r="FP11" s="127" t="str">
        <f>IF(FO11=0,"",IF(FO11=VLOOKUP("PCS-OzTL42",[1]ARBOR!$A:$C,3,0),0.0001,IF(FO11&gt;VLOOKUP("PCS-OzTL42",[1]ARBOR!$A:$C,3,0),"Maior que CAP!",IF((DOLLAR(FO11+(VLOOKUP("PCS-OzTL42",[1]ARBOR!$A:$C,3,0)*-TRUNC(FO11/VLOOKUP("PCS-OzTL42",[1]ARBOR!$A:$C,3,0)-1,4)),6))&lt;&gt;(DOLLAR(VLOOKUP("PCS-OzTL42",[1]ARBOR!$A:$C,3,0),6)),-TRUNC(FO11/VLOOKUP("PCS-OzTL42",[1]ARBOR!$A:$C,3,0)-1,4)+0.0001,-TRUNC(FO11/VLOOKUP("PCS-OzTL42",[1]ARBOR!$A:$C,3,0)-1,4)))))</f>
        <v/>
      </c>
      <c r="FQ11" s="204" t="str">
        <f>IF(ISERROR(IF(FP11="","",VLOOKUP(($AY11&amp;FP11&amp;"Template desconto FLAT Plano Principal Oi TV nível conta"),[1]BENEFICIOS!$A:$G,5,0))),"Criar",IF(FP11="","",VLOOKUP(($AY11&amp;FP11&amp;"Template desconto FLAT Plano Principal Oi TV nível conta"),[1]BENEFICIOS!$A:$G,5,0)))</f>
        <v/>
      </c>
      <c r="FR11" s="129"/>
      <c r="FS11" s="127" t="str">
        <f>IF(FR11=0,"",IF(FR11=VLOOKUP("PCS-OzTL47",[1]ARBOR!$A:$C,3,0),0.0001,IF(FR11&gt;VLOOKUP("PCS-OzTL47",[1]ARBOR!$A:$C,3,0),"Maior que CAP!",IF((DOLLAR(FR11+(VLOOKUP("PCS-OzTL47",[1]ARBOR!$A:$C,3,0)*-TRUNC(FR11/VLOOKUP("PCS-OzTL47",[1]ARBOR!$A:$C,3,0)-1,4)),6))&lt;&gt;(DOLLAR(VLOOKUP("PCS-OzTL47",[1]ARBOR!$A:$C,3,0),6)),-TRUNC(FR11/VLOOKUP("PCS-OzTL47",[1]ARBOR!$A:$C,3,0)-1,4)+0.0001,-TRUNC(FR11/VLOOKUP("PCS-OzTL47",[1]ARBOR!$A:$C,3,0)-1,4)))))</f>
        <v/>
      </c>
      <c r="FT11" s="204" t="str">
        <f>IF(ISERROR(IF(FS11="","",VLOOKUP(($AY11&amp;FS11&amp;"Template desconto FLAT Plano Principal Oi TV nível conta"),[1]BENEFICIOS!$A:$G,5,0))),"Criar",IF(FS11="","",VLOOKUP(($AY11&amp;FS11&amp;"Template desconto FLAT Plano Principal Oi TV nível conta"),[1]BENEFICIOS!$A:$G,5,0)))</f>
        <v/>
      </c>
      <c r="FU11" s="129"/>
      <c r="FV11" s="127" t="str">
        <f>IF(FU11=0,"",IF(FU11=VLOOKUP("PCS-OzTL46",[1]ARBOR!$A:$C,3,0),0.0001,IF(FU11&gt;VLOOKUP("PCS-OzTL46",[1]ARBOR!$A:$C,3,0),"Maior que CAP!",IF((DOLLAR(FU11+(VLOOKUP("PCS-OzTL46",[1]ARBOR!$A:$C,3,0)*-TRUNC(FU11/VLOOKUP("PCS-OzTL46",[1]ARBOR!$A:$C,3,0)-1,4)),6))&lt;&gt;(DOLLAR(VLOOKUP("PCS-OzTL46",[1]ARBOR!$A:$C,3,0),6)),-TRUNC(FU11/VLOOKUP("PCS-OzTL46",[1]ARBOR!$A:$C,3,0)-1,4)+0.0001,-TRUNC(FU11/VLOOKUP("PCS-OzTL46",[1]ARBOR!$A:$C,3,0)-1,4)))))</f>
        <v/>
      </c>
      <c r="FW11" s="204" t="str">
        <f>IF(ISERROR(IF(FV11="","",VLOOKUP(($AY11&amp;FV11&amp;"Template desconto FLAT Plano Principal Oi TV nível conta"),[1]BENEFICIOS!$A:$G,5,0))),"Criar",IF(FV11="","",VLOOKUP(($AY11&amp;FV11&amp;"Template desconto FLAT Plano Principal Oi TV nível conta"),[1]BENEFICIOS!$A:$G,5,0)))</f>
        <v/>
      </c>
      <c r="FX11" s="129"/>
      <c r="FY11" s="127" t="str">
        <f>IF(FX11=0,"",IF(FX11=VLOOKUP("PCS-OzTL48",[1]ARBOR!$A:$C,3,0),0.0001,IF(FX11&gt;VLOOKUP("PCS-OzTL48",[1]ARBOR!$A:$C,3,0),"Maior que CAP!",IF((DOLLAR(FX11+(VLOOKUP("PCS-OzTL48",[1]ARBOR!$A:$C,3,0)*-TRUNC(FX11/VLOOKUP("PCS-OzTL48",[1]ARBOR!$A:$C,3,0)-1,4)),6))&lt;&gt;(DOLLAR(VLOOKUP("PCS-OzTL48",[1]ARBOR!$A:$C,3,0),6)),-TRUNC(FX11/VLOOKUP("PCS-OzTL48",[1]ARBOR!$A:$C,3,0)-1,4)+0.0001,-TRUNC(FX11/VLOOKUP("PCS-OzTL48",[1]ARBOR!$A:$C,3,0)-1,4)))))</f>
        <v/>
      </c>
      <c r="FZ11" s="204" t="str">
        <f>IF(ISERROR(IF(FY11="","",VLOOKUP(($AY11&amp;FY11&amp;"Template desconto FLAT Plano Principal Oi TV nível conta"),[1]BENEFICIOS!$A:$G,5,0))),"Criar",IF(FY11="","",VLOOKUP(($AY11&amp;FY11&amp;"Template desconto FLAT Plano Principal Oi TV nível conta"),[1]BENEFICIOS!$A:$G,5,0)))</f>
        <v/>
      </c>
      <c r="GA11" s="129"/>
      <c r="GB11" s="127" t="str">
        <f>IF(GA11=0,"",IF(GA11=VLOOKUP("PCS-OzTL742",[1]ARBOR!$A:$C,3,0),0.0001,IF(GA11&gt;VLOOKUP("PCS-OzTL742",[1]ARBOR!$A:$C,3,0),"Maior que CAP!",IF((DOLLAR(GA11+(VLOOKUP("PCS-OzTL742",[1]ARBOR!$A:$C,3,0)*-TRUNC(GA11/VLOOKUP("PCS-OzTL742",[1]ARBOR!$A:$C,3,0)-1,4)),6))&lt;&gt;(DOLLAR(VLOOKUP("PCS-OzTL742",[1]ARBOR!$A:$C,3,0),6)),-TRUNC(GA11/VLOOKUP("PCS-OzTL742",[1]ARBOR!$A:$C,3,0)-1,4)+0.0001,-TRUNC(GA11/VLOOKUP("PCS-OzTL742",[1]ARBOR!$A:$C,3,0)-1,4)))))</f>
        <v/>
      </c>
      <c r="GC11" s="204" t="str">
        <f>IF(ISERROR(IF(GB11="","",VLOOKUP(($AY11&amp;GB11&amp;"Template desconto FLAT Plano Principal Oi TV nível conta"),[1]BENEFICIOS!$A:$G,5,0))),"Criar",IF(GB11="","",VLOOKUP(($AY11&amp;GB11&amp;"Template desconto FLAT Plano Principal Oi TV nível conta"),[1]BENEFICIOS!$A:$G,5,0)))</f>
        <v/>
      </c>
      <c r="GD11" s="129"/>
      <c r="GE11" s="127" t="str">
        <f>IF(GD11=0,"",IF(GD11=VLOOKUP("PCS-OzTL747",[1]ARBOR!$A:$C,3,0),0.0001,IF(GD11&gt;VLOOKUP("PCS-OzTL747",[1]ARBOR!$A:$C,3,0),"Maior que CAP!",IF((DOLLAR(GD11+(VLOOKUP("PCS-OzTL747",[1]ARBOR!$A:$C,3,0)*-TRUNC(GD11/VLOOKUP("PCS-OzTL747",[1]ARBOR!$A:$C,3,0)-1,4)),6))&lt;&gt;(DOLLAR(VLOOKUP("PCS-OzTL747",[1]ARBOR!$A:$C,3,0),6)),-TRUNC(GD11/VLOOKUP("PCS-OzTL747",[1]ARBOR!$A:$C,3,0)-1,4)+0.0001,-TRUNC(GD11/VLOOKUP("PCS-OzTL747",[1]ARBOR!$A:$C,3,0)-1,4)))))</f>
        <v/>
      </c>
      <c r="GF11" s="204" t="str">
        <f>IF(ISERROR(IF(GE11="","",VLOOKUP(($AY11&amp;GE11&amp;"Template desconto FLAT Plano Principal Oi TV nível conta"),[1]BENEFICIOS!$A:$G,5,0))),"Criar",IF(GE11="","",VLOOKUP(($AY11&amp;GE11&amp;"Template desconto FLAT Plano Principal Oi TV nível conta"),[1]BENEFICIOS!$A:$G,5,0)))</f>
        <v/>
      </c>
      <c r="GG11" s="129"/>
      <c r="GH11" s="127" t="str">
        <f>IF(GG11=0,"",IF(GG11=VLOOKUP("PCS-OzTL746",[1]ARBOR!$A:$C,3,0),0.0001,IF(GG11&gt;VLOOKUP("PCS-OzTL746",[1]ARBOR!$A:$C,3,0),"Maior que CAP!",IF((DOLLAR(GG11+(VLOOKUP("PCS-OzTL746",[1]ARBOR!$A:$C,3,0)*-TRUNC(GG11/VLOOKUP("PCS-OzTL746",[1]ARBOR!$A:$C,3,0)-1,4)),6))&lt;&gt;(DOLLAR(VLOOKUP("PCS-OzTL746",[1]ARBOR!$A:$C,3,0),6)),-TRUNC(GG11/VLOOKUP("PCS-OzTL746",[1]ARBOR!$A:$C,3,0)-1,4)+0.0001,-TRUNC(GG11/VLOOKUP("PCS-OzTL746",[1]ARBOR!$A:$C,3,0)-1,4)))))</f>
        <v/>
      </c>
      <c r="GI11" s="204" t="str">
        <f>IF(ISERROR(IF(GH11="","",VLOOKUP(($AY11&amp;GH11&amp;"Template desconto FLAT Plano Principal Oi TV nível conta"),[1]BENEFICIOS!$A:$G,5,0))),"Criar",IF(GH11="","",VLOOKUP(($AY11&amp;GH11&amp;"Template desconto FLAT Plano Principal Oi TV nível conta"),[1]BENEFICIOS!$A:$G,5,0)))</f>
        <v/>
      </c>
      <c r="GJ11" s="129"/>
      <c r="GK11" s="127" t="str">
        <f>IF(GJ11=0,"",IF(GJ11=VLOOKUP("PCS-OzTL748",[1]ARBOR!$A:$C,3,0),0.0001,IF(GJ11&gt;VLOOKUP("PCS-OzTL748",[1]ARBOR!$A:$C,3,0),"Maior que CAP!",IF((DOLLAR(GJ11+(VLOOKUP("PCS-OzTL748",[1]ARBOR!$A:$C,3,0)*-TRUNC(GJ11/VLOOKUP("PCS-OzTL748",[1]ARBOR!$A:$C,3,0)-1,4)),6))&lt;&gt;(DOLLAR(VLOOKUP("PCS-OzTL748",[1]ARBOR!$A:$C,3,0),6)),-TRUNC(GJ11/VLOOKUP("PCS-OzTL748",[1]ARBOR!$A:$C,3,0)-1,4)+0.0001,-TRUNC(GJ11/VLOOKUP("PCS-OzTL748",[1]ARBOR!$A:$C,3,0)-1,4)))))</f>
        <v/>
      </c>
      <c r="GL11" s="204" t="str">
        <f>IF(ISERROR(IF(GK11="","",VLOOKUP(($AY11&amp;GK11&amp;"Template desconto FLAT Plano Principal Oi TV nível conta"),[1]BENEFICIOS!$A:$G,5,0))),"Criar",IF(GK11="","",VLOOKUP(($AY11&amp;GK11&amp;"Template desconto FLAT Plano Principal Oi TV nível conta"),[1]BENEFICIOS!$A:$G,5,0)))</f>
        <v/>
      </c>
      <c r="GM11" s="129">
        <v>75</v>
      </c>
      <c r="GN11" s="127">
        <f>IF(GM11=0,"",IF(GM11=VLOOKUP("PCS-OzTL34",[1]ARBOR!$A:$C,3,0),0.0001,IF(GM11&gt;VLOOKUP("PCS-OzTL34",[1]ARBOR!$A:$C,3,0),"Maior que CAP!",IF((DOLLAR(GM11+(VLOOKUP("PCS-OzTL34",[1]ARBOR!$A:$C,3,0)*-TRUNC(GM11/VLOOKUP("PCS-OzTL34",[1]ARBOR!$A:$C,3,0)-1,4)),6))&lt;&gt;(DOLLAR(VLOOKUP("PCS-OzTL34",[1]ARBOR!$A:$C,3,0),6)),-TRUNC(GM11/VLOOKUP("PCS-OzTL34",[1]ARBOR!$A:$C,3,0)-1,4)+0.0001,-TRUNC(GM11/VLOOKUP("PCS-OzTL34",[1]ARBOR!$A:$C,3,0)-1,4)))))</f>
        <v>0.31900000000000001</v>
      </c>
      <c r="GO11" s="204" t="s">
        <v>161</v>
      </c>
      <c r="GP11" s="129">
        <v>19.899999999999999</v>
      </c>
      <c r="GQ11" s="127">
        <f>IF(GP11=0,"",IF(GP11=VLOOKUP("PCS-OzTL31",[1]ARBOR!$A:$C,3,0),0.0001,IF(GP11&gt;VLOOKUP("PCS-OzTL31",[1]ARBOR!$A:$C,3,0),"Maior que CAP!",IF((DOLLAR(GP11+(VLOOKUP("PCS-OzTL31",[1]ARBOR!$A:$C,3,0)*-TRUNC(GP11/VLOOKUP("PCS-OzTL31",[1]ARBOR!$A:$C,3,0)-1,4)),6))&lt;&gt;(DOLLAR(VLOOKUP("PCS-OzTL31",[1]ARBOR!$A:$C,3,0),6)),-TRUNC(GP11/VLOOKUP("PCS-OzTL31",[1]ARBOR!$A:$C,3,0)-1,4)+0.0001,-TRUNC(GP11/VLOOKUP("PCS-OzTL31",[1]ARBOR!$A:$C,3,0)-1,4)))))</f>
        <v>9.1800000000000007E-2</v>
      </c>
      <c r="GR11" s="204" t="s">
        <v>162</v>
      </c>
      <c r="GS11" s="129">
        <v>19.899999999999999</v>
      </c>
      <c r="GT11" s="127">
        <f>IF(GS11=0,"",IF(GS11=VLOOKUP("PCS-OzTL32",[1]ARBOR!$A:$C,3,0),0.0001,IF(GS11&gt;VLOOKUP("PCS-OzTL32",[1]ARBOR!$A:$C,3,0),"Maior que CAP!",IF((DOLLAR(GS11+(VLOOKUP("PCS-OzTL32",[1]ARBOR!$A:$C,3,0)*-TRUNC(GS11/VLOOKUP("PCS-OzTL32",[1]ARBOR!$A:$C,3,0)-1,4)),6))&lt;&gt;(DOLLAR(VLOOKUP("PCS-OzTL32",[1]ARBOR!$A:$C,3,0),6)),-TRUNC(GS11/VLOOKUP("PCS-OzTL32",[1]ARBOR!$A:$C,3,0)-1,4)+0.0001,-TRUNC(GS11/VLOOKUP("PCS-OzTL32",[1]ARBOR!$A:$C,3,0)-1,4)))))</f>
        <v>9.1800000000000007E-2</v>
      </c>
      <c r="GU11" s="204" t="s">
        <v>163</v>
      </c>
      <c r="GV11" s="129">
        <v>29.9</v>
      </c>
      <c r="GW11" s="127">
        <f>IF(GV11=0,"",IF(GV11=VLOOKUP("PCS-OzTL33",[1]ARBOR!$A:$C,3,0),0.0001,IF(GV11&gt;VLOOKUP("PCS-OzTL33",[1]ARBOR!$A:$C,3,0),"Maior que CAP!",IF((DOLLAR(GV11+(VLOOKUP("PCS-OzTL33",[1]ARBOR!$A:$C,3,0)*-TRUNC(GV11/VLOOKUP("PCS-OzTL33",[1]ARBOR!$A:$C,3,0)-1,4)),6))&lt;&gt;(DOLLAR(VLOOKUP("PCS-OzTL33",[1]ARBOR!$A:$C,3,0),6)),-TRUNC(GV11/VLOOKUP("PCS-OzTL33",[1]ARBOR!$A:$C,3,0)-1,4)+0.0001,-TRUNC(GV11/VLOOKUP("PCS-OzTL33",[1]ARBOR!$A:$C,3,0)-1,4)))))</f>
        <v>9.1800000000000007E-2</v>
      </c>
      <c r="GX11" s="204" t="s">
        <v>164</v>
      </c>
      <c r="GY11" s="129">
        <v>14.9</v>
      </c>
      <c r="GZ11" s="127">
        <f>IF(GY11=0,"",IF(GY11=VLOOKUP("PCS-OzTL503",[1]ARBOR!$A:$C,3,0),0.0001,IF(GY11&gt;VLOOKUP("PCS-OzTL503",[1]ARBOR!$A:$C,3,0),"Maior que CAP!",IF((DOLLAR(GY11+(VLOOKUP("PCS-OzTL503",[1]ARBOR!$A:$C,3,0)*-TRUNC(GY11/VLOOKUP("PCS-OzTL503",[1]ARBOR!$A:$C,3,0)-1,4)),6))&lt;&gt;(DOLLAR(VLOOKUP("PCS-OzTL503",[1]ARBOR!$A:$C,3,0),6)),-TRUNC(GY11/VLOOKUP("PCS-OzTL503",[1]ARBOR!$A:$C,3,0)-1,4)+0.0001,-TRUNC(GY11/VLOOKUP("PCS-OzTL503",[1]ARBOR!$A:$C,3,0)-1,4)))))</f>
        <v>9.1499999999999998E-2</v>
      </c>
      <c r="HA11" s="204" t="s">
        <v>165</v>
      </c>
      <c r="HB11" s="129">
        <v>10</v>
      </c>
      <c r="HC11" s="127">
        <f>IF(HB11=0,"",IF(HB11=VLOOKUP("PCS-OzTL500",[1]ARBOR!$A:$C,3,0),0.0001,IF(HB11&gt;VLOOKUP("PCS-OzTL500",[1]ARBOR!$A:$C,3,0),"Maior que CAP!",IF((DOLLAR(HB11+(VLOOKUP("PCS-OzTL500",[1]ARBOR!$A:$C,3,0)*-TRUNC(HB11/VLOOKUP("PCS-OzTL500",[1]ARBOR!$A:$C,3,0)-1,4)),6))&lt;&gt;(DOLLAR(VLOOKUP("PCS-OzTL500",[1]ARBOR!$A:$C,3,0),6)),-TRUNC(HB11/VLOOKUP("PCS-OzTL500",[1]ARBOR!$A:$C,3,0)-1,4)+0.0001,-TRUNC(HB11/VLOOKUP("PCS-OzTL500",[1]ARBOR!$A:$C,3,0)-1,4)))))</f>
        <v>9.1800000000000007E-2</v>
      </c>
      <c r="HD11" s="204" t="s">
        <v>166</v>
      </c>
      <c r="HE11" s="129" t="s">
        <v>167</v>
      </c>
      <c r="HF11" s="127"/>
      <c r="HG11" s="204"/>
      <c r="HH11" s="129" t="s">
        <v>168</v>
      </c>
      <c r="HI11" s="127"/>
      <c r="HJ11" s="204"/>
      <c r="HK11" s="129" t="s">
        <v>169</v>
      </c>
      <c r="HL11" s="127"/>
      <c r="HM11" s="204"/>
      <c r="HN11" s="129" t="s">
        <v>170</v>
      </c>
      <c r="HO11" s="127"/>
      <c r="HP11" s="204"/>
      <c r="HQ11" s="129" t="s">
        <v>171</v>
      </c>
      <c r="HR11" s="127"/>
      <c r="HS11" s="204"/>
      <c r="HT11" s="129">
        <v>24.9</v>
      </c>
      <c r="HU11" s="127">
        <f>IF(HT11=0,"",IF(HT11=VLOOKUP("PCS-OzTL99",[1]ARBOR!$A:$C,3,0),0.0001,IF(HT11&gt;VLOOKUP("PCS-OzTL99",[1]ARBOR!$A:$C,3,0),"Maior que CAP!",IF((DOLLAR(HT11+(VLOOKUP("PCS-OzTL99",[1]ARBOR!$A:$C,3,0)*-TRUNC(HT11/VLOOKUP("PCS-OzTL99",[1]ARBOR!$A:$C,3,0)-1,4)),6))&lt;&gt;(DOLLAR(VLOOKUP("PCS-OzTL99",[1]ARBOR!$A:$C,3,0),6)),-TRUNC(HT11/VLOOKUP("PCS-OzTL99",[1]ARBOR!$A:$C,3,0)-1,4)+0.0001,-TRUNC(HT11/VLOOKUP("PCS-OzTL99",[1]ARBOR!$A:$C,3,0)-1,4)))))</f>
        <v>0.16729999999999998</v>
      </c>
      <c r="HV11" s="205" t="s">
        <v>172</v>
      </c>
      <c r="HW11" s="196" t="s">
        <v>149</v>
      </c>
      <c r="HX11" s="204" t="str">
        <f t="shared" si="4"/>
        <v>PCS-34704</v>
      </c>
      <c r="HY11" s="206" t="str">
        <f>IFERROR((IF(AZ11="","",VLOOKUP(AZ11,[1]ARBOR!A:C,3,0))),"")</f>
        <v/>
      </c>
      <c r="HZ11" s="207"/>
      <c r="IA11" s="184" t="str">
        <f>IF(HZ11="","",ROUND(1-(HZ11/VLOOKUP(AZ11&amp;"ASS",[1]ARBOR!A:C,3,0)),4))</f>
        <v/>
      </c>
      <c r="IB11" s="184"/>
      <c r="IC11" s="208"/>
      <c r="ID11" s="209"/>
      <c r="IE11" s="127" t="str">
        <f>IF(ID11="","",ROUND(IF(ID11=0,"",IF(ID11=HY11,0.0001,1-((ID11+(VLOOKUP(AZ11&amp;"ASS",[1]ARBOR!A:C,3,0)-HZ11))/HY11))),4))</f>
        <v/>
      </c>
      <c r="IF11" s="127" t="str">
        <f>IF(ISERROR(IF(IE11="","",VLOOKUP(($AY11&amp;IE11&amp;"Template de desconto percentual FLAT Móvel - Conta Total - Varejo - Ganho Tributário Cross"),[1]BENEFICIOS!$A:$E,5,0))),"Criar",IF(IE11="","",VLOOKUP(($AY11&amp;IE11&amp;"Template de desconto percentual FLAT Móvel - Conta Total - Varejo - Ganho Tributário Cross"),[1]BENEFICIOS!$A:$E,5,0)))</f>
        <v/>
      </c>
      <c r="IG11" s="193"/>
      <c r="IH11" s="127"/>
      <c r="II11" s="210"/>
      <c r="IJ11" s="211"/>
      <c r="IK11" s="127"/>
      <c r="IL11" s="127"/>
      <c r="IM11" s="212"/>
      <c r="IN11" s="212"/>
      <c r="IO11" s="213"/>
      <c r="IP11" s="214" t="str">
        <f>IF(IO11=0,"",IF(IO11=VLOOKUP("PCS-813566",[1]ARBOR!$A:$C,3,0),0.0001,IF(IO11&gt;VLOOKUP("PCS-813566",[1]ARBOR!$A:$C,3,0),"Maior que CAP!",ROUND(-1*(IO11/VLOOKUP("PCS-813566",[1]ARBOR!$A:$C,3,0)-1),4))))</f>
        <v/>
      </c>
      <c r="IQ11" s="215" t="str">
        <f>IF(ISERROR(IF(IP11="","",VLOOKUP(("Oi Internet Pra Celular 300MB"&amp;IP11&amp;"Template Flat Instância Dados"),[1]BENEFICIOS!$A:$E,5,0))),"Criar",IF(IP11="","",VLOOKUP(("Oi Internet Pra Celular 300MB"&amp;IP11&amp;"Template Flat Instância Dados"),[1]BENEFICIOS!$A:$E,5,0)))</f>
        <v/>
      </c>
      <c r="IR11" s="216"/>
      <c r="IS11" s="217" t="str">
        <f>IF(IR11=0,"",IF(IR11=VLOOKUP("sva_bancas",[1]ARBOR!$A:$C,3,0),0.0001,IF(IR11&gt;VLOOKUP("sva_livros",[1]ARBOR!$A:$C,3,0),"Maior que CAP!",ROUND(-1*(IR11/VLOOKUP("sva_bancas",[1]ARBOR!$A:$C,3,0)-1),4))))</f>
        <v/>
      </c>
      <c r="IT11" s="218" t="str">
        <f>IF(ISERROR(IF(IS11="","",VLOOKUP(("Oi Internet Pra Celular 300MB"&amp;IS11&amp;"Template Desconto % SVA DADOS B2C"),[1]BENEFICIOS!$A:$E,5,0))),"Criar",IF(IS11="","",VLOOKUP(("Oi Internet Pra Celular 300MB"&amp;IS11&amp;"Template Desconto % SVA DADOS B2C"),[1]BENEFICIOS!$A:$E,5,0)))</f>
        <v/>
      </c>
      <c r="IU11" s="213"/>
      <c r="IV11" s="214" t="str">
        <f>IF(IU11=0,"",IF(IU11=VLOOKUP("PCS-813564",[1]ARBOR!$A:$C,3,0),0.0001,IF(IU11&gt;VLOOKUP("PCS-813564",[1]ARBOR!$A:$C,3,0),"Maior que CAP!",ROUND(-1*(IU11/VLOOKUP("PCS-813564",[1]ARBOR!$A:$C,3,0)-1),4))))</f>
        <v/>
      </c>
      <c r="IW11" s="215" t="str">
        <f>IF(ISERROR(IF(IV11="","",VLOOKUP(("Oi Internet Pra Celular 500MB"&amp;IV11&amp;"Template Flat Instância Dados"),[1]BENEFICIOS!$A:$E,5,0))),"Criar",IF(IV11="","",VLOOKUP(("Oi Internet Pra Celular 500MB"&amp;IV11&amp;"Template Flat Instância Dados"),[1]BENEFICIOS!$A:$E,5,0)))</f>
        <v/>
      </c>
      <c r="IX11" s="216"/>
      <c r="IY11" s="217" t="str">
        <f>IF(IX11=0,"",IF(IX11=VLOOKUP("sva_livros",[1]ARBOR!$A:$C,3,0),0.0001,IF(IX11&gt;VLOOKUP("sva_livros",[1]ARBOR!$A:$C,3,0),"Maior que CAP!",ROUND(-1*(IX11/VLOOKUP("sva_livros",[1]ARBOR!$A:$C,3,0)-1),4))))</f>
        <v/>
      </c>
      <c r="IZ11" s="218" t="str">
        <f>IF(ISERROR(IF(IY11="","",VLOOKUP(("Oi Internet Pra Celular 500MB"&amp;IY11&amp;"Template Desconto % SVA DADOS B2C"),[1]BENEFICIOS!$A:$E,5,0))),"Criar",IF(IY11="","",VLOOKUP(("Oi Internet Pra Celular 500MB"&amp;IY11&amp;"Template Desconto % SVA DADOS B2C"),[1]BENEFICIOS!$A:$E,5,0)))</f>
        <v/>
      </c>
      <c r="JA11" s="213"/>
      <c r="JB11" s="214" t="str">
        <f>IF(JA11=0,"",IF(JA11=VLOOKUP("PCS-10357",[1]ARBOR!$A:$C,3,0),0.0001,IF(JA11&gt;VLOOKUP("PCS-10357",[1]ARBOR!$A:$C,3,0),"Maior que CAP!",ROUND(-1*(JA11/VLOOKUP("PCS-10357",[1]ARBOR!$A:$C,3,0)-1),4))))</f>
        <v/>
      </c>
      <c r="JC11" s="215" t="str">
        <f>IF(ISERROR(IF(JB11="","",VLOOKUP(("Oi Internet Pra Celular 1GB"&amp;JB11&amp;"Template Flat Instância Dados"),[1]BENEFICIOS!$A:$E,5,0))),"Criar",IF(JB11="","",VLOOKUP(("Oi Internet Pra Celular 1GB"&amp;JB11&amp;"Template Flat Instância Dados"),[1]BENEFICIOS!$A:$E,5,0)))</f>
        <v/>
      </c>
      <c r="JD11" s="216"/>
      <c r="JE11" s="217" t="str">
        <f>IF(JD11=0,"",IF(JD11=VLOOKUP("sva_livros",[1]ARBOR!$A:$C,3,0),0.0001,IF(JD11&gt;VLOOKUP("sva_livros",[1]ARBOR!$A:$C,3,0),"Maior que CAP!",ROUND(-1*(JD11/VLOOKUP("sva_livros",[1]ARBOR!$A:$C,3,0)-1),4))))</f>
        <v/>
      </c>
      <c r="JF11" s="218" t="str">
        <f>IF(ISERROR(IF(JE11="","",VLOOKUP(("Oi Internet Pra Celular 1GB"&amp;JE11&amp;"Template Desconto % SVA DADOS B2C"),[1]BENEFICIOS!$A:$E,5,0))),"Criar",IF(JE11="","",VLOOKUP(("Oi Internet Pra Celular 1GB"&amp;JE11&amp;"Template Desconto % SVA DADOS B2C"),[1]BENEFICIOS!$A:$E,5,0)))</f>
        <v/>
      </c>
      <c r="JG11" s="213"/>
      <c r="JH11" s="214" t="str">
        <f>IF(JG11=0,"",IF(JG11=VLOOKUP("PCS-813565",[1]ARBOR!$A:$C,3,0),0.0001,IF(JG11&gt;VLOOKUP("PCS-813565",[1]ARBOR!$A:$C,3,0),"Maior que CAP!",ROUND(-1*(JG11/VLOOKUP("PCS-813565",[1]ARBOR!$A:$C,3,0)-1),4))))</f>
        <v/>
      </c>
      <c r="JI11" s="215" t="str">
        <f>IF(ISERROR(IF(JH11="","",VLOOKUP(("Oi Internet Pra Celular 2GB"&amp;JH11&amp;"Template Flat Instância Dados"),[1]BENEFICIOS!$A:$E,5,0))),"Criar",IF(JH11="","",VLOOKUP(("Oi Internet Pra Celular 2GB"&amp;JH11&amp;"Template Flat Instância Dados"),[1]BENEFICIOS!$A:$E,5,0)))</f>
        <v/>
      </c>
      <c r="JJ11" s="216"/>
      <c r="JK11" s="217" t="str">
        <f>IF(JJ11=0,"",IF(JJ11=VLOOKUP("sva_livros",[1]ARBOR!$A:$C,3,0),0.0001,IF(JJ11&gt;VLOOKUP("sva_livros",[1]ARBOR!$A:$C,3,0),"Maior que CAP!",ROUND(-1*(JJ11/VLOOKUP("sva_livros",[1]ARBOR!$A:$C,3,0)-1),4))))</f>
        <v/>
      </c>
      <c r="JL11" s="218" t="str">
        <f>IF(ISERROR(IF(JK11="","",VLOOKUP(("Oi Internet Pra Celular 2GB"&amp;JK11&amp;"Template Desconto % SVA DADOS B2C"),[1]BENEFICIOS!$A:$E,5,0))),"Criar",IF(JK11="","",VLOOKUP(("Oi Internet Pra Celular 2GB"&amp;JK11&amp;"Template Desconto % SVA DADOS B2C"),[1]BENEFICIOS!$A:$E,5,0)))</f>
        <v/>
      </c>
      <c r="JM11" s="213"/>
      <c r="JN11" s="214" t="str">
        <f>IF(JM11=0,"",IF(JM11=VLOOKUP("PCS-7171B",[1]ARBOR!$A:$C,3,0),0.0001,IF(JM11&gt;VLOOKUP("PCS-7171B",[1]ARBOR!$A:$C,3,0),"Maior que CAP!",ROUND(-1*(JM11/VLOOKUP("PCS-7171B",[1]ARBOR!$A:$C,3,0)-1),4))))</f>
        <v/>
      </c>
      <c r="JO11" s="215" t="str">
        <f>IF(ISERROR(IF(JN11="","",VLOOKUP(("Oi Internet Pra Celular 3GB"&amp;JN11&amp;"Template Flat Instância Dados"),[1]BENEFICIOS!$A:$E,5,0))),"Criar",IF(JN11="","",VLOOKUP(("Oi Internet Pra Celular 3GB"&amp;JN11&amp;"Template Flat Instância Dados"),[1]BENEFICIOS!$A:$E,5,0)))</f>
        <v/>
      </c>
      <c r="JP11" s="216"/>
      <c r="JQ11" s="217" t="str">
        <f>IF(JP11=0,"",IF(JP11=VLOOKUP("sva_livros",[1]ARBOR!$A:$C,3,0),0.0001,IF(JP11&gt;VLOOKUP("sva_livros",[1]ARBOR!$A:$C,3,0),"Maior que CAP!",ROUND(-1*(JP11/VLOOKUP("sva_livros",[1]ARBOR!$A:$C,3,0)-1),4))))</f>
        <v/>
      </c>
      <c r="JR11" s="218" t="str">
        <f>IF(ISERROR(IF(JQ11="","",VLOOKUP(("Oi Internet Pra Celular 3GB"&amp;JQ11&amp;"Template Desconto % SVA DADOS B2C"),[1]BENEFICIOS!$A:$E,5,0))),"Criar",IF(JQ11="","",VLOOKUP(("Oi Internet Pra Celular 3GB"&amp;JQ11&amp;"Template Desconto % SVA DADOS B2C"),[1]BENEFICIOS!$A:$E,5,0)))</f>
        <v/>
      </c>
      <c r="JS11" s="213"/>
      <c r="JT11" s="214" t="str">
        <f>IF(JS11=0,"",IF(JS11=VLOOKUP("PCS-51793o08",[1]ARBOR!$A:$C,3,0),0.0001,IF(JS11&gt;VLOOKUP("PCS-51793o08",[1]ARBOR!$A:$C,3,0),"Maior que CAP!",ROUND(-1*(JS11/VLOOKUP("PCS-51793o08",[1]ARBOR!$A:$C,3,0)-1),4))))</f>
        <v/>
      </c>
      <c r="JU11" s="215" t="str">
        <f>IF(ISERROR(IF(JT11="","",VLOOKUP(("Oi Internet Pra Celular 5GB"&amp;JT11&amp;"Template Flat Instância Dados"),[1]BENEFICIOS!$A:$E,5,0))),"Criar",IF(JT11="","",VLOOKUP(("Oi Internet Pra Celular 5GB"&amp;JT11&amp;"Template Flat Instância Dados"),[1]BENEFICIOS!$A:$E,5,0)))</f>
        <v/>
      </c>
      <c r="JV11" s="216"/>
      <c r="JW11" s="217" t="str">
        <f>IF(JV11=0,"",IF(JV11=VLOOKUP("sva_curtas",[1]ARBOR!$A:$C,3,0),0.0001,IF(JV11&gt;VLOOKUP("sva_curtas",[1]ARBOR!$A:$C,3,0),"Maior que CAP!",ROUND(-1*(JV11/VLOOKUP("sva_curtas",[1]ARBOR!$A:$C,3,0)-1),4))))</f>
        <v/>
      </c>
      <c r="JX11" s="218" t="str">
        <f>IF(ISERROR(IF(JW11="","",VLOOKUP(("Oi Internet Pra Celular 5GB"&amp;JW11&amp;"Template Desconto % SVA DADOS B2C"),[1]BENEFICIOS!$A:$E,5,0))),"Criar",IF(JW11="","",VLOOKUP(("Oi Internet Pra Celular 5GB"&amp;JW11&amp;"Template Desconto % SVA DADOS B2C"),[1]BENEFICIOS!$A:$E,5,0)))</f>
        <v/>
      </c>
      <c r="JY11" s="213"/>
      <c r="JZ11" s="214" t="str">
        <f>IF(JY11=0,"",IF(JY11=VLOOKUP("PCS-7171A",[1]ARBOR!$A:$C,3,0),0.0001,IF(JY11&gt;VLOOKUP("PCS-7171A",[1]ARBOR!$A:$C,3,0),"Maior que CAP!",ROUND(-1*(JY11/VLOOKUP("PCS-7171A",[1]ARBOR!$A:$C,3,0)-1),4))))</f>
        <v/>
      </c>
      <c r="KA11" s="219" t="str">
        <f>IF(ISERROR(IF(JZ11="","",VLOOKUP(("Oi Internet Pra Celular 10GB"&amp;JZ11&amp;"Template Flat Instância Dados"),[1]BENEFICIOS!$A:$E,5,0))),"Criar",IF(JZ11="","",VLOOKUP(("Oi Internet Pra Celular 10GB"&amp;JZ11&amp;"Template Flat Instância Dados"),[1]BENEFICIOS!$A:$E,5,0)))</f>
        <v/>
      </c>
      <c r="KB11" s="216"/>
      <c r="KC11" s="217" t="str">
        <f>IF(KB11=0,"",IF(KB11=VLOOKUP("sva_curtas",[1]ARBOR!$A:$C,3,0),0.0001,IF(KB11&gt;VLOOKUP("sva_curtas",[1]ARBOR!$A:$C,3,0),"Maior que CAP!",ROUND(-1*(KB11/VLOOKUP("sva_curtas",[1]ARBOR!$A:$C,3,0)-1),4))))</f>
        <v/>
      </c>
      <c r="KD11" s="218" t="str">
        <f>IF(ISERROR(IF(KC11="","",VLOOKUP(("Oi Internet Pra Celular 10GB"&amp;KC11&amp;"Template Desconto % SVA DADOS B2C"),[1]BENEFICIOS!$A:$E,5,0))),"Criar",IF(KC11="","",VLOOKUP(("Oi Internet Pra Celular 10GB"&amp;KC11&amp;"Template Desconto % SVA DADOS B2C"),[1]BENEFICIOS!$A:$E,5,0)))</f>
        <v/>
      </c>
      <c r="KE11" s="220"/>
      <c r="KF11" s="221"/>
      <c r="KG11" s="222" t="s">
        <v>149</v>
      </c>
      <c r="KH11" s="223" t="s">
        <v>173</v>
      </c>
      <c r="KI11" s="224">
        <v>699</v>
      </c>
      <c r="KJ11" s="223">
        <v>12</v>
      </c>
      <c r="KK11" s="225" t="str">
        <f t="shared" si="5"/>
        <v>Oi benefício fidelização Multiprodutos</v>
      </c>
      <c r="KL11" s="226" t="str">
        <f t="shared" si="6"/>
        <v>PCS-Fk83324</v>
      </c>
      <c r="KM11" s="226" t="str">
        <f t="shared" si="7"/>
        <v>PCS-SBL553142</v>
      </c>
      <c r="KN11" s="227" t="s">
        <v>174</v>
      </c>
      <c r="KO11" s="228" t="s">
        <v>175</v>
      </c>
      <c r="KP11" s="228" t="s">
        <v>176</v>
      </c>
      <c r="KQ11" s="227" t="s">
        <v>177</v>
      </c>
      <c r="KR11" s="225" t="s">
        <v>178</v>
      </c>
      <c r="KS11" s="226" t="s">
        <v>179</v>
      </c>
      <c r="KT11" s="229" t="s">
        <v>180</v>
      </c>
      <c r="KU11" s="155" t="s">
        <v>181</v>
      </c>
      <c r="KV11" s="155" t="s">
        <v>181</v>
      </c>
      <c r="KW11" s="155">
        <v>234.91</v>
      </c>
      <c r="KX11" s="155">
        <v>244.91</v>
      </c>
      <c r="KY11" s="155">
        <v>279.90999999999997</v>
      </c>
      <c r="KZ11" s="155" t="s">
        <v>181</v>
      </c>
      <c r="LA11" s="155">
        <v>254.91</v>
      </c>
      <c r="LB11" s="155">
        <v>264.90999999999997</v>
      </c>
      <c r="LC11" s="155">
        <v>299.90999999999997</v>
      </c>
      <c r="LD11" s="155" t="s">
        <v>181</v>
      </c>
      <c r="LE11" s="155" t="s">
        <v>181</v>
      </c>
      <c r="LF11" s="155" t="s">
        <v>181</v>
      </c>
      <c r="LG11" s="155" t="s">
        <v>181</v>
      </c>
      <c r="LH11" s="155" t="s">
        <v>181</v>
      </c>
      <c r="LI11" s="155" t="s">
        <v>181</v>
      </c>
      <c r="LJ11" s="155" t="s">
        <v>181</v>
      </c>
      <c r="LK11" s="230" t="s">
        <v>181</v>
      </c>
      <c r="LL11" s="238"/>
      <c r="LM11" s="239"/>
      <c r="LN11" s="239"/>
      <c r="LO11" s="239"/>
      <c r="LP11" s="239"/>
      <c r="LQ11" s="239"/>
      <c r="LR11" s="239"/>
      <c r="LS11" s="239"/>
      <c r="LT11" s="239"/>
      <c r="LU11" s="240"/>
      <c r="LV11" t="s">
        <v>204</v>
      </c>
      <c r="LW11" t="s">
        <v>183</v>
      </c>
    </row>
    <row r="12" spans="1:335" x14ac:dyDescent="0.25">
      <c r="A12" s="160" t="s">
        <v>146</v>
      </c>
      <c r="B12" s="161" t="s">
        <v>147</v>
      </c>
      <c r="C12" s="161" t="s">
        <v>148</v>
      </c>
      <c r="D12" s="162" t="s">
        <v>149</v>
      </c>
      <c r="E12" s="163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5"/>
      <c r="Q12" s="165"/>
      <c r="R12" s="165"/>
      <c r="S12" s="166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7"/>
      <c r="AF12" s="164"/>
      <c r="AG12" s="164"/>
      <c r="AH12" s="168"/>
      <c r="AI12" s="235" t="s">
        <v>205</v>
      </c>
      <c r="AJ12" s="85" t="s">
        <v>151</v>
      </c>
      <c r="AK12" s="86" t="s">
        <v>197</v>
      </c>
      <c r="AL12" s="169">
        <v>43039</v>
      </c>
      <c r="AM12" s="170">
        <v>43159</v>
      </c>
      <c r="AN12" s="89" t="s">
        <v>153</v>
      </c>
      <c r="AO12" s="90" t="s">
        <v>153</v>
      </c>
      <c r="AP12" s="171"/>
      <c r="AQ12" s="171" t="s">
        <v>154</v>
      </c>
      <c r="AR12" s="171">
        <v>20</v>
      </c>
      <c r="AS12" s="171">
        <v>10000</v>
      </c>
      <c r="AT12" s="172" t="s">
        <v>155</v>
      </c>
      <c r="AU12" s="173" t="s">
        <v>149</v>
      </c>
      <c r="AV12" s="174" t="s">
        <v>156</v>
      </c>
      <c r="AW12" s="175" t="s">
        <v>156</v>
      </c>
      <c r="AX12" s="176" t="s">
        <v>205</v>
      </c>
      <c r="AY12" s="177" t="s">
        <v>188</v>
      </c>
      <c r="AZ12" s="178" t="str">
        <f>IF(ISERROR(VLOOKUP(AY12,[1]PLANOS!B:C,2,0)),"",VLOOKUP(AY12,[1]PLANOS!B:C,2,0))</f>
        <v>PCS-3PHipi</v>
      </c>
      <c r="BA12" s="179" t="s">
        <v>156</v>
      </c>
      <c r="BB12" s="180" t="str">
        <f t="shared" si="1"/>
        <v/>
      </c>
      <c r="BC12" s="181"/>
      <c r="BD12" s="182"/>
      <c r="BE12" s="183">
        <v>50.11</v>
      </c>
      <c r="BF12" s="127">
        <f>IF(BE12=0,"",IF(BE12=VLOOKUP("FIXO",[1]ARBOR!$A:$C,3,0),0.0001,IF(BE12&gt;VLOOKUP("FIXO",[1]ARBOR!$A:$C,3,0),"Maior que CAP!",IF((DOLLAR(BE12+(VLOOKUP("FIXO",[1]ARBOR!$A:$C,3,0)*-TRUNC(BE12/VLOOKUP("FIXO",[1]ARBOR!$A:$C,3,0)-1,4)),6))&lt;&gt;(DOLLAR(VLOOKUP("FIXO",[1]ARBOR!$A:$C,3,0),6)),-TRUNC(BE12/VLOOKUP("FIXO",[1]ARBOR!$A:$C,3,0)-1,4)+0.0001,-TRUNC(BE12/VLOOKUP("FIXO",[1]ARBOR!$A:$C,3,0)-1,4)))))</f>
        <v>0.33929999999999999</v>
      </c>
      <c r="BG12" s="184"/>
      <c r="BH12" s="127" t="str">
        <f>IF(BG12=0,"",IF(BG12=VLOOKUP("FIXO",[1]ARBOR!$A:$C,3,0),0.0001,IF(BG12&gt;VLOOKUP("FIXO",[1]ARBOR!$A:$C,3,0),"Maior que CAP!",IF((DOLLAR(BG12+(VLOOKUP("FIXO",[1]ARBOR!$A:$C,3,0)*-TRUNC(BG12/VLOOKUP("FIXO",[1]ARBOR!$A:$C,3,0)-1,4)),6))&lt;&gt;(DOLLAR(VLOOKUP("FIXO",[1]ARBOR!$A:$C,3,0),6)),-TRUNC(BG12/VLOOKUP("FIXO",[1]ARBOR!$A:$C,3,0)-1,4)+0.0001,-TRUNC(BG12/VLOOKUP("FIXO",[1]ARBOR!$A:$C,3,0)-1,4)))))</f>
        <v/>
      </c>
      <c r="BI12" s="127" t="str">
        <f>IF(ISERROR(IF(BF12="","",VLOOKUP(($AY12&amp;BF12&amp;"Template de desconto FLAT bundle - Fixo - Varejo - Ganho Tributário Cross"),[1]BENEFICIOS!$A:$E,5,0))),"Criar",IF(BF12="","",VLOOKUP(($AY12&amp;BF12&amp;"Template de desconto FLAT bundle - Fixo - Varejo - Ganho Tributário Cross"),[1]BENEFICIOS!$A:$E,5,0)))</f>
        <v>MKT-1-9825728196</v>
      </c>
      <c r="BJ12" s="185"/>
      <c r="BK12" s="127" t="str">
        <f t="shared" si="2"/>
        <v/>
      </c>
      <c r="BL12" s="186"/>
      <c r="BM12" s="127" t="str">
        <f>IF(BL12=0,"",IF(BL12=VLOOKUP("FIXO",[1]ARBOR!$A:$C,3,0),0.0001,IF(BL12&gt;VLOOKUP("FIXO",[1]ARBOR!$A:$C,3,0),"Maior que CAP!",IF(BF12&lt;&gt;"",-ROUND(BL12/VLOOKUP("FIXO",[1]ARBOR!$A:$C,3,0)-1,4)-BF12,-ROUND(BL12/VLOOKUP("FIXO",[1]ARBOR!$A:$C,3,0)-1,4)))))</f>
        <v/>
      </c>
      <c r="BN12" s="187"/>
      <c r="BO12" s="127" t="str">
        <f>IF(ISERROR(IF(BK12="","",VLOOKUP(($AY12&amp;BK12&amp;"Template de desconto FLAT bundle - Fixo - Varejo - Ganho Tributário Cross"),[1]BENEFICIOS!$A:$E,5,0))),"Criar",IF(BK12="","",VLOOKUP(($AY12&amp;BK12&amp;"Template de desconto FLAT bundle - Fixo - Varejo - Ganho Tributário Cross"),[1]BENEFICIOS!$A:$E,5,0)))</f>
        <v/>
      </c>
      <c r="BP12" s="188" t="s">
        <v>158</v>
      </c>
      <c r="BQ12" s="189" t="s">
        <v>159</v>
      </c>
      <c r="BR12" s="190" t="s">
        <v>156</v>
      </c>
      <c r="BS12" s="191" t="str">
        <f t="shared" si="0"/>
        <v/>
      </c>
      <c r="BT12" s="181"/>
      <c r="BU12" s="192"/>
      <c r="BV12" s="193" t="s">
        <v>198</v>
      </c>
      <c r="BW12" s="194">
        <v>44.9</v>
      </c>
      <c r="BX12" s="127">
        <f>IF(BW12=0,"",IF(BW12=VLOOKUP("PCS-30874g",[1]ARBOR!$A:$C,3,0),0.0001,IF(BW12&gt;VLOOKUP("PCS-30874g",[1]ARBOR!$A:$C,3,0),"Maior que CAP!",IF((DOLLAR(BW12+(VLOOKUP("PCS-30874g",[1]ARBOR!$A:$C,3,0)*-TRUNC(BW12/VLOOKUP("PCS-30874g",[1]ARBOR!$A:$C,3,0)-1,4)),6))&lt;&gt;(DOLLAR(VLOOKUP("PCS-30874g",[1]ARBOR!$A:$C,3,0),6)),-TRUNC(BW12/VLOOKUP("PCS-30874g",[1]ARBOR!$A:$C,3,0)-1,4)+0.0001,-TRUNC(BW12/VLOOKUP("PCS-30874g",[1]ARBOR!$A:$C,3,0)-1,4)))))</f>
        <v>0.53679999999999994</v>
      </c>
      <c r="BY12" s="189" t="str">
        <f>IF(ISERROR(IF(BX12="","",VLOOKUP(($AY12&amp;BX12&amp;"Template de desconto FLAT bundle - Velox XDSL - Varejo"),[1]BENEFICIOS!$A:$E,5,0))),"Criar",IF(BX12="","",VLOOKUP(($AY12&amp;BX12&amp;"Template de desconto FLAT bundle - Velox XDSL - Varejo"),[1]BENEFICIOS!$A:$E,5,0)))</f>
        <v>MKT-1-9829477373</v>
      </c>
      <c r="BZ12" s="193" t="s">
        <v>198</v>
      </c>
      <c r="CA12" s="194">
        <v>44.9</v>
      </c>
      <c r="CB12" s="127">
        <f>IF(CA12=0,"",IF(CA12=VLOOKUP("PCS-30577g",[1]ARBOR!$A:$C,3,0),0.0001,IF(CA12&gt;VLOOKUP("PCS-30577g",[1]ARBOR!$A:$C,3,0),"Maior que CAP!",IF((DOLLAR(CA12+(VLOOKUP("PCS-30577g",[1]ARBOR!$A:$C,3,0)*-TRUNC(CA12/VLOOKUP("PCS-30577g",[1]ARBOR!$A:$C,3,0)-1,4)),6))&lt;&gt;(DOLLAR(VLOOKUP("PCS-30577g",[1]ARBOR!$A:$C,3,0),6)),-TRUNC(CA12/VLOOKUP("PCS-30577g",[1]ARBOR!$A:$C,3,0)-1,4)+0.0001,-TRUNC(CA12/VLOOKUP("PCS-30577g",[1]ARBOR!$A:$C,3,0)-1,4)))))</f>
        <v>0.53679999999999994</v>
      </c>
      <c r="CC12" s="189" t="str">
        <f>IF(ISERROR(IF(CB12="","",VLOOKUP(($AY12&amp;CB12&amp;"Template de desconto FLAT bundle - Velox XDSL - Varejo"),[1]BENEFICIOS!$A:$E,5,0))),"Criar",IF(CB12="","",VLOOKUP(($AY12&amp;CB12&amp;"Template de desconto FLAT bundle - Velox XDSL - Varejo"),[1]BENEFICIOS!$A:$E,5,0)))</f>
        <v>MKT-1-9829477373</v>
      </c>
      <c r="CD12" s="193" t="s">
        <v>198</v>
      </c>
      <c r="CE12" s="194">
        <v>44.9</v>
      </c>
      <c r="CF12" s="127">
        <f>IF(CE12=0,"",IF(CE12=VLOOKUP("PCS-30604g",[1]ARBOR!$A:$C,3,0),0.0001,IF(CE12&gt;VLOOKUP("PCS-30604g",[1]ARBOR!$A:$C,3,0),"Maior que CAP!",IF((DOLLAR(CE12+(VLOOKUP("PCS-30604g",[1]ARBOR!$A:$C,3,0)*-TRUNC(CE12/VLOOKUP("PCS-30604g",[1]ARBOR!$A:$C,3,0)-1,4)),6))&lt;&gt;(DOLLAR(VLOOKUP("PCS-30604g",[1]ARBOR!$A:$C,3,0),6)),-TRUNC(CE12/VLOOKUP("PCS-30604g",[1]ARBOR!$A:$C,3,0)-1,4)+0.0001,-TRUNC(CE12/VLOOKUP("PCS-30604g",[1]ARBOR!$A:$C,3,0)-1,4)))))</f>
        <v>0.53679999999999994</v>
      </c>
      <c r="CG12" s="189" t="str">
        <f>IF(ISERROR(IF(CF12="","",VLOOKUP(($AY12&amp;CF12&amp;"Template de desconto FLAT bundle - Velox XDSL - Varejo"),[1]BENEFICIOS!$A:$E,5,0))),"Criar",IF(CF12="","",VLOOKUP(($AY12&amp;CF12&amp;"Template de desconto FLAT bundle - Velox XDSL - Varejo"),[1]BENEFICIOS!$A:$E,5,0)))</f>
        <v>MKT-1-9829477373</v>
      </c>
      <c r="CH12" s="193" t="s">
        <v>198</v>
      </c>
      <c r="CI12" s="194">
        <v>44.9</v>
      </c>
      <c r="CJ12" s="127">
        <f>IF(CI12=0,"",IF(CI12=VLOOKUP("PCS-30631g",[1]ARBOR!$A:$C,3,0),0.0001,IF(CI12&gt;VLOOKUP("PCS-30631g",[1]ARBOR!$A:$C,3,0),"Maior que CAP!",IF((DOLLAR(CI12+(VLOOKUP("PCS-30631g",[1]ARBOR!$A:$C,3,0)*-TRUNC(CI12/VLOOKUP("PCS-30631g",[1]ARBOR!$A:$C,3,0)-1,4)),6))&lt;&gt;(DOLLAR(VLOOKUP("PCS-30631g",[1]ARBOR!$A:$C,3,0),6)),-TRUNC(CI12/VLOOKUP("PCS-30631g",[1]ARBOR!$A:$C,3,0)-1,4)+0.0001,-TRUNC(CI12/VLOOKUP("PCS-30631g",[1]ARBOR!$A:$C,3,0)-1,4)))))</f>
        <v>0.54310000000000003</v>
      </c>
      <c r="CK12" s="189" t="str">
        <f>IF(ISERROR(IF(CJ12="","",VLOOKUP(($AY12&amp;CJ12&amp;"Template de desconto FLAT bundle - Velox XDSL - Varejo"),[1]BENEFICIOS!$A:$E,5,0))),"Criar",IF(CJ12="","",VLOOKUP(($AY12&amp;CJ12&amp;"Template de desconto FLAT bundle - Velox XDSL - Varejo"),[1]BENEFICIOS!$A:$E,5,0)))</f>
        <v>MKT-1-9828219079</v>
      </c>
      <c r="CL12" s="193" t="s">
        <v>86</v>
      </c>
      <c r="CM12" s="194">
        <v>49.9</v>
      </c>
      <c r="CN12" s="127">
        <f>IF(CM12=0,"",IF(CM12=VLOOKUP("PCS-30658g",[1]ARBOR!$A:$C,3,0),0.0001,IF(CM12&gt;VLOOKUP("PCS-30658g",[1]ARBOR!$A:$C,3,0),"Maior que CAP!",IF((DOLLAR(CM12+(VLOOKUP("PCS-30658g",[1]ARBOR!$A:$C,3,0)*-TRUNC(CM12/VLOOKUP("PCS-30658g",[1]ARBOR!$A:$C,3,0)-1,4)),6))&lt;&gt;(DOLLAR(VLOOKUP("PCS-30658g",[1]ARBOR!$A:$C,3,0),6)),-TRUNC(CM12/VLOOKUP("PCS-30658g",[1]ARBOR!$A:$C,3,0)-1,4)+0.0001,-TRUNC(CM12/VLOOKUP("PCS-30658g",[1]ARBOR!$A:$C,3,0)-1,4)))))</f>
        <v>0.55569999999999997</v>
      </c>
      <c r="CO12" s="189" t="str">
        <f>IF(ISERROR(IF(CN12="","",VLOOKUP(($AY12&amp;CN12&amp;"Template de desconto FLAT bundle - Velox XDSL - Varejo"),[1]BENEFICIOS!$A:$E,5,0))),"Criar",IF(CN12="","",VLOOKUP(($AY12&amp;CN12&amp;"Template de desconto FLAT bundle - Velox XDSL - Varejo"),[1]BENEFICIOS!$A:$E,5,0)))</f>
        <v>MKT-1-9828243608</v>
      </c>
      <c r="CP12" s="193" t="s">
        <v>86</v>
      </c>
      <c r="CQ12" s="194">
        <v>49.9</v>
      </c>
      <c r="CR12" s="127">
        <f>IF(CQ12=0,"",IF(CQ12=VLOOKUP("PCS-30685g",[1]ARBOR!$A:$C,3,0),0.0001,IF(CQ12&gt;VLOOKUP("PCS-30685g",[1]ARBOR!$A:$C,3,0),"Maior que CAP!",IF((DOLLAR(CQ12+(VLOOKUP("PCS-30685g",[1]ARBOR!$A:$C,3,0)*-TRUNC(CQ12/VLOOKUP("PCS-30685g",[1]ARBOR!$A:$C,3,0)-1,4)),6))&lt;&gt;(DOLLAR(VLOOKUP("PCS-30685g",[1]ARBOR!$A:$C,3,0),6)),-TRUNC(CQ12/VLOOKUP("PCS-30685g",[1]ARBOR!$A:$C,3,0)-1,4)+0.0001,-TRUNC(CQ12/VLOOKUP("PCS-30685g",[1]ARBOR!$A:$C,3,0)-1,4)))))</f>
        <v>0.60509999999999997</v>
      </c>
      <c r="CS12" s="189" t="str">
        <f>IF(ISERROR(IF(CR12="","",VLOOKUP(($AY12&amp;CR12&amp;"Template de desconto FLAT bundle - Velox XDSL - Varejo"),[1]BENEFICIOS!$A:$E,5,0))),"Criar",IF(CR12="","",VLOOKUP(($AY12&amp;CR12&amp;"Template de desconto FLAT bundle - Velox XDSL - Varejo"),[1]BENEFICIOS!$A:$E,5,0)))</f>
        <v>MKT-1-9828260647</v>
      </c>
      <c r="CT12" s="193" t="s">
        <v>86</v>
      </c>
      <c r="CU12" s="194">
        <v>49.9</v>
      </c>
      <c r="CV12" s="127">
        <f>IF(CU12=0,"",IF(CU12=VLOOKUP("PCS-30712g",[1]ARBOR!$A:$C,3,0),0.0001,IF(CU12&gt;VLOOKUP("PCS-30712g",[1]ARBOR!$A:$C,3,0),"Maior que CAP!",IF((DOLLAR(CU12+(VLOOKUP("PCS-30712g",[1]ARBOR!$A:$C,3,0)*-TRUNC(CU12/VLOOKUP("PCS-30712g",[1]ARBOR!$A:$C,3,0)-1,4)),6))&lt;&gt;(DOLLAR(VLOOKUP("PCS-30712g",[1]ARBOR!$A:$C,3,0),6)),-TRUNC(CU12/VLOOKUP("PCS-30712g",[1]ARBOR!$A:$C,3,0)-1,4)+0.0001,-TRUNC(CU12/VLOOKUP("PCS-30712g",[1]ARBOR!$A:$C,3,0)-1,4)))))</f>
        <v>0.64459999999999995</v>
      </c>
      <c r="CW12" s="189" t="str">
        <f>IF(ISERROR(IF(CV12="","",VLOOKUP(($AY12&amp;CV12&amp;"Template de desconto FLAT bundle - Velox XDSL - Varejo"),[1]BENEFICIOS!$A:$E,5,0))),"Criar",IF(CV12="","",VLOOKUP(($AY12&amp;CV12&amp;"Template de desconto FLAT bundle - Velox XDSL - Varejo"),[1]BENEFICIOS!$A:$E,5,0)))</f>
        <v>MKT-1-9828260926</v>
      </c>
      <c r="CX12" s="193" t="s">
        <v>86</v>
      </c>
      <c r="CY12" s="194">
        <v>59.9</v>
      </c>
      <c r="CZ12" s="127">
        <f>IF(CY12=0,"",IF(CY12=VLOOKUP("PCS-30739g",[1]ARBOR!$A:$C,3,0),0.0001,IF(CY12&gt;VLOOKUP("PCS-30739g",[1]ARBOR!$A:$C,3,0),"Maior que CAP!",IF((DOLLAR(CY12+(VLOOKUP("PCS-30739g",[1]ARBOR!$A:$C,3,0)*-TRUNC(CY12/VLOOKUP("PCS-30739g",[1]ARBOR!$A:$C,3,0)-1,4)),6))&lt;&gt;(DOLLAR(VLOOKUP("PCS-30739g",[1]ARBOR!$A:$C,3,0),6)),-TRUNC(CY12/VLOOKUP("PCS-30739g",[1]ARBOR!$A:$C,3,0)-1,4)+0.0001,-TRUNC(CY12/VLOOKUP("PCS-30739g",[1]ARBOR!$A:$C,3,0)-1,4)))))</f>
        <v>0.71560000000000001</v>
      </c>
      <c r="DA12" s="195" t="str">
        <f>IF(ISERROR(IF(CZ12="","",VLOOKUP(($AY12&amp;CZ12&amp;"Template de desconto FLAT bundle - Velox XDSL - Varejo"),[1]BENEFICIOS!$A:$E,5,0))),"Criar",IF(CZ12="","",VLOOKUP(($AY12&amp;CZ12&amp;"Template de desconto FLAT bundle - Velox XDSL - Varejo"),[1]BENEFICIOS!$A:$E,5,0)))</f>
        <v>MKT-1-9828272465</v>
      </c>
      <c r="DB12" s="196"/>
      <c r="DC12" s="241"/>
      <c r="DD12" s="127" t="str">
        <f>IF(DB12=0,"",IF(DB12=VLOOKUP("PCS-30739g",[1]ARBOR!$A:$C,3,0),0.0001,IF(DB12&gt;VLOOKUP("PCS-30739g",[1]ARBOR!$A:$C,3,0),"Maior que CAP!",IF((DOLLAR(DB12+(VLOOKUP("PCS-30739g",[1]ARBOR!$A:$C,3,0)*-TRUNC(DB12/VLOOKUP("PCS-30739g",[1]ARBOR!$A:$C,3,0)-1,4)),6))&lt;&gt;(DOLLAR(VLOOKUP("PCS-30739g",[1]ARBOR!$A:$C,3,0),6)),(-TRUNC(DB12/VLOOKUP("PCS-30739g",[1]ARBOR!$A:$C,3,0)-1,4)+0.0001)-CZ12,-TRUNC(DB12/VLOOKUP("PCS-30739g",[1]ARBOR!$A:$C,3,0)-1,4)-CZ12))))</f>
        <v/>
      </c>
      <c r="DE12" s="189" t="str">
        <f>IF(ISERROR(IF(DD12="","",VLOOKUP(($AY12&amp;DD12&amp;"Template de desconto percentual Bundle - Velox XDSL - Varejo"),[1]BENEFICIOS!$A:$E,5,0))),"Criar",IF(DD12="","",VLOOKUP(($AY12&amp;DD12&amp;"Template de desconto percentual Bundle - Velox XDSL - Varejo"),[1]BENEFICIOS!$A:$E,5,0)))</f>
        <v/>
      </c>
      <c r="DF12" s="193" t="s">
        <v>86</v>
      </c>
      <c r="DG12" s="194">
        <v>59.9</v>
      </c>
      <c r="DH12" s="127">
        <f>IF(DG12=0,"",IF(DG12=VLOOKUP("PCS-30766g",[1]ARBOR!$A:$C,3,0),0.0001,IF(DG12&gt;VLOOKUP("PCS-30766g",[1]ARBOR!$A:$C,3,0),"Maior que CAP!",IF((DOLLAR(DG12+(VLOOKUP("PCS-30766g",[1]ARBOR!$A:$C,3,0)*-TRUNC(DG12/VLOOKUP("PCS-30766g",[1]ARBOR!$A:$C,3,0)-1,4)),6))&lt;&gt;(DOLLAR(VLOOKUP("PCS-30766g",[1]ARBOR!$A:$C,3,0),6)),-TRUNC(DG12/VLOOKUP("PCS-30766g",[1]ARBOR!$A:$C,3,0)-1,4)+0.0001,-TRUNC(DG12/VLOOKUP("PCS-30766g",[1]ARBOR!$A:$C,3,0)-1,4)))))</f>
        <v>0.78669999999999995</v>
      </c>
      <c r="DI12" s="195" t="str">
        <f>IF(ISERROR(IF(DH12="","",VLOOKUP(($AY12&amp;DH12&amp;"Template de desconto FLAT bundle - Velox XDSL - Varejo"),[1]BENEFICIOS!$A:$E,5,0))),"Criar",IF(DH12="","",VLOOKUP(($AY12&amp;DH12&amp;"Template de desconto FLAT bundle - Velox XDSL - Varejo"),[1]BENEFICIOS!$A:$E,5,0)))</f>
        <v>MKT-1-9828285890</v>
      </c>
      <c r="DJ12" s="196"/>
      <c r="DK12" s="241"/>
      <c r="DL12" s="127" t="str">
        <f>IF(DJ12=0,"",IF(DJ12=VLOOKUP("PCS-30766g",[1]ARBOR!$A:$C,3,0),0.0001,IF(DJ12&gt;VLOOKUP("PCS-30766g",[1]ARBOR!$A:$C,3,0),"Maior que CAP!",IF((DOLLAR(DJ12+(VLOOKUP("PCS-30766g",[1]ARBOR!$A:$C,3,0)*-TRUNC(DJ12/VLOOKUP("PCS-30766g",[1]ARBOR!$A:$C,3,0)-1,4)),6))&lt;&gt;(DOLLAR(VLOOKUP("PCS-30766g",[1]ARBOR!$A:$C,3,0),6)),(-TRUNC(DJ12/VLOOKUP("PCS-30766g",[1]ARBOR!$A:$C,3,0)-1,4)+0.0001)-DH12,-TRUNC(DJ12/VLOOKUP("PCS-30766g",[1]ARBOR!$A:$C,3,0)-1,4)-DH12))))</f>
        <v/>
      </c>
      <c r="DM12" s="189" t="str">
        <f>IF(ISERROR(IF(DL12="","",VLOOKUP(($AY12&amp;DL12&amp;"Template de desconto percentual Bundle - Velox XDSL - Varejo"),[1]BENEFICIOS!$A:$E,5,0))),"Criar",IF(DL12="","",VLOOKUP(($AY12&amp;DL12&amp;"Template de desconto percentual Bundle - Velox XDSL - Varejo"),[1]BENEFICIOS!$A:$E,5,0)))</f>
        <v/>
      </c>
      <c r="DN12" s="193" t="s">
        <v>198</v>
      </c>
      <c r="DO12" s="194">
        <v>69.900000000000006</v>
      </c>
      <c r="DP12" s="127">
        <f>IF(DO12=0,"",IF(DO12=VLOOKUP("PCS-30793g",[1]ARBOR!$A:$C,3,0),0.0001,IF(DO12&gt;VLOOKUP("PCS-30793g",[1]ARBOR!$A:$C,3,0),"Maior que CAP!",IF((DOLLAR(DO12+(VLOOKUP("PCS-30793g",[1]ARBOR!$A:$C,3,0)*-TRUNC(DO12/VLOOKUP("PCS-30793g",[1]ARBOR!$A:$C,3,0)-1,4)),6))&lt;&gt;(DOLLAR(VLOOKUP("PCS-30793g",[1]ARBOR!$A:$C,3,0),6)),-TRUNC(DO12/VLOOKUP("PCS-30793g",[1]ARBOR!$A:$C,3,0)-1,4)+0.0001,-TRUNC(DO12/VLOOKUP("PCS-30793g",[1]ARBOR!$A:$C,3,0)-1,4)))))</f>
        <v>0.75109999999999999</v>
      </c>
      <c r="DQ12" s="195" t="str">
        <f>IF(ISERROR(IF(DP12="","",VLOOKUP(($AY12&amp;DP12&amp;"Template de desconto FLAT bundle - Velox XDSL - Varejo"),[1]BENEFICIOS!$A:$E,5,0))),"Criar",IF(DP12="","",VLOOKUP(($AY12&amp;DP12&amp;"Template de desconto FLAT bundle - Velox XDSL - Varejo"),[1]BENEFICIOS!$A:$E,5,0)))</f>
        <v>MKT-1-9828314259</v>
      </c>
      <c r="DR12" s="196"/>
      <c r="DS12" s="241"/>
      <c r="DT12" s="127" t="str">
        <f>IF(DR12=0,"",IF(DR12=VLOOKUP("PCS-30793g",[1]ARBOR!$A:$C,3,0),0.0001,IF(DR12&gt;VLOOKUP("PCS-30793g",[1]ARBOR!$A:$C,3,0),"Maior que CAP!",IF((DOLLAR(DR12+(VLOOKUP("PCS-30793g",[1]ARBOR!$A:$C,3,0)*-TRUNC(DR12/VLOOKUP("PCS-30793g",[1]ARBOR!$A:$C,3,0)-1,4)),6))&lt;&gt;(DOLLAR(VLOOKUP("PCS-30793g",[1]ARBOR!$A:$C,3,0),6)),(-TRUNC(DR12/VLOOKUP("PCS-30793g",[1]ARBOR!$A:$C,3,0)-1,4)+0.0001)-DP12,-TRUNC(DR12/VLOOKUP("PCS-30793g",[1]ARBOR!$A:$C,3,0)-1,4)-DP12))))</f>
        <v/>
      </c>
      <c r="DU12" s="189" t="str">
        <f>IF(ISERROR(IF(DT12="","",VLOOKUP(($AY12&amp;DT12&amp;"Template de desconto percentual Bundle - Velox XDSL - Varejo"),[1]BENEFICIOS!$A:$E,5,0))),"Criar",IF(DT12="","",VLOOKUP(($AY12&amp;DT12&amp;"Template de desconto percentual Bundle - Velox XDSL - Varejo"),[1]BENEFICIOS!$A:$E,5,0)))</f>
        <v/>
      </c>
      <c r="DV12" s="193" t="s">
        <v>86</v>
      </c>
      <c r="DW12" s="194">
        <v>69.900000000000006</v>
      </c>
      <c r="DX12" s="127">
        <f>IF(DW12=0,"",IF(DW12=VLOOKUP("PCS-30820g",[1]ARBOR!$A:$C,3,0),0.0001,IF(DW12&gt;VLOOKUP("PCS-30820g",[1]ARBOR!$A:$C,3,0),"Maior que CAP!",IF((DOLLAR(DW12+(VLOOKUP("PCS-30820g",[1]ARBOR!$A:$C,3,0)*-TRUNC(DW12/VLOOKUP("PCS-30820g",[1]ARBOR!$A:$C,3,0)-1,4)),6))&lt;&gt;(DOLLAR(VLOOKUP("PCS-30820g",[1]ARBOR!$A:$C,3,0),6)),-TRUNC(DW12/VLOOKUP("PCS-30820g",[1]ARBOR!$A:$C,3,0)-1,4)+0.0001,-TRUNC(DW12/VLOOKUP("PCS-30820g",[1]ARBOR!$A:$C,3,0)-1,4)))))</f>
        <v>0.75109999999999999</v>
      </c>
      <c r="DY12" s="195" t="str">
        <f>IF(ISERROR(IF(DX12="","",VLOOKUP(($AY12&amp;DX12&amp;"Template de desconto FLAT bundle - Velox XDSL - Varejo"),[1]BENEFICIOS!$A:$E,5,0))),"Criar",IF(DX12="","",VLOOKUP(($AY12&amp;DX12&amp;"Template de desconto FLAT bundle - Velox XDSL - Varejo"),[1]BENEFICIOS!$A:$E,5,0)))</f>
        <v>MKT-1-9828314259</v>
      </c>
      <c r="DZ12" s="196"/>
      <c r="EA12" s="241"/>
      <c r="EB12" s="127" t="str">
        <f>IF(DZ12=0,"",IF(DZ12=VLOOKUP("PCS-30820g",[1]ARBOR!$A:$C,3,0),0.0001,IF(DZ12&gt;VLOOKUP("PCS-30820g",[1]ARBOR!$A:$C,3,0),"Maior que CAP!",IF((DOLLAR(DZ12+(VLOOKUP("PCS-30820g",[1]ARBOR!$A:$C,3,0)*-TRUNC(DZ12/VLOOKUP("PCS-30820g",[1]ARBOR!$A:$C,3,0)-1,4)),6))&lt;&gt;(DOLLAR(VLOOKUP("PCS-30820g",[1]ARBOR!$A:$C,3,0),6)),(-TRUNC(DZ12/VLOOKUP("PCS-30820g",[1]ARBOR!$A:$C,3,0)-1,4)+0.0001)-DX12,-TRUNC(DZ12/VLOOKUP("PCS-30820g",[1]ARBOR!$A:$C,3,0)-1,4)-DX12))))</f>
        <v/>
      </c>
      <c r="EC12" s="189" t="str">
        <f>IF(ISERROR(IF(EB12="","",VLOOKUP(($AY12&amp;EB12&amp;"Template de desconto percentual Bundle - Velox XDSL - Varejo"),[1]BENEFICIOS!$A:$E,5,0))),"Criar",IF(EB12="","",VLOOKUP(($AY12&amp;EB12&amp;"Template de desconto percentual Bundle - Velox XDSL - Varejo"),[1]BENEFICIOS!$A:$E,5,0)))</f>
        <v/>
      </c>
      <c r="ED12" s="198"/>
      <c r="EE12" s="127" t="str">
        <f>IF(ED12=0,"",IF(ED12=VLOOKUP("PCS-21448p2",[1]ARBOR!$A:$C,3,0),0.0001,IF(ED12&gt;VLOOKUP("PCS-21448p2",[1]ARBOR!$A:$C,3,0),"Maior que CAP!",IF((DOLLAR(ED12+(VLOOKUP("PCS-21448p2",[1]ARBOR!$A:$C,3,0)*-TRUNC(ED12/VLOOKUP("PCS-21448p2",[1]ARBOR!$A:$C,3,0)-1,4)),6))&lt;&gt;(DOLLAR(VLOOKUP("PCS-21448p2",[1]ARBOR!$A:$C,3,0),6)),-TRUNC(ED12/VLOOKUP("PCS-21448p2",[1]ARBOR!$A:$C,3,0)-1,4)+0.0001,-TRUNC(ED12/VLOOKUP("PCS-21448p2",[1]ARBOR!$A:$C,3,0)-1,4)))))</f>
        <v/>
      </c>
      <c r="EF12" s="127" t="str">
        <f>IF(ISERROR(IF(EE12="","",VLOOKUP(("Oi Conta Total Plug 10GB Downgrade"&amp;EE12&amp;"Template de desconto percentual BL Móvel - Internet Total - Varejo"),[1]BENEFICIOS!$A:$E,5,0))),"Criar",IF(EE12="","",VLOOKUP(("Oi Conta Total Plug 10GB Downgrade"&amp;EE12&amp;"Template de desconto percentual BL Móvel - Internet Total - Varejo"),[1]BENEFICIOS!$A:$E,5,0)))</f>
        <v/>
      </c>
      <c r="EG12" s="199">
        <v>19.899999999999999</v>
      </c>
      <c r="EH12" s="200">
        <f>IF(EG12=0,"",IF(EG12=VLOOKUP("SVA",[1]ARBOR!$A:$C,3,0),0.0001,IF(EG12&gt;VLOOKUP("SVA",[1]ARBOR!$A:$C,3,0),"Maior que CAP!",IF((DOLLAR(EG12+(VLOOKUP("SVA",[1]ARBOR!$A:$C,3,0)*-TRUNC(EG12/VLOOKUP("SVA",[1]ARBOR!$A:$C,3,0)-1,4)),6))&lt;&gt;(DOLLAR(VLOOKUP("SVA",[1]ARBOR!$A:$C,3,0),6)),-TRUNC(EG12/VLOOKUP("SVA",[1]ARBOR!$A:$C,3,0)-1,4)+0.0001,-TRUNC(EG12/VLOOKUP("SVA",[1]ARBOR!$A:$C,3,0)-1,4)))))</f>
        <v>7.1400000000000005E-2</v>
      </c>
      <c r="EI12" s="200" t="s">
        <v>199</v>
      </c>
      <c r="EJ12" s="201"/>
      <c r="EK12" s="202"/>
      <c r="EL12" s="203" t="str">
        <f t="shared" si="3"/>
        <v/>
      </c>
      <c r="EM12" s="200" t="str">
        <f>IF(EL12="S/Desc","S/Desc",IF(ISERROR(IF(EL12="","",VLOOKUP(($BX12&amp;EL12&amp;"Template Desc. % sobre Serviço SVA B2C"),[1]BENEFICIOS!$A:$G,5,0))),"Criar",IF(EL12="","",VLOOKUP(($BX12&amp;EL12&amp;"Template Desc. % sobre Serviço SVA B2C"),[1]BENEFICIOS!$A:$G,5,0))))</f>
        <v/>
      </c>
      <c r="EN12" s="129"/>
      <c r="EO12" s="127" t="str">
        <f>IF(EN12=0,"",IF(EN12=VLOOKUP("PCS-OzTL40",[1]ARBOR!$A:$C,3,0),0.0001,IF(EN12&gt;VLOOKUP("PCS-OzTL40",[1]ARBOR!$A:$C,3,0),"Maior que CAP!",IF((DOLLAR(EN12+(VLOOKUP("PCS-OzTL40",[1]ARBOR!$A:$C,3,0)*-TRUNC(EN12/VLOOKUP("PCS-OzTL40",[1]ARBOR!$A:$C,3,0)-1,4)),6))&lt;&gt;(DOLLAR(VLOOKUP("PCS-OzTL40",[1]ARBOR!$A:$C,3,0),6)),-TRUNC(EN12/VLOOKUP("PCS-OzTL40",[1]ARBOR!$A:$C,3,0)-1,4)+0.0001,-TRUNC(EN12/VLOOKUP("PCS-OzTL40",[1]ARBOR!$A:$C,3,0)-1,4)))))</f>
        <v/>
      </c>
      <c r="EP12" s="189" t="str">
        <f>IF(ISERROR(IF(EO12="","",VLOOKUP(($AY12&amp;EO12&amp;"Template desconto FLAT Plano Principal Oi TV nível conta"),[1]BENEFICIOS!$A:$G,5,0))),"Criar",IF(EO12="","",VLOOKUP(($AY12&amp;EO12&amp;"Template desconto FLAT Plano Principal Oi TV nível conta"),[1]BENEFICIOS!$A:$G,5,0)))</f>
        <v/>
      </c>
      <c r="EQ12" s="129"/>
      <c r="ER12" s="127" t="str">
        <f>IF(EQ12=0,"",IF(EQ12=VLOOKUP("PCS-OzTL41",[1]ARBOR!$A:$C,3,0),0.0001,IF(EQ12&gt;VLOOKUP("PCS-OzTL41",[1]ARBOR!$A:$C,3,0),"Maior que CAP!",IF((DOLLAR(EQ12+(VLOOKUP("PCS-OzTL41",[1]ARBOR!$A:$C,3,0)*-TRUNC(EQ12/VLOOKUP("PCS-OzTL41",[1]ARBOR!$A:$C,3,0)-1,4)),6))&lt;&gt;(DOLLAR(VLOOKUP("PCS-OzTL41",[1]ARBOR!$A:$C,3,0),6)),-TRUNC(EQ12/VLOOKUP("PCS-OzTL41",[1]ARBOR!$A:$C,3,0)-1,4)+0.0001,-TRUNC(EQ12/VLOOKUP("PCS-OzTL41",[1]ARBOR!$A:$C,3,0)-1,4)))))</f>
        <v/>
      </c>
      <c r="ES12" s="204" t="str">
        <f>IF(ISERROR(IF(ER12="","",VLOOKUP(($AY12&amp;ER12&amp;"Template desconto FLAT Plano Principal Oi TV nível conta"),[1]BENEFICIOS!$A:$G,5,0))),"Criar",IF(ER12="","",VLOOKUP(($AY12&amp;ER12&amp;"Template desconto FLAT Plano Principal Oi TV nível conta"),[1]BENEFICIOS!$A:$G,5,0)))</f>
        <v/>
      </c>
      <c r="ET12" s="129"/>
      <c r="EU12" s="127" t="str">
        <f>IF(ET12=0,"",IF(ET12=VLOOKUP("PCS-OzTL44",[1]ARBOR!$A:$C,3,0),0.0001,IF(ET12&gt;VLOOKUP("PCS-OzTL44",[1]ARBOR!$A:$C,3,0),"Maior que CAP!",IF((DOLLAR(ET12+(VLOOKUP("PCS-OzTL44",[1]ARBOR!$A:$C,3,0)*-TRUNC(ET12/VLOOKUP("PCS-OzTL44",[1]ARBOR!$A:$C,3,0)-1,4)),6))&lt;&gt;(DOLLAR(VLOOKUP("PCS-OzTL44",[1]ARBOR!$A:$C,3,0),6)),-TRUNC(ET12/VLOOKUP("PCS-OzTL44",[1]ARBOR!$A:$C,3,0)-1,4)+0.0001,-TRUNC(ET12/VLOOKUP("PCS-OzTL44",[1]ARBOR!$A:$C,3,0)-1,4)))))</f>
        <v/>
      </c>
      <c r="EV12" s="204" t="str">
        <f>IF(ISERROR(IF(EU12="","",VLOOKUP(($AY12&amp;EU12&amp;"Template desconto FLAT Plano Principal Oi TV nível conta"),[1]BENEFICIOS!$A:$G,5,0))),"Criar",IF(EU12="","",VLOOKUP(($AY12&amp;EU12&amp;"Template desconto FLAT Plano Principal Oi TV nível conta"),[1]BENEFICIOS!$A:$G,5,0)))</f>
        <v/>
      </c>
      <c r="EW12" s="129"/>
      <c r="EX12" s="127" t="str">
        <f>IF(EW12=0,"",IF(EW12=VLOOKUP("PCS-OzTL43",[1]ARBOR!$A:$C,3,0),0.0001,IF(EW12&gt;VLOOKUP("PCS-OzTL43",[1]ARBOR!$A:$C,3,0),"Maior que CAP!",IF((DOLLAR(EW12+(VLOOKUP("PCS-OzTL43",[1]ARBOR!$A:$C,3,0)*-TRUNC(EW12/VLOOKUP("PCS-OzTL43",[1]ARBOR!$A:$C,3,0)-1,4)),6))&lt;&gt;(DOLLAR(VLOOKUP("PCS-OzTL43",[1]ARBOR!$A:$C,3,0),6)),-TRUNC(EW12/VLOOKUP("PCS-OzTL43",[1]ARBOR!$A:$C,3,0)-1,4)+0.0001,-TRUNC(EW12/VLOOKUP("PCS-OzTL43",[1]ARBOR!$A:$C,3,0)-1,4)))))</f>
        <v/>
      </c>
      <c r="EY12" s="204" t="str">
        <f>IF(ISERROR(IF(EX12="","",VLOOKUP(($AY12&amp;EX12&amp;"Template desconto FLAT Plano Principal Oi TV nível conta"),[1]BENEFICIOS!$A:$G,5,0))),"Criar",IF(EX12="","",VLOOKUP(($AY12&amp;EX12&amp;"Template desconto FLAT Plano Principal Oi TV nível conta"),[1]BENEFICIOS!$A:$G,5,0)))</f>
        <v/>
      </c>
      <c r="EZ12" s="129"/>
      <c r="FA12" s="127" t="str">
        <f>IF(EZ12=0,"",IF(EZ12=VLOOKUP("PCS-OzTL45",[1]ARBOR!$A:$C,3,0),0.0001,IF(EZ12&gt;VLOOKUP("PCS-OzTL45",[1]ARBOR!$A:$C,3,0),"Maior que CAP!",IF((DOLLAR(EZ12+(VLOOKUP("PCS-OzTL45",[1]ARBOR!$A:$C,3,0)*-TRUNC(EZ12/VLOOKUP("PCS-OzTL45",[1]ARBOR!$A:$C,3,0)-1,4)),6))&lt;&gt;(DOLLAR(VLOOKUP("PCS-OzTL45",[1]ARBOR!$A:$C,3,0),6)),-TRUNC(EZ12/VLOOKUP("PCS-OzTL45",[1]ARBOR!$A:$C,3,0)-1,4)+0.0001,-TRUNC(EZ12/VLOOKUP("PCS-OzTL45",[1]ARBOR!$A:$C,3,0)-1,4)))))</f>
        <v/>
      </c>
      <c r="FB12" s="204" t="str">
        <f>IF(ISERROR(IF(FA12="","",VLOOKUP(($AY12&amp;FA12&amp;"Template desconto FLAT Plano Principal Oi TV nível conta"),[1]BENEFICIOS!$A:$G,5,0))),"Criar",IF(FA12="","",VLOOKUP(($AY12&amp;FA12&amp;"Template desconto FLAT Plano Principal Oi TV nível conta"),[1]BENEFICIOS!$A:$G,5,0)))</f>
        <v/>
      </c>
      <c r="FC12" s="129"/>
      <c r="FD12" s="127" t="str">
        <f>IF(FC12=0,"",IF(FC12=VLOOKUP("PCS-OzTL741",[1]ARBOR!$A:$C,3,0),0.0001,IF(FC12&gt;VLOOKUP("PCS-OzTL741",[1]ARBOR!$A:$C,3,0),"Maior que CAP!",IF((DOLLAR(FC12+(VLOOKUP("PCS-OzTL741",[1]ARBOR!$A:$C,3,0)*-TRUNC(FC12/VLOOKUP("PCS-OzTL741",[1]ARBOR!$A:$C,3,0)-1,4)),6))&lt;&gt;(DOLLAR(VLOOKUP("PCS-OzTL741",[1]ARBOR!$A:$C,3,0),6)),-TRUNC(FC12/VLOOKUP("PCS-OzTL741",[1]ARBOR!$A:$C,3,0)-1,4)+0.0001,-TRUNC(FC12/VLOOKUP("PCS-OzTL741",[1]ARBOR!$A:$C,3,0)-1,4)))))</f>
        <v/>
      </c>
      <c r="FE12" s="204" t="str">
        <f>IF(ISERROR(IF(FD12="","",VLOOKUP(($AY12&amp;FD12&amp;"Template desconto FLAT Plano Principal Oi TV nível conta"),[1]BENEFICIOS!$A:$G,5,0))),"Criar",IF(FD12="","",VLOOKUP(($AY12&amp;FD12&amp;"Template desconto FLAT Plano Principal Oi TV nível conta"),[1]BENEFICIOS!$A:$G,5,0)))</f>
        <v/>
      </c>
      <c r="FF12" s="129"/>
      <c r="FG12" s="127" t="str">
        <f>IF(FF12=0,"",IF(FF12=VLOOKUP("PCS-OzTL744",[1]ARBOR!$A:$C,3,0),0.0001,IF(FF12&gt;VLOOKUP("PCS-OzTL744",[1]ARBOR!$A:$C,3,0),"Maior que CAP!",IF((DOLLAR(FF12+(VLOOKUP("PCS-OzTL744",[1]ARBOR!$A:$C,3,0)*-TRUNC(FF12/VLOOKUP("PCS-OzTL744",[1]ARBOR!$A:$C,3,0)-1,4)),6))&lt;&gt;(DOLLAR(VLOOKUP("PCS-OzTL744",[1]ARBOR!$A:$C,3,0),6)),-TRUNC(FF12/VLOOKUP("PCS-OzTL744",[1]ARBOR!$A:$C,3,0)-1,4)+0.0001,-TRUNC(FF12/VLOOKUP("PCS-OzTL744",[1]ARBOR!$A:$C,3,0)-1,4)))))</f>
        <v/>
      </c>
      <c r="FH12" s="204" t="str">
        <f>IF(ISERROR(IF(FG12="","",VLOOKUP(($AY12&amp;FG12&amp;"Template desconto FLAT Plano Principal Oi TV nível conta"),[1]BENEFICIOS!$A:$G,5,0))),"Criar",IF(FG12="","",VLOOKUP(($AY12&amp;FG12&amp;"Template desconto FLAT Plano Principal Oi TV nível conta"),[1]BENEFICIOS!$A:$G,5,0)))</f>
        <v/>
      </c>
      <c r="FI12" s="129"/>
      <c r="FJ12" s="127" t="str">
        <f>IF(FI12=0,"",IF(FI12=VLOOKUP("PCS-OzTL743",[1]ARBOR!$A:$C,3,0),0.0001,IF(FI12&gt;VLOOKUP("PCS-OzTL743",[1]ARBOR!$A:$C,3,0),"Maior que CAP!",IF((DOLLAR(FI12+(VLOOKUP("PCS-OzTL743",[1]ARBOR!$A:$C,3,0)*-TRUNC(FI12/VLOOKUP("PCS-OzTL743",[1]ARBOR!$A:$C,3,0)-1,4)),6))&lt;&gt;(DOLLAR(VLOOKUP("PCS-OzTL743",[1]ARBOR!$A:$C,3,0),6)),-TRUNC(FI12/VLOOKUP("PCS-OzTL743",[1]ARBOR!$A:$C,3,0)-1,4)+0.0001,-TRUNC(FI12/VLOOKUP("PCS-OzTL743",[1]ARBOR!$A:$C,3,0)-1,4)))))</f>
        <v/>
      </c>
      <c r="FK12" s="204" t="str">
        <f>IF(ISERROR(IF(FJ12="","",VLOOKUP(($AY12&amp;FJ12&amp;"Template desconto FLAT Plano Principal Oi TV nível conta"),[1]BENEFICIOS!$A:$G,5,0))),"Criar",IF(FJ12="","",VLOOKUP(($AY12&amp;FJ12&amp;"Template desconto FLAT Plano Principal Oi TV nível conta"),[1]BENEFICIOS!$A:$G,5,0)))</f>
        <v/>
      </c>
      <c r="FL12" s="129"/>
      <c r="FM12" s="127" t="str">
        <f>IF(FL12=0,"",IF(FL12=VLOOKUP("PCS-OzTL745",[1]ARBOR!$A:$C,3,0),0.0001,IF(FL12&gt;VLOOKUP("PCS-OzTL745",[1]ARBOR!$A:$C,3,0),"Maior que CAP!",IF((DOLLAR(FL12+(VLOOKUP("PCS-OzTL745",[1]ARBOR!$A:$C,3,0)*-TRUNC(FL12/VLOOKUP("PCS-OzTL745",[1]ARBOR!$A:$C,3,0)-1,4)),6))&lt;&gt;(DOLLAR(VLOOKUP("PCS-OzTL745",[1]ARBOR!$A:$C,3,0),6)),-TRUNC(FL12/VLOOKUP("PCS-OzTL745",[1]ARBOR!$A:$C,3,0)-1,4)+0.0001,-TRUNC(FL12/VLOOKUP("PCS-OzTL745",[1]ARBOR!$A:$C,3,0)-1,4)))))</f>
        <v/>
      </c>
      <c r="FN12" s="204" t="str">
        <f>IF(ISERROR(IF(FM12="","",VLOOKUP(($AY12&amp;FM12&amp;"Template desconto FLAT Plano Principal Oi TV nível conta"),[1]BENEFICIOS!$A:$G,5,0))),"Criar",IF(FM12="","",VLOOKUP(($AY12&amp;FM12&amp;"Template desconto FLAT Plano Principal Oi TV nível conta"),[1]BENEFICIOS!$A:$G,5,0)))</f>
        <v/>
      </c>
      <c r="FO12" s="129"/>
      <c r="FP12" s="127" t="str">
        <f>IF(FO12=0,"",IF(FO12=VLOOKUP("PCS-OzTL42",[1]ARBOR!$A:$C,3,0),0.0001,IF(FO12&gt;VLOOKUP("PCS-OzTL42",[1]ARBOR!$A:$C,3,0),"Maior que CAP!",IF((DOLLAR(FO12+(VLOOKUP("PCS-OzTL42",[1]ARBOR!$A:$C,3,0)*-TRUNC(FO12/VLOOKUP("PCS-OzTL42",[1]ARBOR!$A:$C,3,0)-1,4)),6))&lt;&gt;(DOLLAR(VLOOKUP("PCS-OzTL42",[1]ARBOR!$A:$C,3,0),6)),-TRUNC(FO12/VLOOKUP("PCS-OzTL42",[1]ARBOR!$A:$C,3,0)-1,4)+0.0001,-TRUNC(FO12/VLOOKUP("PCS-OzTL42",[1]ARBOR!$A:$C,3,0)-1,4)))))</f>
        <v/>
      </c>
      <c r="FQ12" s="204" t="str">
        <f>IF(ISERROR(IF(FP12="","",VLOOKUP(($AY12&amp;FP12&amp;"Template desconto FLAT Plano Principal Oi TV nível conta"),[1]BENEFICIOS!$A:$G,5,0))),"Criar",IF(FP12="","",VLOOKUP(($AY12&amp;FP12&amp;"Template desconto FLAT Plano Principal Oi TV nível conta"),[1]BENEFICIOS!$A:$G,5,0)))</f>
        <v/>
      </c>
      <c r="FR12" s="129">
        <v>149.9</v>
      </c>
      <c r="FS12" s="127">
        <f>IF(FR12=0,"",IF(FR12=VLOOKUP("PCS-OzTL47",[1]ARBOR!$A:$C,3,0),0.0001,IF(FR12&gt;VLOOKUP("PCS-OzTL47",[1]ARBOR!$A:$C,3,0),"Maior que CAP!",IF((DOLLAR(FR12+(VLOOKUP("PCS-OzTL47",[1]ARBOR!$A:$C,3,0)*-TRUNC(FR12/VLOOKUP("PCS-OzTL47",[1]ARBOR!$A:$C,3,0)-1,4)),6))&lt;&gt;(DOLLAR(VLOOKUP("PCS-OzTL47",[1]ARBOR!$A:$C,3,0),6)),-TRUNC(FR12/VLOOKUP("PCS-OzTL47",[1]ARBOR!$A:$C,3,0)-1,4)+0.0001,-TRUNC(FR12/VLOOKUP("PCS-OzTL47",[1]ARBOR!$A:$C,3,0)-1,4)))))</f>
        <v>0.26389999999999997</v>
      </c>
      <c r="FT12" s="204" t="str">
        <f>IF(ISERROR(IF(FS12="","",VLOOKUP(($AY12&amp;FS12&amp;"Template desconto FLAT Plano Principal Oi TV nível conta"),[1]BENEFICIOS!$A:$G,5,0))),"Criar",IF(FS12="","",VLOOKUP(($AY12&amp;FS12&amp;"Template desconto FLAT Plano Principal Oi TV nível conta"),[1]BENEFICIOS!$A:$G,5,0)))</f>
        <v>MKT-1-10140957431</v>
      </c>
      <c r="FU12" s="129"/>
      <c r="FV12" s="127" t="str">
        <f>IF(FU12=0,"",IF(FU12=VLOOKUP("PCS-OzTL46",[1]ARBOR!$A:$C,3,0),0.0001,IF(FU12&gt;VLOOKUP("PCS-OzTL46",[1]ARBOR!$A:$C,3,0),"Maior que CAP!",IF((DOLLAR(FU12+(VLOOKUP("PCS-OzTL46",[1]ARBOR!$A:$C,3,0)*-TRUNC(FU12/VLOOKUP("PCS-OzTL46",[1]ARBOR!$A:$C,3,0)-1,4)),6))&lt;&gt;(DOLLAR(VLOOKUP("PCS-OzTL46",[1]ARBOR!$A:$C,3,0),6)),-TRUNC(FU12/VLOOKUP("PCS-OzTL46",[1]ARBOR!$A:$C,3,0)-1,4)+0.0001,-TRUNC(FU12/VLOOKUP("PCS-OzTL46",[1]ARBOR!$A:$C,3,0)-1,4)))))</f>
        <v/>
      </c>
      <c r="FW12" s="204" t="str">
        <f>IF(ISERROR(IF(FV12="","",VLOOKUP(($AY12&amp;FV12&amp;"Template desconto FLAT Plano Principal Oi TV nível conta"),[1]BENEFICIOS!$A:$G,5,0))),"Criar",IF(FV12="","",VLOOKUP(($AY12&amp;FV12&amp;"Template desconto FLAT Plano Principal Oi TV nível conta"),[1]BENEFICIOS!$A:$G,5,0)))</f>
        <v/>
      </c>
      <c r="FX12" s="129"/>
      <c r="FY12" s="127" t="str">
        <f>IF(FX12=0,"",IF(FX12=VLOOKUP("PCS-OzTL48",[1]ARBOR!$A:$C,3,0),0.0001,IF(FX12&gt;VLOOKUP("PCS-OzTL48",[1]ARBOR!$A:$C,3,0),"Maior que CAP!",IF((DOLLAR(FX12+(VLOOKUP("PCS-OzTL48",[1]ARBOR!$A:$C,3,0)*-TRUNC(FX12/VLOOKUP("PCS-OzTL48",[1]ARBOR!$A:$C,3,0)-1,4)),6))&lt;&gt;(DOLLAR(VLOOKUP("PCS-OzTL48",[1]ARBOR!$A:$C,3,0),6)),-TRUNC(FX12/VLOOKUP("PCS-OzTL48",[1]ARBOR!$A:$C,3,0)-1,4)+0.0001,-TRUNC(FX12/VLOOKUP("PCS-OzTL48",[1]ARBOR!$A:$C,3,0)-1,4)))))</f>
        <v/>
      </c>
      <c r="FZ12" s="204" t="str">
        <f>IF(ISERROR(IF(FY12="","",VLOOKUP(($AY12&amp;FY12&amp;"Template desconto FLAT Plano Principal Oi TV nível conta"),[1]BENEFICIOS!$A:$G,5,0))),"Criar",IF(FY12="","",VLOOKUP(($AY12&amp;FY12&amp;"Template desconto FLAT Plano Principal Oi TV nível conta"),[1]BENEFICIOS!$A:$G,5,0)))</f>
        <v/>
      </c>
      <c r="GA12" s="129"/>
      <c r="GB12" s="127" t="str">
        <f>IF(GA12=0,"",IF(GA12=VLOOKUP("PCS-OzTL742",[1]ARBOR!$A:$C,3,0),0.0001,IF(GA12&gt;VLOOKUP("PCS-OzTL742",[1]ARBOR!$A:$C,3,0),"Maior que CAP!",IF((DOLLAR(GA12+(VLOOKUP("PCS-OzTL742",[1]ARBOR!$A:$C,3,0)*-TRUNC(GA12/VLOOKUP("PCS-OzTL742",[1]ARBOR!$A:$C,3,0)-1,4)),6))&lt;&gt;(DOLLAR(VLOOKUP("PCS-OzTL742",[1]ARBOR!$A:$C,3,0),6)),-TRUNC(GA12/VLOOKUP("PCS-OzTL742",[1]ARBOR!$A:$C,3,0)-1,4)+0.0001,-TRUNC(GA12/VLOOKUP("PCS-OzTL742",[1]ARBOR!$A:$C,3,0)-1,4)))))</f>
        <v/>
      </c>
      <c r="GC12" s="204" t="str">
        <f>IF(ISERROR(IF(GB12="","",VLOOKUP(($AY12&amp;GB12&amp;"Template desconto FLAT Plano Principal Oi TV nível conta"),[1]BENEFICIOS!$A:$G,5,0))),"Criar",IF(GB12="","",VLOOKUP(($AY12&amp;GB12&amp;"Template desconto FLAT Plano Principal Oi TV nível conta"),[1]BENEFICIOS!$A:$G,5,0)))</f>
        <v/>
      </c>
      <c r="GD12" s="129">
        <v>169.9</v>
      </c>
      <c r="GE12" s="127">
        <f>IF(GD12=0,"",IF(GD12=VLOOKUP("PCS-OzTL747",[1]ARBOR!$A:$C,3,0),0.0001,IF(GD12&gt;VLOOKUP("PCS-OzTL747",[1]ARBOR!$A:$C,3,0),"Maior que CAP!",IF((DOLLAR(GD12+(VLOOKUP("PCS-OzTL747",[1]ARBOR!$A:$C,3,0)*-TRUNC(GD12/VLOOKUP("PCS-OzTL747",[1]ARBOR!$A:$C,3,0)-1,4)),6))&lt;&gt;(DOLLAR(VLOOKUP("PCS-OzTL747",[1]ARBOR!$A:$C,3,0),6)),-TRUNC(GD12/VLOOKUP("PCS-OzTL747",[1]ARBOR!$A:$C,3,0)-1,4)+0.0001,-TRUNC(GD12/VLOOKUP("PCS-OzTL747",[1]ARBOR!$A:$C,3,0)-1,4)))))</f>
        <v>0.34329999999999999</v>
      </c>
      <c r="GF12" s="204" t="str">
        <f>IF(ISERROR(IF(GE12="","",VLOOKUP(($AY12&amp;GE12&amp;"Template desconto FLAT Plano Principal Oi TV nível conta"),[1]BENEFICIOS!$A:$G,5,0))),"Criar",IF(GE12="","",VLOOKUP(($AY12&amp;GE12&amp;"Template desconto FLAT Plano Principal Oi TV nível conta"),[1]BENEFICIOS!$A:$G,5,0)))</f>
        <v>MKT-1-10140956051</v>
      </c>
      <c r="GG12" s="129"/>
      <c r="GH12" s="127" t="str">
        <f>IF(GG12=0,"",IF(GG12=VLOOKUP("PCS-OzTL746",[1]ARBOR!$A:$C,3,0),0.0001,IF(GG12&gt;VLOOKUP("PCS-OzTL746",[1]ARBOR!$A:$C,3,0),"Maior que CAP!",IF((DOLLAR(GG12+(VLOOKUP("PCS-OzTL746",[1]ARBOR!$A:$C,3,0)*-TRUNC(GG12/VLOOKUP("PCS-OzTL746",[1]ARBOR!$A:$C,3,0)-1,4)),6))&lt;&gt;(DOLLAR(VLOOKUP("PCS-OzTL746",[1]ARBOR!$A:$C,3,0),6)),-TRUNC(GG12/VLOOKUP("PCS-OzTL746",[1]ARBOR!$A:$C,3,0)-1,4)+0.0001,-TRUNC(GG12/VLOOKUP("PCS-OzTL746",[1]ARBOR!$A:$C,3,0)-1,4)))))</f>
        <v/>
      </c>
      <c r="GI12" s="204" t="str">
        <f>IF(ISERROR(IF(GH12="","",VLOOKUP(($AY12&amp;GH12&amp;"Template desconto FLAT Plano Principal Oi TV nível conta"),[1]BENEFICIOS!$A:$G,5,0))),"Criar",IF(GH12="","",VLOOKUP(($AY12&amp;GH12&amp;"Template desconto FLAT Plano Principal Oi TV nível conta"),[1]BENEFICIOS!$A:$G,5,0)))</f>
        <v/>
      </c>
      <c r="GJ12" s="129"/>
      <c r="GK12" s="127" t="str">
        <f>IF(GJ12=0,"",IF(GJ12=VLOOKUP("PCS-OzTL748",[1]ARBOR!$A:$C,3,0),0.0001,IF(GJ12&gt;VLOOKUP("PCS-OzTL748",[1]ARBOR!$A:$C,3,0),"Maior que CAP!",IF((DOLLAR(GJ12+(VLOOKUP("PCS-OzTL748",[1]ARBOR!$A:$C,3,0)*-TRUNC(GJ12/VLOOKUP("PCS-OzTL748",[1]ARBOR!$A:$C,3,0)-1,4)),6))&lt;&gt;(DOLLAR(VLOOKUP("PCS-OzTL748",[1]ARBOR!$A:$C,3,0),6)),-TRUNC(GJ12/VLOOKUP("PCS-OzTL748",[1]ARBOR!$A:$C,3,0)-1,4)+0.0001,-TRUNC(GJ12/VLOOKUP("PCS-OzTL748",[1]ARBOR!$A:$C,3,0)-1,4)))))</f>
        <v/>
      </c>
      <c r="GL12" s="204" t="str">
        <f>IF(ISERROR(IF(GK12="","",VLOOKUP(($AY12&amp;GK12&amp;"Template desconto FLAT Plano Principal Oi TV nível conta"),[1]BENEFICIOS!$A:$G,5,0))),"Criar",IF(GK12="","",VLOOKUP(($AY12&amp;GK12&amp;"Template desconto FLAT Plano Principal Oi TV nível conta"),[1]BENEFICIOS!$A:$G,5,0)))</f>
        <v/>
      </c>
      <c r="GM12" s="129">
        <v>75</v>
      </c>
      <c r="GN12" s="127">
        <f>IF(GM12=0,"",IF(GM12=VLOOKUP("PCS-OzTL34",[1]ARBOR!$A:$C,3,0),0.0001,IF(GM12&gt;VLOOKUP("PCS-OzTL34",[1]ARBOR!$A:$C,3,0),"Maior que CAP!",IF((DOLLAR(GM12+(VLOOKUP("PCS-OzTL34",[1]ARBOR!$A:$C,3,0)*-TRUNC(GM12/VLOOKUP("PCS-OzTL34",[1]ARBOR!$A:$C,3,0)-1,4)),6))&lt;&gt;(DOLLAR(VLOOKUP("PCS-OzTL34",[1]ARBOR!$A:$C,3,0),6)),-TRUNC(GM12/VLOOKUP("PCS-OzTL34",[1]ARBOR!$A:$C,3,0)-1,4)+0.0001,-TRUNC(GM12/VLOOKUP("PCS-OzTL34",[1]ARBOR!$A:$C,3,0)-1,4)))))</f>
        <v>0.31900000000000001</v>
      </c>
      <c r="GO12" s="204" t="s">
        <v>161</v>
      </c>
      <c r="GP12" s="129">
        <v>19.899999999999999</v>
      </c>
      <c r="GQ12" s="127">
        <f>IF(GP12=0,"",IF(GP12=VLOOKUP("PCS-OzTL31",[1]ARBOR!$A:$C,3,0),0.0001,IF(GP12&gt;VLOOKUP("PCS-OzTL31",[1]ARBOR!$A:$C,3,0),"Maior que CAP!",IF((DOLLAR(GP12+(VLOOKUP("PCS-OzTL31",[1]ARBOR!$A:$C,3,0)*-TRUNC(GP12/VLOOKUP("PCS-OzTL31",[1]ARBOR!$A:$C,3,0)-1,4)),6))&lt;&gt;(DOLLAR(VLOOKUP("PCS-OzTL31",[1]ARBOR!$A:$C,3,0),6)),-TRUNC(GP12/VLOOKUP("PCS-OzTL31",[1]ARBOR!$A:$C,3,0)-1,4)+0.0001,-TRUNC(GP12/VLOOKUP("PCS-OzTL31",[1]ARBOR!$A:$C,3,0)-1,4)))))</f>
        <v>9.1800000000000007E-2</v>
      </c>
      <c r="GR12" s="204" t="s">
        <v>162</v>
      </c>
      <c r="GS12" s="129">
        <v>19.899999999999999</v>
      </c>
      <c r="GT12" s="127">
        <f>IF(GS12=0,"",IF(GS12=VLOOKUP("PCS-OzTL32",[1]ARBOR!$A:$C,3,0),0.0001,IF(GS12&gt;VLOOKUP("PCS-OzTL32",[1]ARBOR!$A:$C,3,0),"Maior que CAP!",IF((DOLLAR(GS12+(VLOOKUP("PCS-OzTL32",[1]ARBOR!$A:$C,3,0)*-TRUNC(GS12/VLOOKUP("PCS-OzTL32",[1]ARBOR!$A:$C,3,0)-1,4)),6))&lt;&gt;(DOLLAR(VLOOKUP("PCS-OzTL32",[1]ARBOR!$A:$C,3,0),6)),-TRUNC(GS12/VLOOKUP("PCS-OzTL32",[1]ARBOR!$A:$C,3,0)-1,4)+0.0001,-TRUNC(GS12/VLOOKUP("PCS-OzTL32",[1]ARBOR!$A:$C,3,0)-1,4)))))</f>
        <v>9.1800000000000007E-2</v>
      </c>
      <c r="GU12" s="204" t="s">
        <v>163</v>
      </c>
      <c r="GV12" s="129">
        <v>29.9</v>
      </c>
      <c r="GW12" s="127">
        <f>IF(GV12=0,"",IF(GV12=VLOOKUP("PCS-OzTL33",[1]ARBOR!$A:$C,3,0),0.0001,IF(GV12&gt;VLOOKUP("PCS-OzTL33",[1]ARBOR!$A:$C,3,0),"Maior que CAP!",IF((DOLLAR(GV12+(VLOOKUP("PCS-OzTL33",[1]ARBOR!$A:$C,3,0)*-TRUNC(GV12/VLOOKUP("PCS-OzTL33",[1]ARBOR!$A:$C,3,0)-1,4)),6))&lt;&gt;(DOLLAR(VLOOKUP("PCS-OzTL33",[1]ARBOR!$A:$C,3,0),6)),-TRUNC(GV12/VLOOKUP("PCS-OzTL33",[1]ARBOR!$A:$C,3,0)-1,4)+0.0001,-TRUNC(GV12/VLOOKUP("PCS-OzTL33",[1]ARBOR!$A:$C,3,0)-1,4)))))</f>
        <v>9.1800000000000007E-2</v>
      </c>
      <c r="GX12" s="204" t="s">
        <v>164</v>
      </c>
      <c r="GY12" s="129">
        <v>14.9</v>
      </c>
      <c r="GZ12" s="127">
        <f>IF(GY12=0,"",IF(GY12=VLOOKUP("PCS-OzTL503",[1]ARBOR!$A:$C,3,0),0.0001,IF(GY12&gt;VLOOKUP("PCS-OzTL503",[1]ARBOR!$A:$C,3,0),"Maior que CAP!",IF((DOLLAR(GY12+(VLOOKUP("PCS-OzTL503",[1]ARBOR!$A:$C,3,0)*-TRUNC(GY12/VLOOKUP("PCS-OzTL503",[1]ARBOR!$A:$C,3,0)-1,4)),6))&lt;&gt;(DOLLAR(VLOOKUP("PCS-OzTL503",[1]ARBOR!$A:$C,3,0),6)),-TRUNC(GY12/VLOOKUP("PCS-OzTL503",[1]ARBOR!$A:$C,3,0)-1,4)+0.0001,-TRUNC(GY12/VLOOKUP("PCS-OzTL503",[1]ARBOR!$A:$C,3,0)-1,4)))))</f>
        <v>9.1499999999999998E-2</v>
      </c>
      <c r="HA12" s="204" t="s">
        <v>165</v>
      </c>
      <c r="HB12" s="129">
        <v>10</v>
      </c>
      <c r="HC12" s="127">
        <f>IF(HB12=0,"",IF(HB12=VLOOKUP("PCS-OzTL500",[1]ARBOR!$A:$C,3,0),0.0001,IF(HB12&gt;VLOOKUP("PCS-OzTL500",[1]ARBOR!$A:$C,3,0),"Maior que CAP!",IF((DOLLAR(HB12+(VLOOKUP("PCS-OzTL500",[1]ARBOR!$A:$C,3,0)*-TRUNC(HB12/VLOOKUP("PCS-OzTL500",[1]ARBOR!$A:$C,3,0)-1,4)),6))&lt;&gt;(DOLLAR(VLOOKUP("PCS-OzTL500",[1]ARBOR!$A:$C,3,0),6)),-TRUNC(HB12/VLOOKUP("PCS-OzTL500",[1]ARBOR!$A:$C,3,0)-1,4)+0.0001,-TRUNC(HB12/VLOOKUP("PCS-OzTL500",[1]ARBOR!$A:$C,3,0)-1,4)))))</f>
        <v>9.1800000000000007E-2</v>
      </c>
      <c r="HD12" s="204" t="s">
        <v>166</v>
      </c>
      <c r="HE12" s="129" t="s">
        <v>167</v>
      </c>
      <c r="HF12" s="127"/>
      <c r="HG12" s="204"/>
      <c r="HH12" s="129" t="s">
        <v>168</v>
      </c>
      <c r="HI12" s="127"/>
      <c r="HJ12" s="204"/>
      <c r="HK12" s="129" t="s">
        <v>169</v>
      </c>
      <c r="HL12" s="127"/>
      <c r="HM12" s="204"/>
      <c r="HN12" s="129" t="s">
        <v>170</v>
      </c>
      <c r="HO12" s="127"/>
      <c r="HP12" s="204"/>
      <c r="HQ12" s="129" t="s">
        <v>171</v>
      </c>
      <c r="HR12" s="127"/>
      <c r="HS12" s="204"/>
      <c r="HT12" s="129">
        <v>24.9</v>
      </c>
      <c r="HU12" s="127">
        <f>IF(HT12=0,"",IF(HT12=VLOOKUP("PCS-OzTL99",[1]ARBOR!$A:$C,3,0),0.0001,IF(HT12&gt;VLOOKUP("PCS-OzTL99",[1]ARBOR!$A:$C,3,0),"Maior que CAP!",IF((DOLLAR(HT12+(VLOOKUP("PCS-OzTL99",[1]ARBOR!$A:$C,3,0)*-TRUNC(HT12/VLOOKUP("PCS-OzTL99",[1]ARBOR!$A:$C,3,0)-1,4)),6))&lt;&gt;(DOLLAR(VLOOKUP("PCS-OzTL99",[1]ARBOR!$A:$C,3,0),6)),-TRUNC(HT12/VLOOKUP("PCS-OzTL99",[1]ARBOR!$A:$C,3,0)-1,4)+0.0001,-TRUNC(HT12/VLOOKUP("PCS-OzTL99",[1]ARBOR!$A:$C,3,0)-1,4)))))</f>
        <v>0.16729999999999998</v>
      </c>
      <c r="HV12" s="205" t="s">
        <v>172</v>
      </c>
      <c r="HW12" s="196" t="s">
        <v>149</v>
      </c>
      <c r="HX12" s="204" t="str">
        <f t="shared" si="4"/>
        <v>PCS-34704</v>
      </c>
      <c r="HY12" s="206" t="str">
        <f>IFERROR((IF(AZ12="","",VLOOKUP(AZ12,[1]ARBOR!A:C,3,0))),"")</f>
        <v/>
      </c>
      <c r="HZ12" s="207"/>
      <c r="IA12" s="184" t="str">
        <f>IF(HZ12="","",ROUND(1-(HZ12/VLOOKUP(AZ12&amp;"ASS",[1]ARBOR!A:C,3,0)),4))</f>
        <v/>
      </c>
      <c r="IB12" s="184"/>
      <c r="IC12" s="208"/>
      <c r="ID12" s="209"/>
      <c r="IE12" s="127" t="str">
        <f>IF(ID12="","",ROUND(IF(ID12=0,"",IF(ID12=HY12,0.0001,1-((ID12+(VLOOKUP(AZ12&amp;"ASS",[1]ARBOR!A:C,3,0)-HZ12))/HY12))),4))</f>
        <v/>
      </c>
      <c r="IF12" s="127" t="str">
        <f>IF(ISERROR(IF(IE12="","",VLOOKUP(($AY12&amp;IE12&amp;"Template de desconto percentual FLAT Móvel - Conta Total - Varejo - Ganho Tributário Cross"),[1]BENEFICIOS!$A:$E,5,0))),"Criar",IF(IE12="","",VLOOKUP(($AY12&amp;IE12&amp;"Template de desconto percentual FLAT Móvel - Conta Total - Varejo - Ganho Tributário Cross"),[1]BENEFICIOS!$A:$E,5,0)))</f>
        <v/>
      </c>
      <c r="IG12" s="193"/>
      <c r="IH12" s="127"/>
      <c r="II12" s="210"/>
      <c r="IJ12" s="211"/>
      <c r="IK12" s="127"/>
      <c r="IL12" s="127"/>
      <c r="IM12" s="212"/>
      <c r="IN12" s="212"/>
      <c r="IO12" s="213"/>
      <c r="IP12" s="214" t="str">
        <f>IF(IO12=0,"",IF(IO12=VLOOKUP("PCS-813566",[1]ARBOR!$A:$C,3,0),0.0001,IF(IO12&gt;VLOOKUP("PCS-813566",[1]ARBOR!$A:$C,3,0),"Maior que CAP!",ROUND(-1*(IO12/VLOOKUP("PCS-813566",[1]ARBOR!$A:$C,3,0)-1),4))))</f>
        <v/>
      </c>
      <c r="IQ12" s="215" t="str">
        <f>IF(ISERROR(IF(IP12="","",VLOOKUP(("Oi Internet Pra Celular 300MB"&amp;IP12&amp;"Template Flat Instância Dados"),[1]BENEFICIOS!$A:$E,5,0))),"Criar",IF(IP12="","",VLOOKUP(("Oi Internet Pra Celular 300MB"&amp;IP12&amp;"Template Flat Instância Dados"),[1]BENEFICIOS!$A:$E,5,0)))</f>
        <v/>
      </c>
      <c r="IR12" s="216"/>
      <c r="IS12" s="217" t="str">
        <f>IF(IR12=0,"",IF(IR12=VLOOKUP("sva_bancas",[1]ARBOR!$A:$C,3,0),0.0001,IF(IR12&gt;VLOOKUP("sva_livros",[1]ARBOR!$A:$C,3,0),"Maior que CAP!",ROUND(-1*(IR12/VLOOKUP("sva_bancas",[1]ARBOR!$A:$C,3,0)-1),4))))</f>
        <v/>
      </c>
      <c r="IT12" s="218" t="str">
        <f>IF(ISERROR(IF(IS12="","",VLOOKUP(("Oi Internet Pra Celular 300MB"&amp;IS12&amp;"Template Desconto % SVA DADOS B2C"),[1]BENEFICIOS!$A:$E,5,0))),"Criar",IF(IS12="","",VLOOKUP(("Oi Internet Pra Celular 300MB"&amp;IS12&amp;"Template Desconto % SVA DADOS B2C"),[1]BENEFICIOS!$A:$E,5,0)))</f>
        <v/>
      </c>
      <c r="IU12" s="213"/>
      <c r="IV12" s="214" t="str">
        <f>IF(IU12=0,"",IF(IU12=VLOOKUP("PCS-813564",[1]ARBOR!$A:$C,3,0),0.0001,IF(IU12&gt;VLOOKUP("PCS-813564",[1]ARBOR!$A:$C,3,0),"Maior que CAP!",ROUND(-1*(IU12/VLOOKUP("PCS-813564",[1]ARBOR!$A:$C,3,0)-1),4))))</f>
        <v/>
      </c>
      <c r="IW12" s="215" t="str">
        <f>IF(ISERROR(IF(IV12="","",VLOOKUP(("Oi Internet Pra Celular 500MB"&amp;IV12&amp;"Template Flat Instância Dados"),[1]BENEFICIOS!$A:$E,5,0))),"Criar",IF(IV12="","",VLOOKUP(("Oi Internet Pra Celular 500MB"&amp;IV12&amp;"Template Flat Instância Dados"),[1]BENEFICIOS!$A:$E,5,0)))</f>
        <v/>
      </c>
      <c r="IX12" s="216"/>
      <c r="IY12" s="217" t="str">
        <f>IF(IX12=0,"",IF(IX12=VLOOKUP("sva_livros",[1]ARBOR!$A:$C,3,0),0.0001,IF(IX12&gt;VLOOKUP("sva_livros",[1]ARBOR!$A:$C,3,0),"Maior que CAP!",ROUND(-1*(IX12/VLOOKUP("sva_livros",[1]ARBOR!$A:$C,3,0)-1),4))))</f>
        <v/>
      </c>
      <c r="IZ12" s="218" t="str">
        <f>IF(ISERROR(IF(IY12="","",VLOOKUP(("Oi Internet Pra Celular 500MB"&amp;IY12&amp;"Template Desconto % SVA DADOS B2C"),[1]BENEFICIOS!$A:$E,5,0))),"Criar",IF(IY12="","",VLOOKUP(("Oi Internet Pra Celular 500MB"&amp;IY12&amp;"Template Desconto % SVA DADOS B2C"),[1]BENEFICIOS!$A:$E,5,0)))</f>
        <v/>
      </c>
      <c r="JA12" s="213"/>
      <c r="JB12" s="214" t="str">
        <f>IF(JA12=0,"",IF(JA12=VLOOKUP("PCS-10357",[1]ARBOR!$A:$C,3,0),0.0001,IF(JA12&gt;VLOOKUP("PCS-10357",[1]ARBOR!$A:$C,3,0),"Maior que CAP!",ROUND(-1*(JA12/VLOOKUP("PCS-10357",[1]ARBOR!$A:$C,3,0)-1),4))))</f>
        <v/>
      </c>
      <c r="JC12" s="215" t="str">
        <f>IF(ISERROR(IF(JB12="","",VLOOKUP(("Oi Internet Pra Celular 1GB"&amp;JB12&amp;"Template Flat Instância Dados"),[1]BENEFICIOS!$A:$E,5,0))),"Criar",IF(JB12="","",VLOOKUP(("Oi Internet Pra Celular 1GB"&amp;JB12&amp;"Template Flat Instância Dados"),[1]BENEFICIOS!$A:$E,5,0)))</f>
        <v/>
      </c>
      <c r="JD12" s="216"/>
      <c r="JE12" s="217" t="str">
        <f>IF(JD12=0,"",IF(JD12=VLOOKUP("sva_livros",[1]ARBOR!$A:$C,3,0),0.0001,IF(JD12&gt;VLOOKUP("sva_livros",[1]ARBOR!$A:$C,3,0),"Maior que CAP!",ROUND(-1*(JD12/VLOOKUP("sva_livros",[1]ARBOR!$A:$C,3,0)-1),4))))</f>
        <v/>
      </c>
      <c r="JF12" s="218" t="str">
        <f>IF(ISERROR(IF(JE12="","",VLOOKUP(("Oi Internet Pra Celular 1GB"&amp;JE12&amp;"Template Desconto % SVA DADOS B2C"),[1]BENEFICIOS!$A:$E,5,0))),"Criar",IF(JE12="","",VLOOKUP(("Oi Internet Pra Celular 1GB"&amp;JE12&amp;"Template Desconto % SVA DADOS B2C"),[1]BENEFICIOS!$A:$E,5,0)))</f>
        <v/>
      </c>
      <c r="JG12" s="213"/>
      <c r="JH12" s="214" t="str">
        <f>IF(JG12=0,"",IF(JG12=VLOOKUP("PCS-813565",[1]ARBOR!$A:$C,3,0),0.0001,IF(JG12&gt;VLOOKUP("PCS-813565",[1]ARBOR!$A:$C,3,0),"Maior que CAP!",ROUND(-1*(JG12/VLOOKUP("PCS-813565",[1]ARBOR!$A:$C,3,0)-1),4))))</f>
        <v/>
      </c>
      <c r="JI12" s="215" t="str">
        <f>IF(ISERROR(IF(JH12="","",VLOOKUP(("Oi Internet Pra Celular 2GB"&amp;JH12&amp;"Template Flat Instância Dados"),[1]BENEFICIOS!$A:$E,5,0))),"Criar",IF(JH12="","",VLOOKUP(("Oi Internet Pra Celular 2GB"&amp;JH12&amp;"Template Flat Instância Dados"),[1]BENEFICIOS!$A:$E,5,0)))</f>
        <v/>
      </c>
      <c r="JJ12" s="216"/>
      <c r="JK12" s="217" t="str">
        <f>IF(JJ12=0,"",IF(JJ12=VLOOKUP("sva_livros",[1]ARBOR!$A:$C,3,0),0.0001,IF(JJ12&gt;VLOOKUP("sva_livros",[1]ARBOR!$A:$C,3,0),"Maior que CAP!",ROUND(-1*(JJ12/VLOOKUP("sva_livros",[1]ARBOR!$A:$C,3,0)-1),4))))</f>
        <v/>
      </c>
      <c r="JL12" s="218" t="str">
        <f>IF(ISERROR(IF(JK12="","",VLOOKUP(("Oi Internet Pra Celular 2GB"&amp;JK12&amp;"Template Desconto % SVA DADOS B2C"),[1]BENEFICIOS!$A:$E,5,0))),"Criar",IF(JK12="","",VLOOKUP(("Oi Internet Pra Celular 2GB"&amp;JK12&amp;"Template Desconto % SVA DADOS B2C"),[1]BENEFICIOS!$A:$E,5,0)))</f>
        <v/>
      </c>
      <c r="JM12" s="213"/>
      <c r="JN12" s="214" t="str">
        <f>IF(JM12=0,"",IF(JM12=VLOOKUP("PCS-7171B",[1]ARBOR!$A:$C,3,0),0.0001,IF(JM12&gt;VLOOKUP("PCS-7171B",[1]ARBOR!$A:$C,3,0),"Maior que CAP!",ROUND(-1*(JM12/VLOOKUP("PCS-7171B",[1]ARBOR!$A:$C,3,0)-1),4))))</f>
        <v/>
      </c>
      <c r="JO12" s="215" t="str">
        <f>IF(ISERROR(IF(JN12="","",VLOOKUP(("Oi Internet Pra Celular 3GB"&amp;JN12&amp;"Template Flat Instância Dados"),[1]BENEFICIOS!$A:$E,5,0))),"Criar",IF(JN12="","",VLOOKUP(("Oi Internet Pra Celular 3GB"&amp;JN12&amp;"Template Flat Instância Dados"),[1]BENEFICIOS!$A:$E,5,0)))</f>
        <v/>
      </c>
      <c r="JP12" s="216"/>
      <c r="JQ12" s="217" t="str">
        <f>IF(JP12=0,"",IF(JP12=VLOOKUP("sva_livros",[1]ARBOR!$A:$C,3,0),0.0001,IF(JP12&gt;VLOOKUP("sva_livros",[1]ARBOR!$A:$C,3,0),"Maior que CAP!",ROUND(-1*(JP12/VLOOKUP("sva_livros",[1]ARBOR!$A:$C,3,0)-1),4))))</f>
        <v/>
      </c>
      <c r="JR12" s="218" t="str">
        <f>IF(ISERROR(IF(JQ12="","",VLOOKUP(("Oi Internet Pra Celular 3GB"&amp;JQ12&amp;"Template Desconto % SVA DADOS B2C"),[1]BENEFICIOS!$A:$E,5,0))),"Criar",IF(JQ12="","",VLOOKUP(("Oi Internet Pra Celular 3GB"&amp;JQ12&amp;"Template Desconto % SVA DADOS B2C"),[1]BENEFICIOS!$A:$E,5,0)))</f>
        <v/>
      </c>
      <c r="JS12" s="213"/>
      <c r="JT12" s="214" t="str">
        <f>IF(JS12=0,"",IF(JS12=VLOOKUP("PCS-51793o08",[1]ARBOR!$A:$C,3,0),0.0001,IF(JS12&gt;VLOOKUP("PCS-51793o08",[1]ARBOR!$A:$C,3,0),"Maior que CAP!",ROUND(-1*(JS12/VLOOKUP("PCS-51793o08",[1]ARBOR!$A:$C,3,0)-1),4))))</f>
        <v/>
      </c>
      <c r="JU12" s="215" t="str">
        <f>IF(ISERROR(IF(JT12="","",VLOOKUP(("Oi Internet Pra Celular 5GB"&amp;JT12&amp;"Template Flat Instância Dados"),[1]BENEFICIOS!$A:$E,5,0))),"Criar",IF(JT12="","",VLOOKUP(("Oi Internet Pra Celular 5GB"&amp;JT12&amp;"Template Flat Instância Dados"),[1]BENEFICIOS!$A:$E,5,0)))</f>
        <v/>
      </c>
      <c r="JV12" s="216"/>
      <c r="JW12" s="217" t="str">
        <f>IF(JV12=0,"",IF(JV12=VLOOKUP("sva_curtas",[1]ARBOR!$A:$C,3,0),0.0001,IF(JV12&gt;VLOOKUP("sva_curtas",[1]ARBOR!$A:$C,3,0),"Maior que CAP!",ROUND(-1*(JV12/VLOOKUP("sva_curtas",[1]ARBOR!$A:$C,3,0)-1),4))))</f>
        <v/>
      </c>
      <c r="JX12" s="218" t="str">
        <f>IF(ISERROR(IF(JW12="","",VLOOKUP(("Oi Internet Pra Celular 5GB"&amp;JW12&amp;"Template Desconto % SVA DADOS B2C"),[1]BENEFICIOS!$A:$E,5,0))),"Criar",IF(JW12="","",VLOOKUP(("Oi Internet Pra Celular 5GB"&amp;JW12&amp;"Template Desconto % SVA DADOS B2C"),[1]BENEFICIOS!$A:$E,5,0)))</f>
        <v/>
      </c>
      <c r="JY12" s="213"/>
      <c r="JZ12" s="214" t="str">
        <f>IF(JY12=0,"",IF(JY12=VLOOKUP("PCS-7171A",[1]ARBOR!$A:$C,3,0),0.0001,IF(JY12&gt;VLOOKUP("PCS-7171A",[1]ARBOR!$A:$C,3,0),"Maior que CAP!",ROUND(-1*(JY12/VLOOKUP("PCS-7171A",[1]ARBOR!$A:$C,3,0)-1),4))))</f>
        <v/>
      </c>
      <c r="KA12" s="219" t="str">
        <f>IF(ISERROR(IF(JZ12="","",VLOOKUP(("Oi Internet Pra Celular 10GB"&amp;JZ12&amp;"Template Flat Instância Dados"),[1]BENEFICIOS!$A:$E,5,0))),"Criar",IF(JZ12="","",VLOOKUP(("Oi Internet Pra Celular 10GB"&amp;JZ12&amp;"Template Flat Instância Dados"),[1]BENEFICIOS!$A:$E,5,0)))</f>
        <v/>
      </c>
      <c r="KB12" s="216"/>
      <c r="KC12" s="217" t="str">
        <f>IF(KB12=0,"",IF(KB12=VLOOKUP("sva_curtas",[1]ARBOR!$A:$C,3,0),0.0001,IF(KB12&gt;VLOOKUP("sva_curtas",[1]ARBOR!$A:$C,3,0),"Maior que CAP!",ROUND(-1*(KB12/VLOOKUP("sva_curtas",[1]ARBOR!$A:$C,3,0)-1),4))))</f>
        <v/>
      </c>
      <c r="KD12" s="218" t="str">
        <f>IF(ISERROR(IF(KC12="","",VLOOKUP(("Oi Internet Pra Celular 10GB"&amp;KC12&amp;"Template Desconto % SVA DADOS B2C"),[1]BENEFICIOS!$A:$E,5,0))),"Criar",IF(KC12="","",VLOOKUP(("Oi Internet Pra Celular 10GB"&amp;KC12&amp;"Template Desconto % SVA DADOS B2C"),[1]BENEFICIOS!$A:$E,5,0)))</f>
        <v/>
      </c>
      <c r="KE12" s="220"/>
      <c r="KF12" s="221"/>
      <c r="KG12" s="222" t="s">
        <v>149</v>
      </c>
      <c r="KH12" s="223" t="s">
        <v>173</v>
      </c>
      <c r="KI12" s="224">
        <v>799</v>
      </c>
      <c r="KJ12" s="223">
        <v>12</v>
      </c>
      <c r="KK12" s="225" t="str">
        <f t="shared" si="5"/>
        <v>Oi benefício fidelização Multiprodutos</v>
      </c>
      <c r="KL12" s="226" t="str">
        <f t="shared" si="6"/>
        <v>PCS-Fk83324</v>
      </c>
      <c r="KM12" s="226" t="str">
        <f t="shared" si="7"/>
        <v>PCS-SBL553142</v>
      </c>
      <c r="KN12" s="227" t="s">
        <v>174</v>
      </c>
      <c r="KO12" s="228" t="s">
        <v>175</v>
      </c>
      <c r="KP12" s="228" t="s">
        <v>176</v>
      </c>
      <c r="KQ12" s="227" t="s">
        <v>177</v>
      </c>
      <c r="KR12" s="225" t="s">
        <v>178</v>
      </c>
      <c r="KS12" s="226" t="s">
        <v>179</v>
      </c>
      <c r="KT12" s="229" t="s">
        <v>180</v>
      </c>
      <c r="KU12" s="155"/>
      <c r="KV12" s="155"/>
      <c r="KW12" s="155"/>
      <c r="KX12" s="155"/>
      <c r="KY12" s="155"/>
      <c r="KZ12" s="155"/>
      <c r="LA12" s="155"/>
      <c r="LB12" s="155"/>
      <c r="LC12" s="155"/>
      <c r="LD12" s="155"/>
      <c r="LE12" s="155"/>
      <c r="LF12" s="155"/>
      <c r="LG12" s="155"/>
      <c r="LH12" s="155"/>
      <c r="LI12" s="155"/>
      <c r="LJ12" s="155"/>
      <c r="LK12" s="230"/>
      <c r="LL12" s="238"/>
      <c r="LM12" s="239"/>
      <c r="LN12" s="239"/>
      <c r="LO12" s="239"/>
      <c r="LP12" s="239"/>
      <c r="LQ12" s="239"/>
      <c r="LR12" s="239"/>
      <c r="LS12" s="239"/>
      <c r="LT12" s="239"/>
      <c r="LU12" s="240"/>
      <c r="LV12" t="s">
        <v>206</v>
      </c>
      <c r="LW12" t="s">
        <v>183</v>
      </c>
    </row>
    <row r="13" spans="1:335" x14ac:dyDescent="0.25">
      <c r="A13" s="160" t="s">
        <v>146</v>
      </c>
      <c r="B13" s="161" t="s">
        <v>147</v>
      </c>
      <c r="C13" s="161" t="s">
        <v>148</v>
      </c>
      <c r="D13" s="162" t="s">
        <v>149</v>
      </c>
      <c r="E13" s="163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5"/>
      <c r="Q13" s="165"/>
      <c r="R13" s="165"/>
      <c r="S13" s="166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7"/>
      <c r="AF13" s="164"/>
      <c r="AG13" s="164"/>
      <c r="AH13" s="168"/>
      <c r="AI13" s="235" t="s">
        <v>207</v>
      </c>
      <c r="AJ13" s="85" t="s">
        <v>151</v>
      </c>
      <c r="AK13" s="86" t="s">
        <v>197</v>
      </c>
      <c r="AL13" s="169">
        <v>43039</v>
      </c>
      <c r="AM13" s="170">
        <v>43159</v>
      </c>
      <c r="AN13" s="89" t="s">
        <v>153</v>
      </c>
      <c r="AO13" s="90" t="s">
        <v>153</v>
      </c>
      <c r="AP13" s="171"/>
      <c r="AQ13" s="171" t="s">
        <v>154</v>
      </c>
      <c r="AR13" s="171">
        <v>20</v>
      </c>
      <c r="AS13" s="171">
        <v>10000</v>
      </c>
      <c r="AT13" s="172" t="s">
        <v>155</v>
      </c>
      <c r="AU13" s="173" t="s">
        <v>149</v>
      </c>
      <c r="AV13" s="174" t="s">
        <v>156</v>
      </c>
      <c r="AW13" s="175" t="s">
        <v>156</v>
      </c>
      <c r="AX13" s="176" t="s">
        <v>207</v>
      </c>
      <c r="AY13" s="177" t="s">
        <v>188</v>
      </c>
      <c r="AZ13" s="178" t="str">
        <f>IF(ISERROR(VLOOKUP(AY13,[1]PLANOS!B:C,2,0)),"",VLOOKUP(AY13,[1]PLANOS!B:C,2,0))</f>
        <v>PCS-3PHipi</v>
      </c>
      <c r="BA13" s="179" t="s">
        <v>156</v>
      </c>
      <c r="BB13" s="180" t="str">
        <f t="shared" si="1"/>
        <v/>
      </c>
      <c r="BC13" s="181"/>
      <c r="BD13" s="182"/>
      <c r="BE13" s="183">
        <v>50.11</v>
      </c>
      <c r="BF13" s="127">
        <f>IF(BE13=0,"",IF(BE13=VLOOKUP("FIXO",[1]ARBOR!$A:$C,3,0),0.0001,IF(BE13&gt;VLOOKUP("FIXO",[1]ARBOR!$A:$C,3,0),"Maior que CAP!",IF((DOLLAR(BE13+(VLOOKUP("FIXO",[1]ARBOR!$A:$C,3,0)*-TRUNC(BE13/VLOOKUP("FIXO",[1]ARBOR!$A:$C,3,0)-1,4)),6))&lt;&gt;(DOLLAR(VLOOKUP("FIXO",[1]ARBOR!$A:$C,3,0),6)),-TRUNC(BE13/VLOOKUP("FIXO",[1]ARBOR!$A:$C,3,0)-1,4)+0.0001,-TRUNC(BE13/VLOOKUP("FIXO",[1]ARBOR!$A:$C,3,0)-1,4)))))</f>
        <v>0.33929999999999999</v>
      </c>
      <c r="BG13" s="184"/>
      <c r="BH13" s="127" t="str">
        <f>IF(BG13=0,"",IF(BG13=VLOOKUP("FIXO",[1]ARBOR!$A:$C,3,0),0.0001,IF(BG13&gt;VLOOKUP("FIXO",[1]ARBOR!$A:$C,3,0),"Maior que CAP!",IF((DOLLAR(BG13+(VLOOKUP("FIXO",[1]ARBOR!$A:$C,3,0)*-TRUNC(BG13/VLOOKUP("FIXO",[1]ARBOR!$A:$C,3,0)-1,4)),6))&lt;&gt;(DOLLAR(VLOOKUP("FIXO",[1]ARBOR!$A:$C,3,0),6)),-TRUNC(BG13/VLOOKUP("FIXO",[1]ARBOR!$A:$C,3,0)-1,4)+0.0001,-TRUNC(BG13/VLOOKUP("FIXO",[1]ARBOR!$A:$C,3,0)-1,4)))))</f>
        <v/>
      </c>
      <c r="BI13" s="127" t="str">
        <f>IF(ISERROR(IF(BF13="","",VLOOKUP(($AY13&amp;BF13&amp;"Template de desconto FLAT bundle - Fixo - Varejo - Ganho Tributário Cross"),[1]BENEFICIOS!$A:$E,5,0))),"Criar",IF(BF13="","",VLOOKUP(($AY13&amp;BF13&amp;"Template de desconto FLAT bundle - Fixo - Varejo - Ganho Tributário Cross"),[1]BENEFICIOS!$A:$E,5,0)))</f>
        <v>MKT-1-9825728196</v>
      </c>
      <c r="BJ13" s="185"/>
      <c r="BK13" s="127" t="str">
        <f t="shared" si="2"/>
        <v/>
      </c>
      <c r="BL13" s="186"/>
      <c r="BM13" s="127" t="str">
        <f>IF(BL13=0,"",IF(BL13=VLOOKUP("FIXO",[1]ARBOR!$A:$C,3,0),0.0001,IF(BL13&gt;VLOOKUP("FIXO",[1]ARBOR!$A:$C,3,0),"Maior que CAP!",IF(BF13&lt;&gt;"",-ROUND(BL13/VLOOKUP("FIXO",[1]ARBOR!$A:$C,3,0)-1,4)-BF13,-ROUND(BL13/VLOOKUP("FIXO",[1]ARBOR!$A:$C,3,0)-1,4)))))</f>
        <v/>
      </c>
      <c r="BN13" s="187"/>
      <c r="BO13" s="127" t="str">
        <f>IF(ISERROR(IF(BK13="","",VLOOKUP(($AY13&amp;BK13&amp;"Template de desconto FLAT bundle - Fixo - Varejo - Ganho Tributário Cross"),[1]BENEFICIOS!$A:$E,5,0))),"Criar",IF(BK13="","",VLOOKUP(($AY13&amp;BK13&amp;"Template de desconto FLAT bundle - Fixo - Varejo - Ganho Tributário Cross"),[1]BENEFICIOS!$A:$E,5,0)))</f>
        <v/>
      </c>
      <c r="BP13" s="188" t="s">
        <v>158</v>
      </c>
      <c r="BQ13" s="189" t="s">
        <v>159</v>
      </c>
      <c r="BR13" s="190" t="s">
        <v>156</v>
      </c>
      <c r="BS13" s="191" t="str">
        <f t="shared" si="0"/>
        <v/>
      </c>
      <c r="BT13" s="181"/>
      <c r="BU13" s="192"/>
      <c r="BV13" s="193" t="s">
        <v>198</v>
      </c>
      <c r="BW13" s="194">
        <v>44.9</v>
      </c>
      <c r="BX13" s="127">
        <f>IF(BW13=0,"",IF(BW13=VLOOKUP("PCS-30874g",[1]ARBOR!$A:$C,3,0),0.0001,IF(BW13&gt;VLOOKUP("PCS-30874g",[1]ARBOR!$A:$C,3,0),"Maior que CAP!",IF((DOLLAR(BW13+(VLOOKUP("PCS-30874g",[1]ARBOR!$A:$C,3,0)*-TRUNC(BW13/VLOOKUP("PCS-30874g",[1]ARBOR!$A:$C,3,0)-1,4)),6))&lt;&gt;(DOLLAR(VLOOKUP("PCS-30874g",[1]ARBOR!$A:$C,3,0),6)),-TRUNC(BW13/VLOOKUP("PCS-30874g",[1]ARBOR!$A:$C,3,0)-1,4)+0.0001,-TRUNC(BW13/VLOOKUP("PCS-30874g",[1]ARBOR!$A:$C,3,0)-1,4)))))</f>
        <v>0.53679999999999994</v>
      </c>
      <c r="BY13" s="189" t="str">
        <f>IF(ISERROR(IF(BX13="","",VLOOKUP(($AY13&amp;BX13&amp;"Template de desconto FLAT bundle - Velox XDSL - Varejo"),[1]BENEFICIOS!$A:$E,5,0))),"Criar",IF(BX13="","",VLOOKUP(($AY13&amp;BX13&amp;"Template de desconto FLAT bundle - Velox XDSL - Varejo"),[1]BENEFICIOS!$A:$E,5,0)))</f>
        <v>MKT-1-9829477373</v>
      </c>
      <c r="BZ13" s="193" t="s">
        <v>198</v>
      </c>
      <c r="CA13" s="194">
        <v>44.9</v>
      </c>
      <c r="CB13" s="127">
        <f>IF(CA13=0,"",IF(CA13=VLOOKUP("PCS-30577g",[1]ARBOR!$A:$C,3,0),0.0001,IF(CA13&gt;VLOOKUP("PCS-30577g",[1]ARBOR!$A:$C,3,0),"Maior que CAP!",IF((DOLLAR(CA13+(VLOOKUP("PCS-30577g",[1]ARBOR!$A:$C,3,0)*-TRUNC(CA13/VLOOKUP("PCS-30577g",[1]ARBOR!$A:$C,3,0)-1,4)),6))&lt;&gt;(DOLLAR(VLOOKUP("PCS-30577g",[1]ARBOR!$A:$C,3,0),6)),-TRUNC(CA13/VLOOKUP("PCS-30577g",[1]ARBOR!$A:$C,3,0)-1,4)+0.0001,-TRUNC(CA13/VLOOKUP("PCS-30577g",[1]ARBOR!$A:$C,3,0)-1,4)))))</f>
        <v>0.53679999999999994</v>
      </c>
      <c r="CC13" s="189" t="str">
        <f>IF(ISERROR(IF(CB13="","",VLOOKUP(($AY13&amp;CB13&amp;"Template de desconto FLAT bundle - Velox XDSL - Varejo"),[1]BENEFICIOS!$A:$E,5,0))),"Criar",IF(CB13="","",VLOOKUP(($AY13&amp;CB13&amp;"Template de desconto FLAT bundle - Velox XDSL - Varejo"),[1]BENEFICIOS!$A:$E,5,0)))</f>
        <v>MKT-1-9829477373</v>
      </c>
      <c r="CD13" s="193" t="s">
        <v>198</v>
      </c>
      <c r="CE13" s="194">
        <v>44.9</v>
      </c>
      <c r="CF13" s="127">
        <f>IF(CE13=0,"",IF(CE13=VLOOKUP("PCS-30604g",[1]ARBOR!$A:$C,3,0),0.0001,IF(CE13&gt;VLOOKUP("PCS-30604g",[1]ARBOR!$A:$C,3,0),"Maior que CAP!",IF((DOLLAR(CE13+(VLOOKUP("PCS-30604g",[1]ARBOR!$A:$C,3,0)*-TRUNC(CE13/VLOOKUP("PCS-30604g",[1]ARBOR!$A:$C,3,0)-1,4)),6))&lt;&gt;(DOLLAR(VLOOKUP("PCS-30604g",[1]ARBOR!$A:$C,3,0),6)),-TRUNC(CE13/VLOOKUP("PCS-30604g",[1]ARBOR!$A:$C,3,0)-1,4)+0.0001,-TRUNC(CE13/VLOOKUP("PCS-30604g",[1]ARBOR!$A:$C,3,0)-1,4)))))</f>
        <v>0.53679999999999994</v>
      </c>
      <c r="CG13" s="189" t="str">
        <f>IF(ISERROR(IF(CF13="","",VLOOKUP(($AY13&amp;CF13&amp;"Template de desconto FLAT bundle - Velox XDSL - Varejo"),[1]BENEFICIOS!$A:$E,5,0))),"Criar",IF(CF13="","",VLOOKUP(($AY13&amp;CF13&amp;"Template de desconto FLAT bundle - Velox XDSL - Varejo"),[1]BENEFICIOS!$A:$E,5,0)))</f>
        <v>MKT-1-9829477373</v>
      </c>
      <c r="CH13" s="193" t="s">
        <v>198</v>
      </c>
      <c r="CI13" s="194">
        <v>44.9</v>
      </c>
      <c r="CJ13" s="127">
        <f>IF(CI13=0,"",IF(CI13=VLOOKUP("PCS-30631g",[1]ARBOR!$A:$C,3,0),0.0001,IF(CI13&gt;VLOOKUP("PCS-30631g",[1]ARBOR!$A:$C,3,0),"Maior que CAP!",IF((DOLLAR(CI13+(VLOOKUP("PCS-30631g",[1]ARBOR!$A:$C,3,0)*-TRUNC(CI13/VLOOKUP("PCS-30631g",[1]ARBOR!$A:$C,3,0)-1,4)),6))&lt;&gt;(DOLLAR(VLOOKUP("PCS-30631g",[1]ARBOR!$A:$C,3,0),6)),-TRUNC(CI13/VLOOKUP("PCS-30631g",[1]ARBOR!$A:$C,3,0)-1,4)+0.0001,-TRUNC(CI13/VLOOKUP("PCS-30631g",[1]ARBOR!$A:$C,3,0)-1,4)))))</f>
        <v>0.54310000000000003</v>
      </c>
      <c r="CK13" s="189" t="str">
        <f>IF(ISERROR(IF(CJ13="","",VLOOKUP(($AY13&amp;CJ13&amp;"Template de desconto FLAT bundle - Velox XDSL - Varejo"),[1]BENEFICIOS!$A:$E,5,0))),"Criar",IF(CJ13="","",VLOOKUP(($AY13&amp;CJ13&amp;"Template de desconto FLAT bundle - Velox XDSL - Varejo"),[1]BENEFICIOS!$A:$E,5,0)))</f>
        <v>MKT-1-9828219079</v>
      </c>
      <c r="CL13" s="193" t="s">
        <v>86</v>
      </c>
      <c r="CM13" s="194">
        <v>49.9</v>
      </c>
      <c r="CN13" s="127">
        <f>IF(CM13=0,"",IF(CM13=VLOOKUP("PCS-30658g",[1]ARBOR!$A:$C,3,0),0.0001,IF(CM13&gt;VLOOKUP("PCS-30658g",[1]ARBOR!$A:$C,3,0),"Maior que CAP!",IF((DOLLAR(CM13+(VLOOKUP("PCS-30658g",[1]ARBOR!$A:$C,3,0)*-TRUNC(CM13/VLOOKUP("PCS-30658g",[1]ARBOR!$A:$C,3,0)-1,4)),6))&lt;&gt;(DOLLAR(VLOOKUP("PCS-30658g",[1]ARBOR!$A:$C,3,0),6)),-TRUNC(CM13/VLOOKUP("PCS-30658g",[1]ARBOR!$A:$C,3,0)-1,4)+0.0001,-TRUNC(CM13/VLOOKUP("PCS-30658g",[1]ARBOR!$A:$C,3,0)-1,4)))))</f>
        <v>0.55569999999999997</v>
      </c>
      <c r="CO13" s="189" t="str">
        <f>IF(ISERROR(IF(CN13="","",VLOOKUP(($AY13&amp;CN13&amp;"Template de desconto FLAT bundle - Velox XDSL - Varejo"),[1]BENEFICIOS!$A:$E,5,0))),"Criar",IF(CN13="","",VLOOKUP(($AY13&amp;CN13&amp;"Template de desconto FLAT bundle - Velox XDSL - Varejo"),[1]BENEFICIOS!$A:$E,5,0)))</f>
        <v>MKT-1-9828243608</v>
      </c>
      <c r="CP13" s="193" t="s">
        <v>86</v>
      </c>
      <c r="CQ13" s="194">
        <v>49.9</v>
      </c>
      <c r="CR13" s="127">
        <f>IF(CQ13=0,"",IF(CQ13=VLOOKUP("PCS-30685g",[1]ARBOR!$A:$C,3,0),0.0001,IF(CQ13&gt;VLOOKUP("PCS-30685g",[1]ARBOR!$A:$C,3,0),"Maior que CAP!",IF((DOLLAR(CQ13+(VLOOKUP("PCS-30685g",[1]ARBOR!$A:$C,3,0)*-TRUNC(CQ13/VLOOKUP("PCS-30685g",[1]ARBOR!$A:$C,3,0)-1,4)),6))&lt;&gt;(DOLLAR(VLOOKUP("PCS-30685g",[1]ARBOR!$A:$C,3,0),6)),-TRUNC(CQ13/VLOOKUP("PCS-30685g",[1]ARBOR!$A:$C,3,0)-1,4)+0.0001,-TRUNC(CQ13/VLOOKUP("PCS-30685g",[1]ARBOR!$A:$C,3,0)-1,4)))))</f>
        <v>0.60509999999999997</v>
      </c>
      <c r="CS13" s="189" t="str">
        <f>IF(ISERROR(IF(CR13="","",VLOOKUP(($AY13&amp;CR13&amp;"Template de desconto FLAT bundle - Velox XDSL - Varejo"),[1]BENEFICIOS!$A:$E,5,0))),"Criar",IF(CR13="","",VLOOKUP(($AY13&amp;CR13&amp;"Template de desconto FLAT bundle - Velox XDSL - Varejo"),[1]BENEFICIOS!$A:$E,5,0)))</f>
        <v>MKT-1-9828260647</v>
      </c>
      <c r="CT13" s="193" t="s">
        <v>86</v>
      </c>
      <c r="CU13" s="194">
        <v>49.9</v>
      </c>
      <c r="CV13" s="127">
        <f>IF(CU13=0,"",IF(CU13=VLOOKUP("PCS-30712g",[1]ARBOR!$A:$C,3,0),0.0001,IF(CU13&gt;VLOOKUP("PCS-30712g",[1]ARBOR!$A:$C,3,0),"Maior que CAP!",IF((DOLLAR(CU13+(VLOOKUP("PCS-30712g",[1]ARBOR!$A:$C,3,0)*-TRUNC(CU13/VLOOKUP("PCS-30712g",[1]ARBOR!$A:$C,3,0)-1,4)),6))&lt;&gt;(DOLLAR(VLOOKUP("PCS-30712g",[1]ARBOR!$A:$C,3,0),6)),-TRUNC(CU13/VLOOKUP("PCS-30712g",[1]ARBOR!$A:$C,3,0)-1,4)+0.0001,-TRUNC(CU13/VLOOKUP("PCS-30712g",[1]ARBOR!$A:$C,3,0)-1,4)))))</f>
        <v>0.64459999999999995</v>
      </c>
      <c r="CW13" s="189" t="str">
        <f>IF(ISERROR(IF(CV13="","",VLOOKUP(($AY13&amp;CV13&amp;"Template de desconto FLAT bundle - Velox XDSL - Varejo"),[1]BENEFICIOS!$A:$E,5,0))),"Criar",IF(CV13="","",VLOOKUP(($AY13&amp;CV13&amp;"Template de desconto FLAT bundle - Velox XDSL - Varejo"),[1]BENEFICIOS!$A:$E,5,0)))</f>
        <v>MKT-1-9828260926</v>
      </c>
      <c r="CX13" s="193" t="s">
        <v>86</v>
      </c>
      <c r="CY13" s="194">
        <v>59.9</v>
      </c>
      <c r="CZ13" s="127">
        <f>IF(CY13=0,"",IF(CY13=VLOOKUP("PCS-30739g",[1]ARBOR!$A:$C,3,0),0.0001,IF(CY13&gt;VLOOKUP("PCS-30739g",[1]ARBOR!$A:$C,3,0),"Maior que CAP!",IF((DOLLAR(CY13+(VLOOKUP("PCS-30739g",[1]ARBOR!$A:$C,3,0)*-TRUNC(CY13/VLOOKUP("PCS-30739g",[1]ARBOR!$A:$C,3,0)-1,4)),6))&lt;&gt;(DOLLAR(VLOOKUP("PCS-30739g",[1]ARBOR!$A:$C,3,0),6)),-TRUNC(CY13/VLOOKUP("PCS-30739g",[1]ARBOR!$A:$C,3,0)-1,4)+0.0001,-TRUNC(CY13/VLOOKUP("PCS-30739g",[1]ARBOR!$A:$C,3,0)-1,4)))))</f>
        <v>0.71560000000000001</v>
      </c>
      <c r="DA13" s="195" t="str">
        <f>IF(ISERROR(IF(CZ13="","",VLOOKUP(($AY13&amp;CZ13&amp;"Template de desconto FLAT bundle - Velox XDSL - Varejo"),[1]BENEFICIOS!$A:$E,5,0))),"Criar",IF(CZ13="","",VLOOKUP(($AY13&amp;CZ13&amp;"Template de desconto FLAT bundle - Velox XDSL - Varejo"),[1]BENEFICIOS!$A:$E,5,0)))</f>
        <v>MKT-1-9828272465</v>
      </c>
      <c r="DB13" s="196"/>
      <c r="DC13" s="241"/>
      <c r="DD13" s="127" t="str">
        <f>IF(DB13=0,"",IF(DB13=VLOOKUP("PCS-30739g",[1]ARBOR!$A:$C,3,0),0.0001,IF(DB13&gt;VLOOKUP("PCS-30739g",[1]ARBOR!$A:$C,3,0),"Maior que CAP!",IF((DOLLAR(DB13+(VLOOKUP("PCS-30739g",[1]ARBOR!$A:$C,3,0)*-TRUNC(DB13/VLOOKUP("PCS-30739g",[1]ARBOR!$A:$C,3,0)-1,4)),6))&lt;&gt;(DOLLAR(VLOOKUP("PCS-30739g",[1]ARBOR!$A:$C,3,0),6)),(-TRUNC(DB13/VLOOKUP("PCS-30739g",[1]ARBOR!$A:$C,3,0)-1,4)+0.0001)-CZ13,-TRUNC(DB13/VLOOKUP("PCS-30739g",[1]ARBOR!$A:$C,3,0)-1,4)-CZ13))))</f>
        <v/>
      </c>
      <c r="DE13" s="189" t="str">
        <f>IF(ISERROR(IF(DD13="","",VLOOKUP(($AY13&amp;DD13&amp;"Template de desconto percentual Bundle - Velox XDSL - Varejo"),[1]BENEFICIOS!$A:$E,5,0))),"Criar",IF(DD13="","",VLOOKUP(($AY13&amp;DD13&amp;"Template de desconto percentual Bundle - Velox XDSL - Varejo"),[1]BENEFICIOS!$A:$E,5,0)))</f>
        <v/>
      </c>
      <c r="DF13" s="193" t="s">
        <v>86</v>
      </c>
      <c r="DG13" s="194">
        <v>59.9</v>
      </c>
      <c r="DH13" s="127">
        <f>IF(DG13=0,"",IF(DG13=VLOOKUP("PCS-30766g",[1]ARBOR!$A:$C,3,0),0.0001,IF(DG13&gt;VLOOKUP("PCS-30766g",[1]ARBOR!$A:$C,3,0),"Maior que CAP!",IF((DOLLAR(DG13+(VLOOKUP("PCS-30766g",[1]ARBOR!$A:$C,3,0)*-TRUNC(DG13/VLOOKUP("PCS-30766g",[1]ARBOR!$A:$C,3,0)-1,4)),6))&lt;&gt;(DOLLAR(VLOOKUP("PCS-30766g",[1]ARBOR!$A:$C,3,0),6)),-TRUNC(DG13/VLOOKUP("PCS-30766g",[1]ARBOR!$A:$C,3,0)-1,4)+0.0001,-TRUNC(DG13/VLOOKUP("PCS-30766g",[1]ARBOR!$A:$C,3,0)-1,4)))))</f>
        <v>0.78669999999999995</v>
      </c>
      <c r="DI13" s="195" t="str">
        <f>IF(ISERROR(IF(DH13="","",VLOOKUP(($AY13&amp;DH13&amp;"Template de desconto FLAT bundle - Velox XDSL - Varejo"),[1]BENEFICIOS!$A:$E,5,0))),"Criar",IF(DH13="","",VLOOKUP(($AY13&amp;DH13&amp;"Template de desconto FLAT bundle - Velox XDSL - Varejo"),[1]BENEFICIOS!$A:$E,5,0)))</f>
        <v>MKT-1-9828285890</v>
      </c>
      <c r="DJ13" s="196"/>
      <c r="DK13" s="241"/>
      <c r="DL13" s="127" t="str">
        <f>IF(DJ13=0,"",IF(DJ13=VLOOKUP("PCS-30766g",[1]ARBOR!$A:$C,3,0),0.0001,IF(DJ13&gt;VLOOKUP("PCS-30766g",[1]ARBOR!$A:$C,3,0),"Maior que CAP!",IF((DOLLAR(DJ13+(VLOOKUP("PCS-30766g",[1]ARBOR!$A:$C,3,0)*-TRUNC(DJ13/VLOOKUP("PCS-30766g",[1]ARBOR!$A:$C,3,0)-1,4)),6))&lt;&gt;(DOLLAR(VLOOKUP("PCS-30766g",[1]ARBOR!$A:$C,3,0),6)),(-TRUNC(DJ13/VLOOKUP("PCS-30766g",[1]ARBOR!$A:$C,3,0)-1,4)+0.0001)-DH13,-TRUNC(DJ13/VLOOKUP("PCS-30766g",[1]ARBOR!$A:$C,3,0)-1,4)-DH13))))</f>
        <v/>
      </c>
      <c r="DM13" s="189" t="str">
        <f>IF(ISERROR(IF(DL13="","",VLOOKUP(($AY13&amp;DL13&amp;"Template de desconto percentual Bundle - Velox XDSL - Varejo"),[1]BENEFICIOS!$A:$E,5,0))),"Criar",IF(DL13="","",VLOOKUP(($AY13&amp;DL13&amp;"Template de desconto percentual Bundle - Velox XDSL - Varejo"),[1]BENEFICIOS!$A:$E,5,0)))</f>
        <v/>
      </c>
      <c r="DN13" s="193" t="s">
        <v>198</v>
      </c>
      <c r="DO13" s="194">
        <v>69.900000000000006</v>
      </c>
      <c r="DP13" s="127">
        <f>IF(DO13=0,"",IF(DO13=VLOOKUP("PCS-30793g",[1]ARBOR!$A:$C,3,0),0.0001,IF(DO13&gt;VLOOKUP("PCS-30793g",[1]ARBOR!$A:$C,3,0),"Maior que CAP!",IF((DOLLAR(DO13+(VLOOKUP("PCS-30793g",[1]ARBOR!$A:$C,3,0)*-TRUNC(DO13/VLOOKUP("PCS-30793g",[1]ARBOR!$A:$C,3,0)-1,4)),6))&lt;&gt;(DOLLAR(VLOOKUP("PCS-30793g",[1]ARBOR!$A:$C,3,0),6)),-TRUNC(DO13/VLOOKUP("PCS-30793g",[1]ARBOR!$A:$C,3,0)-1,4)+0.0001,-TRUNC(DO13/VLOOKUP("PCS-30793g",[1]ARBOR!$A:$C,3,0)-1,4)))))</f>
        <v>0.75109999999999999</v>
      </c>
      <c r="DQ13" s="195" t="str">
        <f>IF(ISERROR(IF(DP13="","",VLOOKUP(($AY13&amp;DP13&amp;"Template de desconto FLAT bundle - Velox XDSL - Varejo"),[1]BENEFICIOS!$A:$E,5,0))),"Criar",IF(DP13="","",VLOOKUP(($AY13&amp;DP13&amp;"Template de desconto FLAT bundle - Velox XDSL - Varejo"),[1]BENEFICIOS!$A:$E,5,0)))</f>
        <v>MKT-1-9828314259</v>
      </c>
      <c r="DR13" s="196"/>
      <c r="DS13" s="241"/>
      <c r="DT13" s="127" t="str">
        <f>IF(DR13=0,"",IF(DR13=VLOOKUP("PCS-30793g",[1]ARBOR!$A:$C,3,0),0.0001,IF(DR13&gt;VLOOKUP("PCS-30793g",[1]ARBOR!$A:$C,3,0),"Maior que CAP!",IF((DOLLAR(DR13+(VLOOKUP("PCS-30793g",[1]ARBOR!$A:$C,3,0)*-TRUNC(DR13/VLOOKUP("PCS-30793g",[1]ARBOR!$A:$C,3,0)-1,4)),6))&lt;&gt;(DOLLAR(VLOOKUP("PCS-30793g",[1]ARBOR!$A:$C,3,0),6)),(-TRUNC(DR13/VLOOKUP("PCS-30793g",[1]ARBOR!$A:$C,3,0)-1,4)+0.0001)-DP13,-TRUNC(DR13/VLOOKUP("PCS-30793g",[1]ARBOR!$A:$C,3,0)-1,4)-DP13))))</f>
        <v/>
      </c>
      <c r="DU13" s="189" t="str">
        <f>IF(ISERROR(IF(DT13="","",VLOOKUP(($AY13&amp;DT13&amp;"Template de desconto percentual Bundle - Velox XDSL - Varejo"),[1]BENEFICIOS!$A:$E,5,0))),"Criar",IF(DT13="","",VLOOKUP(($AY13&amp;DT13&amp;"Template de desconto percentual Bundle - Velox XDSL - Varejo"),[1]BENEFICIOS!$A:$E,5,0)))</f>
        <v/>
      </c>
      <c r="DV13" s="193" t="s">
        <v>86</v>
      </c>
      <c r="DW13" s="194">
        <v>69.900000000000006</v>
      </c>
      <c r="DX13" s="127">
        <f>IF(DW13=0,"",IF(DW13=VLOOKUP("PCS-30820g",[1]ARBOR!$A:$C,3,0),0.0001,IF(DW13&gt;VLOOKUP("PCS-30820g",[1]ARBOR!$A:$C,3,0),"Maior que CAP!",IF((DOLLAR(DW13+(VLOOKUP("PCS-30820g",[1]ARBOR!$A:$C,3,0)*-TRUNC(DW13/VLOOKUP("PCS-30820g",[1]ARBOR!$A:$C,3,0)-1,4)),6))&lt;&gt;(DOLLAR(VLOOKUP("PCS-30820g",[1]ARBOR!$A:$C,3,0),6)),-TRUNC(DW13/VLOOKUP("PCS-30820g",[1]ARBOR!$A:$C,3,0)-1,4)+0.0001,-TRUNC(DW13/VLOOKUP("PCS-30820g",[1]ARBOR!$A:$C,3,0)-1,4)))))</f>
        <v>0.75109999999999999</v>
      </c>
      <c r="DY13" s="195" t="str">
        <f>IF(ISERROR(IF(DX13="","",VLOOKUP(($AY13&amp;DX13&amp;"Template de desconto FLAT bundle - Velox XDSL - Varejo"),[1]BENEFICIOS!$A:$E,5,0))),"Criar",IF(DX13="","",VLOOKUP(($AY13&amp;DX13&amp;"Template de desconto FLAT bundle - Velox XDSL - Varejo"),[1]BENEFICIOS!$A:$E,5,0)))</f>
        <v>MKT-1-9828314259</v>
      </c>
      <c r="DZ13" s="196"/>
      <c r="EA13" s="241"/>
      <c r="EB13" s="127" t="str">
        <f>IF(DZ13=0,"",IF(DZ13=VLOOKUP("PCS-30820g",[1]ARBOR!$A:$C,3,0),0.0001,IF(DZ13&gt;VLOOKUP("PCS-30820g",[1]ARBOR!$A:$C,3,0),"Maior que CAP!",IF((DOLLAR(DZ13+(VLOOKUP("PCS-30820g",[1]ARBOR!$A:$C,3,0)*-TRUNC(DZ13/VLOOKUP("PCS-30820g",[1]ARBOR!$A:$C,3,0)-1,4)),6))&lt;&gt;(DOLLAR(VLOOKUP("PCS-30820g",[1]ARBOR!$A:$C,3,0),6)),(-TRUNC(DZ13/VLOOKUP("PCS-30820g",[1]ARBOR!$A:$C,3,0)-1,4)+0.0001)-DX13,-TRUNC(DZ13/VLOOKUP("PCS-30820g",[1]ARBOR!$A:$C,3,0)-1,4)-DX13))))</f>
        <v/>
      </c>
      <c r="EC13" s="189" t="str">
        <f>IF(ISERROR(IF(EB13="","",VLOOKUP(($AY13&amp;EB13&amp;"Template de desconto percentual Bundle - Velox XDSL - Varejo"),[1]BENEFICIOS!$A:$E,5,0))),"Criar",IF(EB13="","",VLOOKUP(($AY13&amp;EB13&amp;"Template de desconto percentual Bundle - Velox XDSL - Varejo"),[1]BENEFICIOS!$A:$E,5,0)))</f>
        <v/>
      </c>
      <c r="ED13" s="198"/>
      <c r="EE13" s="127" t="str">
        <f>IF(ED13=0,"",IF(ED13=VLOOKUP("PCS-21448p2",[1]ARBOR!$A:$C,3,0),0.0001,IF(ED13&gt;VLOOKUP("PCS-21448p2",[1]ARBOR!$A:$C,3,0),"Maior que CAP!",IF((DOLLAR(ED13+(VLOOKUP("PCS-21448p2",[1]ARBOR!$A:$C,3,0)*-TRUNC(ED13/VLOOKUP("PCS-21448p2",[1]ARBOR!$A:$C,3,0)-1,4)),6))&lt;&gt;(DOLLAR(VLOOKUP("PCS-21448p2",[1]ARBOR!$A:$C,3,0),6)),-TRUNC(ED13/VLOOKUP("PCS-21448p2",[1]ARBOR!$A:$C,3,0)-1,4)+0.0001,-TRUNC(ED13/VLOOKUP("PCS-21448p2",[1]ARBOR!$A:$C,3,0)-1,4)))))</f>
        <v/>
      </c>
      <c r="EF13" s="127" t="str">
        <f>IF(ISERROR(IF(EE13="","",VLOOKUP(("Oi Conta Total Plug 10GB Downgrade"&amp;EE13&amp;"Template de desconto percentual BL Móvel - Internet Total - Varejo"),[1]BENEFICIOS!$A:$E,5,0))),"Criar",IF(EE13="","",VLOOKUP(("Oi Conta Total Plug 10GB Downgrade"&amp;EE13&amp;"Template de desconto percentual BL Móvel - Internet Total - Varejo"),[1]BENEFICIOS!$A:$E,5,0)))</f>
        <v/>
      </c>
      <c r="EG13" s="199">
        <v>19.899999999999999</v>
      </c>
      <c r="EH13" s="200">
        <f>IF(EG13=0,"",IF(EG13=VLOOKUP("SVA",[1]ARBOR!$A:$C,3,0),0.0001,IF(EG13&gt;VLOOKUP("SVA",[1]ARBOR!$A:$C,3,0),"Maior que CAP!",IF((DOLLAR(EG13+(VLOOKUP("SVA",[1]ARBOR!$A:$C,3,0)*-TRUNC(EG13/VLOOKUP("SVA",[1]ARBOR!$A:$C,3,0)-1,4)),6))&lt;&gt;(DOLLAR(VLOOKUP("SVA",[1]ARBOR!$A:$C,3,0),6)),-TRUNC(EG13/VLOOKUP("SVA",[1]ARBOR!$A:$C,3,0)-1,4)+0.0001,-TRUNC(EG13/VLOOKUP("SVA",[1]ARBOR!$A:$C,3,0)-1,4)))))</f>
        <v>7.1400000000000005E-2</v>
      </c>
      <c r="EI13" s="200" t="s">
        <v>199</v>
      </c>
      <c r="EJ13" s="201"/>
      <c r="EK13" s="202"/>
      <c r="EL13" s="203" t="str">
        <f t="shared" si="3"/>
        <v/>
      </c>
      <c r="EM13" s="200" t="str">
        <f>IF(EL13="S/Desc","S/Desc",IF(ISERROR(IF(EL13="","",VLOOKUP(($BX13&amp;EL13&amp;"Template Desc. % sobre Serviço SVA B2C"),[1]BENEFICIOS!$A:$G,5,0))),"Criar",IF(EL13="","",VLOOKUP(($BX13&amp;EL13&amp;"Template Desc. % sobre Serviço SVA B2C"),[1]BENEFICIOS!$A:$G,5,0))))</f>
        <v/>
      </c>
      <c r="EN13" s="129"/>
      <c r="EO13" s="127" t="str">
        <f>IF(EN13=0,"",IF(EN13=VLOOKUP("PCS-OzTL40",[1]ARBOR!$A:$C,3,0),0.0001,IF(EN13&gt;VLOOKUP("PCS-OzTL40",[1]ARBOR!$A:$C,3,0),"Maior que CAP!",IF((DOLLAR(EN13+(VLOOKUP("PCS-OzTL40",[1]ARBOR!$A:$C,3,0)*-TRUNC(EN13/VLOOKUP("PCS-OzTL40",[1]ARBOR!$A:$C,3,0)-1,4)),6))&lt;&gt;(DOLLAR(VLOOKUP("PCS-OzTL40",[1]ARBOR!$A:$C,3,0),6)),-TRUNC(EN13/VLOOKUP("PCS-OzTL40",[1]ARBOR!$A:$C,3,0)-1,4)+0.0001,-TRUNC(EN13/VLOOKUP("PCS-OzTL40",[1]ARBOR!$A:$C,3,0)-1,4)))))</f>
        <v/>
      </c>
      <c r="EP13" s="189" t="str">
        <f>IF(ISERROR(IF(EO13="","",VLOOKUP(($AY13&amp;EO13&amp;"Template desconto FLAT Plano Principal Oi TV nível conta"),[1]BENEFICIOS!$A:$G,5,0))),"Criar",IF(EO13="","",VLOOKUP(($AY13&amp;EO13&amp;"Template desconto FLAT Plano Principal Oi TV nível conta"),[1]BENEFICIOS!$A:$G,5,0)))</f>
        <v/>
      </c>
      <c r="EQ13" s="129"/>
      <c r="ER13" s="127" t="str">
        <f>IF(EQ13=0,"",IF(EQ13=VLOOKUP("PCS-OzTL41",[1]ARBOR!$A:$C,3,0),0.0001,IF(EQ13&gt;VLOOKUP("PCS-OzTL41",[1]ARBOR!$A:$C,3,0),"Maior que CAP!",IF((DOLLAR(EQ13+(VLOOKUP("PCS-OzTL41",[1]ARBOR!$A:$C,3,0)*-TRUNC(EQ13/VLOOKUP("PCS-OzTL41",[1]ARBOR!$A:$C,3,0)-1,4)),6))&lt;&gt;(DOLLAR(VLOOKUP("PCS-OzTL41",[1]ARBOR!$A:$C,3,0),6)),-TRUNC(EQ13/VLOOKUP("PCS-OzTL41",[1]ARBOR!$A:$C,3,0)-1,4)+0.0001,-TRUNC(EQ13/VLOOKUP("PCS-OzTL41",[1]ARBOR!$A:$C,3,0)-1,4)))))</f>
        <v/>
      </c>
      <c r="ES13" s="204" t="str">
        <f>IF(ISERROR(IF(ER13="","",VLOOKUP(($AY13&amp;ER13&amp;"Template desconto FLAT Plano Principal Oi TV nível conta"),[1]BENEFICIOS!$A:$G,5,0))),"Criar",IF(ER13="","",VLOOKUP(($AY13&amp;ER13&amp;"Template desconto FLAT Plano Principal Oi TV nível conta"),[1]BENEFICIOS!$A:$G,5,0)))</f>
        <v/>
      </c>
      <c r="ET13" s="129"/>
      <c r="EU13" s="127" t="str">
        <f>IF(ET13=0,"",IF(ET13=VLOOKUP("PCS-OzTL44",[1]ARBOR!$A:$C,3,0),0.0001,IF(ET13&gt;VLOOKUP("PCS-OzTL44",[1]ARBOR!$A:$C,3,0),"Maior que CAP!",IF((DOLLAR(ET13+(VLOOKUP("PCS-OzTL44",[1]ARBOR!$A:$C,3,0)*-TRUNC(ET13/VLOOKUP("PCS-OzTL44",[1]ARBOR!$A:$C,3,0)-1,4)),6))&lt;&gt;(DOLLAR(VLOOKUP("PCS-OzTL44",[1]ARBOR!$A:$C,3,0),6)),-TRUNC(ET13/VLOOKUP("PCS-OzTL44",[1]ARBOR!$A:$C,3,0)-1,4)+0.0001,-TRUNC(ET13/VLOOKUP("PCS-OzTL44",[1]ARBOR!$A:$C,3,0)-1,4)))))</f>
        <v/>
      </c>
      <c r="EV13" s="204" t="str">
        <f>IF(ISERROR(IF(EU13="","",VLOOKUP(($AY13&amp;EU13&amp;"Template desconto FLAT Plano Principal Oi TV nível conta"),[1]BENEFICIOS!$A:$G,5,0))),"Criar",IF(EU13="","",VLOOKUP(($AY13&amp;EU13&amp;"Template desconto FLAT Plano Principal Oi TV nível conta"),[1]BENEFICIOS!$A:$G,5,0)))</f>
        <v/>
      </c>
      <c r="EW13" s="129"/>
      <c r="EX13" s="127" t="str">
        <f>IF(EW13=0,"",IF(EW13=VLOOKUP("PCS-OzTL43",[1]ARBOR!$A:$C,3,0),0.0001,IF(EW13&gt;VLOOKUP("PCS-OzTL43",[1]ARBOR!$A:$C,3,0),"Maior que CAP!",IF((DOLLAR(EW13+(VLOOKUP("PCS-OzTL43",[1]ARBOR!$A:$C,3,0)*-TRUNC(EW13/VLOOKUP("PCS-OzTL43",[1]ARBOR!$A:$C,3,0)-1,4)),6))&lt;&gt;(DOLLAR(VLOOKUP("PCS-OzTL43",[1]ARBOR!$A:$C,3,0),6)),-TRUNC(EW13/VLOOKUP("PCS-OzTL43",[1]ARBOR!$A:$C,3,0)-1,4)+0.0001,-TRUNC(EW13/VLOOKUP("PCS-OzTL43",[1]ARBOR!$A:$C,3,0)-1,4)))))</f>
        <v/>
      </c>
      <c r="EY13" s="204" t="str">
        <f>IF(ISERROR(IF(EX13="","",VLOOKUP(($AY13&amp;EX13&amp;"Template desconto FLAT Plano Principal Oi TV nível conta"),[1]BENEFICIOS!$A:$G,5,0))),"Criar",IF(EX13="","",VLOOKUP(($AY13&amp;EX13&amp;"Template desconto FLAT Plano Principal Oi TV nível conta"),[1]BENEFICIOS!$A:$G,5,0)))</f>
        <v/>
      </c>
      <c r="EZ13" s="129"/>
      <c r="FA13" s="127" t="str">
        <f>IF(EZ13=0,"",IF(EZ13=VLOOKUP("PCS-OzTL45",[1]ARBOR!$A:$C,3,0),0.0001,IF(EZ13&gt;VLOOKUP("PCS-OzTL45",[1]ARBOR!$A:$C,3,0),"Maior que CAP!",IF((DOLLAR(EZ13+(VLOOKUP("PCS-OzTL45",[1]ARBOR!$A:$C,3,0)*-TRUNC(EZ13/VLOOKUP("PCS-OzTL45",[1]ARBOR!$A:$C,3,0)-1,4)),6))&lt;&gt;(DOLLAR(VLOOKUP("PCS-OzTL45",[1]ARBOR!$A:$C,3,0),6)),-TRUNC(EZ13/VLOOKUP("PCS-OzTL45",[1]ARBOR!$A:$C,3,0)-1,4)+0.0001,-TRUNC(EZ13/VLOOKUP("PCS-OzTL45",[1]ARBOR!$A:$C,3,0)-1,4)))))</f>
        <v/>
      </c>
      <c r="FB13" s="204" t="str">
        <f>IF(ISERROR(IF(FA13="","",VLOOKUP(($AY13&amp;FA13&amp;"Template desconto FLAT Plano Principal Oi TV nível conta"),[1]BENEFICIOS!$A:$G,5,0))),"Criar",IF(FA13="","",VLOOKUP(($AY13&amp;FA13&amp;"Template desconto FLAT Plano Principal Oi TV nível conta"),[1]BENEFICIOS!$A:$G,5,0)))</f>
        <v/>
      </c>
      <c r="FC13" s="129"/>
      <c r="FD13" s="127" t="str">
        <f>IF(FC13=0,"",IF(FC13=VLOOKUP("PCS-OzTL741",[1]ARBOR!$A:$C,3,0),0.0001,IF(FC13&gt;VLOOKUP("PCS-OzTL741",[1]ARBOR!$A:$C,3,0),"Maior que CAP!",IF((DOLLAR(FC13+(VLOOKUP("PCS-OzTL741",[1]ARBOR!$A:$C,3,0)*-TRUNC(FC13/VLOOKUP("PCS-OzTL741",[1]ARBOR!$A:$C,3,0)-1,4)),6))&lt;&gt;(DOLLAR(VLOOKUP("PCS-OzTL741",[1]ARBOR!$A:$C,3,0),6)),-TRUNC(FC13/VLOOKUP("PCS-OzTL741",[1]ARBOR!$A:$C,3,0)-1,4)+0.0001,-TRUNC(FC13/VLOOKUP("PCS-OzTL741",[1]ARBOR!$A:$C,3,0)-1,4)))))</f>
        <v/>
      </c>
      <c r="FE13" s="204" t="str">
        <f>IF(ISERROR(IF(FD13="","",VLOOKUP(($AY13&amp;FD13&amp;"Template desconto FLAT Plano Principal Oi TV nível conta"),[1]BENEFICIOS!$A:$G,5,0))),"Criar",IF(FD13="","",VLOOKUP(($AY13&amp;FD13&amp;"Template desconto FLAT Plano Principal Oi TV nível conta"),[1]BENEFICIOS!$A:$G,5,0)))</f>
        <v/>
      </c>
      <c r="FF13" s="129"/>
      <c r="FG13" s="127" t="str">
        <f>IF(FF13=0,"",IF(FF13=VLOOKUP("PCS-OzTL744",[1]ARBOR!$A:$C,3,0),0.0001,IF(FF13&gt;VLOOKUP("PCS-OzTL744",[1]ARBOR!$A:$C,3,0),"Maior que CAP!",IF((DOLLAR(FF13+(VLOOKUP("PCS-OzTL744",[1]ARBOR!$A:$C,3,0)*-TRUNC(FF13/VLOOKUP("PCS-OzTL744",[1]ARBOR!$A:$C,3,0)-1,4)),6))&lt;&gt;(DOLLAR(VLOOKUP("PCS-OzTL744",[1]ARBOR!$A:$C,3,0),6)),-TRUNC(FF13/VLOOKUP("PCS-OzTL744",[1]ARBOR!$A:$C,3,0)-1,4)+0.0001,-TRUNC(FF13/VLOOKUP("PCS-OzTL744",[1]ARBOR!$A:$C,3,0)-1,4)))))</f>
        <v/>
      </c>
      <c r="FH13" s="204" t="str">
        <f>IF(ISERROR(IF(FG13="","",VLOOKUP(($AY13&amp;FG13&amp;"Template desconto FLAT Plano Principal Oi TV nível conta"),[1]BENEFICIOS!$A:$G,5,0))),"Criar",IF(FG13="","",VLOOKUP(($AY13&amp;FG13&amp;"Template desconto FLAT Plano Principal Oi TV nível conta"),[1]BENEFICIOS!$A:$G,5,0)))</f>
        <v/>
      </c>
      <c r="FI13" s="129"/>
      <c r="FJ13" s="127" t="str">
        <f>IF(FI13=0,"",IF(FI13=VLOOKUP("PCS-OzTL743",[1]ARBOR!$A:$C,3,0),0.0001,IF(FI13&gt;VLOOKUP("PCS-OzTL743",[1]ARBOR!$A:$C,3,0),"Maior que CAP!",IF((DOLLAR(FI13+(VLOOKUP("PCS-OzTL743",[1]ARBOR!$A:$C,3,0)*-TRUNC(FI13/VLOOKUP("PCS-OzTL743",[1]ARBOR!$A:$C,3,0)-1,4)),6))&lt;&gt;(DOLLAR(VLOOKUP("PCS-OzTL743",[1]ARBOR!$A:$C,3,0),6)),-TRUNC(FI13/VLOOKUP("PCS-OzTL743",[1]ARBOR!$A:$C,3,0)-1,4)+0.0001,-TRUNC(FI13/VLOOKUP("PCS-OzTL743",[1]ARBOR!$A:$C,3,0)-1,4)))))</f>
        <v/>
      </c>
      <c r="FK13" s="204" t="str">
        <f>IF(ISERROR(IF(FJ13="","",VLOOKUP(($AY13&amp;FJ13&amp;"Template desconto FLAT Plano Principal Oi TV nível conta"),[1]BENEFICIOS!$A:$G,5,0))),"Criar",IF(FJ13="","",VLOOKUP(($AY13&amp;FJ13&amp;"Template desconto FLAT Plano Principal Oi TV nível conta"),[1]BENEFICIOS!$A:$G,5,0)))</f>
        <v/>
      </c>
      <c r="FL13" s="129"/>
      <c r="FM13" s="127" t="str">
        <f>IF(FL13=0,"",IF(FL13=VLOOKUP("PCS-OzTL745",[1]ARBOR!$A:$C,3,0),0.0001,IF(FL13&gt;VLOOKUP("PCS-OzTL745",[1]ARBOR!$A:$C,3,0),"Maior que CAP!",IF((DOLLAR(FL13+(VLOOKUP("PCS-OzTL745",[1]ARBOR!$A:$C,3,0)*-TRUNC(FL13/VLOOKUP("PCS-OzTL745",[1]ARBOR!$A:$C,3,0)-1,4)),6))&lt;&gt;(DOLLAR(VLOOKUP("PCS-OzTL745",[1]ARBOR!$A:$C,3,0),6)),-TRUNC(FL13/VLOOKUP("PCS-OzTL745",[1]ARBOR!$A:$C,3,0)-1,4)+0.0001,-TRUNC(FL13/VLOOKUP("PCS-OzTL745",[1]ARBOR!$A:$C,3,0)-1,4)))))</f>
        <v/>
      </c>
      <c r="FN13" s="204" t="str">
        <f>IF(ISERROR(IF(FM13="","",VLOOKUP(($AY13&amp;FM13&amp;"Template desconto FLAT Plano Principal Oi TV nível conta"),[1]BENEFICIOS!$A:$G,5,0))),"Criar",IF(FM13="","",VLOOKUP(($AY13&amp;FM13&amp;"Template desconto FLAT Plano Principal Oi TV nível conta"),[1]BENEFICIOS!$A:$G,5,0)))</f>
        <v/>
      </c>
      <c r="FO13" s="129"/>
      <c r="FP13" s="127" t="str">
        <f>IF(FO13=0,"",IF(FO13=VLOOKUP("PCS-OzTL42",[1]ARBOR!$A:$C,3,0),0.0001,IF(FO13&gt;VLOOKUP("PCS-OzTL42",[1]ARBOR!$A:$C,3,0),"Maior que CAP!",IF((DOLLAR(FO13+(VLOOKUP("PCS-OzTL42",[1]ARBOR!$A:$C,3,0)*-TRUNC(FO13/VLOOKUP("PCS-OzTL42",[1]ARBOR!$A:$C,3,0)-1,4)),6))&lt;&gt;(DOLLAR(VLOOKUP("PCS-OzTL42",[1]ARBOR!$A:$C,3,0),6)),-TRUNC(FO13/VLOOKUP("PCS-OzTL42",[1]ARBOR!$A:$C,3,0)-1,4)+0.0001,-TRUNC(FO13/VLOOKUP("PCS-OzTL42",[1]ARBOR!$A:$C,3,0)-1,4)))))</f>
        <v/>
      </c>
      <c r="FQ13" s="204" t="str">
        <f>IF(ISERROR(IF(FP13="","",VLOOKUP(($AY13&amp;FP13&amp;"Template desconto FLAT Plano Principal Oi TV nível conta"),[1]BENEFICIOS!$A:$G,5,0))),"Criar",IF(FP13="","",VLOOKUP(($AY13&amp;FP13&amp;"Template desconto FLAT Plano Principal Oi TV nível conta"),[1]BENEFICIOS!$A:$G,5,0)))</f>
        <v/>
      </c>
      <c r="FR13" s="129"/>
      <c r="FS13" s="127" t="str">
        <f>IF(FR13=0,"",IF(FR13=VLOOKUP("PCS-OzTL47",[1]ARBOR!$A:$C,3,0),0.0001,IF(FR13&gt;VLOOKUP("PCS-OzTL47",[1]ARBOR!$A:$C,3,0),"Maior que CAP!",IF((DOLLAR(FR13+(VLOOKUP("PCS-OzTL47",[1]ARBOR!$A:$C,3,0)*-TRUNC(FR13/VLOOKUP("PCS-OzTL47",[1]ARBOR!$A:$C,3,0)-1,4)),6))&lt;&gt;(DOLLAR(VLOOKUP("PCS-OzTL47",[1]ARBOR!$A:$C,3,0),6)),-TRUNC(FR13/VLOOKUP("PCS-OzTL47",[1]ARBOR!$A:$C,3,0)-1,4)+0.0001,-TRUNC(FR13/VLOOKUP("PCS-OzTL47",[1]ARBOR!$A:$C,3,0)-1,4)))))</f>
        <v/>
      </c>
      <c r="FT13" s="204" t="str">
        <f>IF(ISERROR(IF(FS13="","",VLOOKUP(($AY13&amp;FS13&amp;"Template desconto FLAT Plano Principal Oi TV nível conta"),[1]BENEFICIOS!$A:$G,5,0))),"Criar",IF(FS13="","",VLOOKUP(($AY13&amp;FS13&amp;"Template desconto FLAT Plano Principal Oi TV nível conta"),[1]BENEFICIOS!$A:$G,5,0)))</f>
        <v/>
      </c>
      <c r="FU13" s="129">
        <v>149.9</v>
      </c>
      <c r="FV13" s="127">
        <f>IF(FU13=0,"",IF(FU13=VLOOKUP("PCS-OzTL46",[1]ARBOR!$A:$C,3,0),0.0001,IF(FU13&gt;VLOOKUP("PCS-OzTL46",[1]ARBOR!$A:$C,3,0),"Maior que CAP!",IF((DOLLAR(FU13+(VLOOKUP("PCS-OzTL46",[1]ARBOR!$A:$C,3,0)*-TRUNC(FU13/VLOOKUP("PCS-OzTL46",[1]ARBOR!$A:$C,3,0)-1,4)),6))&lt;&gt;(DOLLAR(VLOOKUP("PCS-OzTL46",[1]ARBOR!$A:$C,3,0),6)),-TRUNC(FU13/VLOOKUP("PCS-OzTL46",[1]ARBOR!$A:$C,3,0)-1,4)+0.0001,-TRUNC(FU13/VLOOKUP("PCS-OzTL46",[1]ARBOR!$A:$C,3,0)-1,4)))))</f>
        <v>0.30169999999999997</v>
      </c>
      <c r="FW13" s="204" t="str">
        <f>IF(ISERROR(IF(FV13="","",VLOOKUP(($AY13&amp;FV13&amp;"Template desconto FLAT Plano Principal Oi TV nível conta"),[1]BENEFICIOS!$A:$G,5,0))),"Criar",IF(FV13="","",VLOOKUP(($AY13&amp;FV13&amp;"Template desconto FLAT Plano Principal Oi TV nível conta"),[1]BENEFICIOS!$A:$G,5,0)))</f>
        <v>MKT-1-10140936051</v>
      </c>
      <c r="FX13" s="129"/>
      <c r="FY13" s="127" t="str">
        <f>IF(FX13=0,"",IF(FX13=VLOOKUP("PCS-OzTL48",[1]ARBOR!$A:$C,3,0),0.0001,IF(FX13&gt;VLOOKUP("PCS-OzTL48",[1]ARBOR!$A:$C,3,0),"Maior que CAP!",IF((DOLLAR(FX13+(VLOOKUP("PCS-OzTL48",[1]ARBOR!$A:$C,3,0)*-TRUNC(FX13/VLOOKUP("PCS-OzTL48",[1]ARBOR!$A:$C,3,0)-1,4)),6))&lt;&gt;(DOLLAR(VLOOKUP("PCS-OzTL48",[1]ARBOR!$A:$C,3,0),6)),-TRUNC(FX13/VLOOKUP("PCS-OzTL48",[1]ARBOR!$A:$C,3,0)-1,4)+0.0001,-TRUNC(FX13/VLOOKUP("PCS-OzTL48",[1]ARBOR!$A:$C,3,0)-1,4)))))</f>
        <v/>
      </c>
      <c r="FZ13" s="204" t="str">
        <f>IF(ISERROR(IF(FY13="","",VLOOKUP(($AY13&amp;FY13&amp;"Template desconto FLAT Plano Principal Oi TV nível conta"),[1]BENEFICIOS!$A:$G,5,0))),"Criar",IF(FY13="","",VLOOKUP(($AY13&amp;FY13&amp;"Template desconto FLAT Plano Principal Oi TV nível conta"),[1]BENEFICIOS!$A:$G,5,0)))</f>
        <v/>
      </c>
      <c r="GA13" s="129"/>
      <c r="GB13" s="127" t="str">
        <f>IF(GA13=0,"",IF(GA13=VLOOKUP("PCS-OzTL742",[1]ARBOR!$A:$C,3,0),0.0001,IF(GA13&gt;VLOOKUP("PCS-OzTL742",[1]ARBOR!$A:$C,3,0),"Maior que CAP!",IF((DOLLAR(GA13+(VLOOKUP("PCS-OzTL742",[1]ARBOR!$A:$C,3,0)*-TRUNC(GA13/VLOOKUP("PCS-OzTL742",[1]ARBOR!$A:$C,3,0)-1,4)),6))&lt;&gt;(DOLLAR(VLOOKUP("PCS-OzTL742",[1]ARBOR!$A:$C,3,0),6)),-TRUNC(GA13/VLOOKUP("PCS-OzTL742",[1]ARBOR!$A:$C,3,0)-1,4)+0.0001,-TRUNC(GA13/VLOOKUP("PCS-OzTL742",[1]ARBOR!$A:$C,3,0)-1,4)))))</f>
        <v/>
      </c>
      <c r="GC13" s="204" t="str">
        <f>IF(ISERROR(IF(GB13="","",VLOOKUP(($AY13&amp;GB13&amp;"Template desconto FLAT Plano Principal Oi TV nível conta"),[1]BENEFICIOS!$A:$G,5,0))),"Criar",IF(GB13="","",VLOOKUP(($AY13&amp;GB13&amp;"Template desconto FLAT Plano Principal Oi TV nível conta"),[1]BENEFICIOS!$A:$G,5,0)))</f>
        <v/>
      </c>
      <c r="GD13" s="129"/>
      <c r="GE13" s="127" t="str">
        <f>IF(GD13=0,"",IF(GD13=VLOOKUP("PCS-OzTL747",[1]ARBOR!$A:$C,3,0),0.0001,IF(GD13&gt;VLOOKUP("PCS-OzTL747",[1]ARBOR!$A:$C,3,0),"Maior que CAP!",IF((DOLLAR(GD13+(VLOOKUP("PCS-OzTL747",[1]ARBOR!$A:$C,3,0)*-TRUNC(GD13/VLOOKUP("PCS-OzTL747",[1]ARBOR!$A:$C,3,0)-1,4)),6))&lt;&gt;(DOLLAR(VLOOKUP("PCS-OzTL747",[1]ARBOR!$A:$C,3,0),6)),-TRUNC(GD13/VLOOKUP("PCS-OzTL747",[1]ARBOR!$A:$C,3,0)-1,4)+0.0001,-TRUNC(GD13/VLOOKUP("PCS-OzTL747",[1]ARBOR!$A:$C,3,0)-1,4)))))</f>
        <v/>
      </c>
      <c r="GF13" s="204" t="str">
        <f>IF(ISERROR(IF(GE13="","",VLOOKUP(($AY13&amp;GE13&amp;"Template desconto FLAT Plano Principal Oi TV nível conta"),[1]BENEFICIOS!$A:$G,5,0))),"Criar",IF(GE13="","",VLOOKUP(($AY13&amp;GE13&amp;"Template desconto FLAT Plano Principal Oi TV nível conta"),[1]BENEFICIOS!$A:$G,5,0)))</f>
        <v/>
      </c>
      <c r="GG13" s="129">
        <v>169.9</v>
      </c>
      <c r="GH13" s="127">
        <f>IF(GG13=0,"",IF(GG13=VLOOKUP("PCS-OzTL746",[1]ARBOR!$A:$C,3,0),0.0001,IF(GG13&gt;VLOOKUP("PCS-OzTL746",[1]ARBOR!$A:$C,3,0),"Maior que CAP!",IF((DOLLAR(GG13+(VLOOKUP("PCS-OzTL746",[1]ARBOR!$A:$C,3,0)*-TRUNC(GG13/VLOOKUP("PCS-OzTL746",[1]ARBOR!$A:$C,3,0)-1,4)),6))&lt;&gt;(DOLLAR(VLOOKUP("PCS-OzTL746",[1]ARBOR!$A:$C,3,0),6)),-TRUNC(GG13/VLOOKUP("PCS-OzTL746",[1]ARBOR!$A:$C,3,0)-1,4)+0.0001,-TRUNC(GG13/VLOOKUP("PCS-OzTL746",[1]ARBOR!$A:$C,3,0)-1,4)))))</f>
        <v>0.37009999999999998</v>
      </c>
      <c r="GI13" s="204" t="str">
        <f>IF(ISERROR(IF(GH13="","",VLOOKUP(($AY13&amp;GH13&amp;"Template desconto FLAT Plano Principal Oi TV nível conta"),[1]BENEFICIOS!$A:$G,5,0))),"Criar",IF(GH13="","",VLOOKUP(($AY13&amp;GH13&amp;"Template desconto FLAT Plano Principal Oi TV nível conta"),[1]BENEFICIOS!$A:$G,5,0)))</f>
        <v>MKT-1-10140958331</v>
      </c>
      <c r="GJ13" s="129"/>
      <c r="GK13" s="127" t="str">
        <f>IF(GJ13=0,"",IF(GJ13=VLOOKUP("PCS-OzTL748",[1]ARBOR!$A:$C,3,0),0.0001,IF(GJ13&gt;VLOOKUP("PCS-OzTL748",[1]ARBOR!$A:$C,3,0),"Maior que CAP!",IF((DOLLAR(GJ13+(VLOOKUP("PCS-OzTL748",[1]ARBOR!$A:$C,3,0)*-TRUNC(GJ13/VLOOKUP("PCS-OzTL748",[1]ARBOR!$A:$C,3,0)-1,4)),6))&lt;&gt;(DOLLAR(VLOOKUP("PCS-OzTL748",[1]ARBOR!$A:$C,3,0),6)),-TRUNC(GJ13/VLOOKUP("PCS-OzTL748",[1]ARBOR!$A:$C,3,0)-1,4)+0.0001,-TRUNC(GJ13/VLOOKUP("PCS-OzTL748",[1]ARBOR!$A:$C,3,0)-1,4)))))</f>
        <v/>
      </c>
      <c r="GL13" s="204" t="str">
        <f>IF(ISERROR(IF(GK13="","",VLOOKUP(($AY13&amp;GK13&amp;"Template desconto FLAT Plano Principal Oi TV nível conta"),[1]BENEFICIOS!$A:$G,5,0))),"Criar",IF(GK13="","",VLOOKUP(($AY13&amp;GK13&amp;"Template desconto FLAT Plano Principal Oi TV nível conta"),[1]BENEFICIOS!$A:$G,5,0)))</f>
        <v/>
      </c>
      <c r="GM13" s="129">
        <v>75</v>
      </c>
      <c r="GN13" s="127">
        <f>IF(GM13=0,"",IF(GM13=VLOOKUP("PCS-OzTL34",[1]ARBOR!$A:$C,3,0),0.0001,IF(GM13&gt;VLOOKUP("PCS-OzTL34",[1]ARBOR!$A:$C,3,0),"Maior que CAP!",IF((DOLLAR(GM13+(VLOOKUP("PCS-OzTL34",[1]ARBOR!$A:$C,3,0)*-TRUNC(GM13/VLOOKUP("PCS-OzTL34",[1]ARBOR!$A:$C,3,0)-1,4)),6))&lt;&gt;(DOLLAR(VLOOKUP("PCS-OzTL34",[1]ARBOR!$A:$C,3,0),6)),-TRUNC(GM13/VLOOKUP("PCS-OzTL34",[1]ARBOR!$A:$C,3,0)-1,4)+0.0001,-TRUNC(GM13/VLOOKUP("PCS-OzTL34",[1]ARBOR!$A:$C,3,0)-1,4)))))</f>
        <v>0.31900000000000001</v>
      </c>
      <c r="GO13" s="204" t="s">
        <v>161</v>
      </c>
      <c r="GP13" s="129">
        <v>19.899999999999999</v>
      </c>
      <c r="GQ13" s="127">
        <f>IF(GP13=0,"",IF(GP13=VLOOKUP("PCS-OzTL31",[1]ARBOR!$A:$C,3,0),0.0001,IF(GP13&gt;VLOOKUP("PCS-OzTL31",[1]ARBOR!$A:$C,3,0),"Maior que CAP!",IF((DOLLAR(GP13+(VLOOKUP("PCS-OzTL31",[1]ARBOR!$A:$C,3,0)*-TRUNC(GP13/VLOOKUP("PCS-OzTL31",[1]ARBOR!$A:$C,3,0)-1,4)),6))&lt;&gt;(DOLLAR(VLOOKUP("PCS-OzTL31",[1]ARBOR!$A:$C,3,0),6)),-TRUNC(GP13/VLOOKUP("PCS-OzTL31",[1]ARBOR!$A:$C,3,0)-1,4)+0.0001,-TRUNC(GP13/VLOOKUP("PCS-OzTL31",[1]ARBOR!$A:$C,3,0)-1,4)))))</f>
        <v>9.1800000000000007E-2</v>
      </c>
      <c r="GR13" s="204" t="s">
        <v>162</v>
      </c>
      <c r="GS13" s="129">
        <v>19.899999999999999</v>
      </c>
      <c r="GT13" s="127">
        <f>IF(GS13=0,"",IF(GS13=VLOOKUP("PCS-OzTL32",[1]ARBOR!$A:$C,3,0),0.0001,IF(GS13&gt;VLOOKUP("PCS-OzTL32",[1]ARBOR!$A:$C,3,0),"Maior que CAP!",IF((DOLLAR(GS13+(VLOOKUP("PCS-OzTL32",[1]ARBOR!$A:$C,3,0)*-TRUNC(GS13/VLOOKUP("PCS-OzTL32",[1]ARBOR!$A:$C,3,0)-1,4)),6))&lt;&gt;(DOLLAR(VLOOKUP("PCS-OzTL32",[1]ARBOR!$A:$C,3,0),6)),-TRUNC(GS13/VLOOKUP("PCS-OzTL32",[1]ARBOR!$A:$C,3,0)-1,4)+0.0001,-TRUNC(GS13/VLOOKUP("PCS-OzTL32",[1]ARBOR!$A:$C,3,0)-1,4)))))</f>
        <v>9.1800000000000007E-2</v>
      </c>
      <c r="GU13" s="204" t="s">
        <v>163</v>
      </c>
      <c r="GV13" s="129">
        <v>29.9</v>
      </c>
      <c r="GW13" s="127">
        <f>IF(GV13=0,"",IF(GV13=VLOOKUP("PCS-OzTL33",[1]ARBOR!$A:$C,3,0),0.0001,IF(GV13&gt;VLOOKUP("PCS-OzTL33",[1]ARBOR!$A:$C,3,0),"Maior que CAP!",IF((DOLLAR(GV13+(VLOOKUP("PCS-OzTL33",[1]ARBOR!$A:$C,3,0)*-TRUNC(GV13/VLOOKUP("PCS-OzTL33",[1]ARBOR!$A:$C,3,0)-1,4)),6))&lt;&gt;(DOLLAR(VLOOKUP("PCS-OzTL33",[1]ARBOR!$A:$C,3,0),6)),-TRUNC(GV13/VLOOKUP("PCS-OzTL33",[1]ARBOR!$A:$C,3,0)-1,4)+0.0001,-TRUNC(GV13/VLOOKUP("PCS-OzTL33",[1]ARBOR!$A:$C,3,0)-1,4)))))</f>
        <v>9.1800000000000007E-2</v>
      </c>
      <c r="GX13" s="204" t="s">
        <v>164</v>
      </c>
      <c r="GY13" s="129">
        <v>14.9</v>
      </c>
      <c r="GZ13" s="127">
        <f>IF(GY13=0,"",IF(GY13=VLOOKUP("PCS-OzTL503",[1]ARBOR!$A:$C,3,0),0.0001,IF(GY13&gt;VLOOKUP("PCS-OzTL503",[1]ARBOR!$A:$C,3,0),"Maior que CAP!",IF((DOLLAR(GY13+(VLOOKUP("PCS-OzTL503",[1]ARBOR!$A:$C,3,0)*-TRUNC(GY13/VLOOKUP("PCS-OzTL503",[1]ARBOR!$A:$C,3,0)-1,4)),6))&lt;&gt;(DOLLAR(VLOOKUP("PCS-OzTL503",[1]ARBOR!$A:$C,3,0),6)),-TRUNC(GY13/VLOOKUP("PCS-OzTL503",[1]ARBOR!$A:$C,3,0)-1,4)+0.0001,-TRUNC(GY13/VLOOKUP("PCS-OzTL503",[1]ARBOR!$A:$C,3,0)-1,4)))))</f>
        <v>9.1499999999999998E-2</v>
      </c>
      <c r="HA13" s="204" t="s">
        <v>165</v>
      </c>
      <c r="HB13" s="129">
        <v>10</v>
      </c>
      <c r="HC13" s="127">
        <f>IF(HB13=0,"",IF(HB13=VLOOKUP("PCS-OzTL500",[1]ARBOR!$A:$C,3,0),0.0001,IF(HB13&gt;VLOOKUP("PCS-OzTL500",[1]ARBOR!$A:$C,3,0),"Maior que CAP!",IF((DOLLAR(HB13+(VLOOKUP("PCS-OzTL500",[1]ARBOR!$A:$C,3,0)*-TRUNC(HB13/VLOOKUP("PCS-OzTL500",[1]ARBOR!$A:$C,3,0)-1,4)),6))&lt;&gt;(DOLLAR(VLOOKUP("PCS-OzTL500",[1]ARBOR!$A:$C,3,0),6)),-TRUNC(HB13/VLOOKUP("PCS-OzTL500",[1]ARBOR!$A:$C,3,0)-1,4)+0.0001,-TRUNC(HB13/VLOOKUP("PCS-OzTL500",[1]ARBOR!$A:$C,3,0)-1,4)))))</f>
        <v>9.1800000000000007E-2</v>
      </c>
      <c r="HD13" s="204" t="s">
        <v>166</v>
      </c>
      <c r="HE13" s="129" t="s">
        <v>167</v>
      </c>
      <c r="HF13" s="127"/>
      <c r="HG13" s="204"/>
      <c r="HH13" s="129" t="s">
        <v>168</v>
      </c>
      <c r="HI13" s="127"/>
      <c r="HJ13" s="204"/>
      <c r="HK13" s="129" t="s">
        <v>169</v>
      </c>
      <c r="HL13" s="127"/>
      <c r="HM13" s="204"/>
      <c r="HN13" s="129" t="s">
        <v>170</v>
      </c>
      <c r="HO13" s="127"/>
      <c r="HP13" s="204"/>
      <c r="HQ13" s="129" t="s">
        <v>171</v>
      </c>
      <c r="HR13" s="127"/>
      <c r="HS13" s="204"/>
      <c r="HT13" s="129">
        <v>24.9</v>
      </c>
      <c r="HU13" s="127">
        <f>IF(HT13=0,"",IF(HT13=VLOOKUP("PCS-OzTL99",[1]ARBOR!$A:$C,3,0),0.0001,IF(HT13&gt;VLOOKUP("PCS-OzTL99",[1]ARBOR!$A:$C,3,0),"Maior que CAP!",IF((DOLLAR(HT13+(VLOOKUP("PCS-OzTL99",[1]ARBOR!$A:$C,3,0)*-TRUNC(HT13/VLOOKUP("PCS-OzTL99",[1]ARBOR!$A:$C,3,0)-1,4)),6))&lt;&gt;(DOLLAR(VLOOKUP("PCS-OzTL99",[1]ARBOR!$A:$C,3,0),6)),-TRUNC(HT13/VLOOKUP("PCS-OzTL99",[1]ARBOR!$A:$C,3,0)-1,4)+0.0001,-TRUNC(HT13/VLOOKUP("PCS-OzTL99",[1]ARBOR!$A:$C,3,0)-1,4)))))</f>
        <v>0.16729999999999998</v>
      </c>
      <c r="HV13" s="205" t="s">
        <v>172</v>
      </c>
      <c r="HW13" s="196" t="s">
        <v>149</v>
      </c>
      <c r="HX13" s="204" t="str">
        <f t="shared" si="4"/>
        <v>PCS-34704</v>
      </c>
      <c r="HY13" s="206" t="str">
        <f>IFERROR((IF(AZ13="","",VLOOKUP(AZ13,[1]ARBOR!A:C,3,0))),"")</f>
        <v/>
      </c>
      <c r="HZ13" s="207"/>
      <c r="IA13" s="184" t="str">
        <f>IF(HZ13="","",ROUND(1-(HZ13/VLOOKUP(AZ13&amp;"ASS",[1]ARBOR!A:C,3,0)),4))</f>
        <v/>
      </c>
      <c r="IB13" s="184"/>
      <c r="IC13" s="208"/>
      <c r="ID13" s="209"/>
      <c r="IE13" s="127" t="str">
        <f>IF(ID13="","",ROUND(IF(ID13=0,"",IF(ID13=HY13,0.0001,1-((ID13+(VLOOKUP(AZ13&amp;"ASS",[1]ARBOR!A:C,3,0)-HZ13))/HY13))),4))</f>
        <v/>
      </c>
      <c r="IF13" s="127" t="str">
        <f>IF(ISERROR(IF(IE13="","",VLOOKUP(($AY13&amp;IE13&amp;"Template de desconto percentual FLAT Móvel - Conta Total - Varejo - Ganho Tributário Cross"),[1]BENEFICIOS!$A:$E,5,0))),"Criar",IF(IE13="","",VLOOKUP(($AY13&amp;IE13&amp;"Template de desconto percentual FLAT Móvel - Conta Total - Varejo - Ganho Tributário Cross"),[1]BENEFICIOS!$A:$E,5,0)))</f>
        <v/>
      </c>
      <c r="IG13" s="193"/>
      <c r="IH13" s="127"/>
      <c r="II13" s="210"/>
      <c r="IJ13" s="211"/>
      <c r="IK13" s="127"/>
      <c r="IL13" s="127"/>
      <c r="IM13" s="212"/>
      <c r="IN13" s="212"/>
      <c r="IO13" s="213"/>
      <c r="IP13" s="214" t="str">
        <f>IF(IO13=0,"",IF(IO13=VLOOKUP("PCS-813566",[1]ARBOR!$A:$C,3,0),0.0001,IF(IO13&gt;VLOOKUP("PCS-813566",[1]ARBOR!$A:$C,3,0),"Maior que CAP!",ROUND(-1*(IO13/VLOOKUP("PCS-813566",[1]ARBOR!$A:$C,3,0)-1),4))))</f>
        <v/>
      </c>
      <c r="IQ13" s="215" t="str">
        <f>IF(ISERROR(IF(IP13="","",VLOOKUP(("Oi Internet Pra Celular 300MB"&amp;IP13&amp;"Template Flat Instância Dados"),[1]BENEFICIOS!$A:$E,5,0))),"Criar",IF(IP13="","",VLOOKUP(("Oi Internet Pra Celular 300MB"&amp;IP13&amp;"Template Flat Instância Dados"),[1]BENEFICIOS!$A:$E,5,0)))</f>
        <v/>
      </c>
      <c r="IR13" s="216"/>
      <c r="IS13" s="217" t="str">
        <f>IF(IR13=0,"",IF(IR13=VLOOKUP("sva_bancas",[1]ARBOR!$A:$C,3,0),0.0001,IF(IR13&gt;VLOOKUP("sva_livros",[1]ARBOR!$A:$C,3,0),"Maior que CAP!",ROUND(-1*(IR13/VLOOKUP("sva_bancas",[1]ARBOR!$A:$C,3,0)-1),4))))</f>
        <v/>
      </c>
      <c r="IT13" s="218" t="str">
        <f>IF(ISERROR(IF(IS13="","",VLOOKUP(("Oi Internet Pra Celular 300MB"&amp;IS13&amp;"Template Desconto % SVA DADOS B2C"),[1]BENEFICIOS!$A:$E,5,0))),"Criar",IF(IS13="","",VLOOKUP(("Oi Internet Pra Celular 300MB"&amp;IS13&amp;"Template Desconto % SVA DADOS B2C"),[1]BENEFICIOS!$A:$E,5,0)))</f>
        <v/>
      </c>
      <c r="IU13" s="213"/>
      <c r="IV13" s="214" t="str">
        <f>IF(IU13=0,"",IF(IU13=VLOOKUP("PCS-813564",[1]ARBOR!$A:$C,3,0),0.0001,IF(IU13&gt;VLOOKUP("PCS-813564",[1]ARBOR!$A:$C,3,0),"Maior que CAP!",ROUND(-1*(IU13/VLOOKUP("PCS-813564",[1]ARBOR!$A:$C,3,0)-1),4))))</f>
        <v/>
      </c>
      <c r="IW13" s="215" t="str">
        <f>IF(ISERROR(IF(IV13="","",VLOOKUP(("Oi Internet Pra Celular 500MB"&amp;IV13&amp;"Template Flat Instância Dados"),[1]BENEFICIOS!$A:$E,5,0))),"Criar",IF(IV13="","",VLOOKUP(("Oi Internet Pra Celular 500MB"&amp;IV13&amp;"Template Flat Instância Dados"),[1]BENEFICIOS!$A:$E,5,0)))</f>
        <v/>
      </c>
      <c r="IX13" s="216"/>
      <c r="IY13" s="217" t="str">
        <f>IF(IX13=0,"",IF(IX13=VLOOKUP("sva_livros",[1]ARBOR!$A:$C,3,0),0.0001,IF(IX13&gt;VLOOKUP("sva_livros",[1]ARBOR!$A:$C,3,0),"Maior que CAP!",ROUND(-1*(IX13/VLOOKUP("sva_livros",[1]ARBOR!$A:$C,3,0)-1),4))))</f>
        <v/>
      </c>
      <c r="IZ13" s="218" t="str">
        <f>IF(ISERROR(IF(IY13="","",VLOOKUP(("Oi Internet Pra Celular 500MB"&amp;IY13&amp;"Template Desconto % SVA DADOS B2C"),[1]BENEFICIOS!$A:$E,5,0))),"Criar",IF(IY13="","",VLOOKUP(("Oi Internet Pra Celular 500MB"&amp;IY13&amp;"Template Desconto % SVA DADOS B2C"),[1]BENEFICIOS!$A:$E,5,0)))</f>
        <v/>
      </c>
      <c r="JA13" s="213"/>
      <c r="JB13" s="214" t="str">
        <f>IF(JA13=0,"",IF(JA13=VLOOKUP("PCS-10357",[1]ARBOR!$A:$C,3,0),0.0001,IF(JA13&gt;VLOOKUP("PCS-10357",[1]ARBOR!$A:$C,3,0),"Maior que CAP!",ROUND(-1*(JA13/VLOOKUP("PCS-10357",[1]ARBOR!$A:$C,3,0)-1),4))))</f>
        <v/>
      </c>
      <c r="JC13" s="215" t="str">
        <f>IF(ISERROR(IF(JB13="","",VLOOKUP(("Oi Internet Pra Celular 1GB"&amp;JB13&amp;"Template Flat Instância Dados"),[1]BENEFICIOS!$A:$E,5,0))),"Criar",IF(JB13="","",VLOOKUP(("Oi Internet Pra Celular 1GB"&amp;JB13&amp;"Template Flat Instância Dados"),[1]BENEFICIOS!$A:$E,5,0)))</f>
        <v/>
      </c>
      <c r="JD13" s="216"/>
      <c r="JE13" s="217" t="str">
        <f>IF(JD13=0,"",IF(JD13=VLOOKUP("sva_livros",[1]ARBOR!$A:$C,3,0),0.0001,IF(JD13&gt;VLOOKUP("sva_livros",[1]ARBOR!$A:$C,3,0),"Maior que CAP!",ROUND(-1*(JD13/VLOOKUP("sva_livros",[1]ARBOR!$A:$C,3,0)-1),4))))</f>
        <v/>
      </c>
      <c r="JF13" s="218" t="str">
        <f>IF(ISERROR(IF(JE13="","",VLOOKUP(("Oi Internet Pra Celular 1GB"&amp;JE13&amp;"Template Desconto % SVA DADOS B2C"),[1]BENEFICIOS!$A:$E,5,0))),"Criar",IF(JE13="","",VLOOKUP(("Oi Internet Pra Celular 1GB"&amp;JE13&amp;"Template Desconto % SVA DADOS B2C"),[1]BENEFICIOS!$A:$E,5,0)))</f>
        <v/>
      </c>
      <c r="JG13" s="213"/>
      <c r="JH13" s="214" t="str">
        <f>IF(JG13=0,"",IF(JG13=VLOOKUP("PCS-813565",[1]ARBOR!$A:$C,3,0),0.0001,IF(JG13&gt;VLOOKUP("PCS-813565",[1]ARBOR!$A:$C,3,0),"Maior que CAP!",ROUND(-1*(JG13/VLOOKUP("PCS-813565",[1]ARBOR!$A:$C,3,0)-1),4))))</f>
        <v/>
      </c>
      <c r="JI13" s="215" t="str">
        <f>IF(ISERROR(IF(JH13="","",VLOOKUP(("Oi Internet Pra Celular 2GB"&amp;JH13&amp;"Template Flat Instância Dados"),[1]BENEFICIOS!$A:$E,5,0))),"Criar",IF(JH13="","",VLOOKUP(("Oi Internet Pra Celular 2GB"&amp;JH13&amp;"Template Flat Instância Dados"),[1]BENEFICIOS!$A:$E,5,0)))</f>
        <v/>
      </c>
      <c r="JJ13" s="216"/>
      <c r="JK13" s="217" t="str">
        <f>IF(JJ13=0,"",IF(JJ13=VLOOKUP("sva_livros",[1]ARBOR!$A:$C,3,0),0.0001,IF(JJ13&gt;VLOOKUP("sva_livros",[1]ARBOR!$A:$C,3,0),"Maior que CAP!",ROUND(-1*(JJ13/VLOOKUP("sva_livros",[1]ARBOR!$A:$C,3,0)-1),4))))</f>
        <v/>
      </c>
      <c r="JL13" s="218" t="str">
        <f>IF(ISERROR(IF(JK13="","",VLOOKUP(("Oi Internet Pra Celular 2GB"&amp;JK13&amp;"Template Desconto % SVA DADOS B2C"),[1]BENEFICIOS!$A:$E,5,0))),"Criar",IF(JK13="","",VLOOKUP(("Oi Internet Pra Celular 2GB"&amp;JK13&amp;"Template Desconto % SVA DADOS B2C"),[1]BENEFICIOS!$A:$E,5,0)))</f>
        <v/>
      </c>
      <c r="JM13" s="213"/>
      <c r="JN13" s="214" t="str">
        <f>IF(JM13=0,"",IF(JM13=VLOOKUP("PCS-7171B",[1]ARBOR!$A:$C,3,0),0.0001,IF(JM13&gt;VLOOKUP("PCS-7171B",[1]ARBOR!$A:$C,3,0),"Maior que CAP!",ROUND(-1*(JM13/VLOOKUP("PCS-7171B",[1]ARBOR!$A:$C,3,0)-1),4))))</f>
        <v/>
      </c>
      <c r="JO13" s="215" t="str">
        <f>IF(ISERROR(IF(JN13="","",VLOOKUP(("Oi Internet Pra Celular 3GB"&amp;JN13&amp;"Template Flat Instância Dados"),[1]BENEFICIOS!$A:$E,5,0))),"Criar",IF(JN13="","",VLOOKUP(("Oi Internet Pra Celular 3GB"&amp;JN13&amp;"Template Flat Instância Dados"),[1]BENEFICIOS!$A:$E,5,0)))</f>
        <v/>
      </c>
      <c r="JP13" s="216"/>
      <c r="JQ13" s="217" t="str">
        <f>IF(JP13=0,"",IF(JP13=VLOOKUP("sva_livros",[1]ARBOR!$A:$C,3,0),0.0001,IF(JP13&gt;VLOOKUP("sva_livros",[1]ARBOR!$A:$C,3,0),"Maior que CAP!",ROUND(-1*(JP13/VLOOKUP("sva_livros",[1]ARBOR!$A:$C,3,0)-1),4))))</f>
        <v/>
      </c>
      <c r="JR13" s="218" t="str">
        <f>IF(ISERROR(IF(JQ13="","",VLOOKUP(("Oi Internet Pra Celular 3GB"&amp;JQ13&amp;"Template Desconto % SVA DADOS B2C"),[1]BENEFICIOS!$A:$E,5,0))),"Criar",IF(JQ13="","",VLOOKUP(("Oi Internet Pra Celular 3GB"&amp;JQ13&amp;"Template Desconto % SVA DADOS B2C"),[1]BENEFICIOS!$A:$E,5,0)))</f>
        <v/>
      </c>
      <c r="JS13" s="213"/>
      <c r="JT13" s="214" t="str">
        <f>IF(JS13=0,"",IF(JS13=VLOOKUP("PCS-51793o08",[1]ARBOR!$A:$C,3,0),0.0001,IF(JS13&gt;VLOOKUP("PCS-51793o08",[1]ARBOR!$A:$C,3,0),"Maior que CAP!",ROUND(-1*(JS13/VLOOKUP("PCS-51793o08",[1]ARBOR!$A:$C,3,0)-1),4))))</f>
        <v/>
      </c>
      <c r="JU13" s="215" t="str">
        <f>IF(ISERROR(IF(JT13="","",VLOOKUP(("Oi Internet Pra Celular 5GB"&amp;JT13&amp;"Template Flat Instância Dados"),[1]BENEFICIOS!$A:$E,5,0))),"Criar",IF(JT13="","",VLOOKUP(("Oi Internet Pra Celular 5GB"&amp;JT13&amp;"Template Flat Instância Dados"),[1]BENEFICIOS!$A:$E,5,0)))</f>
        <v/>
      </c>
      <c r="JV13" s="216"/>
      <c r="JW13" s="217" t="str">
        <f>IF(JV13=0,"",IF(JV13=VLOOKUP("sva_curtas",[1]ARBOR!$A:$C,3,0),0.0001,IF(JV13&gt;VLOOKUP("sva_curtas",[1]ARBOR!$A:$C,3,0),"Maior que CAP!",ROUND(-1*(JV13/VLOOKUP("sva_curtas",[1]ARBOR!$A:$C,3,0)-1),4))))</f>
        <v/>
      </c>
      <c r="JX13" s="218" t="str">
        <f>IF(ISERROR(IF(JW13="","",VLOOKUP(("Oi Internet Pra Celular 5GB"&amp;JW13&amp;"Template Desconto % SVA DADOS B2C"),[1]BENEFICIOS!$A:$E,5,0))),"Criar",IF(JW13="","",VLOOKUP(("Oi Internet Pra Celular 5GB"&amp;JW13&amp;"Template Desconto % SVA DADOS B2C"),[1]BENEFICIOS!$A:$E,5,0)))</f>
        <v/>
      </c>
      <c r="JY13" s="213"/>
      <c r="JZ13" s="214" t="str">
        <f>IF(JY13=0,"",IF(JY13=VLOOKUP("PCS-7171A",[1]ARBOR!$A:$C,3,0),0.0001,IF(JY13&gt;VLOOKUP("PCS-7171A",[1]ARBOR!$A:$C,3,0),"Maior que CAP!",ROUND(-1*(JY13/VLOOKUP("PCS-7171A",[1]ARBOR!$A:$C,3,0)-1),4))))</f>
        <v/>
      </c>
      <c r="KA13" s="219" t="str">
        <f>IF(ISERROR(IF(JZ13="","",VLOOKUP(("Oi Internet Pra Celular 10GB"&amp;JZ13&amp;"Template Flat Instância Dados"),[1]BENEFICIOS!$A:$E,5,0))),"Criar",IF(JZ13="","",VLOOKUP(("Oi Internet Pra Celular 10GB"&amp;JZ13&amp;"Template Flat Instância Dados"),[1]BENEFICIOS!$A:$E,5,0)))</f>
        <v/>
      </c>
      <c r="KB13" s="216"/>
      <c r="KC13" s="217" t="str">
        <f>IF(KB13=0,"",IF(KB13=VLOOKUP("sva_curtas",[1]ARBOR!$A:$C,3,0),0.0001,IF(KB13&gt;VLOOKUP("sva_curtas",[1]ARBOR!$A:$C,3,0),"Maior que CAP!",ROUND(-1*(KB13/VLOOKUP("sva_curtas",[1]ARBOR!$A:$C,3,0)-1),4))))</f>
        <v/>
      </c>
      <c r="KD13" s="218" t="str">
        <f>IF(ISERROR(IF(KC13="","",VLOOKUP(("Oi Internet Pra Celular 10GB"&amp;KC13&amp;"Template Desconto % SVA DADOS B2C"),[1]BENEFICIOS!$A:$E,5,0))),"Criar",IF(KC13="","",VLOOKUP(("Oi Internet Pra Celular 10GB"&amp;KC13&amp;"Template Desconto % SVA DADOS B2C"),[1]BENEFICIOS!$A:$E,5,0)))</f>
        <v/>
      </c>
      <c r="KE13" s="220"/>
      <c r="KF13" s="221"/>
      <c r="KG13" s="222" t="s">
        <v>149</v>
      </c>
      <c r="KH13" s="223" t="s">
        <v>173</v>
      </c>
      <c r="KI13" s="224">
        <v>799</v>
      </c>
      <c r="KJ13" s="223">
        <v>12</v>
      </c>
      <c r="KK13" s="225" t="str">
        <f t="shared" si="5"/>
        <v>Oi benefício fidelização Multiprodutos</v>
      </c>
      <c r="KL13" s="226" t="str">
        <f t="shared" si="6"/>
        <v>PCS-Fk83324</v>
      </c>
      <c r="KM13" s="226" t="str">
        <f t="shared" si="7"/>
        <v>PCS-SBL553142</v>
      </c>
      <c r="KN13" s="227" t="s">
        <v>174</v>
      </c>
      <c r="KO13" s="228" t="s">
        <v>175</v>
      </c>
      <c r="KP13" s="228" t="s">
        <v>176</v>
      </c>
      <c r="KQ13" s="227" t="s">
        <v>177</v>
      </c>
      <c r="KR13" s="225" t="s">
        <v>178</v>
      </c>
      <c r="KS13" s="226" t="s">
        <v>179</v>
      </c>
      <c r="KT13" s="229" t="s">
        <v>180</v>
      </c>
      <c r="KU13" s="155"/>
      <c r="KV13" s="155"/>
      <c r="KW13" s="155"/>
      <c r="KX13" s="155"/>
      <c r="KY13" s="155"/>
      <c r="KZ13" s="155"/>
      <c r="LA13" s="155"/>
      <c r="LB13" s="155"/>
      <c r="LC13" s="155"/>
      <c r="LD13" s="155"/>
      <c r="LE13" s="155"/>
      <c r="LF13" s="155"/>
      <c r="LG13" s="155"/>
      <c r="LH13" s="155"/>
      <c r="LI13" s="155"/>
      <c r="LJ13" s="155"/>
      <c r="LK13" s="230"/>
      <c r="LL13" s="238"/>
      <c r="LM13" s="239"/>
      <c r="LN13" s="239"/>
      <c r="LO13" s="239"/>
      <c r="LP13" s="239"/>
      <c r="LQ13" s="239"/>
      <c r="LR13" s="239"/>
      <c r="LS13" s="239"/>
      <c r="LT13" s="239"/>
      <c r="LU13" s="240"/>
      <c r="LV13" t="s">
        <v>208</v>
      </c>
      <c r="LW13" t="s">
        <v>183</v>
      </c>
    </row>
    <row r="14" spans="1:335" x14ac:dyDescent="0.25">
      <c r="A14" s="160" t="s">
        <v>146</v>
      </c>
      <c r="B14" s="161" t="s">
        <v>147</v>
      </c>
      <c r="C14" s="161" t="s">
        <v>148</v>
      </c>
      <c r="D14" s="162" t="s">
        <v>149</v>
      </c>
      <c r="E14" s="163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5"/>
      <c r="Q14" s="165"/>
      <c r="R14" s="165"/>
      <c r="S14" s="166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7"/>
      <c r="AF14" s="164"/>
      <c r="AG14" s="164"/>
      <c r="AH14" s="168"/>
      <c r="AI14" s="235" t="s">
        <v>209</v>
      </c>
      <c r="AJ14" s="85" t="s">
        <v>151</v>
      </c>
      <c r="AK14" s="86" t="s">
        <v>197</v>
      </c>
      <c r="AL14" s="169">
        <v>43039</v>
      </c>
      <c r="AM14" s="170">
        <v>43159</v>
      </c>
      <c r="AN14" s="89" t="s">
        <v>153</v>
      </c>
      <c r="AO14" s="90" t="s">
        <v>153</v>
      </c>
      <c r="AP14" s="171"/>
      <c r="AQ14" s="171" t="s">
        <v>154</v>
      </c>
      <c r="AR14" s="171">
        <v>20</v>
      </c>
      <c r="AS14" s="171">
        <v>10000</v>
      </c>
      <c r="AT14" s="172" t="s">
        <v>155</v>
      </c>
      <c r="AU14" s="173" t="s">
        <v>149</v>
      </c>
      <c r="AV14" s="174" t="s">
        <v>156</v>
      </c>
      <c r="AW14" s="175" t="s">
        <v>156</v>
      </c>
      <c r="AX14" s="176" t="s">
        <v>209</v>
      </c>
      <c r="AY14" s="177" t="s">
        <v>188</v>
      </c>
      <c r="AZ14" s="178" t="str">
        <f>IF(ISERROR(VLOOKUP(AY14,[1]PLANOS!B:C,2,0)),"",VLOOKUP(AY14,[1]PLANOS!B:C,2,0))</f>
        <v>PCS-3PHipi</v>
      </c>
      <c r="BA14" s="179" t="s">
        <v>156</v>
      </c>
      <c r="BB14" s="180" t="str">
        <f t="shared" si="1"/>
        <v/>
      </c>
      <c r="BC14" s="181"/>
      <c r="BD14" s="182"/>
      <c r="BE14" s="183">
        <v>50.11</v>
      </c>
      <c r="BF14" s="127">
        <f>IF(BE14=0,"",IF(BE14=VLOOKUP("FIXO",[1]ARBOR!$A:$C,3,0),0.0001,IF(BE14&gt;VLOOKUP("FIXO",[1]ARBOR!$A:$C,3,0),"Maior que CAP!",IF((DOLLAR(BE14+(VLOOKUP("FIXO",[1]ARBOR!$A:$C,3,0)*-TRUNC(BE14/VLOOKUP("FIXO",[1]ARBOR!$A:$C,3,0)-1,4)),6))&lt;&gt;(DOLLAR(VLOOKUP("FIXO",[1]ARBOR!$A:$C,3,0),6)),-TRUNC(BE14/VLOOKUP("FIXO",[1]ARBOR!$A:$C,3,0)-1,4)+0.0001,-TRUNC(BE14/VLOOKUP("FIXO",[1]ARBOR!$A:$C,3,0)-1,4)))))</f>
        <v>0.33929999999999999</v>
      </c>
      <c r="BG14" s="184"/>
      <c r="BH14" s="127" t="str">
        <f>IF(BG14=0,"",IF(BG14=VLOOKUP("FIXO",[1]ARBOR!$A:$C,3,0),0.0001,IF(BG14&gt;VLOOKUP("FIXO",[1]ARBOR!$A:$C,3,0),"Maior que CAP!",IF((DOLLAR(BG14+(VLOOKUP("FIXO",[1]ARBOR!$A:$C,3,0)*-TRUNC(BG14/VLOOKUP("FIXO",[1]ARBOR!$A:$C,3,0)-1,4)),6))&lt;&gt;(DOLLAR(VLOOKUP("FIXO",[1]ARBOR!$A:$C,3,0),6)),-TRUNC(BG14/VLOOKUP("FIXO",[1]ARBOR!$A:$C,3,0)-1,4)+0.0001,-TRUNC(BG14/VLOOKUP("FIXO",[1]ARBOR!$A:$C,3,0)-1,4)))))</f>
        <v/>
      </c>
      <c r="BI14" s="127" t="str">
        <f>IF(ISERROR(IF(BF14="","",VLOOKUP(($AY14&amp;BF14&amp;"Template de desconto FLAT bundle - Fixo - Varejo - Ganho Tributário Cross"),[1]BENEFICIOS!$A:$E,5,0))),"Criar",IF(BF14="","",VLOOKUP(($AY14&amp;BF14&amp;"Template de desconto FLAT bundle - Fixo - Varejo - Ganho Tributário Cross"),[1]BENEFICIOS!$A:$E,5,0)))</f>
        <v>MKT-1-9825728196</v>
      </c>
      <c r="BJ14" s="185"/>
      <c r="BK14" s="127" t="str">
        <f t="shared" si="2"/>
        <v/>
      </c>
      <c r="BL14" s="186"/>
      <c r="BM14" s="127" t="str">
        <f>IF(BL14=0,"",IF(BL14=VLOOKUP("FIXO",[1]ARBOR!$A:$C,3,0),0.0001,IF(BL14&gt;VLOOKUP("FIXO",[1]ARBOR!$A:$C,3,0),"Maior que CAP!",IF(BF14&lt;&gt;"",-ROUND(BL14/VLOOKUP("FIXO",[1]ARBOR!$A:$C,3,0)-1,4)-BF14,-ROUND(BL14/VLOOKUP("FIXO",[1]ARBOR!$A:$C,3,0)-1,4)))))</f>
        <v/>
      </c>
      <c r="BN14" s="187"/>
      <c r="BO14" s="127" t="str">
        <f>IF(ISERROR(IF(BK14="","",VLOOKUP(($AY14&amp;BK14&amp;"Template de desconto FLAT bundle - Fixo - Varejo - Ganho Tributário Cross"),[1]BENEFICIOS!$A:$E,5,0))),"Criar",IF(BK14="","",VLOOKUP(($AY14&amp;BK14&amp;"Template de desconto FLAT bundle - Fixo - Varejo - Ganho Tributário Cross"),[1]BENEFICIOS!$A:$E,5,0)))</f>
        <v/>
      </c>
      <c r="BP14" s="188" t="s">
        <v>158</v>
      </c>
      <c r="BQ14" s="189" t="s">
        <v>159</v>
      </c>
      <c r="BR14" s="190" t="s">
        <v>156</v>
      </c>
      <c r="BS14" s="191" t="str">
        <f t="shared" si="0"/>
        <v/>
      </c>
      <c r="BT14" s="181"/>
      <c r="BU14" s="192"/>
      <c r="BV14" s="193" t="s">
        <v>198</v>
      </c>
      <c r="BW14" s="194">
        <v>44.9</v>
      </c>
      <c r="BX14" s="127">
        <f>IF(BW14=0,"",IF(BW14=VLOOKUP("PCS-30874g",[1]ARBOR!$A:$C,3,0),0.0001,IF(BW14&gt;VLOOKUP("PCS-30874g",[1]ARBOR!$A:$C,3,0),"Maior que CAP!",IF((DOLLAR(BW14+(VLOOKUP("PCS-30874g",[1]ARBOR!$A:$C,3,0)*-TRUNC(BW14/VLOOKUP("PCS-30874g",[1]ARBOR!$A:$C,3,0)-1,4)),6))&lt;&gt;(DOLLAR(VLOOKUP("PCS-30874g",[1]ARBOR!$A:$C,3,0),6)),-TRUNC(BW14/VLOOKUP("PCS-30874g",[1]ARBOR!$A:$C,3,0)-1,4)+0.0001,-TRUNC(BW14/VLOOKUP("PCS-30874g",[1]ARBOR!$A:$C,3,0)-1,4)))))</f>
        <v>0.53679999999999994</v>
      </c>
      <c r="BY14" s="189" t="str">
        <f>IF(ISERROR(IF(BX14="","",VLOOKUP(($AY14&amp;BX14&amp;"Template de desconto FLAT bundle - Velox XDSL - Varejo"),[1]BENEFICIOS!$A:$E,5,0))),"Criar",IF(BX14="","",VLOOKUP(($AY14&amp;BX14&amp;"Template de desconto FLAT bundle - Velox XDSL - Varejo"),[1]BENEFICIOS!$A:$E,5,0)))</f>
        <v>MKT-1-9829477373</v>
      </c>
      <c r="BZ14" s="193" t="s">
        <v>198</v>
      </c>
      <c r="CA14" s="194">
        <v>44.9</v>
      </c>
      <c r="CB14" s="127">
        <f>IF(CA14=0,"",IF(CA14=VLOOKUP("PCS-30577g",[1]ARBOR!$A:$C,3,0),0.0001,IF(CA14&gt;VLOOKUP("PCS-30577g",[1]ARBOR!$A:$C,3,0),"Maior que CAP!",IF((DOLLAR(CA14+(VLOOKUP("PCS-30577g",[1]ARBOR!$A:$C,3,0)*-TRUNC(CA14/VLOOKUP("PCS-30577g",[1]ARBOR!$A:$C,3,0)-1,4)),6))&lt;&gt;(DOLLAR(VLOOKUP("PCS-30577g",[1]ARBOR!$A:$C,3,0),6)),-TRUNC(CA14/VLOOKUP("PCS-30577g",[1]ARBOR!$A:$C,3,0)-1,4)+0.0001,-TRUNC(CA14/VLOOKUP("PCS-30577g",[1]ARBOR!$A:$C,3,0)-1,4)))))</f>
        <v>0.53679999999999994</v>
      </c>
      <c r="CC14" s="189" t="str">
        <f>IF(ISERROR(IF(CB14="","",VLOOKUP(($AY14&amp;CB14&amp;"Template de desconto FLAT bundle - Velox XDSL - Varejo"),[1]BENEFICIOS!$A:$E,5,0))),"Criar",IF(CB14="","",VLOOKUP(($AY14&amp;CB14&amp;"Template de desconto FLAT bundle - Velox XDSL - Varejo"),[1]BENEFICIOS!$A:$E,5,0)))</f>
        <v>MKT-1-9829477373</v>
      </c>
      <c r="CD14" s="193" t="s">
        <v>198</v>
      </c>
      <c r="CE14" s="194">
        <v>44.9</v>
      </c>
      <c r="CF14" s="127">
        <f>IF(CE14=0,"",IF(CE14=VLOOKUP("PCS-30604g",[1]ARBOR!$A:$C,3,0),0.0001,IF(CE14&gt;VLOOKUP("PCS-30604g",[1]ARBOR!$A:$C,3,0),"Maior que CAP!",IF((DOLLAR(CE14+(VLOOKUP("PCS-30604g",[1]ARBOR!$A:$C,3,0)*-TRUNC(CE14/VLOOKUP("PCS-30604g",[1]ARBOR!$A:$C,3,0)-1,4)),6))&lt;&gt;(DOLLAR(VLOOKUP("PCS-30604g",[1]ARBOR!$A:$C,3,0),6)),-TRUNC(CE14/VLOOKUP("PCS-30604g",[1]ARBOR!$A:$C,3,0)-1,4)+0.0001,-TRUNC(CE14/VLOOKUP("PCS-30604g",[1]ARBOR!$A:$C,3,0)-1,4)))))</f>
        <v>0.53679999999999994</v>
      </c>
      <c r="CG14" s="189" t="str">
        <f>IF(ISERROR(IF(CF14="","",VLOOKUP(($AY14&amp;CF14&amp;"Template de desconto FLAT bundle - Velox XDSL - Varejo"),[1]BENEFICIOS!$A:$E,5,0))),"Criar",IF(CF14="","",VLOOKUP(($AY14&amp;CF14&amp;"Template de desconto FLAT bundle - Velox XDSL - Varejo"),[1]BENEFICIOS!$A:$E,5,0)))</f>
        <v>MKT-1-9829477373</v>
      </c>
      <c r="CH14" s="193" t="s">
        <v>198</v>
      </c>
      <c r="CI14" s="194">
        <v>44.9</v>
      </c>
      <c r="CJ14" s="127">
        <f>IF(CI14=0,"",IF(CI14=VLOOKUP("PCS-30631g",[1]ARBOR!$A:$C,3,0),0.0001,IF(CI14&gt;VLOOKUP("PCS-30631g",[1]ARBOR!$A:$C,3,0),"Maior que CAP!",IF((DOLLAR(CI14+(VLOOKUP("PCS-30631g",[1]ARBOR!$A:$C,3,0)*-TRUNC(CI14/VLOOKUP("PCS-30631g",[1]ARBOR!$A:$C,3,0)-1,4)),6))&lt;&gt;(DOLLAR(VLOOKUP("PCS-30631g",[1]ARBOR!$A:$C,3,0),6)),-TRUNC(CI14/VLOOKUP("PCS-30631g",[1]ARBOR!$A:$C,3,0)-1,4)+0.0001,-TRUNC(CI14/VLOOKUP("PCS-30631g",[1]ARBOR!$A:$C,3,0)-1,4)))))</f>
        <v>0.54310000000000003</v>
      </c>
      <c r="CK14" s="189" t="str">
        <f>IF(ISERROR(IF(CJ14="","",VLOOKUP(($AY14&amp;CJ14&amp;"Template de desconto FLAT bundle - Velox XDSL - Varejo"),[1]BENEFICIOS!$A:$E,5,0))),"Criar",IF(CJ14="","",VLOOKUP(($AY14&amp;CJ14&amp;"Template de desconto FLAT bundle - Velox XDSL - Varejo"),[1]BENEFICIOS!$A:$E,5,0)))</f>
        <v>MKT-1-9828219079</v>
      </c>
      <c r="CL14" s="193" t="s">
        <v>86</v>
      </c>
      <c r="CM14" s="194">
        <v>49.9</v>
      </c>
      <c r="CN14" s="127">
        <f>IF(CM14=0,"",IF(CM14=VLOOKUP("PCS-30658g",[1]ARBOR!$A:$C,3,0),0.0001,IF(CM14&gt;VLOOKUP("PCS-30658g",[1]ARBOR!$A:$C,3,0),"Maior que CAP!",IF((DOLLAR(CM14+(VLOOKUP("PCS-30658g",[1]ARBOR!$A:$C,3,0)*-TRUNC(CM14/VLOOKUP("PCS-30658g",[1]ARBOR!$A:$C,3,0)-1,4)),6))&lt;&gt;(DOLLAR(VLOOKUP("PCS-30658g",[1]ARBOR!$A:$C,3,0),6)),-TRUNC(CM14/VLOOKUP("PCS-30658g",[1]ARBOR!$A:$C,3,0)-1,4)+0.0001,-TRUNC(CM14/VLOOKUP("PCS-30658g",[1]ARBOR!$A:$C,3,0)-1,4)))))</f>
        <v>0.55569999999999997</v>
      </c>
      <c r="CO14" s="189" t="str">
        <f>IF(ISERROR(IF(CN14="","",VLOOKUP(($AY14&amp;CN14&amp;"Template de desconto FLAT bundle - Velox XDSL - Varejo"),[1]BENEFICIOS!$A:$E,5,0))),"Criar",IF(CN14="","",VLOOKUP(($AY14&amp;CN14&amp;"Template de desconto FLAT bundle - Velox XDSL - Varejo"),[1]BENEFICIOS!$A:$E,5,0)))</f>
        <v>MKT-1-9828243608</v>
      </c>
      <c r="CP14" s="193" t="s">
        <v>86</v>
      </c>
      <c r="CQ14" s="194">
        <v>49.9</v>
      </c>
      <c r="CR14" s="127">
        <f>IF(CQ14=0,"",IF(CQ14=VLOOKUP("PCS-30685g",[1]ARBOR!$A:$C,3,0),0.0001,IF(CQ14&gt;VLOOKUP("PCS-30685g",[1]ARBOR!$A:$C,3,0),"Maior que CAP!",IF((DOLLAR(CQ14+(VLOOKUP("PCS-30685g",[1]ARBOR!$A:$C,3,0)*-TRUNC(CQ14/VLOOKUP("PCS-30685g",[1]ARBOR!$A:$C,3,0)-1,4)),6))&lt;&gt;(DOLLAR(VLOOKUP("PCS-30685g",[1]ARBOR!$A:$C,3,0),6)),-TRUNC(CQ14/VLOOKUP("PCS-30685g",[1]ARBOR!$A:$C,3,0)-1,4)+0.0001,-TRUNC(CQ14/VLOOKUP("PCS-30685g",[1]ARBOR!$A:$C,3,0)-1,4)))))</f>
        <v>0.60509999999999997</v>
      </c>
      <c r="CS14" s="189" t="str">
        <f>IF(ISERROR(IF(CR14="","",VLOOKUP(($AY14&amp;CR14&amp;"Template de desconto FLAT bundle - Velox XDSL - Varejo"),[1]BENEFICIOS!$A:$E,5,0))),"Criar",IF(CR14="","",VLOOKUP(($AY14&amp;CR14&amp;"Template de desconto FLAT bundle - Velox XDSL - Varejo"),[1]BENEFICIOS!$A:$E,5,0)))</f>
        <v>MKT-1-9828260647</v>
      </c>
      <c r="CT14" s="193" t="s">
        <v>86</v>
      </c>
      <c r="CU14" s="194">
        <v>49.9</v>
      </c>
      <c r="CV14" s="127">
        <f>IF(CU14=0,"",IF(CU14=VLOOKUP("PCS-30712g",[1]ARBOR!$A:$C,3,0),0.0001,IF(CU14&gt;VLOOKUP("PCS-30712g",[1]ARBOR!$A:$C,3,0),"Maior que CAP!",IF((DOLLAR(CU14+(VLOOKUP("PCS-30712g",[1]ARBOR!$A:$C,3,0)*-TRUNC(CU14/VLOOKUP("PCS-30712g",[1]ARBOR!$A:$C,3,0)-1,4)),6))&lt;&gt;(DOLLAR(VLOOKUP("PCS-30712g",[1]ARBOR!$A:$C,3,0),6)),-TRUNC(CU14/VLOOKUP("PCS-30712g",[1]ARBOR!$A:$C,3,0)-1,4)+0.0001,-TRUNC(CU14/VLOOKUP("PCS-30712g",[1]ARBOR!$A:$C,3,0)-1,4)))))</f>
        <v>0.64459999999999995</v>
      </c>
      <c r="CW14" s="189" t="str">
        <f>IF(ISERROR(IF(CV14="","",VLOOKUP(($AY14&amp;CV14&amp;"Template de desconto FLAT bundle - Velox XDSL - Varejo"),[1]BENEFICIOS!$A:$E,5,0))),"Criar",IF(CV14="","",VLOOKUP(($AY14&amp;CV14&amp;"Template de desconto FLAT bundle - Velox XDSL - Varejo"),[1]BENEFICIOS!$A:$E,5,0)))</f>
        <v>MKT-1-9828260926</v>
      </c>
      <c r="CX14" s="193" t="s">
        <v>86</v>
      </c>
      <c r="CY14" s="194">
        <v>59.9</v>
      </c>
      <c r="CZ14" s="127">
        <f>IF(CY14=0,"",IF(CY14=VLOOKUP("PCS-30739g",[1]ARBOR!$A:$C,3,0),0.0001,IF(CY14&gt;VLOOKUP("PCS-30739g",[1]ARBOR!$A:$C,3,0),"Maior que CAP!",IF((DOLLAR(CY14+(VLOOKUP("PCS-30739g",[1]ARBOR!$A:$C,3,0)*-TRUNC(CY14/VLOOKUP("PCS-30739g",[1]ARBOR!$A:$C,3,0)-1,4)),6))&lt;&gt;(DOLLAR(VLOOKUP("PCS-30739g",[1]ARBOR!$A:$C,3,0),6)),-TRUNC(CY14/VLOOKUP("PCS-30739g",[1]ARBOR!$A:$C,3,0)-1,4)+0.0001,-TRUNC(CY14/VLOOKUP("PCS-30739g",[1]ARBOR!$A:$C,3,0)-1,4)))))</f>
        <v>0.71560000000000001</v>
      </c>
      <c r="DA14" s="195" t="str">
        <f>IF(ISERROR(IF(CZ14="","",VLOOKUP(($AY14&amp;CZ14&amp;"Template de desconto FLAT bundle - Velox XDSL - Varejo"),[1]BENEFICIOS!$A:$E,5,0))),"Criar",IF(CZ14="","",VLOOKUP(($AY14&amp;CZ14&amp;"Template de desconto FLAT bundle - Velox XDSL - Varejo"),[1]BENEFICIOS!$A:$E,5,0)))</f>
        <v>MKT-1-9828272465</v>
      </c>
      <c r="DB14" s="196"/>
      <c r="DC14" s="241"/>
      <c r="DD14" s="127" t="str">
        <f>IF(DB14=0,"",IF(DB14=VLOOKUP("PCS-30739g",[1]ARBOR!$A:$C,3,0),0.0001,IF(DB14&gt;VLOOKUP("PCS-30739g",[1]ARBOR!$A:$C,3,0),"Maior que CAP!",IF((DOLLAR(DB14+(VLOOKUP("PCS-30739g",[1]ARBOR!$A:$C,3,0)*-TRUNC(DB14/VLOOKUP("PCS-30739g",[1]ARBOR!$A:$C,3,0)-1,4)),6))&lt;&gt;(DOLLAR(VLOOKUP("PCS-30739g",[1]ARBOR!$A:$C,3,0),6)),(-TRUNC(DB14/VLOOKUP("PCS-30739g",[1]ARBOR!$A:$C,3,0)-1,4)+0.0001)-CZ14,-TRUNC(DB14/VLOOKUP("PCS-30739g",[1]ARBOR!$A:$C,3,0)-1,4)-CZ14))))</f>
        <v/>
      </c>
      <c r="DE14" s="189" t="str">
        <f>IF(ISERROR(IF(DD14="","",VLOOKUP(($AY14&amp;DD14&amp;"Template de desconto percentual Bundle - Velox XDSL - Varejo"),[1]BENEFICIOS!$A:$E,5,0))),"Criar",IF(DD14="","",VLOOKUP(($AY14&amp;DD14&amp;"Template de desconto percentual Bundle - Velox XDSL - Varejo"),[1]BENEFICIOS!$A:$E,5,0)))</f>
        <v/>
      </c>
      <c r="DF14" s="193" t="s">
        <v>86</v>
      </c>
      <c r="DG14" s="194">
        <v>59.9</v>
      </c>
      <c r="DH14" s="127">
        <f>IF(DG14=0,"",IF(DG14=VLOOKUP("PCS-30766g",[1]ARBOR!$A:$C,3,0),0.0001,IF(DG14&gt;VLOOKUP("PCS-30766g",[1]ARBOR!$A:$C,3,0),"Maior que CAP!",IF((DOLLAR(DG14+(VLOOKUP("PCS-30766g",[1]ARBOR!$A:$C,3,0)*-TRUNC(DG14/VLOOKUP("PCS-30766g",[1]ARBOR!$A:$C,3,0)-1,4)),6))&lt;&gt;(DOLLAR(VLOOKUP("PCS-30766g",[1]ARBOR!$A:$C,3,0),6)),-TRUNC(DG14/VLOOKUP("PCS-30766g",[1]ARBOR!$A:$C,3,0)-1,4)+0.0001,-TRUNC(DG14/VLOOKUP("PCS-30766g",[1]ARBOR!$A:$C,3,0)-1,4)))))</f>
        <v>0.78669999999999995</v>
      </c>
      <c r="DI14" s="195" t="str">
        <f>IF(ISERROR(IF(DH14="","",VLOOKUP(($AY14&amp;DH14&amp;"Template de desconto FLAT bundle - Velox XDSL - Varejo"),[1]BENEFICIOS!$A:$E,5,0))),"Criar",IF(DH14="","",VLOOKUP(($AY14&amp;DH14&amp;"Template de desconto FLAT bundle - Velox XDSL - Varejo"),[1]BENEFICIOS!$A:$E,5,0)))</f>
        <v>MKT-1-9828285890</v>
      </c>
      <c r="DJ14" s="196"/>
      <c r="DK14" s="241"/>
      <c r="DL14" s="127" t="str">
        <f>IF(DJ14=0,"",IF(DJ14=VLOOKUP("PCS-30766g",[1]ARBOR!$A:$C,3,0),0.0001,IF(DJ14&gt;VLOOKUP("PCS-30766g",[1]ARBOR!$A:$C,3,0),"Maior que CAP!",IF((DOLLAR(DJ14+(VLOOKUP("PCS-30766g",[1]ARBOR!$A:$C,3,0)*-TRUNC(DJ14/VLOOKUP("PCS-30766g",[1]ARBOR!$A:$C,3,0)-1,4)),6))&lt;&gt;(DOLLAR(VLOOKUP("PCS-30766g",[1]ARBOR!$A:$C,3,0),6)),(-TRUNC(DJ14/VLOOKUP("PCS-30766g",[1]ARBOR!$A:$C,3,0)-1,4)+0.0001)-DH14,-TRUNC(DJ14/VLOOKUP("PCS-30766g",[1]ARBOR!$A:$C,3,0)-1,4)-DH14))))</f>
        <v/>
      </c>
      <c r="DM14" s="189" t="str">
        <f>IF(ISERROR(IF(DL14="","",VLOOKUP(($AY14&amp;DL14&amp;"Template de desconto percentual Bundle - Velox XDSL - Varejo"),[1]BENEFICIOS!$A:$E,5,0))),"Criar",IF(DL14="","",VLOOKUP(($AY14&amp;DL14&amp;"Template de desconto percentual Bundle - Velox XDSL - Varejo"),[1]BENEFICIOS!$A:$E,5,0)))</f>
        <v/>
      </c>
      <c r="DN14" s="193" t="s">
        <v>198</v>
      </c>
      <c r="DO14" s="194">
        <v>69.900000000000006</v>
      </c>
      <c r="DP14" s="127">
        <f>IF(DO14=0,"",IF(DO14=VLOOKUP("PCS-30793g",[1]ARBOR!$A:$C,3,0),0.0001,IF(DO14&gt;VLOOKUP("PCS-30793g",[1]ARBOR!$A:$C,3,0),"Maior que CAP!",IF((DOLLAR(DO14+(VLOOKUP("PCS-30793g",[1]ARBOR!$A:$C,3,0)*-TRUNC(DO14/VLOOKUP("PCS-30793g",[1]ARBOR!$A:$C,3,0)-1,4)),6))&lt;&gt;(DOLLAR(VLOOKUP("PCS-30793g",[1]ARBOR!$A:$C,3,0),6)),-TRUNC(DO14/VLOOKUP("PCS-30793g",[1]ARBOR!$A:$C,3,0)-1,4)+0.0001,-TRUNC(DO14/VLOOKUP("PCS-30793g",[1]ARBOR!$A:$C,3,0)-1,4)))))</f>
        <v>0.75109999999999999</v>
      </c>
      <c r="DQ14" s="195" t="str">
        <f>IF(ISERROR(IF(DP14="","",VLOOKUP(($AY14&amp;DP14&amp;"Template de desconto FLAT bundle - Velox XDSL - Varejo"),[1]BENEFICIOS!$A:$E,5,0))),"Criar",IF(DP14="","",VLOOKUP(($AY14&amp;DP14&amp;"Template de desconto FLAT bundle - Velox XDSL - Varejo"),[1]BENEFICIOS!$A:$E,5,0)))</f>
        <v>MKT-1-9828314259</v>
      </c>
      <c r="DR14" s="196"/>
      <c r="DS14" s="241"/>
      <c r="DT14" s="127" t="str">
        <f>IF(DR14=0,"",IF(DR14=VLOOKUP("PCS-30793g",[1]ARBOR!$A:$C,3,0),0.0001,IF(DR14&gt;VLOOKUP("PCS-30793g",[1]ARBOR!$A:$C,3,0),"Maior que CAP!",IF((DOLLAR(DR14+(VLOOKUP("PCS-30793g",[1]ARBOR!$A:$C,3,0)*-TRUNC(DR14/VLOOKUP("PCS-30793g",[1]ARBOR!$A:$C,3,0)-1,4)),6))&lt;&gt;(DOLLAR(VLOOKUP("PCS-30793g",[1]ARBOR!$A:$C,3,0),6)),(-TRUNC(DR14/VLOOKUP("PCS-30793g",[1]ARBOR!$A:$C,3,0)-1,4)+0.0001)-DP14,-TRUNC(DR14/VLOOKUP("PCS-30793g",[1]ARBOR!$A:$C,3,0)-1,4)-DP14))))</f>
        <v/>
      </c>
      <c r="DU14" s="189" t="str">
        <f>IF(ISERROR(IF(DT14="","",VLOOKUP(($AY14&amp;DT14&amp;"Template de desconto percentual Bundle - Velox XDSL - Varejo"),[1]BENEFICIOS!$A:$E,5,0))),"Criar",IF(DT14="","",VLOOKUP(($AY14&amp;DT14&amp;"Template de desconto percentual Bundle - Velox XDSL - Varejo"),[1]BENEFICIOS!$A:$E,5,0)))</f>
        <v/>
      </c>
      <c r="DV14" s="193" t="s">
        <v>86</v>
      </c>
      <c r="DW14" s="194">
        <v>69.900000000000006</v>
      </c>
      <c r="DX14" s="127">
        <f>IF(DW14=0,"",IF(DW14=VLOOKUP("PCS-30820g",[1]ARBOR!$A:$C,3,0),0.0001,IF(DW14&gt;VLOOKUP("PCS-30820g",[1]ARBOR!$A:$C,3,0),"Maior que CAP!",IF((DOLLAR(DW14+(VLOOKUP("PCS-30820g",[1]ARBOR!$A:$C,3,0)*-TRUNC(DW14/VLOOKUP("PCS-30820g",[1]ARBOR!$A:$C,3,0)-1,4)),6))&lt;&gt;(DOLLAR(VLOOKUP("PCS-30820g",[1]ARBOR!$A:$C,3,0),6)),-TRUNC(DW14/VLOOKUP("PCS-30820g",[1]ARBOR!$A:$C,3,0)-1,4)+0.0001,-TRUNC(DW14/VLOOKUP("PCS-30820g",[1]ARBOR!$A:$C,3,0)-1,4)))))</f>
        <v>0.75109999999999999</v>
      </c>
      <c r="DY14" s="195" t="str">
        <f>IF(ISERROR(IF(DX14="","",VLOOKUP(($AY14&amp;DX14&amp;"Template de desconto FLAT bundle - Velox XDSL - Varejo"),[1]BENEFICIOS!$A:$E,5,0))),"Criar",IF(DX14="","",VLOOKUP(($AY14&amp;DX14&amp;"Template de desconto FLAT bundle - Velox XDSL - Varejo"),[1]BENEFICIOS!$A:$E,5,0)))</f>
        <v>MKT-1-9828314259</v>
      </c>
      <c r="DZ14" s="196"/>
      <c r="EA14" s="241"/>
      <c r="EB14" s="127" t="str">
        <f>IF(DZ14=0,"",IF(DZ14=VLOOKUP("PCS-30820g",[1]ARBOR!$A:$C,3,0),0.0001,IF(DZ14&gt;VLOOKUP("PCS-30820g",[1]ARBOR!$A:$C,3,0),"Maior que CAP!",IF((DOLLAR(DZ14+(VLOOKUP("PCS-30820g",[1]ARBOR!$A:$C,3,0)*-TRUNC(DZ14/VLOOKUP("PCS-30820g",[1]ARBOR!$A:$C,3,0)-1,4)),6))&lt;&gt;(DOLLAR(VLOOKUP("PCS-30820g",[1]ARBOR!$A:$C,3,0),6)),(-TRUNC(DZ14/VLOOKUP("PCS-30820g",[1]ARBOR!$A:$C,3,0)-1,4)+0.0001)-DX14,-TRUNC(DZ14/VLOOKUP("PCS-30820g",[1]ARBOR!$A:$C,3,0)-1,4)-DX14))))</f>
        <v/>
      </c>
      <c r="EC14" s="189" t="str">
        <f>IF(ISERROR(IF(EB14="","",VLOOKUP(($AY14&amp;EB14&amp;"Template de desconto percentual Bundle - Velox XDSL - Varejo"),[1]BENEFICIOS!$A:$E,5,0))),"Criar",IF(EB14="","",VLOOKUP(($AY14&amp;EB14&amp;"Template de desconto percentual Bundle - Velox XDSL - Varejo"),[1]BENEFICIOS!$A:$E,5,0)))</f>
        <v/>
      </c>
      <c r="ED14" s="198"/>
      <c r="EE14" s="127" t="str">
        <f>IF(ED14=0,"",IF(ED14=VLOOKUP("PCS-21448p2",[1]ARBOR!$A:$C,3,0),0.0001,IF(ED14&gt;VLOOKUP("PCS-21448p2",[1]ARBOR!$A:$C,3,0),"Maior que CAP!",IF((DOLLAR(ED14+(VLOOKUP("PCS-21448p2",[1]ARBOR!$A:$C,3,0)*-TRUNC(ED14/VLOOKUP("PCS-21448p2",[1]ARBOR!$A:$C,3,0)-1,4)),6))&lt;&gt;(DOLLAR(VLOOKUP("PCS-21448p2",[1]ARBOR!$A:$C,3,0),6)),-TRUNC(ED14/VLOOKUP("PCS-21448p2",[1]ARBOR!$A:$C,3,0)-1,4)+0.0001,-TRUNC(ED14/VLOOKUP("PCS-21448p2",[1]ARBOR!$A:$C,3,0)-1,4)))))</f>
        <v/>
      </c>
      <c r="EF14" s="127" t="str">
        <f>IF(ISERROR(IF(EE14="","",VLOOKUP(("Oi Conta Total Plug 10GB Downgrade"&amp;EE14&amp;"Template de desconto percentual BL Móvel - Internet Total - Varejo"),[1]BENEFICIOS!$A:$E,5,0))),"Criar",IF(EE14="","",VLOOKUP(("Oi Conta Total Plug 10GB Downgrade"&amp;EE14&amp;"Template de desconto percentual BL Móvel - Internet Total - Varejo"),[1]BENEFICIOS!$A:$E,5,0)))</f>
        <v/>
      </c>
      <c r="EG14" s="199">
        <v>19.899999999999999</v>
      </c>
      <c r="EH14" s="200">
        <f>IF(EG14=0,"",IF(EG14=VLOOKUP("SVA",[1]ARBOR!$A:$C,3,0),0.0001,IF(EG14&gt;VLOOKUP("SVA",[1]ARBOR!$A:$C,3,0),"Maior que CAP!",IF((DOLLAR(EG14+(VLOOKUP("SVA",[1]ARBOR!$A:$C,3,0)*-TRUNC(EG14/VLOOKUP("SVA",[1]ARBOR!$A:$C,3,0)-1,4)),6))&lt;&gt;(DOLLAR(VLOOKUP("SVA",[1]ARBOR!$A:$C,3,0),6)),-TRUNC(EG14/VLOOKUP("SVA",[1]ARBOR!$A:$C,3,0)-1,4)+0.0001,-TRUNC(EG14/VLOOKUP("SVA",[1]ARBOR!$A:$C,3,0)-1,4)))))</f>
        <v>7.1400000000000005E-2</v>
      </c>
      <c r="EI14" s="200" t="s">
        <v>199</v>
      </c>
      <c r="EJ14" s="201"/>
      <c r="EK14" s="202"/>
      <c r="EL14" s="203" t="str">
        <f t="shared" si="3"/>
        <v/>
      </c>
      <c r="EM14" s="200" t="str">
        <f>IF(EL14="S/Desc","S/Desc",IF(ISERROR(IF(EL14="","",VLOOKUP(($BX14&amp;EL14&amp;"Template Desc. % sobre Serviço SVA B2C"),[1]BENEFICIOS!$A:$G,5,0))),"Criar",IF(EL14="","",VLOOKUP(($BX14&amp;EL14&amp;"Template Desc. % sobre Serviço SVA B2C"),[1]BENEFICIOS!$A:$G,5,0))))</f>
        <v/>
      </c>
      <c r="EN14" s="129"/>
      <c r="EO14" s="127" t="str">
        <f>IF(EN14=0,"",IF(EN14=VLOOKUP("PCS-OzTL40",[1]ARBOR!$A:$C,3,0),0.0001,IF(EN14&gt;VLOOKUP("PCS-OzTL40",[1]ARBOR!$A:$C,3,0),"Maior que CAP!",IF((DOLLAR(EN14+(VLOOKUP("PCS-OzTL40",[1]ARBOR!$A:$C,3,0)*-TRUNC(EN14/VLOOKUP("PCS-OzTL40",[1]ARBOR!$A:$C,3,0)-1,4)),6))&lt;&gt;(DOLLAR(VLOOKUP("PCS-OzTL40",[1]ARBOR!$A:$C,3,0),6)),-TRUNC(EN14/VLOOKUP("PCS-OzTL40",[1]ARBOR!$A:$C,3,0)-1,4)+0.0001,-TRUNC(EN14/VLOOKUP("PCS-OzTL40",[1]ARBOR!$A:$C,3,0)-1,4)))))</f>
        <v/>
      </c>
      <c r="EP14" s="189" t="str">
        <f>IF(ISERROR(IF(EO14="","",VLOOKUP(($AY14&amp;EO14&amp;"Template desconto FLAT Plano Principal Oi TV nível conta"),[1]BENEFICIOS!$A:$G,5,0))),"Criar",IF(EO14="","",VLOOKUP(($AY14&amp;EO14&amp;"Template desconto FLAT Plano Principal Oi TV nível conta"),[1]BENEFICIOS!$A:$G,5,0)))</f>
        <v/>
      </c>
      <c r="EQ14" s="129"/>
      <c r="ER14" s="127" t="str">
        <f>IF(EQ14=0,"",IF(EQ14=VLOOKUP("PCS-OzTL41",[1]ARBOR!$A:$C,3,0),0.0001,IF(EQ14&gt;VLOOKUP("PCS-OzTL41",[1]ARBOR!$A:$C,3,0),"Maior que CAP!",IF((DOLLAR(EQ14+(VLOOKUP("PCS-OzTL41",[1]ARBOR!$A:$C,3,0)*-TRUNC(EQ14/VLOOKUP("PCS-OzTL41",[1]ARBOR!$A:$C,3,0)-1,4)),6))&lt;&gt;(DOLLAR(VLOOKUP("PCS-OzTL41",[1]ARBOR!$A:$C,3,0),6)),-TRUNC(EQ14/VLOOKUP("PCS-OzTL41",[1]ARBOR!$A:$C,3,0)-1,4)+0.0001,-TRUNC(EQ14/VLOOKUP("PCS-OzTL41",[1]ARBOR!$A:$C,3,0)-1,4)))))</f>
        <v/>
      </c>
      <c r="ES14" s="204" t="str">
        <f>IF(ISERROR(IF(ER14="","",VLOOKUP(($AY14&amp;ER14&amp;"Template desconto FLAT Plano Principal Oi TV nível conta"),[1]BENEFICIOS!$A:$G,5,0))),"Criar",IF(ER14="","",VLOOKUP(($AY14&amp;ER14&amp;"Template desconto FLAT Plano Principal Oi TV nível conta"),[1]BENEFICIOS!$A:$G,5,0)))</f>
        <v/>
      </c>
      <c r="ET14" s="129"/>
      <c r="EU14" s="127" t="str">
        <f>IF(ET14=0,"",IF(ET14=VLOOKUP("PCS-OzTL44",[1]ARBOR!$A:$C,3,0),0.0001,IF(ET14&gt;VLOOKUP("PCS-OzTL44",[1]ARBOR!$A:$C,3,0),"Maior que CAP!",IF((DOLLAR(ET14+(VLOOKUP("PCS-OzTL44",[1]ARBOR!$A:$C,3,0)*-TRUNC(ET14/VLOOKUP("PCS-OzTL44",[1]ARBOR!$A:$C,3,0)-1,4)),6))&lt;&gt;(DOLLAR(VLOOKUP("PCS-OzTL44",[1]ARBOR!$A:$C,3,0),6)),-TRUNC(ET14/VLOOKUP("PCS-OzTL44",[1]ARBOR!$A:$C,3,0)-1,4)+0.0001,-TRUNC(ET14/VLOOKUP("PCS-OzTL44",[1]ARBOR!$A:$C,3,0)-1,4)))))</f>
        <v/>
      </c>
      <c r="EV14" s="204" t="str">
        <f>IF(ISERROR(IF(EU14="","",VLOOKUP(($AY14&amp;EU14&amp;"Template desconto FLAT Plano Principal Oi TV nível conta"),[1]BENEFICIOS!$A:$G,5,0))),"Criar",IF(EU14="","",VLOOKUP(($AY14&amp;EU14&amp;"Template desconto FLAT Plano Principal Oi TV nível conta"),[1]BENEFICIOS!$A:$G,5,0)))</f>
        <v/>
      </c>
      <c r="EW14" s="129"/>
      <c r="EX14" s="127" t="str">
        <f>IF(EW14=0,"",IF(EW14=VLOOKUP("PCS-OzTL43",[1]ARBOR!$A:$C,3,0),0.0001,IF(EW14&gt;VLOOKUP("PCS-OzTL43",[1]ARBOR!$A:$C,3,0),"Maior que CAP!",IF((DOLLAR(EW14+(VLOOKUP("PCS-OzTL43",[1]ARBOR!$A:$C,3,0)*-TRUNC(EW14/VLOOKUP("PCS-OzTL43",[1]ARBOR!$A:$C,3,0)-1,4)),6))&lt;&gt;(DOLLAR(VLOOKUP("PCS-OzTL43",[1]ARBOR!$A:$C,3,0),6)),-TRUNC(EW14/VLOOKUP("PCS-OzTL43",[1]ARBOR!$A:$C,3,0)-1,4)+0.0001,-TRUNC(EW14/VLOOKUP("PCS-OzTL43",[1]ARBOR!$A:$C,3,0)-1,4)))))</f>
        <v/>
      </c>
      <c r="EY14" s="204" t="str">
        <f>IF(ISERROR(IF(EX14="","",VLOOKUP(($AY14&amp;EX14&amp;"Template desconto FLAT Plano Principal Oi TV nível conta"),[1]BENEFICIOS!$A:$G,5,0))),"Criar",IF(EX14="","",VLOOKUP(($AY14&amp;EX14&amp;"Template desconto FLAT Plano Principal Oi TV nível conta"),[1]BENEFICIOS!$A:$G,5,0)))</f>
        <v/>
      </c>
      <c r="EZ14" s="129"/>
      <c r="FA14" s="127" t="str">
        <f>IF(EZ14=0,"",IF(EZ14=VLOOKUP("PCS-OzTL45",[1]ARBOR!$A:$C,3,0),0.0001,IF(EZ14&gt;VLOOKUP("PCS-OzTL45",[1]ARBOR!$A:$C,3,0),"Maior que CAP!",IF((DOLLAR(EZ14+(VLOOKUP("PCS-OzTL45",[1]ARBOR!$A:$C,3,0)*-TRUNC(EZ14/VLOOKUP("PCS-OzTL45",[1]ARBOR!$A:$C,3,0)-1,4)),6))&lt;&gt;(DOLLAR(VLOOKUP("PCS-OzTL45",[1]ARBOR!$A:$C,3,0),6)),-TRUNC(EZ14/VLOOKUP("PCS-OzTL45",[1]ARBOR!$A:$C,3,0)-1,4)+0.0001,-TRUNC(EZ14/VLOOKUP("PCS-OzTL45",[1]ARBOR!$A:$C,3,0)-1,4)))))</f>
        <v/>
      </c>
      <c r="FB14" s="204" t="str">
        <f>IF(ISERROR(IF(FA14="","",VLOOKUP(($AY14&amp;FA14&amp;"Template desconto FLAT Plano Principal Oi TV nível conta"),[1]BENEFICIOS!$A:$G,5,0))),"Criar",IF(FA14="","",VLOOKUP(($AY14&amp;FA14&amp;"Template desconto FLAT Plano Principal Oi TV nível conta"),[1]BENEFICIOS!$A:$G,5,0)))</f>
        <v/>
      </c>
      <c r="FC14" s="129"/>
      <c r="FD14" s="127" t="str">
        <f>IF(FC14=0,"",IF(FC14=VLOOKUP("PCS-OzTL741",[1]ARBOR!$A:$C,3,0),0.0001,IF(FC14&gt;VLOOKUP("PCS-OzTL741",[1]ARBOR!$A:$C,3,0),"Maior que CAP!",IF((DOLLAR(FC14+(VLOOKUP("PCS-OzTL741",[1]ARBOR!$A:$C,3,0)*-TRUNC(FC14/VLOOKUP("PCS-OzTL741",[1]ARBOR!$A:$C,3,0)-1,4)),6))&lt;&gt;(DOLLAR(VLOOKUP("PCS-OzTL741",[1]ARBOR!$A:$C,3,0),6)),-TRUNC(FC14/VLOOKUP("PCS-OzTL741",[1]ARBOR!$A:$C,3,0)-1,4)+0.0001,-TRUNC(FC14/VLOOKUP("PCS-OzTL741",[1]ARBOR!$A:$C,3,0)-1,4)))))</f>
        <v/>
      </c>
      <c r="FE14" s="204" t="str">
        <f>IF(ISERROR(IF(FD14="","",VLOOKUP(($AY14&amp;FD14&amp;"Template desconto FLAT Plano Principal Oi TV nível conta"),[1]BENEFICIOS!$A:$G,5,0))),"Criar",IF(FD14="","",VLOOKUP(($AY14&amp;FD14&amp;"Template desconto FLAT Plano Principal Oi TV nível conta"),[1]BENEFICIOS!$A:$G,5,0)))</f>
        <v/>
      </c>
      <c r="FF14" s="129"/>
      <c r="FG14" s="127" t="str">
        <f>IF(FF14=0,"",IF(FF14=VLOOKUP("PCS-OzTL744",[1]ARBOR!$A:$C,3,0),0.0001,IF(FF14&gt;VLOOKUP("PCS-OzTL744",[1]ARBOR!$A:$C,3,0),"Maior que CAP!",IF((DOLLAR(FF14+(VLOOKUP("PCS-OzTL744",[1]ARBOR!$A:$C,3,0)*-TRUNC(FF14/VLOOKUP("PCS-OzTL744",[1]ARBOR!$A:$C,3,0)-1,4)),6))&lt;&gt;(DOLLAR(VLOOKUP("PCS-OzTL744",[1]ARBOR!$A:$C,3,0),6)),-TRUNC(FF14/VLOOKUP("PCS-OzTL744",[1]ARBOR!$A:$C,3,0)-1,4)+0.0001,-TRUNC(FF14/VLOOKUP("PCS-OzTL744",[1]ARBOR!$A:$C,3,0)-1,4)))))</f>
        <v/>
      </c>
      <c r="FH14" s="204" t="str">
        <f>IF(ISERROR(IF(FG14="","",VLOOKUP(($AY14&amp;FG14&amp;"Template desconto FLAT Plano Principal Oi TV nível conta"),[1]BENEFICIOS!$A:$G,5,0))),"Criar",IF(FG14="","",VLOOKUP(($AY14&amp;FG14&amp;"Template desconto FLAT Plano Principal Oi TV nível conta"),[1]BENEFICIOS!$A:$G,5,0)))</f>
        <v/>
      </c>
      <c r="FI14" s="129"/>
      <c r="FJ14" s="127" t="str">
        <f>IF(FI14=0,"",IF(FI14=VLOOKUP("PCS-OzTL743",[1]ARBOR!$A:$C,3,0),0.0001,IF(FI14&gt;VLOOKUP("PCS-OzTL743",[1]ARBOR!$A:$C,3,0),"Maior que CAP!",IF((DOLLAR(FI14+(VLOOKUP("PCS-OzTL743",[1]ARBOR!$A:$C,3,0)*-TRUNC(FI14/VLOOKUP("PCS-OzTL743",[1]ARBOR!$A:$C,3,0)-1,4)),6))&lt;&gt;(DOLLAR(VLOOKUP("PCS-OzTL743",[1]ARBOR!$A:$C,3,0),6)),-TRUNC(FI14/VLOOKUP("PCS-OzTL743",[1]ARBOR!$A:$C,3,0)-1,4)+0.0001,-TRUNC(FI14/VLOOKUP("PCS-OzTL743",[1]ARBOR!$A:$C,3,0)-1,4)))))</f>
        <v/>
      </c>
      <c r="FK14" s="204" t="str">
        <f>IF(ISERROR(IF(FJ14="","",VLOOKUP(($AY14&amp;FJ14&amp;"Template desconto FLAT Plano Principal Oi TV nível conta"),[1]BENEFICIOS!$A:$G,5,0))),"Criar",IF(FJ14="","",VLOOKUP(($AY14&amp;FJ14&amp;"Template desconto FLAT Plano Principal Oi TV nível conta"),[1]BENEFICIOS!$A:$G,5,0)))</f>
        <v/>
      </c>
      <c r="FL14" s="129"/>
      <c r="FM14" s="127" t="str">
        <f>IF(FL14=0,"",IF(FL14=VLOOKUP("PCS-OzTL745",[1]ARBOR!$A:$C,3,0),0.0001,IF(FL14&gt;VLOOKUP("PCS-OzTL745",[1]ARBOR!$A:$C,3,0),"Maior que CAP!",IF((DOLLAR(FL14+(VLOOKUP("PCS-OzTL745",[1]ARBOR!$A:$C,3,0)*-TRUNC(FL14/VLOOKUP("PCS-OzTL745",[1]ARBOR!$A:$C,3,0)-1,4)),6))&lt;&gt;(DOLLAR(VLOOKUP("PCS-OzTL745",[1]ARBOR!$A:$C,3,0),6)),-TRUNC(FL14/VLOOKUP("PCS-OzTL745",[1]ARBOR!$A:$C,3,0)-1,4)+0.0001,-TRUNC(FL14/VLOOKUP("PCS-OzTL745",[1]ARBOR!$A:$C,3,0)-1,4)))))</f>
        <v/>
      </c>
      <c r="FN14" s="204" t="str">
        <f>IF(ISERROR(IF(FM14="","",VLOOKUP(($AY14&amp;FM14&amp;"Template desconto FLAT Plano Principal Oi TV nível conta"),[1]BENEFICIOS!$A:$G,5,0))),"Criar",IF(FM14="","",VLOOKUP(($AY14&amp;FM14&amp;"Template desconto FLAT Plano Principal Oi TV nível conta"),[1]BENEFICIOS!$A:$G,5,0)))</f>
        <v/>
      </c>
      <c r="FO14" s="129"/>
      <c r="FP14" s="127" t="str">
        <f>IF(FO14=0,"",IF(FO14=VLOOKUP("PCS-OzTL42",[1]ARBOR!$A:$C,3,0),0.0001,IF(FO14&gt;VLOOKUP("PCS-OzTL42",[1]ARBOR!$A:$C,3,0),"Maior que CAP!",IF((DOLLAR(FO14+(VLOOKUP("PCS-OzTL42",[1]ARBOR!$A:$C,3,0)*-TRUNC(FO14/VLOOKUP("PCS-OzTL42",[1]ARBOR!$A:$C,3,0)-1,4)),6))&lt;&gt;(DOLLAR(VLOOKUP("PCS-OzTL42",[1]ARBOR!$A:$C,3,0),6)),-TRUNC(FO14/VLOOKUP("PCS-OzTL42",[1]ARBOR!$A:$C,3,0)-1,4)+0.0001,-TRUNC(FO14/VLOOKUP("PCS-OzTL42",[1]ARBOR!$A:$C,3,0)-1,4)))))</f>
        <v/>
      </c>
      <c r="FQ14" s="204" t="str">
        <f>IF(ISERROR(IF(FP14="","",VLOOKUP(($AY14&amp;FP14&amp;"Template desconto FLAT Plano Principal Oi TV nível conta"),[1]BENEFICIOS!$A:$G,5,0))),"Criar",IF(FP14="","",VLOOKUP(($AY14&amp;FP14&amp;"Template desconto FLAT Plano Principal Oi TV nível conta"),[1]BENEFICIOS!$A:$G,5,0)))</f>
        <v/>
      </c>
      <c r="FR14" s="129"/>
      <c r="FS14" s="127" t="str">
        <f>IF(FR14=0,"",IF(FR14=VLOOKUP("PCS-OzTL47",[1]ARBOR!$A:$C,3,0),0.0001,IF(FR14&gt;VLOOKUP("PCS-OzTL47",[1]ARBOR!$A:$C,3,0),"Maior que CAP!",IF((DOLLAR(FR14+(VLOOKUP("PCS-OzTL47",[1]ARBOR!$A:$C,3,0)*-TRUNC(FR14/VLOOKUP("PCS-OzTL47",[1]ARBOR!$A:$C,3,0)-1,4)),6))&lt;&gt;(DOLLAR(VLOOKUP("PCS-OzTL47",[1]ARBOR!$A:$C,3,0),6)),-TRUNC(FR14/VLOOKUP("PCS-OzTL47",[1]ARBOR!$A:$C,3,0)-1,4)+0.0001,-TRUNC(FR14/VLOOKUP("PCS-OzTL47",[1]ARBOR!$A:$C,3,0)-1,4)))))</f>
        <v/>
      </c>
      <c r="FT14" s="204" t="str">
        <f>IF(ISERROR(IF(FS14="","",VLOOKUP(($AY14&amp;FS14&amp;"Template desconto FLAT Plano Principal Oi TV nível conta"),[1]BENEFICIOS!$A:$G,5,0))),"Criar",IF(FS14="","",VLOOKUP(($AY14&amp;FS14&amp;"Template desconto FLAT Plano Principal Oi TV nível conta"),[1]BENEFICIOS!$A:$G,5,0)))</f>
        <v/>
      </c>
      <c r="FU14" s="129"/>
      <c r="FV14" s="127" t="str">
        <f>IF(FU14=0,"",IF(FU14=VLOOKUP("PCS-OzTL46",[1]ARBOR!$A:$C,3,0),0.0001,IF(FU14&gt;VLOOKUP("PCS-OzTL46",[1]ARBOR!$A:$C,3,0),"Maior que CAP!",IF((DOLLAR(FU14+(VLOOKUP("PCS-OzTL46",[1]ARBOR!$A:$C,3,0)*-TRUNC(FU14/VLOOKUP("PCS-OzTL46",[1]ARBOR!$A:$C,3,0)-1,4)),6))&lt;&gt;(DOLLAR(VLOOKUP("PCS-OzTL46",[1]ARBOR!$A:$C,3,0),6)),-TRUNC(FU14/VLOOKUP("PCS-OzTL46",[1]ARBOR!$A:$C,3,0)-1,4)+0.0001,-TRUNC(FU14/VLOOKUP("PCS-OzTL46",[1]ARBOR!$A:$C,3,0)-1,4)))))</f>
        <v/>
      </c>
      <c r="FW14" s="204" t="str">
        <f>IF(ISERROR(IF(FV14="","",VLOOKUP(($AY14&amp;FV14&amp;"Template desconto FLAT Plano Principal Oi TV nível conta"),[1]BENEFICIOS!$A:$G,5,0))),"Criar",IF(FV14="","",VLOOKUP(($AY14&amp;FV14&amp;"Template desconto FLAT Plano Principal Oi TV nível conta"),[1]BENEFICIOS!$A:$G,5,0)))</f>
        <v/>
      </c>
      <c r="FX14" s="129"/>
      <c r="FY14" s="127" t="str">
        <f>IF(FX14=0,"",IF(FX14=VLOOKUP("PCS-OzTL48",[1]ARBOR!$A:$C,3,0),0.0001,IF(FX14&gt;VLOOKUP("PCS-OzTL48",[1]ARBOR!$A:$C,3,0),"Maior que CAP!",IF((DOLLAR(FX14+(VLOOKUP("PCS-OzTL48",[1]ARBOR!$A:$C,3,0)*-TRUNC(FX14/VLOOKUP("PCS-OzTL48",[1]ARBOR!$A:$C,3,0)-1,4)),6))&lt;&gt;(DOLLAR(VLOOKUP("PCS-OzTL48",[1]ARBOR!$A:$C,3,0),6)),-TRUNC(FX14/VLOOKUP("PCS-OzTL48",[1]ARBOR!$A:$C,3,0)-1,4)+0.0001,-TRUNC(FX14/VLOOKUP("PCS-OzTL48",[1]ARBOR!$A:$C,3,0)-1,4)))))</f>
        <v/>
      </c>
      <c r="FZ14" s="204" t="str">
        <f>IF(ISERROR(IF(FY14="","",VLOOKUP(($AY14&amp;FY14&amp;"Template desconto FLAT Plano Principal Oi TV nível conta"),[1]BENEFICIOS!$A:$G,5,0))),"Criar",IF(FY14="","",VLOOKUP(($AY14&amp;FY14&amp;"Template desconto FLAT Plano Principal Oi TV nível conta"),[1]BENEFICIOS!$A:$G,5,0)))</f>
        <v/>
      </c>
      <c r="GA14" s="129"/>
      <c r="GB14" s="127" t="str">
        <f>IF(GA14=0,"",IF(GA14=VLOOKUP("PCS-OzTL742",[1]ARBOR!$A:$C,3,0),0.0001,IF(GA14&gt;VLOOKUP("PCS-OzTL742",[1]ARBOR!$A:$C,3,0),"Maior que CAP!",IF((DOLLAR(GA14+(VLOOKUP("PCS-OzTL742",[1]ARBOR!$A:$C,3,0)*-TRUNC(GA14/VLOOKUP("PCS-OzTL742",[1]ARBOR!$A:$C,3,0)-1,4)),6))&lt;&gt;(DOLLAR(VLOOKUP("PCS-OzTL742",[1]ARBOR!$A:$C,3,0),6)),-TRUNC(GA14/VLOOKUP("PCS-OzTL742",[1]ARBOR!$A:$C,3,0)-1,4)+0.0001,-TRUNC(GA14/VLOOKUP("PCS-OzTL742",[1]ARBOR!$A:$C,3,0)-1,4)))))</f>
        <v/>
      </c>
      <c r="GC14" s="204" t="str">
        <f>IF(ISERROR(IF(GB14="","",VLOOKUP(($AY14&amp;GB14&amp;"Template desconto FLAT Plano Principal Oi TV nível conta"),[1]BENEFICIOS!$A:$G,5,0))),"Criar",IF(GB14="","",VLOOKUP(($AY14&amp;GB14&amp;"Template desconto FLAT Plano Principal Oi TV nível conta"),[1]BENEFICIOS!$A:$G,5,0)))</f>
        <v/>
      </c>
      <c r="GD14" s="129"/>
      <c r="GE14" s="127" t="str">
        <f>IF(GD14=0,"",IF(GD14=VLOOKUP("PCS-OzTL747",[1]ARBOR!$A:$C,3,0),0.0001,IF(GD14&gt;VLOOKUP("PCS-OzTL747",[1]ARBOR!$A:$C,3,0),"Maior que CAP!",IF((DOLLAR(GD14+(VLOOKUP("PCS-OzTL747",[1]ARBOR!$A:$C,3,0)*-TRUNC(GD14/VLOOKUP("PCS-OzTL747",[1]ARBOR!$A:$C,3,0)-1,4)),6))&lt;&gt;(DOLLAR(VLOOKUP("PCS-OzTL747",[1]ARBOR!$A:$C,3,0),6)),-TRUNC(GD14/VLOOKUP("PCS-OzTL747",[1]ARBOR!$A:$C,3,0)-1,4)+0.0001,-TRUNC(GD14/VLOOKUP("PCS-OzTL747",[1]ARBOR!$A:$C,3,0)-1,4)))))</f>
        <v/>
      </c>
      <c r="GF14" s="204" t="str">
        <f>IF(ISERROR(IF(GE14="","",VLOOKUP(($AY14&amp;GE14&amp;"Template desconto FLAT Plano Principal Oi TV nível conta"),[1]BENEFICIOS!$A:$G,5,0))),"Criar",IF(GE14="","",VLOOKUP(($AY14&amp;GE14&amp;"Template desconto FLAT Plano Principal Oi TV nível conta"),[1]BENEFICIOS!$A:$G,5,0)))</f>
        <v/>
      </c>
      <c r="GG14" s="129"/>
      <c r="GH14" s="127" t="str">
        <f>IF(GG14=0,"",IF(GG14=VLOOKUP("PCS-OzTL746",[1]ARBOR!$A:$C,3,0),0.0001,IF(GG14&gt;VLOOKUP("PCS-OzTL746",[1]ARBOR!$A:$C,3,0),"Maior que CAP!",IF((DOLLAR(GG14+(VLOOKUP("PCS-OzTL746",[1]ARBOR!$A:$C,3,0)*-TRUNC(GG14/VLOOKUP("PCS-OzTL746",[1]ARBOR!$A:$C,3,0)-1,4)),6))&lt;&gt;(DOLLAR(VLOOKUP("PCS-OzTL746",[1]ARBOR!$A:$C,3,0),6)),-TRUNC(GG14/VLOOKUP("PCS-OzTL746",[1]ARBOR!$A:$C,3,0)-1,4)+0.0001,-TRUNC(GG14/VLOOKUP("PCS-OzTL746",[1]ARBOR!$A:$C,3,0)-1,4)))))</f>
        <v/>
      </c>
      <c r="GI14" s="204" t="str">
        <f>IF(ISERROR(IF(GH14="","",VLOOKUP(($AY14&amp;GH14&amp;"Template desconto FLAT Plano Principal Oi TV nível conta"),[1]BENEFICIOS!$A:$G,5,0))),"Criar",IF(GH14="","",VLOOKUP(($AY14&amp;GH14&amp;"Template desconto FLAT Plano Principal Oi TV nível conta"),[1]BENEFICIOS!$A:$G,5,0)))</f>
        <v/>
      </c>
      <c r="GJ14" s="129">
        <v>189.9</v>
      </c>
      <c r="GK14" s="127">
        <f>IF(GJ14=0,"",IF(GJ14=VLOOKUP("PCS-OzTL748",[1]ARBOR!$A:$C,3,0),0.0001,IF(GJ14&gt;VLOOKUP("PCS-OzTL748",[1]ARBOR!$A:$C,3,0),"Maior que CAP!",IF((DOLLAR(GJ14+(VLOOKUP("PCS-OzTL748",[1]ARBOR!$A:$C,3,0)*-TRUNC(GJ14/VLOOKUP("PCS-OzTL748",[1]ARBOR!$A:$C,3,0)-1,4)),6))&lt;&gt;(DOLLAR(VLOOKUP("PCS-OzTL748",[1]ARBOR!$A:$C,3,0),6)),-TRUNC(GJ14/VLOOKUP("PCS-OzTL748",[1]ARBOR!$A:$C,3,0)-1,4)+0.0001,-TRUNC(GJ14/VLOOKUP("PCS-OzTL748",[1]ARBOR!$A:$C,3,0)-1,4)))))</f>
        <v>0.38400000000000001</v>
      </c>
      <c r="GL14" s="204" t="str">
        <f>IF(ISERROR(IF(GK14="","",VLOOKUP(($AY14&amp;GK14&amp;"Template desconto FLAT Plano Principal Oi TV nível conta"),[1]BENEFICIOS!$A:$G,5,0))),"Criar",IF(GK14="","",VLOOKUP(($AY14&amp;GK14&amp;"Template desconto FLAT Plano Principal Oi TV nível conta"),[1]BENEFICIOS!$A:$G,5,0)))</f>
        <v>MKT-1-9827464097</v>
      </c>
      <c r="GM14" s="129">
        <v>75</v>
      </c>
      <c r="GN14" s="127">
        <f>IF(GM14=0,"",IF(GM14=VLOOKUP("PCS-OzTL34",[1]ARBOR!$A:$C,3,0),0.0001,IF(GM14&gt;VLOOKUP("PCS-OzTL34",[1]ARBOR!$A:$C,3,0),"Maior que CAP!",IF((DOLLAR(GM14+(VLOOKUP("PCS-OzTL34",[1]ARBOR!$A:$C,3,0)*-TRUNC(GM14/VLOOKUP("PCS-OzTL34",[1]ARBOR!$A:$C,3,0)-1,4)),6))&lt;&gt;(DOLLAR(VLOOKUP("PCS-OzTL34",[1]ARBOR!$A:$C,3,0),6)),-TRUNC(GM14/VLOOKUP("PCS-OzTL34",[1]ARBOR!$A:$C,3,0)-1,4)+0.0001,-TRUNC(GM14/VLOOKUP("PCS-OzTL34",[1]ARBOR!$A:$C,3,0)-1,4)))))</f>
        <v>0.31900000000000001</v>
      </c>
      <c r="GO14" s="204" t="s">
        <v>161</v>
      </c>
      <c r="GP14" s="129">
        <v>19.899999999999999</v>
      </c>
      <c r="GQ14" s="127">
        <f>IF(GP14=0,"",IF(GP14=VLOOKUP("PCS-OzTL31",[1]ARBOR!$A:$C,3,0),0.0001,IF(GP14&gt;VLOOKUP("PCS-OzTL31",[1]ARBOR!$A:$C,3,0),"Maior que CAP!",IF((DOLLAR(GP14+(VLOOKUP("PCS-OzTL31",[1]ARBOR!$A:$C,3,0)*-TRUNC(GP14/VLOOKUP("PCS-OzTL31",[1]ARBOR!$A:$C,3,0)-1,4)),6))&lt;&gt;(DOLLAR(VLOOKUP("PCS-OzTL31",[1]ARBOR!$A:$C,3,0),6)),-TRUNC(GP14/VLOOKUP("PCS-OzTL31",[1]ARBOR!$A:$C,3,0)-1,4)+0.0001,-TRUNC(GP14/VLOOKUP("PCS-OzTL31",[1]ARBOR!$A:$C,3,0)-1,4)))))</f>
        <v>9.1800000000000007E-2</v>
      </c>
      <c r="GR14" s="204" t="s">
        <v>162</v>
      </c>
      <c r="GS14" s="129">
        <v>19.899999999999999</v>
      </c>
      <c r="GT14" s="127">
        <f>IF(GS14=0,"",IF(GS14=VLOOKUP("PCS-OzTL32",[1]ARBOR!$A:$C,3,0),0.0001,IF(GS14&gt;VLOOKUP("PCS-OzTL32",[1]ARBOR!$A:$C,3,0),"Maior que CAP!",IF((DOLLAR(GS14+(VLOOKUP("PCS-OzTL32",[1]ARBOR!$A:$C,3,0)*-TRUNC(GS14/VLOOKUP("PCS-OzTL32",[1]ARBOR!$A:$C,3,0)-1,4)),6))&lt;&gt;(DOLLAR(VLOOKUP("PCS-OzTL32",[1]ARBOR!$A:$C,3,0),6)),-TRUNC(GS14/VLOOKUP("PCS-OzTL32",[1]ARBOR!$A:$C,3,0)-1,4)+0.0001,-TRUNC(GS14/VLOOKUP("PCS-OzTL32",[1]ARBOR!$A:$C,3,0)-1,4)))))</f>
        <v>9.1800000000000007E-2</v>
      </c>
      <c r="GU14" s="204" t="s">
        <v>163</v>
      </c>
      <c r="GV14" s="129">
        <v>29.9</v>
      </c>
      <c r="GW14" s="127">
        <f>IF(GV14=0,"",IF(GV14=VLOOKUP("PCS-OzTL33",[1]ARBOR!$A:$C,3,0),0.0001,IF(GV14&gt;VLOOKUP("PCS-OzTL33",[1]ARBOR!$A:$C,3,0),"Maior que CAP!",IF((DOLLAR(GV14+(VLOOKUP("PCS-OzTL33",[1]ARBOR!$A:$C,3,0)*-TRUNC(GV14/VLOOKUP("PCS-OzTL33",[1]ARBOR!$A:$C,3,0)-1,4)),6))&lt;&gt;(DOLLAR(VLOOKUP("PCS-OzTL33",[1]ARBOR!$A:$C,3,0),6)),-TRUNC(GV14/VLOOKUP("PCS-OzTL33",[1]ARBOR!$A:$C,3,0)-1,4)+0.0001,-TRUNC(GV14/VLOOKUP("PCS-OzTL33",[1]ARBOR!$A:$C,3,0)-1,4)))))</f>
        <v>9.1800000000000007E-2</v>
      </c>
      <c r="GX14" s="204" t="s">
        <v>164</v>
      </c>
      <c r="GY14" s="129">
        <v>14.9</v>
      </c>
      <c r="GZ14" s="127">
        <f>IF(GY14=0,"",IF(GY14=VLOOKUP("PCS-OzTL503",[1]ARBOR!$A:$C,3,0),0.0001,IF(GY14&gt;VLOOKUP("PCS-OzTL503",[1]ARBOR!$A:$C,3,0),"Maior que CAP!",IF((DOLLAR(GY14+(VLOOKUP("PCS-OzTL503",[1]ARBOR!$A:$C,3,0)*-TRUNC(GY14/VLOOKUP("PCS-OzTL503",[1]ARBOR!$A:$C,3,0)-1,4)),6))&lt;&gt;(DOLLAR(VLOOKUP("PCS-OzTL503",[1]ARBOR!$A:$C,3,0),6)),-TRUNC(GY14/VLOOKUP("PCS-OzTL503",[1]ARBOR!$A:$C,3,0)-1,4)+0.0001,-TRUNC(GY14/VLOOKUP("PCS-OzTL503",[1]ARBOR!$A:$C,3,0)-1,4)))))</f>
        <v>9.1499999999999998E-2</v>
      </c>
      <c r="HA14" s="204" t="s">
        <v>165</v>
      </c>
      <c r="HB14" s="129">
        <v>10</v>
      </c>
      <c r="HC14" s="127">
        <f>IF(HB14=0,"",IF(HB14=VLOOKUP("PCS-OzTL500",[1]ARBOR!$A:$C,3,0),0.0001,IF(HB14&gt;VLOOKUP("PCS-OzTL500",[1]ARBOR!$A:$C,3,0),"Maior que CAP!",IF((DOLLAR(HB14+(VLOOKUP("PCS-OzTL500",[1]ARBOR!$A:$C,3,0)*-TRUNC(HB14/VLOOKUP("PCS-OzTL500",[1]ARBOR!$A:$C,3,0)-1,4)),6))&lt;&gt;(DOLLAR(VLOOKUP("PCS-OzTL500",[1]ARBOR!$A:$C,3,0),6)),-TRUNC(HB14/VLOOKUP("PCS-OzTL500",[1]ARBOR!$A:$C,3,0)-1,4)+0.0001,-TRUNC(HB14/VLOOKUP("PCS-OzTL500",[1]ARBOR!$A:$C,3,0)-1,4)))))</f>
        <v>9.1800000000000007E-2</v>
      </c>
      <c r="HD14" s="204" t="s">
        <v>166</v>
      </c>
      <c r="HE14" s="129" t="s">
        <v>167</v>
      </c>
      <c r="HF14" s="127"/>
      <c r="HG14" s="204"/>
      <c r="HH14" s="129" t="s">
        <v>168</v>
      </c>
      <c r="HI14" s="127"/>
      <c r="HJ14" s="204"/>
      <c r="HK14" s="129" t="s">
        <v>169</v>
      </c>
      <c r="HL14" s="127"/>
      <c r="HM14" s="204"/>
      <c r="HN14" s="129" t="s">
        <v>170</v>
      </c>
      <c r="HO14" s="127"/>
      <c r="HP14" s="204"/>
      <c r="HQ14" s="129" t="s">
        <v>171</v>
      </c>
      <c r="HR14" s="127"/>
      <c r="HS14" s="204"/>
      <c r="HT14" s="129">
        <v>24.9</v>
      </c>
      <c r="HU14" s="127">
        <f>IF(HT14=0,"",IF(HT14=VLOOKUP("PCS-OzTL99",[1]ARBOR!$A:$C,3,0),0.0001,IF(HT14&gt;VLOOKUP("PCS-OzTL99",[1]ARBOR!$A:$C,3,0),"Maior que CAP!",IF((DOLLAR(HT14+(VLOOKUP("PCS-OzTL99",[1]ARBOR!$A:$C,3,0)*-TRUNC(HT14/VLOOKUP("PCS-OzTL99",[1]ARBOR!$A:$C,3,0)-1,4)),6))&lt;&gt;(DOLLAR(VLOOKUP("PCS-OzTL99",[1]ARBOR!$A:$C,3,0),6)),-TRUNC(HT14/VLOOKUP("PCS-OzTL99",[1]ARBOR!$A:$C,3,0)-1,4)+0.0001,-TRUNC(HT14/VLOOKUP("PCS-OzTL99",[1]ARBOR!$A:$C,3,0)-1,4)))))</f>
        <v>0.16729999999999998</v>
      </c>
      <c r="HV14" s="205" t="s">
        <v>172</v>
      </c>
      <c r="HW14" s="196" t="s">
        <v>149</v>
      </c>
      <c r="HX14" s="204" t="str">
        <f t="shared" si="4"/>
        <v>PCS-34704</v>
      </c>
      <c r="HY14" s="206" t="str">
        <f>IFERROR((IF(AZ14="","",VLOOKUP(AZ14,[1]ARBOR!A:C,3,0))),"")</f>
        <v/>
      </c>
      <c r="HZ14" s="207"/>
      <c r="IA14" s="184" t="str">
        <f>IF(HZ14="","",ROUND(1-(HZ14/VLOOKUP(AZ14&amp;"ASS",[1]ARBOR!A:C,3,0)),4))</f>
        <v/>
      </c>
      <c r="IB14" s="184"/>
      <c r="IC14" s="208"/>
      <c r="ID14" s="209"/>
      <c r="IE14" s="127" t="str">
        <f>IF(ID14="","",ROUND(IF(ID14=0,"",IF(ID14=HY14,0.0001,1-((ID14+(VLOOKUP(AZ14&amp;"ASS",[1]ARBOR!A:C,3,0)-HZ14))/HY14))),4))</f>
        <v/>
      </c>
      <c r="IF14" s="127" t="str">
        <f>IF(ISERROR(IF(IE14="","",VLOOKUP(($AY14&amp;IE14&amp;"Template de desconto percentual FLAT Móvel - Conta Total - Varejo - Ganho Tributário Cross"),[1]BENEFICIOS!$A:$E,5,0))),"Criar",IF(IE14="","",VLOOKUP(($AY14&amp;IE14&amp;"Template de desconto percentual FLAT Móvel - Conta Total - Varejo - Ganho Tributário Cross"),[1]BENEFICIOS!$A:$E,5,0)))</f>
        <v/>
      </c>
      <c r="IG14" s="193"/>
      <c r="IH14" s="127"/>
      <c r="II14" s="210"/>
      <c r="IJ14" s="211"/>
      <c r="IK14" s="127"/>
      <c r="IL14" s="127"/>
      <c r="IM14" s="212"/>
      <c r="IN14" s="212"/>
      <c r="IO14" s="213"/>
      <c r="IP14" s="214" t="str">
        <f>IF(IO14=0,"",IF(IO14=VLOOKUP("PCS-813566",[1]ARBOR!$A:$C,3,0),0.0001,IF(IO14&gt;VLOOKUP("PCS-813566",[1]ARBOR!$A:$C,3,0),"Maior que CAP!",ROUND(-1*(IO14/VLOOKUP("PCS-813566",[1]ARBOR!$A:$C,3,0)-1),4))))</f>
        <v/>
      </c>
      <c r="IQ14" s="215" t="str">
        <f>IF(ISERROR(IF(IP14="","",VLOOKUP(("Oi Internet Pra Celular 300MB"&amp;IP14&amp;"Template Flat Instância Dados"),[1]BENEFICIOS!$A:$E,5,0))),"Criar",IF(IP14="","",VLOOKUP(("Oi Internet Pra Celular 300MB"&amp;IP14&amp;"Template Flat Instância Dados"),[1]BENEFICIOS!$A:$E,5,0)))</f>
        <v/>
      </c>
      <c r="IR14" s="216"/>
      <c r="IS14" s="217" t="str">
        <f>IF(IR14=0,"",IF(IR14=VLOOKUP("sva_bancas",[1]ARBOR!$A:$C,3,0),0.0001,IF(IR14&gt;VLOOKUP("sva_livros",[1]ARBOR!$A:$C,3,0),"Maior que CAP!",ROUND(-1*(IR14/VLOOKUP("sva_bancas",[1]ARBOR!$A:$C,3,0)-1),4))))</f>
        <v/>
      </c>
      <c r="IT14" s="218" t="str">
        <f>IF(ISERROR(IF(IS14="","",VLOOKUP(("Oi Internet Pra Celular 300MB"&amp;IS14&amp;"Template Desconto % SVA DADOS B2C"),[1]BENEFICIOS!$A:$E,5,0))),"Criar",IF(IS14="","",VLOOKUP(("Oi Internet Pra Celular 300MB"&amp;IS14&amp;"Template Desconto % SVA DADOS B2C"),[1]BENEFICIOS!$A:$E,5,0)))</f>
        <v/>
      </c>
      <c r="IU14" s="213"/>
      <c r="IV14" s="214" t="str">
        <f>IF(IU14=0,"",IF(IU14=VLOOKUP("PCS-813564",[1]ARBOR!$A:$C,3,0),0.0001,IF(IU14&gt;VLOOKUP("PCS-813564",[1]ARBOR!$A:$C,3,0),"Maior que CAP!",ROUND(-1*(IU14/VLOOKUP("PCS-813564",[1]ARBOR!$A:$C,3,0)-1),4))))</f>
        <v/>
      </c>
      <c r="IW14" s="215" t="str">
        <f>IF(ISERROR(IF(IV14="","",VLOOKUP(("Oi Internet Pra Celular 500MB"&amp;IV14&amp;"Template Flat Instância Dados"),[1]BENEFICIOS!$A:$E,5,0))),"Criar",IF(IV14="","",VLOOKUP(("Oi Internet Pra Celular 500MB"&amp;IV14&amp;"Template Flat Instância Dados"),[1]BENEFICIOS!$A:$E,5,0)))</f>
        <v/>
      </c>
      <c r="IX14" s="216"/>
      <c r="IY14" s="217" t="str">
        <f>IF(IX14=0,"",IF(IX14=VLOOKUP("sva_livros",[1]ARBOR!$A:$C,3,0),0.0001,IF(IX14&gt;VLOOKUP("sva_livros",[1]ARBOR!$A:$C,3,0),"Maior que CAP!",ROUND(-1*(IX14/VLOOKUP("sva_livros",[1]ARBOR!$A:$C,3,0)-1),4))))</f>
        <v/>
      </c>
      <c r="IZ14" s="218" t="str">
        <f>IF(ISERROR(IF(IY14="","",VLOOKUP(("Oi Internet Pra Celular 500MB"&amp;IY14&amp;"Template Desconto % SVA DADOS B2C"),[1]BENEFICIOS!$A:$E,5,0))),"Criar",IF(IY14="","",VLOOKUP(("Oi Internet Pra Celular 500MB"&amp;IY14&amp;"Template Desconto % SVA DADOS B2C"),[1]BENEFICIOS!$A:$E,5,0)))</f>
        <v/>
      </c>
      <c r="JA14" s="213"/>
      <c r="JB14" s="214" t="str">
        <f>IF(JA14=0,"",IF(JA14=VLOOKUP("PCS-10357",[1]ARBOR!$A:$C,3,0),0.0001,IF(JA14&gt;VLOOKUP("PCS-10357",[1]ARBOR!$A:$C,3,0),"Maior que CAP!",ROUND(-1*(JA14/VLOOKUP("PCS-10357",[1]ARBOR!$A:$C,3,0)-1),4))))</f>
        <v/>
      </c>
      <c r="JC14" s="215" t="str">
        <f>IF(ISERROR(IF(JB14="","",VLOOKUP(("Oi Internet Pra Celular 1GB"&amp;JB14&amp;"Template Flat Instância Dados"),[1]BENEFICIOS!$A:$E,5,0))),"Criar",IF(JB14="","",VLOOKUP(("Oi Internet Pra Celular 1GB"&amp;JB14&amp;"Template Flat Instância Dados"),[1]BENEFICIOS!$A:$E,5,0)))</f>
        <v/>
      </c>
      <c r="JD14" s="216"/>
      <c r="JE14" s="217" t="str">
        <f>IF(JD14=0,"",IF(JD14=VLOOKUP("sva_livros",[1]ARBOR!$A:$C,3,0),0.0001,IF(JD14&gt;VLOOKUP("sva_livros",[1]ARBOR!$A:$C,3,0),"Maior que CAP!",ROUND(-1*(JD14/VLOOKUP("sva_livros",[1]ARBOR!$A:$C,3,0)-1),4))))</f>
        <v/>
      </c>
      <c r="JF14" s="218" t="str">
        <f>IF(ISERROR(IF(JE14="","",VLOOKUP(("Oi Internet Pra Celular 1GB"&amp;JE14&amp;"Template Desconto % SVA DADOS B2C"),[1]BENEFICIOS!$A:$E,5,0))),"Criar",IF(JE14="","",VLOOKUP(("Oi Internet Pra Celular 1GB"&amp;JE14&amp;"Template Desconto % SVA DADOS B2C"),[1]BENEFICIOS!$A:$E,5,0)))</f>
        <v/>
      </c>
      <c r="JG14" s="213"/>
      <c r="JH14" s="214" t="str">
        <f>IF(JG14=0,"",IF(JG14=VLOOKUP("PCS-813565",[1]ARBOR!$A:$C,3,0),0.0001,IF(JG14&gt;VLOOKUP("PCS-813565",[1]ARBOR!$A:$C,3,0),"Maior que CAP!",ROUND(-1*(JG14/VLOOKUP("PCS-813565",[1]ARBOR!$A:$C,3,0)-1),4))))</f>
        <v/>
      </c>
      <c r="JI14" s="215" t="str">
        <f>IF(ISERROR(IF(JH14="","",VLOOKUP(("Oi Internet Pra Celular 2GB"&amp;JH14&amp;"Template Flat Instância Dados"),[1]BENEFICIOS!$A:$E,5,0))),"Criar",IF(JH14="","",VLOOKUP(("Oi Internet Pra Celular 2GB"&amp;JH14&amp;"Template Flat Instância Dados"),[1]BENEFICIOS!$A:$E,5,0)))</f>
        <v/>
      </c>
      <c r="JJ14" s="216"/>
      <c r="JK14" s="217" t="str">
        <f>IF(JJ14=0,"",IF(JJ14=VLOOKUP("sva_livros",[1]ARBOR!$A:$C,3,0),0.0001,IF(JJ14&gt;VLOOKUP("sva_livros",[1]ARBOR!$A:$C,3,0),"Maior que CAP!",ROUND(-1*(JJ14/VLOOKUP("sva_livros",[1]ARBOR!$A:$C,3,0)-1),4))))</f>
        <v/>
      </c>
      <c r="JL14" s="218" t="str">
        <f>IF(ISERROR(IF(JK14="","",VLOOKUP(("Oi Internet Pra Celular 2GB"&amp;JK14&amp;"Template Desconto % SVA DADOS B2C"),[1]BENEFICIOS!$A:$E,5,0))),"Criar",IF(JK14="","",VLOOKUP(("Oi Internet Pra Celular 2GB"&amp;JK14&amp;"Template Desconto % SVA DADOS B2C"),[1]BENEFICIOS!$A:$E,5,0)))</f>
        <v/>
      </c>
      <c r="JM14" s="213"/>
      <c r="JN14" s="214" t="str">
        <f>IF(JM14=0,"",IF(JM14=VLOOKUP("PCS-7171B",[1]ARBOR!$A:$C,3,0),0.0001,IF(JM14&gt;VLOOKUP("PCS-7171B",[1]ARBOR!$A:$C,3,0),"Maior que CAP!",ROUND(-1*(JM14/VLOOKUP("PCS-7171B",[1]ARBOR!$A:$C,3,0)-1),4))))</f>
        <v/>
      </c>
      <c r="JO14" s="215" t="str">
        <f>IF(ISERROR(IF(JN14="","",VLOOKUP(("Oi Internet Pra Celular 3GB"&amp;JN14&amp;"Template Flat Instância Dados"),[1]BENEFICIOS!$A:$E,5,0))),"Criar",IF(JN14="","",VLOOKUP(("Oi Internet Pra Celular 3GB"&amp;JN14&amp;"Template Flat Instância Dados"),[1]BENEFICIOS!$A:$E,5,0)))</f>
        <v/>
      </c>
      <c r="JP14" s="216"/>
      <c r="JQ14" s="217" t="str">
        <f>IF(JP14=0,"",IF(JP14=VLOOKUP("sva_livros",[1]ARBOR!$A:$C,3,0),0.0001,IF(JP14&gt;VLOOKUP("sva_livros",[1]ARBOR!$A:$C,3,0),"Maior que CAP!",ROUND(-1*(JP14/VLOOKUP("sva_livros",[1]ARBOR!$A:$C,3,0)-1),4))))</f>
        <v/>
      </c>
      <c r="JR14" s="218" t="str">
        <f>IF(ISERROR(IF(JQ14="","",VLOOKUP(("Oi Internet Pra Celular 3GB"&amp;JQ14&amp;"Template Desconto % SVA DADOS B2C"),[1]BENEFICIOS!$A:$E,5,0))),"Criar",IF(JQ14="","",VLOOKUP(("Oi Internet Pra Celular 3GB"&amp;JQ14&amp;"Template Desconto % SVA DADOS B2C"),[1]BENEFICIOS!$A:$E,5,0)))</f>
        <v/>
      </c>
      <c r="JS14" s="213"/>
      <c r="JT14" s="214" t="str">
        <f>IF(JS14=0,"",IF(JS14=VLOOKUP("PCS-51793o08",[1]ARBOR!$A:$C,3,0),0.0001,IF(JS14&gt;VLOOKUP("PCS-51793o08",[1]ARBOR!$A:$C,3,0),"Maior que CAP!",ROUND(-1*(JS14/VLOOKUP("PCS-51793o08",[1]ARBOR!$A:$C,3,0)-1),4))))</f>
        <v/>
      </c>
      <c r="JU14" s="215" t="str">
        <f>IF(ISERROR(IF(JT14="","",VLOOKUP(("Oi Internet Pra Celular 5GB"&amp;JT14&amp;"Template Flat Instância Dados"),[1]BENEFICIOS!$A:$E,5,0))),"Criar",IF(JT14="","",VLOOKUP(("Oi Internet Pra Celular 5GB"&amp;JT14&amp;"Template Flat Instância Dados"),[1]BENEFICIOS!$A:$E,5,0)))</f>
        <v/>
      </c>
      <c r="JV14" s="216"/>
      <c r="JW14" s="217" t="str">
        <f>IF(JV14=0,"",IF(JV14=VLOOKUP("sva_curtas",[1]ARBOR!$A:$C,3,0),0.0001,IF(JV14&gt;VLOOKUP("sva_curtas",[1]ARBOR!$A:$C,3,0),"Maior que CAP!",ROUND(-1*(JV14/VLOOKUP("sva_curtas",[1]ARBOR!$A:$C,3,0)-1),4))))</f>
        <v/>
      </c>
      <c r="JX14" s="218" t="str">
        <f>IF(ISERROR(IF(JW14="","",VLOOKUP(("Oi Internet Pra Celular 5GB"&amp;JW14&amp;"Template Desconto % SVA DADOS B2C"),[1]BENEFICIOS!$A:$E,5,0))),"Criar",IF(JW14="","",VLOOKUP(("Oi Internet Pra Celular 5GB"&amp;JW14&amp;"Template Desconto % SVA DADOS B2C"),[1]BENEFICIOS!$A:$E,5,0)))</f>
        <v/>
      </c>
      <c r="JY14" s="213"/>
      <c r="JZ14" s="214" t="str">
        <f>IF(JY14=0,"",IF(JY14=VLOOKUP("PCS-7171A",[1]ARBOR!$A:$C,3,0),0.0001,IF(JY14&gt;VLOOKUP("PCS-7171A",[1]ARBOR!$A:$C,3,0),"Maior que CAP!",ROUND(-1*(JY14/VLOOKUP("PCS-7171A",[1]ARBOR!$A:$C,3,0)-1),4))))</f>
        <v/>
      </c>
      <c r="KA14" s="219" t="str">
        <f>IF(ISERROR(IF(JZ14="","",VLOOKUP(("Oi Internet Pra Celular 10GB"&amp;JZ14&amp;"Template Flat Instância Dados"),[1]BENEFICIOS!$A:$E,5,0))),"Criar",IF(JZ14="","",VLOOKUP(("Oi Internet Pra Celular 10GB"&amp;JZ14&amp;"Template Flat Instância Dados"),[1]BENEFICIOS!$A:$E,5,0)))</f>
        <v/>
      </c>
      <c r="KB14" s="216"/>
      <c r="KC14" s="217" t="str">
        <f>IF(KB14=0,"",IF(KB14=VLOOKUP("sva_curtas",[1]ARBOR!$A:$C,3,0),0.0001,IF(KB14&gt;VLOOKUP("sva_curtas",[1]ARBOR!$A:$C,3,0),"Maior que CAP!",ROUND(-1*(KB14/VLOOKUP("sva_curtas",[1]ARBOR!$A:$C,3,0)-1),4))))</f>
        <v/>
      </c>
      <c r="KD14" s="218" t="str">
        <f>IF(ISERROR(IF(KC14="","",VLOOKUP(("Oi Internet Pra Celular 10GB"&amp;KC14&amp;"Template Desconto % SVA DADOS B2C"),[1]BENEFICIOS!$A:$E,5,0))),"Criar",IF(KC14="","",VLOOKUP(("Oi Internet Pra Celular 10GB"&amp;KC14&amp;"Template Desconto % SVA DADOS B2C"),[1]BENEFICIOS!$A:$E,5,0)))</f>
        <v/>
      </c>
      <c r="KE14" s="220"/>
      <c r="KF14" s="221"/>
      <c r="KG14" s="222" t="s">
        <v>149</v>
      </c>
      <c r="KH14" s="223" t="s">
        <v>173</v>
      </c>
      <c r="KI14" s="224">
        <v>899</v>
      </c>
      <c r="KJ14" s="223">
        <v>12</v>
      </c>
      <c r="KK14" s="225" t="str">
        <f t="shared" si="5"/>
        <v>Oi benefício fidelização Multiprodutos</v>
      </c>
      <c r="KL14" s="226" t="str">
        <f t="shared" si="6"/>
        <v>PCS-Fk83324</v>
      </c>
      <c r="KM14" s="226" t="str">
        <f t="shared" si="7"/>
        <v>PCS-SBL553142</v>
      </c>
      <c r="KN14" s="227" t="s">
        <v>174</v>
      </c>
      <c r="KO14" s="228" t="s">
        <v>175</v>
      </c>
      <c r="KP14" s="228" t="s">
        <v>176</v>
      </c>
      <c r="KQ14" s="227" t="s">
        <v>177</v>
      </c>
      <c r="KR14" s="225" t="s">
        <v>178</v>
      </c>
      <c r="KS14" s="226" t="s">
        <v>179</v>
      </c>
      <c r="KT14" s="229" t="s">
        <v>180</v>
      </c>
      <c r="KU14" s="155" t="s">
        <v>181</v>
      </c>
      <c r="KV14" s="155" t="s">
        <v>181</v>
      </c>
      <c r="KW14" s="155" t="s">
        <v>181</v>
      </c>
      <c r="KX14" s="155" t="s">
        <v>181</v>
      </c>
      <c r="KY14" s="155" t="s">
        <v>181</v>
      </c>
      <c r="KZ14" s="155" t="s">
        <v>181</v>
      </c>
      <c r="LA14" s="155" t="s">
        <v>181</v>
      </c>
      <c r="LB14" s="155" t="s">
        <v>181</v>
      </c>
      <c r="LC14" s="155" t="s">
        <v>181</v>
      </c>
      <c r="LD14" s="155" t="s">
        <v>181</v>
      </c>
      <c r="LE14" s="155" t="s">
        <v>181</v>
      </c>
      <c r="LF14" s="155" t="s">
        <v>181</v>
      </c>
      <c r="LG14" s="155" t="s">
        <v>181</v>
      </c>
      <c r="LH14" s="155" t="s">
        <v>181</v>
      </c>
      <c r="LI14" s="155" t="s">
        <v>181</v>
      </c>
      <c r="LJ14" s="155" t="s">
        <v>181</v>
      </c>
      <c r="LK14" s="230">
        <v>289.90999999999997</v>
      </c>
      <c r="LL14" s="238"/>
      <c r="LM14" s="239"/>
      <c r="LN14" s="239"/>
      <c r="LO14" s="239"/>
      <c r="LP14" s="239"/>
      <c r="LQ14" s="239"/>
      <c r="LR14" s="239"/>
      <c r="LS14" s="239"/>
      <c r="LT14" s="239"/>
      <c r="LU14" s="240"/>
      <c r="LV14" t="s">
        <v>210</v>
      </c>
      <c r="LW14" t="s">
        <v>183</v>
      </c>
    </row>
    <row r="15" spans="1:335" x14ac:dyDescent="0.25">
      <c r="A15" s="160" t="s">
        <v>146</v>
      </c>
      <c r="B15" s="161" t="s">
        <v>147</v>
      </c>
      <c r="C15" s="161" t="s">
        <v>148</v>
      </c>
      <c r="D15" s="162" t="s">
        <v>149</v>
      </c>
      <c r="E15" s="163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5"/>
      <c r="Q15" s="165"/>
      <c r="R15" s="165"/>
      <c r="S15" s="166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7"/>
      <c r="AF15" s="164"/>
      <c r="AG15" s="164"/>
      <c r="AH15" s="168"/>
      <c r="AI15" s="235" t="s">
        <v>211</v>
      </c>
      <c r="AJ15" s="85" t="s">
        <v>151</v>
      </c>
      <c r="AK15" s="86" t="s">
        <v>197</v>
      </c>
      <c r="AL15" s="169">
        <v>43039</v>
      </c>
      <c r="AM15" s="170">
        <v>43159</v>
      </c>
      <c r="AN15" s="89" t="s">
        <v>153</v>
      </c>
      <c r="AO15" s="90" t="s">
        <v>153</v>
      </c>
      <c r="AP15" s="171"/>
      <c r="AQ15" s="171" t="s">
        <v>154</v>
      </c>
      <c r="AR15" s="171">
        <v>20</v>
      </c>
      <c r="AS15" s="171">
        <v>10000</v>
      </c>
      <c r="AT15" s="172" t="s">
        <v>155</v>
      </c>
      <c r="AU15" s="173" t="s">
        <v>149</v>
      </c>
      <c r="AV15" s="174" t="s">
        <v>156</v>
      </c>
      <c r="AW15" s="175" t="s">
        <v>156</v>
      </c>
      <c r="AX15" s="176" t="s">
        <v>211</v>
      </c>
      <c r="AY15" s="177" t="s">
        <v>185</v>
      </c>
      <c r="AZ15" s="178" t="str">
        <f>IF(ISERROR(VLOOKUP(AY15,[1]PLANOS!B:C,2,0)),"",VLOOKUP(AY15,[1]PLANOS!B:C,2,0))</f>
        <v>PCS-3PMepi</v>
      </c>
      <c r="BA15" s="179" t="s">
        <v>156</v>
      </c>
      <c r="BB15" s="180" t="str">
        <f t="shared" si="1"/>
        <v/>
      </c>
      <c r="BC15" s="181"/>
      <c r="BD15" s="182"/>
      <c r="BE15" s="183">
        <v>50.11</v>
      </c>
      <c r="BF15" s="127">
        <f>IF(BE15=0,"",IF(BE15=VLOOKUP("FIXO",[1]ARBOR!$A:$C,3,0),0.0001,IF(BE15&gt;VLOOKUP("FIXO",[1]ARBOR!$A:$C,3,0),"Maior que CAP!",IF((DOLLAR(BE15+(VLOOKUP("FIXO",[1]ARBOR!$A:$C,3,0)*-TRUNC(BE15/VLOOKUP("FIXO",[1]ARBOR!$A:$C,3,0)-1,4)),6))&lt;&gt;(DOLLAR(VLOOKUP("FIXO",[1]ARBOR!$A:$C,3,0),6)),-TRUNC(BE15/VLOOKUP("FIXO",[1]ARBOR!$A:$C,3,0)-1,4)+0.0001,-TRUNC(BE15/VLOOKUP("FIXO",[1]ARBOR!$A:$C,3,0)-1,4)))))</f>
        <v>0.33929999999999999</v>
      </c>
      <c r="BG15" s="184"/>
      <c r="BH15" s="127" t="str">
        <f>IF(BG15=0,"",IF(BG15=VLOOKUP("FIXO",[1]ARBOR!$A:$C,3,0),0.0001,IF(BG15&gt;VLOOKUP("FIXO",[1]ARBOR!$A:$C,3,0),"Maior que CAP!",IF((DOLLAR(BG15+(VLOOKUP("FIXO",[1]ARBOR!$A:$C,3,0)*-TRUNC(BG15/VLOOKUP("FIXO",[1]ARBOR!$A:$C,3,0)-1,4)),6))&lt;&gt;(DOLLAR(VLOOKUP("FIXO",[1]ARBOR!$A:$C,3,0),6)),-TRUNC(BG15/VLOOKUP("FIXO",[1]ARBOR!$A:$C,3,0)-1,4)+0.0001,-TRUNC(BG15/VLOOKUP("FIXO",[1]ARBOR!$A:$C,3,0)-1,4)))))</f>
        <v/>
      </c>
      <c r="BI15" s="127" t="str">
        <f>IF(ISERROR(IF(BF15="","",VLOOKUP(($AY15&amp;BF15&amp;"Template de desconto FLAT bundle - Fixo - Varejo - Ganho Tributário Cross"),[1]BENEFICIOS!$A:$E,5,0))),"Criar",IF(BF15="","",VLOOKUP(($AY15&amp;BF15&amp;"Template de desconto FLAT bundle - Fixo - Varejo - Ganho Tributário Cross"),[1]BENEFICIOS!$A:$E,5,0)))</f>
        <v>MKT-1-9825718835</v>
      </c>
      <c r="BJ15" s="185"/>
      <c r="BK15" s="127" t="str">
        <f t="shared" si="2"/>
        <v/>
      </c>
      <c r="BL15" s="186"/>
      <c r="BM15" s="127" t="str">
        <f>IF(BL15=0,"",IF(BL15=VLOOKUP("FIXO",[1]ARBOR!$A:$C,3,0),0.0001,IF(BL15&gt;VLOOKUP("FIXO",[1]ARBOR!$A:$C,3,0),"Maior que CAP!",IF(BF15&lt;&gt;"",-ROUND(BL15/VLOOKUP("FIXO",[1]ARBOR!$A:$C,3,0)-1,4)-BF15,-ROUND(BL15/VLOOKUP("FIXO",[1]ARBOR!$A:$C,3,0)-1,4)))))</f>
        <v/>
      </c>
      <c r="BN15" s="187"/>
      <c r="BO15" s="127" t="str">
        <f>IF(ISERROR(IF(BK15="","",VLOOKUP(($AY15&amp;BK15&amp;"Template de desconto FLAT bundle - Fixo - Varejo - Ganho Tributário Cross"),[1]BENEFICIOS!$A:$E,5,0))),"Criar",IF(BK15="","",VLOOKUP(($AY15&amp;BK15&amp;"Template de desconto FLAT bundle - Fixo - Varejo - Ganho Tributário Cross"),[1]BENEFICIOS!$A:$E,5,0)))</f>
        <v/>
      </c>
      <c r="BP15" s="188" t="s">
        <v>158</v>
      </c>
      <c r="BQ15" s="189" t="s">
        <v>159</v>
      </c>
      <c r="BR15" s="190" t="s">
        <v>156</v>
      </c>
      <c r="BS15" s="191" t="str">
        <f t="shared" si="0"/>
        <v/>
      </c>
      <c r="BT15" s="181"/>
      <c r="BU15" s="192"/>
      <c r="BV15" s="193" t="s">
        <v>198</v>
      </c>
      <c r="BW15" s="194">
        <v>44.9</v>
      </c>
      <c r="BX15" s="127">
        <f>IF(BW15=0,"",IF(BW15=VLOOKUP("PCS-30874g",[1]ARBOR!$A:$C,3,0),0.0001,IF(BW15&gt;VLOOKUP("PCS-30874g",[1]ARBOR!$A:$C,3,0),"Maior que CAP!",IF((DOLLAR(BW15+(VLOOKUP("PCS-30874g",[1]ARBOR!$A:$C,3,0)*-TRUNC(BW15/VLOOKUP("PCS-30874g",[1]ARBOR!$A:$C,3,0)-1,4)),6))&lt;&gt;(DOLLAR(VLOOKUP("PCS-30874g",[1]ARBOR!$A:$C,3,0),6)),-TRUNC(BW15/VLOOKUP("PCS-30874g",[1]ARBOR!$A:$C,3,0)-1,4)+0.0001,-TRUNC(BW15/VLOOKUP("PCS-30874g",[1]ARBOR!$A:$C,3,0)-1,4)))))</f>
        <v>0.53679999999999994</v>
      </c>
      <c r="BY15" s="189" t="str">
        <f>IF(ISERROR(IF(BX15="","",VLOOKUP(($AY15&amp;BX15&amp;"Template de desconto FLAT bundle - Velox XDSL - Varejo"),[1]BENEFICIOS!$A:$E,5,0))),"Criar",IF(BX15="","",VLOOKUP(($AY15&amp;BX15&amp;"Template de desconto FLAT bundle - Velox XDSL - Varejo"),[1]BENEFICIOS!$A:$E,5,0)))</f>
        <v>MKT-1-9828849818</v>
      </c>
      <c r="BZ15" s="193" t="s">
        <v>198</v>
      </c>
      <c r="CA15" s="194">
        <v>44.9</v>
      </c>
      <c r="CB15" s="127">
        <f>IF(CA15=0,"",IF(CA15=VLOOKUP("PCS-30577g",[1]ARBOR!$A:$C,3,0),0.0001,IF(CA15&gt;VLOOKUP("PCS-30577g",[1]ARBOR!$A:$C,3,0),"Maior que CAP!",IF((DOLLAR(CA15+(VLOOKUP("PCS-30577g",[1]ARBOR!$A:$C,3,0)*-TRUNC(CA15/VLOOKUP("PCS-30577g",[1]ARBOR!$A:$C,3,0)-1,4)),6))&lt;&gt;(DOLLAR(VLOOKUP("PCS-30577g",[1]ARBOR!$A:$C,3,0),6)),-TRUNC(CA15/VLOOKUP("PCS-30577g",[1]ARBOR!$A:$C,3,0)-1,4)+0.0001,-TRUNC(CA15/VLOOKUP("PCS-30577g",[1]ARBOR!$A:$C,3,0)-1,4)))))</f>
        <v>0.53679999999999994</v>
      </c>
      <c r="CC15" s="189" t="str">
        <f>IF(ISERROR(IF(CB15="","",VLOOKUP(($AY15&amp;CB15&amp;"Template de desconto FLAT bundle - Velox XDSL - Varejo"),[1]BENEFICIOS!$A:$E,5,0))),"Criar",IF(CB15="","",VLOOKUP(($AY15&amp;CB15&amp;"Template de desconto FLAT bundle - Velox XDSL - Varejo"),[1]BENEFICIOS!$A:$E,5,0)))</f>
        <v>MKT-1-9828849818</v>
      </c>
      <c r="CD15" s="193" t="s">
        <v>198</v>
      </c>
      <c r="CE15" s="194">
        <v>44.9</v>
      </c>
      <c r="CF15" s="127">
        <f>IF(CE15=0,"",IF(CE15=VLOOKUP("PCS-30604g",[1]ARBOR!$A:$C,3,0),0.0001,IF(CE15&gt;VLOOKUP("PCS-30604g",[1]ARBOR!$A:$C,3,0),"Maior que CAP!",IF((DOLLAR(CE15+(VLOOKUP("PCS-30604g",[1]ARBOR!$A:$C,3,0)*-TRUNC(CE15/VLOOKUP("PCS-30604g",[1]ARBOR!$A:$C,3,0)-1,4)),6))&lt;&gt;(DOLLAR(VLOOKUP("PCS-30604g",[1]ARBOR!$A:$C,3,0),6)),-TRUNC(CE15/VLOOKUP("PCS-30604g",[1]ARBOR!$A:$C,3,0)-1,4)+0.0001,-TRUNC(CE15/VLOOKUP("PCS-30604g",[1]ARBOR!$A:$C,3,0)-1,4)))))</f>
        <v>0.53679999999999994</v>
      </c>
      <c r="CG15" s="189" t="str">
        <f>IF(ISERROR(IF(CF15="","",VLOOKUP(($AY15&amp;CF15&amp;"Template de desconto FLAT bundle - Velox XDSL - Varejo"),[1]BENEFICIOS!$A:$E,5,0))),"Criar",IF(CF15="","",VLOOKUP(($AY15&amp;CF15&amp;"Template de desconto FLAT bundle - Velox XDSL - Varejo"),[1]BENEFICIOS!$A:$E,5,0)))</f>
        <v>MKT-1-9828849818</v>
      </c>
      <c r="CH15" s="193" t="s">
        <v>198</v>
      </c>
      <c r="CI15" s="194">
        <v>44.9</v>
      </c>
      <c r="CJ15" s="127">
        <f>IF(CI15=0,"",IF(CI15=VLOOKUP("PCS-30631g",[1]ARBOR!$A:$C,3,0),0.0001,IF(CI15&gt;VLOOKUP("PCS-30631g",[1]ARBOR!$A:$C,3,0),"Maior que CAP!",IF((DOLLAR(CI15+(VLOOKUP("PCS-30631g",[1]ARBOR!$A:$C,3,0)*-TRUNC(CI15/VLOOKUP("PCS-30631g",[1]ARBOR!$A:$C,3,0)-1,4)),6))&lt;&gt;(DOLLAR(VLOOKUP("PCS-30631g",[1]ARBOR!$A:$C,3,0),6)),-TRUNC(CI15/VLOOKUP("PCS-30631g",[1]ARBOR!$A:$C,3,0)-1,4)+0.0001,-TRUNC(CI15/VLOOKUP("PCS-30631g",[1]ARBOR!$A:$C,3,0)-1,4)))))</f>
        <v>0.54310000000000003</v>
      </c>
      <c r="CK15" s="189" t="str">
        <f>IF(ISERROR(IF(CJ15="","",VLOOKUP(($AY15&amp;CJ15&amp;"Template de desconto FLAT bundle - Velox XDSL - Varejo"),[1]BENEFICIOS!$A:$E,5,0))),"Criar",IF(CJ15="","",VLOOKUP(($AY15&amp;CJ15&amp;"Template de desconto FLAT bundle - Velox XDSL - Varejo"),[1]BENEFICIOS!$A:$E,5,0)))</f>
        <v>MKT-1-9828191916</v>
      </c>
      <c r="CL15" s="193" t="s">
        <v>86</v>
      </c>
      <c r="CM15" s="194">
        <v>49.9</v>
      </c>
      <c r="CN15" s="127">
        <f>IF(CM15=0,"",IF(CM15=VLOOKUP("PCS-30658g",[1]ARBOR!$A:$C,3,0),0.0001,IF(CM15&gt;VLOOKUP("PCS-30658g",[1]ARBOR!$A:$C,3,0),"Maior que CAP!",IF((DOLLAR(CM15+(VLOOKUP("PCS-30658g",[1]ARBOR!$A:$C,3,0)*-TRUNC(CM15/VLOOKUP("PCS-30658g",[1]ARBOR!$A:$C,3,0)-1,4)),6))&lt;&gt;(DOLLAR(VLOOKUP("PCS-30658g",[1]ARBOR!$A:$C,3,0),6)),-TRUNC(CM15/VLOOKUP("PCS-30658g",[1]ARBOR!$A:$C,3,0)-1,4)+0.0001,-TRUNC(CM15/VLOOKUP("PCS-30658g",[1]ARBOR!$A:$C,3,0)-1,4)))))</f>
        <v>0.55569999999999997</v>
      </c>
      <c r="CO15" s="189" t="str">
        <f>IF(ISERROR(IF(CN15="","",VLOOKUP(($AY15&amp;CN15&amp;"Template de desconto FLAT bundle - Velox XDSL - Varejo"),[1]BENEFICIOS!$A:$E,5,0))),"Criar",IF(CN15="","",VLOOKUP(($AY15&amp;CN15&amp;"Template de desconto FLAT bundle - Velox XDSL - Varejo"),[1]BENEFICIOS!$A:$E,5,0)))</f>
        <v>MKT-1-9828235005</v>
      </c>
      <c r="CP15" s="193" t="s">
        <v>86</v>
      </c>
      <c r="CQ15" s="194">
        <v>49.9</v>
      </c>
      <c r="CR15" s="127">
        <f>IF(CQ15=0,"",IF(CQ15=VLOOKUP("PCS-30685g",[1]ARBOR!$A:$C,3,0),0.0001,IF(CQ15&gt;VLOOKUP("PCS-30685g",[1]ARBOR!$A:$C,3,0),"Maior que CAP!",IF((DOLLAR(CQ15+(VLOOKUP("PCS-30685g",[1]ARBOR!$A:$C,3,0)*-TRUNC(CQ15/VLOOKUP("PCS-30685g",[1]ARBOR!$A:$C,3,0)-1,4)),6))&lt;&gt;(DOLLAR(VLOOKUP("PCS-30685g",[1]ARBOR!$A:$C,3,0),6)),-TRUNC(CQ15/VLOOKUP("PCS-30685g",[1]ARBOR!$A:$C,3,0)-1,4)+0.0001,-TRUNC(CQ15/VLOOKUP("PCS-30685g",[1]ARBOR!$A:$C,3,0)-1,4)))))</f>
        <v>0.60509999999999997</v>
      </c>
      <c r="CS15" s="189" t="str">
        <f>IF(ISERROR(IF(CR15="","",VLOOKUP(($AY15&amp;CR15&amp;"Template de desconto FLAT bundle - Velox XDSL - Varejo"),[1]BENEFICIOS!$A:$E,5,0))),"Criar",IF(CR15="","",VLOOKUP(($AY15&amp;CR15&amp;"Template de desconto FLAT bundle - Velox XDSL - Varejo"),[1]BENEFICIOS!$A:$E,5,0)))</f>
        <v>MKT-1-9828260224</v>
      </c>
      <c r="CT15" s="193" t="s">
        <v>86</v>
      </c>
      <c r="CU15" s="194">
        <v>49.9</v>
      </c>
      <c r="CV15" s="127">
        <f>IF(CU15=0,"",IF(CU15=VLOOKUP("PCS-30712g",[1]ARBOR!$A:$C,3,0),0.0001,IF(CU15&gt;VLOOKUP("PCS-30712g",[1]ARBOR!$A:$C,3,0),"Maior que CAP!",IF((DOLLAR(CU15+(VLOOKUP("PCS-30712g",[1]ARBOR!$A:$C,3,0)*-TRUNC(CU15/VLOOKUP("PCS-30712g",[1]ARBOR!$A:$C,3,0)-1,4)),6))&lt;&gt;(DOLLAR(VLOOKUP("PCS-30712g",[1]ARBOR!$A:$C,3,0),6)),-TRUNC(CU15/VLOOKUP("PCS-30712g",[1]ARBOR!$A:$C,3,0)-1,4)+0.0001,-TRUNC(CU15/VLOOKUP("PCS-30712g",[1]ARBOR!$A:$C,3,0)-1,4)))))</f>
        <v>0.64459999999999995</v>
      </c>
      <c r="CW15" s="189" t="str">
        <f>IF(ISERROR(IF(CV15="","",VLOOKUP(($AY15&amp;CV15&amp;"Template de desconto FLAT bundle - Velox XDSL - Varejo"),[1]BENEFICIOS!$A:$E,5,0))),"Criar",IF(CV15="","",VLOOKUP(($AY15&amp;CV15&amp;"Template de desconto FLAT bundle - Velox XDSL - Varejo"),[1]BENEFICIOS!$A:$E,5,0)))</f>
        <v>MKT-1-9828260833</v>
      </c>
      <c r="CX15" s="193" t="s">
        <v>86</v>
      </c>
      <c r="CY15" s="194">
        <v>59.9</v>
      </c>
      <c r="CZ15" s="127">
        <f>IF(CY15=0,"",IF(CY15=VLOOKUP("PCS-30739g",[1]ARBOR!$A:$C,3,0),0.0001,IF(CY15&gt;VLOOKUP("PCS-30739g",[1]ARBOR!$A:$C,3,0),"Maior que CAP!",IF((DOLLAR(CY15+(VLOOKUP("PCS-30739g",[1]ARBOR!$A:$C,3,0)*-TRUNC(CY15/VLOOKUP("PCS-30739g",[1]ARBOR!$A:$C,3,0)-1,4)),6))&lt;&gt;(DOLLAR(VLOOKUP("PCS-30739g",[1]ARBOR!$A:$C,3,0),6)),-TRUNC(CY15/VLOOKUP("PCS-30739g",[1]ARBOR!$A:$C,3,0)-1,4)+0.0001,-TRUNC(CY15/VLOOKUP("PCS-30739g",[1]ARBOR!$A:$C,3,0)-1,4)))))</f>
        <v>0.71560000000000001</v>
      </c>
      <c r="DA15" s="195" t="str">
        <f>IF(ISERROR(IF(CZ15="","",VLOOKUP(($AY15&amp;CZ15&amp;"Template de desconto FLAT bundle - Velox XDSL - Varejo"),[1]BENEFICIOS!$A:$E,5,0))),"Criar",IF(CZ15="","",VLOOKUP(($AY15&amp;CZ15&amp;"Template de desconto FLAT bundle - Velox XDSL - Varejo"),[1]BENEFICIOS!$A:$E,5,0)))</f>
        <v>MKT-1-9828272112</v>
      </c>
      <c r="DB15" s="196">
        <v>29.95</v>
      </c>
      <c r="DC15" s="241">
        <v>6</v>
      </c>
      <c r="DD15" s="127">
        <f>IF(DB15=0,"",IF(DB15=VLOOKUP("PCS-30739g",[1]ARBOR!$A:$C,3,0),0.0001,IF(DB15&gt;VLOOKUP("PCS-30739g",[1]ARBOR!$A:$C,3,0),"Maior que CAP!",IF((DOLLAR(DB15+(VLOOKUP("PCS-30739g",[1]ARBOR!$A:$C,3,0)*-TRUNC(DB15/VLOOKUP("PCS-30739g",[1]ARBOR!$A:$C,3,0)-1,4)),6))&lt;&gt;(DOLLAR(VLOOKUP("PCS-30739g",[1]ARBOR!$A:$C,3,0),6)),(-TRUNC(DB15/VLOOKUP("PCS-30739g",[1]ARBOR!$A:$C,3,0)-1,4)+0.0001)-CZ15,-TRUNC(DB15/VLOOKUP("PCS-30739g",[1]ARBOR!$A:$C,3,0)-1,4)-CZ15))))</f>
        <v>0.14219999999999999</v>
      </c>
      <c r="DE15" s="189" t="str">
        <f>IF(ISERROR(IF(DD15="","",VLOOKUP(($AY15&amp;DD15&amp;"Template de desconto percentual Bundle - Velox XDSL - Varejo"),[1]BENEFICIOS!$A:$E,5,0))),"Criar",IF(DD15="","",VLOOKUP(($AY15&amp;DD15&amp;"Template de desconto percentual Bundle - Velox XDSL - Varejo"),[1]BENEFICIOS!$A:$E,5,0)))</f>
        <v>MKT-1-9832066441</v>
      </c>
      <c r="DF15" s="193" t="s">
        <v>86</v>
      </c>
      <c r="DG15" s="194">
        <v>59.9</v>
      </c>
      <c r="DH15" s="127">
        <f>IF(DG15=0,"",IF(DG15=VLOOKUP("PCS-30766g",[1]ARBOR!$A:$C,3,0),0.0001,IF(DG15&gt;VLOOKUP("PCS-30766g",[1]ARBOR!$A:$C,3,0),"Maior que CAP!",IF((DOLLAR(DG15+(VLOOKUP("PCS-30766g",[1]ARBOR!$A:$C,3,0)*-TRUNC(DG15/VLOOKUP("PCS-30766g",[1]ARBOR!$A:$C,3,0)-1,4)),6))&lt;&gt;(DOLLAR(VLOOKUP("PCS-30766g",[1]ARBOR!$A:$C,3,0),6)),-TRUNC(DG15/VLOOKUP("PCS-30766g",[1]ARBOR!$A:$C,3,0)-1,4)+0.0001,-TRUNC(DG15/VLOOKUP("PCS-30766g",[1]ARBOR!$A:$C,3,0)-1,4)))))</f>
        <v>0.78669999999999995</v>
      </c>
      <c r="DI15" s="195" t="str">
        <f>IF(ISERROR(IF(DH15="","",VLOOKUP(($AY15&amp;DH15&amp;"Template de desconto FLAT bundle - Velox XDSL - Varejo"),[1]BENEFICIOS!$A:$E,5,0))),"Criar",IF(DH15="","",VLOOKUP(($AY15&amp;DH15&amp;"Template de desconto FLAT bundle - Velox XDSL - Varejo"),[1]BENEFICIOS!$A:$E,5,0)))</f>
        <v>MKT-1-9828278651</v>
      </c>
      <c r="DJ15" s="196">
        <v>29.95</v>
      </c>
      <c r="DK15" s="241">
        <v>6</v>
      </c>
      <c r="DL15" s="127">
        <f>IF(DJ15=0,"",IF(DJ15=VLOOKUP("PCS-30766g",[1]ARBOR!$A:$C,3,0),0.0001,IF(DJ15&gt;VLOOKUP("PCS-30766g",[1]ARBOR!$A:$C,3,0),"Maior que CAP!",IF((DOLLAR(DJ15+(VLOOKUP("PCS-30766g",[1]ARBOR!$A:$C,3,0)*-TRUNC(DJ15/VLOOKUP("PCS-30766g",[1]ARBOR!$A:$C,3,0)-1,4)),6))&lt;&gt;(DOLLAR(VLOOKUP("PCS-30766g",[1]ARBOR!$A:$C,3,0),6)),(-TRUNC(DJ15/VLOOKUP("PCS-30766g",[1]ARBOR!$A:$C,3,0)-1,4)+0.0001)-DH15,-TRUNC(DJ15/VLOOKUP("PCS-30766g",[1]ARBOR!$A:$C,3,0)-1,4)-DH15))))</f>
        <v>0.10670000000000002</v>
      </c>
      <c r="DM15" s="189" t="str">
        <f>IF(ISERROR(IF(DL15="","",VLOOKUP(($AY15&amp;DL15&amp;"Template de desconto percentual Bundle - Velox XDSL - Varejo"),[1]BENEFICIOS!$A:$E,5,0))),"Criar",IF(DL15="","",VLOOKUP(($AY15&amp;DL15&amp;"Template de desconto percentual Bundle - Velox XDSL - Varejo"),[1]BENEFICIOS!$A:$E,5,0)))</f>
        <v>MKT-1-9832066629</v>
      </c>
      <c r="DN15" s="193" t="s">
        <v>198</v>
      </c>
      <c r="DO15" s="194">
        <v>69.900000000000006</v>
      </c>
      <c r="DP15" s="127">
        <f>IF(DO15=0,"",IF(DO15=VLOOKUP("PCS-30793g",[1]ARBOR!$A:$C,3,0),0.0001,IF(DO15&gt;VLOOKUP("PCS-30793g",[1]ARBOR!$A:$C,3,0),"Maior que CAP!",IF((DOLLAR(DO15+(VLOOKUP("PCS-30793g",[1]ARBOR!$A:$C,3,0)*-TRUNC(DO15/VLOOKUP("PCS-30793g",[1]ARBOR!$A:$C,3,0)-1,4)),6))&lt;&gt;(DOLLAR(VLOOKUP("PCS-30793g",[1]ARBOR!$A:$C,3,0),6)),-TRUNC(DO15/VLOOKUP("PCS-30793g",[1]ARBOR!$A:$C,3,0)-1,4)+0.0001,-TRUNC(DO15/VLOOKUP("PCS-30793g",[1]ARBOR!$A:$C,3,0)-1,4)))))</f>
        <v>0.75109999999999999</v>
      </c>
      <c r="DQ15" s="195" t="str">
        <f>IF(ISERROR(IF(DP15="","",VLOOKUP(($AY15&amp;DP15&amp;"Template de desconto FLAT bundle - Velox XDSL - Varejo"),[1]BENEFICIOS!$A:$E,5,0))),"Criar",IF(DP15="","",VLOOKUP(($AY15&amp;DP15&amp;"Template de desconto FLAT bundle - Velox XDSL - Varejo"),[1]BENEFICIOS!$A:$E,5,0)))</f>
        <v>MKT-1-9828296896</v>
      </c>
      <c r="DR15" s="196">
        <v>34.950000000000003</v>
      </c>
      <c r="DS15" s="241">
        <v>6</v>
      </c>
      <c r="DT15" s="127">
        <f>IF(DR15=0,"",IF(DR15=VLOOKUP("PCS-30793g",[1]ARBOR!$A:$C,3,0),0.0001,IF(DR15&gt;VLOOKUP("PCS-30793g",[1]ARBOR!$A:$C,3,0),"Maior que CAP!",IF((DOLLAR(DR15+(VLOOKUP("PCS-30793g",[1]ARBOR!$A:$C,3,0)*-TRUNC(DR15/VLOOKUP("PCS-30793g",[1]ARBOR!$A:$C,3,0)-1,4)),6))&lt;&gt;(DOLLAR(VLOOKUP("PCS-30793g",[1]ARBOR!$A:$C,3,0),6)),(-TRUNC(DR15/VLOOKUP("PCS-30793g",[1]ARBOR!$A:$C,3,0)-1,4)+0.0001)-DP15,-TRUNC(DR15/VLOOKUP("PCS-30793g",[1]ARBOR!$A:$C,3,0)-1,4)-DP15))))</f>
        <v>0.12449999999999994</v>
      </c>
      <c r="DU15" s="189" t="str">
        <f>IF(ISERROR(IF(DT15="","",VLOOKUP(($AY15&amp;DT15&amp;"Template de desconto percentual Bundle - Velox XDSL - Varejo"),[1]BENEFICIOS!$A:$E,5,0))),"Criar",IF(DT15="","",VLOOKUP(($AY15&amp;DT15&amp;"Template de desconto percentual Bundle - Velox XDSL - Varejo"),[1]BENEFICIOS!$A:$E,5,0)))</f>
        <v>MKT-1-9826046173</v>
      </c>
      <c r="DV15" s="193" t="s">
        <v>86</v>
      </c>
      <c r="DW15" s="194">
        <v>69.900000000000006</v>
      </c>
      <c r="DX15" s="127">
        <f>IF(DW15=0,"",IF(DW15=VLOOKUP("PCS-30820g",[1]ARBOR!$A:$C,3,0),0.0001,IF(DW15&gt;VLOOKUP("PCS-30820g",[1]ARBOR!$A:$C,3,0),"Maior que CAP!",IF((DOLLAR(DW15+(VLOOKUP("PCS-30820g",[1]ARBOR!$A:$C,3,0)*-TRUNC(DW15/VLOOKUP("PCS-30820g",[1]ARBOR!$A:$C,3,0)-1,4)),6))&lt;&gt;(DOLLAR(VLOOKUP("PCS-30820g",[1]ARBOR!$A:$C,3,0),6)),-TRUNC(DW15/VLOOKUP("PCS-30820g",[1]ARBOR!$A:$C,3,0)-1,4)+0.0001,-TRUNC(DW15/VLOOKUP("PCS-30820g",[1]ARBOR!$A:$C,3,0)-1,4)))))</f>
        <v>0.75109999999999999</v>
      </c>
      <c r="DY15" s="195" t="str">
        <f>IF(ISERROR(IF(DX15="","",VLOOKUP(($AY15&amp;DX15&amp;"Template de desconto FLAT bundle - Velox XDSL - Varejo"),[1]BENEFICIOS!$A:$E,5,0))),"Criar",IF(DX15="","",VLOOKUP(($AY15&amp;DX15&amp;"Template de desconto FLAT bundle - Velox XDSL - Varejo"),[1]BENEFICIOS!$A:$E,5,0)))</f>
        <v>MKT-1-9828296896</v>
      </c>
      <c r="DZ15" s="196">
        <v>34.950000000000003</v>
      </c>
      <c r="EA15" s="241">
        <v>6</v>
      </c>
      <c r="EB15" s="127">
        <f>IF(DZ15=0,"",IF(DZ15=VLOOKUP("PCS-30820g",[1]ARBOR!$A:$C,3,0),0.0001,IF(DZ15&gt;VLOOKUP("PCS-30820g",[1]ARBOR!$A:$C,3,0),"Maior que CAP!",IF((DOLLAR(DZ15+(VLOOKUP("PCS-30820g",[1]ARBOR!$A:$C,3,0)*-TRUNC(DZ15/VLOOKUP("PCS-30820g",[1]ARBOR!$A:$C,3,0)-1,4)),6))&lt;&gt;(DOLLAR(VLOOKUP("PCS-30820g",[1]ARBOR!$A:$C,3,0),6)),(-TRUNC(DZ15/VLOOKUP("PCS-30820g",[1]ARBOR!$A:$C,3,0)-1,4)+0.0001)-DX15,-TRUNC(DZ15/VLOOKUP("PCS-30820g",[1]ARBOR!$A:$C,3,0)-1,4)-DX15))))</f>
        <v>0.12449999999999994</v>
      </c>
      <c r="EC15" s="189" t="str">
        <f>IF(ISERROR(IF(EB15="","",VLOOKUP(($AY15&amp;EB15&amp;"Template de desconto percentual Bundle - Velox XDSL - Varejo"),[1]BENEFICIOS!$A:$E,5,0))),"Criar",IF(EB15="","",VLOOKUP(($AY15&amp;EB15&amp;"Template de desconto percentual Bundle - Velox XDSL - Varejo"),[1]BENEFICIOS!$A:$E,5,0)))</f>
        <v>MKT-1-9826046173</v>
      </c>
      <c r="ED15" s="198"/>
      <c r="EE15" s="127" t="str">
        <f>IF(ED15=0,"",IF(ED15=VLOOKUP("PCS-21448p2",[1]ARBOR!$A:$C,3,0),0.0001,IF(ED15&gt;VLOOKUP("PCS-21448p2",[1]ARBOR!$A:$C,3,0),"Maior que CAP!",IF((DOLLAR(ED15+(VLOOKUP("PCS-21448p2",[1]ARBOR!$A:$C,3,0)*-TRUNC(ED15/VLOOKUP("PCS-21448p2",[1]ARBOR!$A:$C,3,0)-1,4)),6))&lt;&gt;(DOLLAR(VLOOKUP("PCS-21448p2",[1]ARBOR!$A:$C,3,0),6)),-TRUNC(ED15/VLOOKUP("PCS-21448p2",[1]ARBOR!$A:$C,3,0)-1,4)+0.0001,-TRUNC(ED15/VLOOKUP("PCS-21448p2",[1]ARBOR!$A:$C,3,0)-1,4)))))</f>
        <v/>
      </c>
      <c r="EF15" s="127" t="str">
        <f>IF(ISERROR(IF(EE15="","",VLOOKUP(("Oi Conta Total Plug 10GB Downgrade"&amp;EE15&amp;"Template de desconto percentual BL Móvel - Internet Total - Varejo"),[1]BENEFICIOS!$A:$E,5,0))),"Criar",IF(EE15="","",VLOOKUP(("Oi Conta Total Plug 10GB Downgrade"&amp;EE15&amp;"Template de desconto percentual BL Móvel - Internet Total - Varejo"),[1]BENEFICIOS!$A:$E,5,0)))</f>
        <v/>
      </c>
      <c r="EG15" s="199">
        <v>19.899999999999999</v>
      </c>
      <c r="EH15" s="200">
        <f>IF(EG15=0,"",IF(EG15=VLOOKUP("SVA",[1]ARBOR!$A:$C,3,0),0.0001,IF(EG15&gt;VLOOKUP("SVA",[1]ARBOR!$A:$C,3,0),"Maior que CAP!",IF((DOLLAR(EG15+(VLOOKUP("SVA",[1]ARBOR!$A:$C,3,0)*-TRUNC(EG15/VLOOKUP("SVA",[1]ARBOR!$A:$C,3,0)-1,4)),6))&lt;&gt;(DOLLAR(VLOOKUP("SVA",[1]ARBOR!$A:$C,3,0),6)),-TRUNC(EG15/VLOOKUP("SVA",[1]ARBOR!$A:$C,3,0)-1,4)+0.0001,-TRUNC(EG15/VLOOKUP("SVA",[1]ARBOR!$A:$C,3,0)-1,4)))))</f>
        <v>7.1400000000000005E-2</v>
      </c>
      <c r="EI15" s="200" t="s">
        <v>199</v>
      </c>
      <c r="EJ15" s="201" t="s">
        <v>212</v>
      </c>
      <c r="EK15" s="202">
        <v>6</v>
      </c>
      <c r="EL15" s="203">
        <f t="shared" si="3"/>
        <v>0.92859999999999998</v>
      </c>
      <c r="EM15" s="200" t="s">
        <v>213</v>
      </c>
      <c r="EN15" s="129"/>
      <c r="EO15" s="127" t="str">
        <f>IF(EN15=0,"",IF(EN15=VLOOKUP("PCS-OzTL40",[1]ARBOR!$A:$C,3,0),0.0001,IF(EN15&gt;VLOOKUP("PCS-OzTL40",[1]ARBOR!$A:$C,3,0),"Maior que CAP!",IF((DOLLAR(EN15+(VLOOKUP("PCS-OzTL40",[1]ARBOR!$A:$C,3,0)*-TRUNC(EN15/VLOOKUP("PCS-OzTL40",[1]ARBOR!$A:$C,3,0)-1,4)),6))&lt;&gt;(DOLLAR(VLOOKUP("PCS-OzTL40",[1]ARBOR!$A:$C,3,0),6)),-TRUNC(EN15/VLOOKUP("PCS-OzTL40",[1]ARBOR!$A:$C,3,0)-1,4)+0.0001,-TRUNC(EN15/VLOOKUP("PCS-OzTL40",[1]ARBOR!$A:$C,3,0)-1,4)))))</f>
        <v/>
      </c>
      <c r="EP15" s="189" t="str">
        <f>IF(ISERROR(IF(EO15="","",VLOOKUP(($AY15&amp;EO15&amp;"Template desconto FLAT Plano Principal Oi TV nível conta"),[1]BENEFICIOS!$A:$G,5,0))),"Criar",IF(EO15="","",VLOOKUP(($AY15&amp;EO15&amp;"Template desconto FLAT Plano Principal Oi TV nível conta"),[1]BENEFICIOS!$A:$G,5,0)))</f>
        <v/>
      </c>
      <c r="EQ15" s="129">
        <v>99.9</v>
      </c>
      <c r="ER15" s="127">
        <f>IF(EQ15=0,"",IF(EQ15=VLOOKUP("PCS-OzTL41",[1]ARBOR!$A:$C,3,0),0.0001,IF(EQ15&gt;VLOOKUP("PCS-OzTL41",[1]ARBOR!$A:$C,3,0),"Maior que CAP!",IF((DOLLAR(EQ15+(VLOOKUP("PCS-OzTL41",[1]ARBOR!$A:$C,3,0)*-TRUNC(EQ15/VLOOKUP("PCS-OzTL41",[1]ARBOR!$A:$C,3,0)-1,4)),6))&lt;&gt;(DOLLAR(VLOOKUP("PCS-OzTL41",[1]ARBOR!$A:$C,3,0),6)),-TRUNC(EQ15/VLOOKUP("PCS-OzTL41",[1]ARBOR!$A:$C,3,0)-1,4)+0.0001,-TRUNC(EQ15/VLOOKUP("PCS-OzTL41",[1]ARBOR!$A:$C,3,0)-1,4)))))</f>
        <v>0.17459999999999998</v>
      </c>
      <c r="ES15" s="204" t="str">
        <f>IF(ISERROR(IF(ER15="","",VLOOKUP(($AY15&amp;ER15&amp;"Template desconto FLAT Plano Principal Oi TV nível conta"),[1]BENEFICIOS!$A:$G,5,0))),"Criar",IF(ER15="","",VLOOKUP(($AY15&amp;ER15&amp;"Template desconto FLAT Plano Principal Oi TV nível conta"),[1]BENEFICIOS!$A:$G,5,0)))</f>
        <v>MKT-1-9827346410</v>
      </c>
      <c r="ET15" s="129"/>
      <c r="EU15" s="127" t="str">
        <f>IF(ET15=0,"",IF(ET15=VLOOKUP("PCS-OzTL44",[1]ARBOR!$A:$C,3,0),0.0001,IF(ET15&gt;VLOOKUP("PCS-OzTL44",[1]ARBOR!$A:$C,3,0),"Maior que CAP!",IF((DOLLAR(ET15+(VLOOKUP("PCS-OzTL44",[1]ARBOR!$A:$C,3,0)*-TRUNC(ET15/VLOOKUP("PCS-OzTL44",[1]ARBOR!$A:$C,3,0)-1,4)),6))&lt;&gt;(DOLLAR(VLOOKUP("PCS-OzTL44",[1]ARBOR!$A:$C,3,0),6)),-TRUNC(ET15/VLOOKUP("PCS-OzTL44",[1]ARBOR!$A:$C,3,0)-1,4)+0.0001,-TRUNC(ET15/VLOOKUP("PCS-OzTL44",[1]ARBOR!$A:$C,3,0)-1,4)))))</f>
        <v/>
      </c>
      <c r="EV15" s="204" t="str">
        <f>IF(ISERROR(IF(EU15="","",VLOOKUP(($AY15&amp;EU15&amp;"Template desconto FLAT Plano Principal Oi TV nível conta"),[1]BENEFICIOS!$A:$G,5,0))),"Criar",IF(EU15="","",VLOOKUP(($AY15&amp;EU15&amp;"Template desconto FLAT Plano Principal Oi TV nível conta"),[1]BENEFICIOS!$A:$G,5,0)))</f>
        <v/>
      </c>
      <c r="EW15" s="129"/>
      <c r="EX15" s="127" t="str">
        <f>IF(EW15=0,"",IF(EW15=VLOOKUP("PCS-OzTL43",[1]ARBOR!$A:$C,3,0),0.0001,IF(EW15&gt;VLOOKUP("PCS-OzTL43",[1]ARBOR!$A:$C,3,0),"Maior que CAP!",IF((DOLLAR(EW15+(VLOOKUP("PCS-OzTL43",[1]ARBOR!$A:$C,3,0)*-TRUNC(EW15/VLOOKUP("PCS-OzTL43",[1]ARBOR!$A:$C,3,0)-1,4)),6))&lt;&gt;(DOLLAR(VLOOKUP("PCS-OzTL43",[1]ARBOR!$A:$C,3,0),6)),-TRUNC(EW15/VLOOKUP("PCS-OzTL43",[1]ARBOR!$A:$C,3,0)-1,4)+0.0001,-TRUNC(EW15/VLOOKUP("PCS-OzTL43",[1]ARBOR!$A:$C,3,0)-1,4)))))</f>
        <v/>
      </c>
      <c r="EY15" s="204" t="str">
        <f>IF(ISERROR(IF(EX15="","",VLOOKUP(($AY15&amp;EX15&amp;"Template desconto FLAT Plano Principal Oi TV nível conta"),[1]BENEFICIOS!$A:$G,5,0))),"Criar",IF(EX15="","",VLOOKUP(($AY15&amp;EX15&amp;"Template desconto FLAT Plano Principal Oi TV nível conta"),[1]BENEFICIOS!$A:$G,5,0)))</f>
        <v/>
      </c>
      <c r="EZ15" s="129"/>
      <c r="FA15" s="127" t="str">
        <f>IF(EZ15=0,"",IF(EZ15=VLOOKUP("PCS-OzTL45",[1]ARBOR!$A:$C,3,0),0.0001,IF(EZ15&gt;VLOOKUP("PCS-OzTL45",[1]ARBOR!$A:$C,3,0),"Maior que CAP!",IF((DOLLAR(EZ15+(VLOOKUP("PCS-OzTL45",[1]ARBOR!$A:$C,3,0)*-TRUNC(EZ15/VLOOKUP("PCS-OzTL45",[1]ARBOR!$A:$C,3,0)-1,4)),6))&lt;&gt;(DOLLAR(VLOOKUP("PCS-OzTL45",[1]ARBOR!$A:$C,3,0),6)),-TRUNC(EZ15/VLOOKUP("PCS-OzTL45",[1]ARBOR!$A:$C,3,0)-1,4)+0.0001,-TRUNC(EZ15/VLOOKUP("PCS-OzTL45",[1]ARBOR!$A:$C,3,0)-1,4)))))</f>
        <v/>
      </c>
      <c r="FB15" s="204" t="str">
        <f>IF(ISERROR(IF(FA15="","",VLOOKUP(($AY15&amp;FA15&amp;"Template desconto FLAT Plano Principal Oi TV nível conta"),[1]BENEFICIOS!$A:$G,5,0))),"Criar",IF(FA15="","",VLOOKUP(($AY15&amp;FA15&amp;"Template desconto FLAT Plano Principal Oi TV nível conta"),[1]BENEFICIOS!$A:$G,5,0)))</f>
        <v/>
      </c>
      <c r="FC15" s="129"/>
      <c r="FD15" s="127" t="str">
        <f>IF(FC15=0,"",IF(FC15=VLOOKUP("PCS-OzTL741",[1]ARBOR!$A:$C,3,0),0.0001,IF(FC15&gt;VLOOKUP("PCS-OzTL741",[1]ARBOR!$A:$C,3,0),"Maior que CAP!",IF((DOLLAR(FC15+(VLOOKUP("PCS-OzTL741",[1]ARBOR!$A:$C,3,0)*-TRUNC(FC15/VLOOKUP("PCS-OzTL741",[1]ARBOR!$A:$C,3,0)-1,4)),6))&lt;&gt;(DOLLAR(VLOOKUP("PCS-OzTL741",[1]ARBOR!$A:$C,3,0),6)),-TRUNC(FC15/VLOOKUP("PCS-OzTL741",[1]ARBOR!$A:$C,3,0)-1,4)+0.0001,-TRUNC(FC15/VLOOKUP("PCS-OzTL741",[1]ARBOR!$A:$C,3,0)-1,4)))))</f>
        <v/>
      </c>
      <c r="FE15" s="204" t="str">
        <f>IF(ISERROR(IF(FD15="","",VLOOKUP(($AY15&amp;FD15&amp;"Template desconto FLAT Plano Principal Oi TV nível conta"),[1]BENEFICIOS!$A:$G,5,0))),"Criar",IF(FD15="","",VLOOKUP(($AY15&amp;FD15&amp;"Template desconto FLAT Plano Principal Oi TV nível conta"),[1]BENEFICIOS!$A:$G,5,0)))</f>
        <v/>
      </c>
      <c r="FF15" s="129"/>
      <c r="FG15" s="127" t="str">
        <f>IF(FF15=0,"",IF(FF15=VLOOKUP("PCS-OzTL744",[1]ARBOR!$A:$C,3,0),0.0001,IF(FF15&gt;VLOOKUP("PCS-OzTL744",[1]ARBOR!$A:$C,3,0),"Maior que CAP!",IF((DOLLAR(FF15+(VLOOKUP("PCS-OzTL744",[1]ARBOR!$A:$C,3,0)*-TRUNC(FF15/VLOOKUP("PCS-OzTL744",[1]ARBOR!$A:$C,3,0)-1,4)),6))&lt;&gt;(DOLLAR(VLOOKUP("PCS-OzTL744",[1]ARBOR!$A:$C,3,0),6)),-TRUNC(FF15/VLOOKUP("PCS-OzTL744",[1]ARBOR!$A:$C,3,0)-1,4)+0.0001,-TRUNC(FF15/VLOOKUP("PCS-OzTL744",[1]ARBOR!$A:$C,3,0)-1,4)))))</f>
        <v/>
      </c>
      <c r="FH15" s="204" t="str">
        <f>IF(ISERROR(IF(FG15="","",VLOOKUP(($AY15&amp;FG15&amp;"Template desconto FLAT Plano Principal Oi TV nível conta"),[1]BENEFICIOS!$A:$G,5,0))),"Criar",IF(FG15="","",VLOOKUP(($AY15&amp;FG15&amp;"Template desconto FLAT Plano Principal Oi TV nível conta"),[1]BENEFICIOS!$A:$G,5,0)))</f>
        <v/>
      </c>
      <c r="FI15" s="129"/>
      <c r="FJ15" s="127" t="str">
        <f>IF(FI15=0,"",IF(FI15=VLOOKUP("PCS-OzTL743",[1]ARBOR!$A:$C,3,0),0.0001,IF(FI15&gt;VLOOKUP("PCS-OzTL743",[1]ARBOR!$A:$C,3,0),"Maior que CAP!",IF((DOLLAR(FI15+(VLOOKUP("PCS-OzTL743",[1]ARBOR!$A:$C,3,0)*-TRUNC(FI15/VLOOKUP("PCS-OzTL743",[1]ARBOR!$A:$C,3,0)-1,4)),6))&lt;&gt;(DOLLAR(VLOOKUP("PCS-OzTL743",[1]ARBOR!$A:$C,3,0),6)),-TRUNC(FI15/VLOOKUP("PCS-OzTL743",[1]ARBOR!$A:$C,3,0)-1,4)+0.0001,-TRUNC(FI15/VLOOKUP("PCS-OzTL743",[1]ARBOR!$A:$C,3,0)-1,4)))))</f>
        <v/>
      </c>
      <c r="FK15" s="204" t="str">
        <f>IF(ISERROR(IF(FJ15="","",VLOOKUP(($AY15&amp;FJ15&amp;"Template desconto FLAT Plano Principal Oi TV nível conta"),[1]BENEFICIOS!$A:$G,5,0))),"Criar",IF(FJ15="","",VLOOKUP(($AY15&amp;FJ15&amp;"Template desconto FLAT Plano Principal Oi TV nível conta"),[1]BENEFICIOS!$A:$G,5,0)))</f>
        <v/>
      </c>
      <c r="FL15" s="129"/>
      <c r="FM15" s="127" t="str">
        <f>IF(FL15=0,"",IF(FL15=VLOOKUP("PCS-OzTL745",[1]ARBOR!$A:$C,3,0),0.0001,IF(FL15&gt;VLOOKUP("PCS-OzTL745",[1]ARBOR!$A:$C,3,0),"Maior que CAP!",IF((DOLLAR(FL15+(VLOOKUP("PCS-OzTL745",[1]ARBOR!$A:$C,3,0)*-TRUNC(FL15/VLOOKUP("PCS-OzTL745",[1]ARBOR!$A:$C,3,0)-1,4)),6))&lt;&gt;(DOLLAR(VLOOKUP("PCS-OzTL745",[1]ARBOR!$A:$C,3,0),6)),-TRUNC(FL15/VLOOKUP("PCS-OzTL745",[1]ARBOR!$A:$C,3,0)-1,4)+0.0001,-TRUNC(FL15/VLOOKUP("PCS-OzTL745",[1]ARBOR!$A:$C,3,0)-1,4)))))</f>
        <v/>
      </c>
      <c r="FN15" s="204" t="str">
        <f>IF(ISERROR(IF(FM15="","",VLOOKUP(($AY15&amp;FM15&amp;"Template desconto FLAT Plano Principal Oi TV nível conta"),[1]BENEFICIOS!$A:$G,5,0))),"Criar",IF(FM15="","",VLOOKUP(($AY15&amp;FM15&amp;"Template desconto FLAT Plano Principal Oi TV nível conta"),[1]BENEFICIOS!$A:$G,5,0)))</f>
        <v/>
      </c>
      <c r="FO15" s="129"/>
      <c r="FP15" s="127" t="str">
        <f>IF(FO15=0,"",IF(FO15=VLOOKUP("PCS-OzTL42",[1]ARBOR!$A:$C,3,0),0.0001,IF(FO15&gt;VLOOKUP("PCS-OzTL42",[1]ARBOR!$A:$C,3,0),"Maior que CAP!",IF((DOLLAR(FO15+(VLOOKUP("PCS-OzTL42",[1]ARBOR!$A:$C,3,0)*-TRUNC(FO15/VLOOKUP("PCS-OzTL42",[1]ARBOR!$A:$C,3,0)-1,4)),6))&lt;&gt;(DOLLAR(VLOOKUP("PCS-OzTL42",[1]ARBOR!$A:$C,3,0),6)),-TRUNC(FO15/VLOOKUP("PCS-OzTL42",[1]ARBOR!$A:$C,3,0)-1,4)+0.0001,-TRUNC(FO15/VLOOKUP("PCS-OzTL42",[1]ARBOR!$A:$C,3,0)-1,4)))))</f>
        <v/>
      </c>
      <c r="FQ15" s="204" t="str">
        <f>IF(ISERROR(IF(FP15="","",VLOOKUP(($AY15&amp;FP15&amp;"Template desconto FLAT Plano Principal Oi TV nível conta"),[1]BENEFICIOS!$A:$G,5,0))),"Criar",IF(FP15="","",VLOOKUP(($AY15&amp;FP15&amp;"Template desconto FLAT Plano Principal Oi TV nível conta"),[1]BENEFICIOS!$A:$G,5,0)))</f>
        <v/>
      </c>
      <c r="FR15" s="129"/>
      <c r="FS15" s="127" t="str">
        <f>IF(FR15=0,"",IF(FR15=VLOOKUP("PCS-OzTL47",[1]ARBOR!$A:$C,3,0),0.0001,IF(FR15&gt;VLOOKUP("PCS-OzTL47",[1]ARBOR!$A:$C,3,0),"Maior que CAP!",IF((DOLLAR(FR15+(VLOOKUP("PCS-OzTL47",[1]ARBOR!$A:$C,3,0)*-TRUNC(FR15/VLOOKUP("PCS-OzTL47",[1]ARBOR!$A:$C,3,0)-1,4)),6))&lt;&gt;(DOLLAR(VLOOKUP("PCS-OzTL47",[1]ARBOR!$A:$C,3,0),6)),-TRUNC(FR15/VLOOKUP("PCS-OzTL47",[1]ARBOR!$A:$C,3,0)-1,4)+0.0001,-TRUNC(FR15/VLOOKUP("PCS-OzTL47",[1]ARBOR!$A:$C,3,0)-1,4)))))</f>
        <v/>
      </c>
      <c r="FT15" s="204" t="str">
        <f>IF(ISERROR(IF(FS15="","",VLOOKUP(($AY15&amp;FS15&amp;"Template desconto FLAT Plano Principal Oi TV nível conta"),[1]BENEFICIOS!$A:$G,5,0))),"Criar",IF(FS15="","",VLOOKUP(($AY15&amp;FS15&amp;"Template desconto FLAT Plano Principal Oi TV nível conta"),[1]BENEFICIOS!$A:$G,5,0)))</f>
        <v/>
      </c>
      <c r="FU15" s="129"/>
      <c r="FV15" s="127" t="str">
        <f>IF(FU15=0,"",IF(FU15=VLOOKUP("PCS-OzTL46",[1]ARBOR!$A:$C,3,0),0.0001,IF(FU15&gt;VLOOKUP("PCS-OzTL46",[1]ARBOR!$A:$C,3,0),"Maior que CAP!",IF((DOLLAR(FU15+(VLOOKUP("PCS-OzTL46",[1]ARBOR!$A:$C,3,0)*-TRUNC(FU15/VLOOKUP("PCS-OzTL46",[1]ARBOR!$A:$C,3,0)-1,4)),6))&lt;&gt;(DOLLAR(VLOOKUP("PCS-OzTL46",[1]ARBOR!$A:$C,3,0),6)),-TRUNC(FU15/VLOOKUP("PCS-OzTL46",[1]ARBOR!$A:$C,3,0)-1,4)+0.0001,-TRUNC(FU15/VLOOKUP("PCS-OzTL46",[1]ARBOR!$A:$C,3,0)-1,4)))))</f>
        <v/>
      </c>
      <c r="FW15" s="204" t="str">
        <f>IF(ISERROR(IF(FV15="","",VLOOKUP(($AY15&amp;FV15&amp;"Template desconto FLAT Plano Principal Oi TV nível conta"),[1]BENEFICIOS!$A:$G,5,0))),"Criar",IF(FV15="","",VLOOKUP(($AY15&amp;FV15&amp;"Template desconto FLAT Plano Principal Oi TV nível conta"),[1]BENEFICIOS!$A:$G,5,0)))</f>
        <v/>
      </c>
      <c r="FX15" s="129"/>
      <c r="FY15" s="127" t="str">
        <f>IF(FX15=0,"",IF(FX15=VLOOKUP("PCS-OzTL48",[1]ARBOR!$A:$C,3,0),0.0001,IF(FX15&gt;VLOOKUP("PCS-OzTL48",[1]ARBOR!$A:$C,3,0),"Maior que CAP!",IF((DOLLAR(FX15+(VLOOKUP("PCS-OzTL48",[1]ARBOR!$A:$C,3,0)*-TRUNC(FX15/VLOOKUP("PCS-OzTL48",[1]ARBOR!$A:$C,3,0)-1,4)),6))&lt;&gt;(DOLLAR(VLOOKUP("PCS-OzTL48",[1]ARBOR!$A:$C,3,0),6)),-TRUNC(FX15/VLOOKUP("PCS-OzTL48",[1]ARBOR!$A:$C,3,0)-1,4)+0.0001,-TRUNC(FX15/VLOOKUP("PCS-OzTL48",[1]ARBOR!$A:$C,3,0)-1,4)))))</f>
        <v/>
      </c>
      <c r="FZ15" s="204" t="str">
        <f>IF(ISERROR(IF(FY15="","",VLOOKUP(($AY15&amp;FY15&amp;"Template desconto FLAT Plano Principal Oi TV nível conta"),[1]BENEFICIOS!$A:$G,5,0))),"Criar",IF(FY15="","",VLOOKUP(($AY15&amp;FY15&amp;"Template desconto FLAT Plano Principal Oi TV nível conta"),[1]BENEFICIOS!$A:$G,5,0)))</f>
        <v/>
      </c>
      <c r="GA15" s="129"/>
      <c r="GB15" s="127" t="str">
        <f>IF(GA15=0,"",IF(GA15=VLOOKUP("PCS-OzTL742",[1]ARBOR!$A:$C,3,0),0.0001,IF(GA15&gt;VLOOKUP("PCS-OzTL742",[1]ARBOR!$A:$C,3,0),"Maior que CAP!",IF((DOLLAR(GA15+(VLOOKUP("PCS-OzTL742",[1]ARBOR!$A:$C,3,0)*-TRUNC(GA15/VLOOKUP("PCS-OzTL742",[1]ARBOR!$A:$C,3,0)-1,4)),6))&lt;&gt;(DOLLAR(VLOOKUP("PCS-OzTL742",[1]ARBOR!$A:$C,3,0),6)),-TRUNC(GA15/VLOOKUP("PCS-OzTL742",[1]ARBOR!$A:$C,3,0)-1,4)+0.0001,-TRUNC(GA15/VLOOKUP("PCS-OzTL742",[1]ARBOR!$A:$C,3,0)-1,4)))))</f>
        <v/>
      </c>
      <c r="GC15" s="204" t="str">
        <f>IF(ISERROR(IF(GB15="","",VLOOKUP(($AY15&amp;GB15&amp;"Template desconto FLAT Plano Principal Oi TV nível conta"),[1]BENEFICIOS!$A:$G,5,0))),"Criar",IF(GB15="","",VLOOKUP(($AY15&amp;GB15&amp;"Template desconto FLAT Plano Principal Oi TV nível conta"),[1]BENEFICIOS!$A:$G,5,0)))</f>
        <v/>
      </c>
      <c r="GD15" s="129"/>
      <c r="GE15" s="127" t="str">
        <f>IF(GD15=0,"",IF(GD15=VLOOKUP("PCS-OzTL747",[1]ARBOR!$A:$C,3,0),0.0001,IF(GD15&gt;VLOOKUP("PCS-OzTL747",[1]ARBOR!$A:$C,3,0),"Maior que CAP!",IF((DOLLAR(GD15+(VLOOKUP("PCS-OzTL747",[1]ARBOR!$A:$C,3,0)*-TRUNC(GD15/VLOOKUP("PCS-OzTL747",[1]ARBOR!$A:$C,3,0)-1,4)),6))&lt;&gt;(DOLLAR(VLOOKUP("PCS-OzTL747",[1]ARBOR!$A:$C,3,0),6)),-TRUNC(GD15/VLOOKUP("PCS-OzTL747",[1]ARBOR!$A:$C,3,0)-1,4)+0.0001,-TRUNC(GD15/VLOOKUP("PCS-OzTL747",[1]ARBOR!$A:$C,3,0)-1,4)))))</f>
        <v/>
      </c>
      <c r="GF15" s="204" t="str">
        <f>IF(ISERROR(IF(GE15="","",VLOOKUP(($AY15&amp;GE15&amp;"Template desconto FLAT Plano Principal Oi TV nível conta"),[1]BENEFICIOS!$A:$G,5,0))),"Criar",IF(GE15="","",VLOOKUP(($AY15&amp;GE15&amp;"Template desconto FLAT Plano Principal Oi TV nível conta"),[1]BENEFICIOS!$A:$G,5,0)))</f>
        <v/>
      </c>
      <c r="GG15" s="129"/>
      <c r="GH15" s="127" t="str">
        <f>IF(GG15=0,"",IF(GG15=VLOOKUP("PCS-OzTL746",[1]ARBOR!$A:$C,3,0),0.0001,IF(GG15&gt;VLOOKUP("PCS-OzTL746",[1]ARBOR!$A:$C,3,0),"Maior que CAP!",IF((DOLLAR(GG15+(VLOOKUP("PCS-OzTL746",[1]ARBOR!$A:$C,3,0)*-TRUNC(GG15/VLOOKUP("PCS-OzTL746",[1]ARBOR!$A:$C,3,0)-1,4)),6))&lt;&gt;(DOLLAR(VLOOKUP("PCS-OzTL746",[1]ARBOR!$A:$C,3,0),6)),-TRUNC(GG15/VLOOKUP("PCS-OzTL746",[1]ARBOR!$A:$C,3,0)-1,4)+0.0001,-TRUNC(GG15/VLOOKUP("PCS-OzTL746",[1]ARBOR!$A:$C,3,0)-1,4)))))</f>
        <v/>
      </c>
      <c r="GI15" s="204" t="str">
        <f>IF(ISERROR(IF(GH15="","",VLOOKUP(($AY15&amp;GH15&amp;"Template desconto FLAT Plano Principal Oi TV nível conta"),[1]BENEFICIOS!$A:$G,5,0))),"Criar",IF(GH15="","",VLOOKUP(($AY15&amp;GH15&amp;"Template desconto FLAT Plano Principal Oi TV nível conta"),[1]BENEFICIOS!$A:$G,5,0)))</f>
        <v/>
      </c>
      <c r="GJ15" s="129"/>
      <c r="GK15" s="127" t="str">
        <f>IF(GJ15=0,"",IF(GJ15=VLOOKUP("PCS-OzTL748",[1]ARBOR!$A:$C,3,0),0.0001,IF(GJ15&gt;VLOOKUP("PCS-OzTL748",[1]ARBOR!$A:$C,3,0),"Maior que CAP!",IF((DOLLAR(GJ15+(VLOOKUP("PCS-OzTL748",[1]ARBOR!$A:$C,3,0)*-TRUNC(GJ15/VLOOKUP("PCS-OzTL748",[1]ARBOR!$A:$C,3,0)-1,4)),6))&lt;&gt;(DOLLAR(VLOOKUP("PCS-OzTL748",[1]ARBOR!$A:$C,3,0),6)),-TRUNC(GJ15/VLOOKUP("PCS-OzTL748",[1]ARBOR!$A:$C,3,0)-1,4)+0.0001,-TRUNC(GJ15/VLOOKUP("PCS-OzTL748",[1]ARBOR!$A:$C,3,0)-1,4)))))</f>
        <v/>
      </c>
      <c r="GL15" s="204" t="str">
        <f>IF(ISERROR(IF(GK15="","",VLOOKUP(($AY15&amp;GK15&amp;"Template desconto FLAT Plano Principal Oi TV nível conta"),[1]BENEFICIOS!$A:$G,5,0))),"Criar",IF(GK15="","",VLOOKUP(($AY15&amp;GK15&amp;"Template desconto FLAT Plano Principal Oi TV nível conta"),[1]BENEFICIOS!$A:$G,5,0)))</f>
        <v/>
      </c>
      <c r="GM15" s="129">
        <v>75</v>
      </c>
      <c r="GN15" s="127">
        <f>IF(GM15=0,"",IF(GM15=VLOOKUP("PCS-OzTL34",[1]ARBOR!$A:$C,3,0),0.0001,IF(GM15&gt;VLOOKUP("PCS-OzTL34",[1]ARBOR!$A:$C,3,0),"Maior que CAP!",IF((DOLLAR(GM15+(VLOOKUP("PCS-OzTL34",[1]ARBOR!$A:$C,3,0)*-TRUNC(GM15/VLOOKUP("PCS-OzTL34",[1]ARBOR!$A:$C,3,0)-1,4)),6))&lt;&gt;(DOLLAR(VLOOKUP("PCS-OzTL34",[1]ARBOR!$A:$C,3,0),6)),-TRUNC(GM15/VLOOKUP("PCS-OzTL34",[1]ARBOR!$A:$C,3,0)-1,4)+0.0001,-TRUNC(GM15/VLOOKUP("PCS-OzTL34",[1]ARBOR!$A:$C,3,0)-1,4)))))</f>
        <v>0.31900000000000001</v>
      </c>
      <c r="GO15" s="204" t="s">
        <v>161</v>
      </c>
      <c r="GP15" s="129">
        <v>19.899999999999999</v>
      </c>
      <c r="GQ15" s="127">
        <f>IF(GP15=0,"",IF(GP15=VLOOKUP("PCS-OzTL31",[1]ARBOR!$A:$C,3,0),0.0001,IF(GP15&gt;VLOOKUP("PCS-OzTL31",[1]ARBOR!$A:$C,3,0),"Maior que CAP!",IF((DOLLAR(GP15+(VLOOKUP("PCS-OzTL31",[1]ARBOR!$A:$C,3,0)*-TRUNC(GP15/VLOOKUP("PCS-OzTL31",[1]ARBOR!$A:$C,3,0)-1,4)),6))&lt;&gt;(DOLLAR(VLOOKUP("PCS-OzTL31",[1]ARBOR!$A:$C,3,0),6)),-TRUNC(GP15/VLOOKUP("PCS-OzTL31",[1]ARBOR!$A:$C,3,0)-1,4)+0.0001,-TRUNC(GP15/VLOOKUP("PCS-OzTL31",[1]ARBOR!$A:$C,3,0)-1,4)))))</f>
        <v>9.1800000000000007E-2</v>
      </c>
      <c r="GR15" s="204" t="s">
        <v>162</v>
      </c>
      <c r="GS15" s="129">
        <v>19.899999999999999</v>
      </c>
      <c r="GT15" s="127">
        <f>IF(GS15=0,"",IF(GS15=VLOOKUP("PCS-OzTL32",[1]ARBOR!$A:$C,3,0),0.0001,IF(GS15&gt;VLOOKUP("PCS-OzTL32",[1]ARBOR!$A:$C,3,0),"Maior que CAP!",IF((DOLLAR(GS15+(VLOOKUP("PCS-OzTL32",[1]ARBOR!$A:$C,3,0)*-TRUNC(GS15/VLOOKUP("PCS-OzTL32",[1]ARBOR!$A:$C,3,0)-1,4)),6))&lt;&gt;(DOLLAR(VLOOKUP("PCS-OzTL32",[1]ARBOR!$A:$C,3,0),6)),-TRUNC(GS15/VLOOKUP("PCS-OzTL32",[1]ARBOR!$A:$C,3,0)-1,4)+0.0001,-TRUNC(GS15/VLOOKUP("PCS-OzTL32",[1]ARBOR!$A:$C,3,0)-1,4)))))</f>
        <v>9.1800000000000007E-2</v>
      </c>
      <c r="GU15" s="204" t="s">
        <v>163</v>
      </c>
      <c r="GV15" s="129">
        <v>29.9</v>
      </c>
      <c r="GW15" s="127">
        <f>IF(GV15=0,"",IF(GV15=VLOOKUP("PCS-OzTL33",[1]ARBOR!$A:$C,3,0),0.0001,IF(GV15&gt;VLOOKUP("PCS-OzTL33",[1]ARBOR!$A:$C,3,0),"Maior que CAP!",IF((DOLLAR(GV15+(VLOOKUP("PCS-OzTL33",[1]ARBOR!$A:$C,3,0)*-TRUNC(GV15/VLOOKUP("PCS-OzTL33",[1]ARBOR!$A:$C,3,0)-1,4)),6))&lt;&gt;(DOLLAR(VLOOKUP("PCS-OzTL33",[1]ARBOR!$A:$C,3,0),6)),-TRUNC(GV15/VLOOKUP("PCS-OzTL33",[1]ARBOR!$A:$C,3,0)-1,4)+0.0001,-TRUNC(GV15/VLOOKUP("PCS-OzTL33",[1]ARBOR!$A:$C,3,0)-1,4)))))</f>
        <v>9.1800000000000007E-2</v>
      </c>
      <c r="GX15" s="204" t="s">
        <v>164</v>
      </c>
      <c r="GY15" s="129">
        <v>14.9</v>
      </c>
      <c r="GZ15" s="127">
        <f>IF(GY15=0,"",IF(GY15=VLOOKUP("PCS-OzTL503",[1]ARBOR!$A:$C,3,0),0.0001,IF(GY15&gt;VLOOKUP("PCS-OzTL503",[1]ARBOR!$A:$C,3,0),"Maior que CAP!",IF((DOLLAR(GY15+(VLOOKUP("PCS-OzTL503",[1]ARBOR!$A:$C,3,0)*-TRUNC(GY15/VLOOKUP("PCS-OzTL503",[1]ARBOR!$A:$C,3,0)-1,4)),6))&lt;&gt;(DOLLAR(VLOOKUP("PCS-OzTL503",[1]ARBOR!$A:$C,3,0),6)),-TRUNC(GY15/VLOOKUP("PCS-OzTL503",[1]ARBOR!$A:$C,3,0)-1,4)+0.0001,-TRUNC(GY15/VLOOKUP("PCS-OzTL503",[1]ARBOR!$A:$C,3,0)-1,4)))))</f>
        <v>9.1499999999999998E-2</v>
      </c>
      <c r="HA15" s="204" t="s">
        <v>165</v>
      </c>
      <c r="HB15" s="129">
        <v>10</v>
      </c>
      <c r="HC15" s="127">
        <f>IF(HB15=0,"",IF(HB15=VLOOKUP("PCS-OzTL500",[1]ARBOR!$A:$C,3,0),0.0001,IF(HB15&gt;VLOOKUP("PCS-OzTL500",[1]ARBOR!$A:$C,3,0),"Maior que CAP!",IF((DOLLAR(HB15+(VLOOKUP("PCS-OzTL500",[1]ARBOR!$A:$C,3,0)*-TRUNC(HB15/VLOOKUP("PCS-OzTL500",[1]ARBOR!$A:$C,3,0)-1,4)),6))&lt;&gt;(DOLLAR(VLOOKUP("PCS-OzTL500",[1]ARBOR!$A:$C,3,0),6)),-TRUNC(HB15/VLOOKUP("PCS-OzTL500",[1]ARBOR!$A:$C,3,0)-1,4)+0.0001,-TRUNC(HB15/VLOOKUP("PCS-OzTL500",[1]ARBOR!$A:$C,3,0)-1,4)))))</f>
        <v>9.1800000000000007E-2</v>
      </c>
      <c r="HD15" s="204" t="s">
        <v>166</v>
      </c>
      <c r="HE15" s="129" t="s">
        <v>167</v>
      </c>
      <c r="HF15" s="127"/>
      <c r="HG15" s="204"/>
      <c r="HH15" s="129" t="s">
        <v>168</v>
      </c>
      <c r="HI15" s="127"/>
      <c r="HJ15" s="204"/>
      <c r="HK15" s="129" t="s">
        <v>169</v>
      </c>
      <c r="HL15" s="127"/>
      <c r="HM15" s="204"/>
      <c r="HN15" s="129" t="s">
        <v>170</v>
      </c>
      <c r="HO15" s="127"/>
      <c r="HP15" s="204"/>
      <c r="HQ15" s="129" t="s">
        <v>171</v>
      </c>
      <c r="HR15" s="127"/>
      <c r="HS15" s="204"/>
      <c r="HT15" s="129">
        <v>24.9</v>
      </c>
      <c r="HU15" s="127">
        <f>IF(HT15=0,"",IF(HT15=VLOOKUP("PCS-OzTL99",[1]ARBOR!$A:$C,3,0),0.0001,IF(HT15&gt;VLOOKUP("PCS-OzTL99",[1]ARBOR!$A:$C,3,0),"Maior que CAP!",IF((DOLLAR(HT15+(VLOOKUP("PCS-OzTL99",[1]ARBOR!$A:$C,3,0)*-TRUNC(HT15/VLOOKUP("PCS-OzTL99",[1]ARBOR!$A:$C,3,0)-1,4)),6))&lt;&gt;(DOLLAR(VLOOKUP("PCS-OzTL99",[1]ARBOR!$A:$C,3,0),6)),-TRUNC(HT15/VLOOKUP("PCS-OzTL99",[1]ARBOR!$A:$C,3,0)-1,4)+0.0001,-TRUNC(HT15/VLOOKUP("PCS-OzTL99",[1]ARBOR!$A:$C,3,0)-1,4)))))</f>
        <v>0.16729999999999998</v>
      </c>
      <c r="HV15" s="205" t="s">
        <v>172</v>
      </c>
      <c r="HW15" s="196" t="s">
        <v>149</v>
      </c>
      <c r="HX15" s="204" t="str">
        <f t="shared" si="4"/>
        <v>PCS-34704</v>
      </c>
      <c r="HY15" s="206" t="str">
        <f>IFERROR((IF(AZ15="","",VLOOKUP(AZ15,[1]ARBOR!A:C,3,0))),"")</f>
        <v/>
      </c>
      <c r="HZ15" s="207"/>
      <c r="IA15" s="184" t="str">
        <f>IF(HZ15="","",ROUND(1-(HZ15/VLOOKUP(AZ15&amp;"ASS",[1]ARBOR!A:C,3,0)),4))</f>
        <v/>
      </c>
      <c r="IB15" s="184"/>
      <c r="IC15" s="208"/>
      <c r="ID15" s="209"/>
      <c r="IE15" s="127" t="str">
        <f>IF(ID15="","",ROUND(IF(ID15=0,"",IF(ID15=HY15,0.0001,1-((ID15+(VLOOKUP(AZ15&amp;"ASS",[1]ARBOR!A:C,3,0)-HZ15))/HY15))),4))</f>
        <v/>
      </c>
      <c r="IF15" s="127" t="str">
        <f>IF(ISERROR(IF(IE15="","",VLOOKUP(($AY15&amp;IE15&amp;"Template de desconto percentual FLAT Móvel - Conta Total - Varejo - Ganho Tributário Cross"),[1]BENEFICIOS!$A:$E,5,0))),"Criar",IF(IE15="","",VLOOKUP(($AY15&amp;IE15&amp;"Template de desconto percentual FLAT Móvel - Conta Total - Varejo - Ganho Tributário Cross"),[1]BENEFICIOS!$A:$E,5,0)))</f>
        <v/>
      </c>
      <c r="IG15" s="193"/>
      <c r="IH15" s="127"/>
      <c r="II15" s="210"/>
      <c r="IJ15" s="211"/>
      <c r="IK15" s="127"/>
      <c r="IL15" s="127"/>
      <c r="IM15" s="212"/>
      <c r="IN15" s="212"/>
      <c r="IO15" s="213"/>
      <c r="IP15" s="214" t="str">
        <f>IF(IO15=0,"",IF(IO15=VLOOKUP("PCS-813566",[1]ARBOR!$A:$C,3,0),0.0001,IF(IO15&gt;VLOOKUP("PCS-813566",[1]ARBOR!$A:$C,3,0),"Maior que CAP!",ROUND(-1*(IO15/VLOOKUP("PCS-813566",[1]ARBOR!$A:$C,3,0)-1),4))))</f>
        <v/>
      </c>
      <c r="IQ15" s="215" t="str">
        <f>IF(ISERROR(IF(IP15="","",VLOOKUP(("Oi Internet Pra Celular 300MB"&amp;IP15&amp;"Template Flat Instância Dados"),[1]BENEFICIOS!$A:$E,5,0))),"Criar",IF(IP15="","",VLOOKUP(("Oi Internet Pra Celular 300MB"&amp;IP15&amp;"Template Flat Instância Dados"),[1]BENEFICIOS!$A:$E,5,0)))</f>
        <v/>
      </c>
      <c r="IR15" s="216"/>
      <c r="IS15" s="217" t="str">
        <f>IF(IR15=0,"",IF(IR15=VLOOKUP("sva_bancas",[1]ARBOR!$A:$C,3,0),0.0001,IF(IR15&gt;VLOOKUP("sva_livros",[1]ARBOR!$A:$C,3,0),"Maior que CAP!",ROUND(-1*(IR15/VLOOKUP("sva_bancas",[1]ARBOR!$A:$C,3,0)-1),4))))</f>
        <v/>
      </c>
      <c r="IT15" s="218" t="str">
        <f>IF(ISERROR(IF(IS15="","",VLOOKUP(("Oi Internet Pra Celular 300MB"&amp;IS15&amp;"Template Desconto % SVA DADOS B2C"),[1]BENEFICIOS!$A:$E,5,0))),"Criar",IF(IS15="","",VLOOKUP(("Oi Internet Pra Celular 300MB"&amp;IS15&amp;"Template Desconto % SVA DADOS B2C"),[1]BENEFICIOS!$A:$E,5,0)))</f>
        <v/>
      </c>
      <c r="IU15" s="213"/>
      <c r="IV15" s="214" t="str">
        <f>IF(IU15=0,"",IF(IU15=VLOOKUP("PCS-813564",[1]ARBOR!$A:$C,3,0),0.0001,IF(IU15&gt;VLOOKUP("PCS-813564",[1]ARBOR!$A:$C,3,0),"Maior que CAP!",ROUND(-1*(IU15/VLOOKUP("PCS-813564",[1]ARBOR!$A:$C,3,0)-1),4))))</f>
        <v/>
      </c>
      <c r="IW15" s="215" t="str">
        <f>IF(ISERROR(IF(IV15="","",VLOOKUP(("Oi Internet Pra Celular 500MB"&amp;IV15&amp;"Template Flat Instância Dados"),[1]BENEFICIOS!$A:$E,5,0))),"Criar",IF(IV15="","",VLOOKUP(("Oi Internet Pra Celular 500MB"&amp;IV15&amp;"Template Flat Instância Dados"),[1]BENEFICIOS!$A:$E,5,0)))</f>
        <v/>
      </c>
      <c r="IX15" s="216"/>
      <c r="IY15" s="217" t="str">
        <f>IF(IX15=0,"",IF(IX15=VLOOKUP("sva_livros",[1]ARBOR!$A:$C,3,0),0.0001,IF(IX15&gt;VLOOKUP("sva_livros",[1]ARBOR!$A:$C,3,0),"Maior que CAP!",ROUND(-1*(IX15/VLOOKUP("sva_livros",[1]ARBOR!$A:$C,3,0)-1),4))))</f>
        <v/>
      </c>
      <c r="IZ15" s="218" t="str">
        <f>IF(ISERROR(IF(IY15="","",VLOOKUP(("Oi Internet Pra Celular 500MB"&amp;IY15&amp;"Template Desconto % SVA DADOS B2C"),[1]BENEFICIOS!$A:$E,5,0))),"Criar",IF(IY15="","",VLOOKUP(("Oi Internet Pra Celular 500MB"&amp;IY15&amp;"Template Desconto % SVA DADOS B2C"),[1]BENEFICIOS!$A:$E,5,0)))</f>
        <v/>
      </c>
      <c r="JA15" s="213"/>
      <c r="JB15" s="214" t="str">
        <f>IF(JA15=0,"",IF(JA15=VLOOKUP("PCS-10357",[1]ARBOR!$A:$C,3,0),0.0001,IF(JA15&gt;VLOOKUP("PCS-10357",[1]ARBOR!$A:$C,3,0),"Maior que CAP!",ROUND(-1*(JA15/VLOOKUP("PCS-10357",[1]ARBOR!$A:$C,3,0)-1),4))))</f>
        <v/>
      </c>
      <c r="JC15" s="215" t="str">
        <f>IF(ISERROR(IF(JB15="","",VLOOKUP(("Oi Internet Pra Celular 1GB"&amp;JB15&amp;"Template Flat Instância Dados"),[1]BENEFICIOS!$A:$E,5,0))),"Criar",IF(JB15="","",VLOOKUP(("Oi Internet Pra Celular 1GB"&amp;JB15&amp;"Template Flat Instância Dados"),[1]BENEFICIOS!$A:$E,5,0)))</f>
        <v/>
      </c>
      <c r="JD15" s="216"/>
      <c r="JE15" s="217" t="str">
        <f>IF(JD15=0,"",IF(JD15=VLOOKUP("sva_livros",[1]ARBOR!$A:$C,3,0),0.0001,IF(JD15&gt;VLOOKUP("sva_livros",[1]ARBOR!$A:$C,3,0),"Maior que CAP!",ROUND(-1*(JD15/VLOOKUP("sva_livros",[1]ARBOR!$A:$C,3,0)-1),4))))</f>
        <v/>
      </c>
      <c r="JF15" s="218" t="str">
        <f>IF(ISERROR(IF(JE15="","",VLOOKUP(("Oi Internet Pra Celular 1GB"&amp;JE15&amp;"Template Desconto % SVA DADOS B2C"),[1]BENEFICIOS!$A:$E,5,0))),"Criar",IF(JE15="","",VLOOKUP(("Oi Internet Pra Celular 1GB"&amp;JE15&amp;"Template Desconto % SVA DADOS B2C"),[1]BENEFICIOS!$A:$E,5,0)))</f>
        <v/>
      </c>
      <c r="JG15" s="213"/>
      <c r="JH15" s="214" t="str">
        <f>IF(JG15=0,"",IF(JG15=VLOOKUP("PCS-813565",[1]ARBOR!$A:$C,3,0),0.0001,IF(JG15&gt;VLOOKUP("PCS-813565",[1]ARBOR!$A:$C,3,0),"Maior que CAP!",ROUND(-1*(JG15/VLOOKUP("PCS-813565",[1]ARBOR!$A:$C,3,0)-1),4))))</f>
        <v/>
      </c>
      <c r="JI15" s="215" t="str">
        <f>IF(ISERROR(IF(JH15="","",VLOOKUP(("Oi Internet Pra Celular 2GB"&amp;JH15&amp;"Template Flat Instância Dados"),[1]BENEFICIOS!$A:$E,5,0))),"Criar",IF(JH15="","",VLOOKUP(("Oi Internet Pra Celular 2GB"&amp;JH15&amp;"Template Flat Instância Dados"),[1]BENEFICIOS!$A:$E,5,0)))</f>
        <v/>
      </c>
      <c r="JJ15" s="216"/>
      <c r="JK15" s="217" t="str">
        <f>IF(JJ15=0,"",IF(JJ15=VLOOKUP("sva_livros",[1]ARBOR!$A:$C,3,0),0.0001,IF(JJ15&gt;VLOOKUP("sva_livros",[1]ARBOR!$A:$C,3,0),"Maior que CAP!",ROUND(-1*(JJ15/VLOOKUP("sva_livros",[1]ARBOR!$A:$C,3,0)-1),4))))</f>
        <v/>
      </c>
      <c r="JL15" s="218" t="str">
        <f>IF(ISERROR(IF(JK15="","",VLOOKUP(("Oi Internet Pra Celular 2GB"&amp;JK15&amp;"Template Desconto % SVA DADOS B2C"),[1]BENEFICIOS!$A:$E,5,0))),"Criar",IF(JK15="","",VLOOKUP(("Oi Internet Pra Celular 2GB"&amp;JK15&amp;"Template Desconto % SVA DADOS B2C"),[1]BENEFICIOS!$A:$E,5,0)))</f>
        <v/>
      </c>
      <c r="JM15" s="213"/>
      <c r="JN15" s="214" t="str">
        <f>IF(JM15=0,"",IF(JM15=VLOOKUP("PCS-7171B",[1]ARBOR!$A:$C,3,0),0.0001,IF(JM15&gt;VLOOKUP("PCS-7171B",[1]ARBOR!$A:$C,3,0),"Maior que CAP!",ROUND(-1*(JM15/VLOOKUP("PCS-7171B",[1]ARBOR!$A:$C,3,0)-1),4))))</f>
        <v/>
      </c>
      <c r="JO15" s="215" t="str">
        <f>IF(ISERROR(IF(JN15="","",VLOOKUP(("Oi Internet Pra Celular 3GB"&amp;JN15&amp;"Template Flat Instância Dados"),[1]BENEFICIOS!$A:$E,5,0))),"Criar",IF(JN15="","",VLOOKUP(("Oi Internet Pra Celular 3GB"&amp;JN15&amp;"Template Flat Instância Dados"),[1]BENEFICIOS!$A:$E,5,0)))</f>
        <v/>
      </c>
      <c r="JP15" s="216"/>
      <c r="JQ15" s="217" t="str">
        <f>IF(JP15=0,"",IF(JP15=VLOOKUP("sva_livros",[1]ARBOR!$A:$C,3,0),0.0001,IF(JP15&gt;VLOOKUP("sva_livros",[1]ARBOR!$A:$C,3,0),"Maior que CAP!",ROUND(-1*(JP15/VLOOKUP("sva_livros",[1]ARBOR!$A:$C,3,0)-1),4))))</f>
        <v/>
      </c>
      <c r="JR15" s="218" t="str">
        <f>IF(ISERROR(IF(JQ15="","",VLOOKUP(("Oi Internet Pra Celular 3GB"&amp;JQ15&amp;"Template Desconto % SVA DADOS B2C"),[1]BENEFICIOS!$A:$E,5,0))),"Criar",IF(JQ15="","",VLOOKUP(("Oi Internet Pra Celular 3GB"&amp;JQ15&amp;"Template Desconto % SVA DADOS B2C"),[1]BENEFICIOS!$A:$E,5,0)))</f>
        <v/>
      </c>
      <c r="JS15" s="213"/>
      <c r="JT15" s="214" t="str">
        <f>IF(JS15=0,"",IF(JS15=VLOOKUP("PCS-51793o08",[1]ARBOR!$A:$C,3,0),0.0001,IF(JS15&gt;VLOOKUP("PCS-51793o08",[1]ARBOR!$A:$C,3,0),"Maior que CAP!",ROUND(-1*(JS15/VLOOKUP("PCS-51793o08",[1]ARBOR!$A:$C,3,0)-1),4))))</f>
        <v/>
      </c>
      <c r="JU15" s="215" t="str">
        <f>IF(ISERROR(IF(JT15="","",VLOOKUP(("Oi Internet Pra Celular 5GB"&amp;JT15&amp;"Template Flat Instância Dados"),[1]BENEFICIOS!$A:$E,5,0))),"Criar",IF(JT15="","",VLOOKUP(("Oi Internet Pra Celular 5GB"&amp;JT15&amp;"Template Flat Instância Dados"),[1]BENEFICIOS!$A:$E,5,0)))</f>
        <v/>
      </c>
      <c r="JV15" s="216"/>
      <c r="JW15" s="217" t="str">
        <f>IF(JV15=0,"",IF(JV15=VLOOKUP("sva_curtas",[1]ARBOR!$A:$C,3,0),0.0001,IF(JV15&gt;VLOOKUP("sva_curtas",[1]ARBOR!$A:$C,3,0),"Maior que CAP!",ROUND(-1*(JV15/VLOOKUP("sva_curtas",[1]ARBOR!$A:$C,3,0)-1),4))))</f>
        <v/>
      </c>
      <c r="JX15" s="218" t="str">
        <f>IF(ISERROR(IF(JW15="","",VLOOKUP(("Oi Internet Pra Celular 5GB"&amp;JW15&amp;"Template Desconto % SVA DADOS B2C"),[1]BENEFICIOS!$A:$E,5,0))),"Criar",IF(JW15="","",VLOOKUP(("Oi Internet Pra Celular 5GB"&amp;JW15&amp;"Template Desconto % SVA DADOS B2C"),[1]BENEFICIOS!$A:$E,5,0)))</f>
        <v/>
      </c>
      <c r="JY15" s="213"/>
      <c r="JZ15" s="214" t="str">
        <f>IF(JY15=0,"",IF(JY15=VLOOKUP("PCS-7171A",[1]ARBOR!$A:$C,3,0),0.0001,IF(JY15&gt;VLOOKUP("PCS-7171A",[1]ARBOR!$A:$C,3,0),"Maior que CAP!",ROUND(-1*(JY15/VLOOKUP("PCS-7171A",[1]ARBOR!$A:$C,3,0)-1),4))))</f>
        <v/>
      </c>
      <c r="KA15" s="219" t="str">
        <f>IF(ISERROR(IF(JZ15="","",VLOOKUP(("Oi Internet Pra Celular 10GB"&amp;JZ15&amp;"Template Flat Instância Dados"),[1]BENEFICIOS!$A:$E,5,0))),"Criar",IF(JZ15="","",VLOOKUP(("Oi Internet Pra Celular 10GB"&amp;JZ15&amp;"Template Flat Instância Dados"),[1]BENEFICIOS!$A:$E,5,0)))</f>
        <v/>
      </c>
      <c r="KB15" s="216"/>
      <c r="KC15" s="217" t="str">
        <f>IF(KB15=0,"",IF(KB15=VLOOKUP("sva_curtas",[1]ARBOR!$A:$C,3,0),0.0001,IF(KB15&gt;VLOOKUP("sva_curtas",[1]ARBOR!$A:$C,3,0),"Maior que CAP!",ROUND(-1*(KB15/VLOOKUP("sva_curtas",[1]ARBOR!$A:$C,3,0)-1),4))))</f>
        <v/>
      </c>
      <c r="KD15" s="218" t="str">
        <f>IF(ISERROR(IF(KC15="","",VLOOKUP(("Oi Internet Pra Celular 10GB"&amp;KC15&amp;"Template Desconto % SVA DADOS B2C"),[1]BENEFICIOS!$A:$E,5,0))),"Criar",IF(KC15="","",VLOOKUP(("Oi Internet Pra Celular 10GB"&amp;KC15&amp;"Template Desconto % SVA DADOS B2C"),[1]BENEFICIOS!$A:$E,5,0)))</f>
        <v/>
      </c>
      <c r="KE15" s="220"/>
      <c r="KF15" s="221"/>
      <c r="KG15" s="222" t="s">
        <v>149</v>
      </c>
      <c r="KH15" s="223" t="s">
        <v>173</v>
      </c>
      <c r="KI15" s="224">
        <v>699</v>
      </c>
      <c r="KJ15" s="223">
        <v>12</v>
      </c>
      <c r="KK15" s="225" t="str">
        <f t="shared" si="5"/>
        <v>Oi benefício fidelização Multiprodutos</v>
      </c>
      <c r="KL15" s="226" t="str">
        <f t="shared" si="6"/>
        <v>PCS-Fk83324</v>
      </c>
      <c r="KM15" s="226" t="str">
        <f t="shared" si="7"/>
        <v>PCS-SBL553142</v>
      </c>
      <c r="KN15" s="227" t="s">
        <v>174</v>
      </c>
      <c r="KO15" s="228" t="s">
        <v>175</v>
      </c>
      <c r="KP15" s="228" t="s">
        <v>176</v>
      </c>
      <c r="KQ15" s="227" t="s">
        <v>177</v>
      </c>
      <c r="KR15" s="225" t="s">
        <v>178</v>
      </c>
      <c r="KS15" s="226" t="s">
        <v>179</v>
      </c>
      <c r="KT15" s="229" t="s">
        <v>180</v>
      </c>
      <c r="KU15" s="155" t="s">
        <v>181</v>
      </c>
      <c r="KV15" s="155">
        <v>199.91</v>
      </c>
      <c r="KW15" s="155" t="s">
        <v>181</v>
      </c>
      <c r="KX15" s="155" t="s">
        <v>181</v>
      </c>
      <c r="KY15" s="155" t="s">
        <v>181</v>
      </c>
      <c r="KZ15" s="155" t="s">
        <v>181</v>
      </c>
      <c r="LA15" s="155" t="s">
        <v>181</v>
      </c>
      <c r="LB15" s="155" t="s">
        <v>181</v>
      </c>
      <c r="LC15" s="155" t="s">
        <v>181</v>
      </c>
      <c r="LD15" s="155" t="s">
        <v>181</v>
      </c>
      <c r="LE15" s="155" t="s">
        <v>181</v>
      </c>
      <c r="LF15" s="155" t="s">
        <v>181</v>
      </c>
      <c r="LG15" s="155" t="s">
        <v>181</v>
      </c>
      <c r="LH15" s="155" t="s">
        <v>181</v>
      </c>
      <c r="LI15" s="155" t="s">
        <v>181</v>
      </c>
      <c r="LJ15" s="155" t="s">
        <v>181</v>
      </c>
      <c r="LK15" s="230" t="s">
        <v>181</v>
      </c>
      <c r="LL15" s="238"/>
      <c r="LM15" s="239"/>
      <c r="LN15" s="239"/>
      <c r="LO15" s="239"/>
      <c r="LP15" s="239"/>
      <c r="LQ15" s="239"/>
      <c r="LR15" s="239"/>
      <c r="LS15" s="239"/>
      <c r="LT15" s="239"/>
      <c r="LU15" s="240"/>
      <c r="LV15" t="s">
        <v>214</v>
      </c>
      <c r="LW15" t="s">
        <v>183</v>
      </c>
    </row>
    <row r="16" spans="1:335" x14ac:dyDescent="0.25">
      <c r="A16" s="160" t="s">
        <v>146</v>
      </c>
      <c r="B16" s="161" t="s">
        <v>147</v>
      </c>
      <c r="C16" s="161" t="s">
        <v>148</v>
      </c>
      <c r="D16" s="162" t="s">
        <v>149</v>
      </c>
      <c r="E16" s="163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5"/>
      <c r="Q16" s="165"/>
      <c r="R16" s="165"/>
      <c r="S16" s="166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7"/>
      <c r="AF16" s="164"/>
      <c r="AG16" s="164"/>
      <c r="AH16" s="168"/>
      <c r="AI16" s="235" t="s">
        <v>215</v>
      </c>
      <c r="AJ16" s="85" t="s">
        <v>151</v>
      </c>
      <c r="AK16" s="86" t="s">
        <v>197</v>
      </c>
      <c r="AL16" s="169">
        <v>43039</v>
      </c>
      <c r="AM16" s="170">
        <v>43159</v>
      </c>
      <c r="AN16" s="89" t="s">
        <v>153</v>
      </c>
      <c r="AO16" s="90" t="s">
        <v>153</v>
      </c>
      <c r="AP16" s="171"/>
      <c r="AQ16" s="171" t="s">
        <v>154</v>
      </c>
      <c r="AR16" s="171">
        <v>20</v>
      </c>
      <c r="AS16" s="171">
        <v>10000</v>
      </c>
      <c r="AT16" s="172" t="s">
        <v>155</v>
      </c>
      <c r="AU16" s="173" t="s">
        <v>149</v>
      </c>
      <c r="AV16" s="174" t="s">
        <v>156</v>
      </c>
      <c r="AW16" s="175" t="s">
        <v>156</v>
      </c>
      <c r="AX16" s="176" t="s">
        <v>215</v>
      </c>
      <c r="AY16" s="177" t="s">
        <v>188</v>
      </c>
      <c r="AZ16" s="178" t="str">
        <f>IF(ISERROR(VLOOKUP(AY16,[1]PLANOS!B:C,2,0)),"",VLOOKUP(AY16,[1]PLANOS!B:C,2,0))</f>
        <v>PCS-3PHipi</v>
      </c>
      <c r="BA16" s="179" t="s">
        <v>156</v>
      </c>
      <c r="BB16" s="180" t="str">
        <f t="shared" si="1"/>
        <v/>
      </c>
      <c r="BC16" s="181"/>
      <c r="BD16" s="182"/>
      <c r="BE16" s="183">
        <v>50.11</v>
      </c>
      <c r="BF16" s="127">
        <f>IF(BE16=0,"",IF(BE16=VLOOKUP("FIXO",[1]ARBOR!$A:$C,3,0),0.0001,IF(BE16&gt;VLOOKUP("FIXO",[1]ARBOR!$A:$C,3,0),"Maior que CAP!",IF((DOLLAR(BE16+(VLOOKUP("FIXO",[1]ARBOR!$A:$C,3,0)*-TRUNC(BE16/VLOOKUP("FIXO",[1]ARBOR!$A:$C,3,0)-1,4)),6))&lt;&gt;(DOLLAR(VLOOKUP("FIXO",[1]ARBOR!$A:$C,3,0),6)),-TRUNC(BE16/VLOOKUP("FIXO",[1]ARBOR!$A:$C,3,0)-1,4)+0.0001,-TRUNC(BE16/VLOOKUP("FIXO",[1]ARBOR!$A:$C,3,0)-1,4)))))</f>
        <v>0.33929999999999999</v>
      </c>
      <c r="BG16" s="184"/>
      <c r="BH16" s="127" t="str">
        <f>IF(BG16=0,"",IF(BG16=VLOOKUP("FIXO",[1]ARBOR!$A:$C,3,0),0.0001,IF(BG16&gt;VLOOKUP("FIXO",[1]ARBOR!$A:$C,3,0),"Maior que CAP!",IF((DOLLAR(BG16+(VLOOKUP("FIXO",[1]ARBOR!$A:$C,3,0)*-TRUNC(BG16/VLOOKUP("FIXO",[1]ARBOR!$A:$C,3,0)-1,4)),6))&lt;&gt;(DOLLAR(VLOOKUP("FIXO",[1]ARBOR!$A:$C,3,0),6)),-TRUNC(BG16/VLOOKUP("FIXO",[1]ARBOR!$A:$C,3,0)-1,4)+0.0001,-TRUNC(BG16/VLOOKUP("FIXO",[1]ARBOR!$A:$C,3,0)-1,4)))))</f>
        <v/>
      </c>
      <c r="BI16" s="127" t="str">
        <f>IF(ISERROR(IF(BF16="","",VLOOKUP(($AY16&amp;BF16&amp;"Template de desconto FLAT bundle - Fixo - Varejo - Ganho Tributário Cross"),[1]BENEFICIOS!$A:$E,5,0))),"Criar",IF(BF16="","",VLOOKUP(($AY16&amp;BF16&amp;"Template de desconto FLAT bundle - Fixo - Varejo - Ganho Tributário Cross"),[1]BENEFICIOS!$A:$E,5,0)))</f>
        <v>MKT-1-9825728196</v>
      </c>
      <c r="BJ16" s="185"/>
      <c r="BK16" s="127" t="str">
        <f t="shared" si="2"/>
        <v/>
      </c>
      <c r="BL16" s="186"/>
      <c r="BM16" s="127" t="str">
        <f>IF(BL16=0,"",IF(BL16=VLOOKUP("FIXO",[1]ARBOR!$A:$C,3,0),0.0001,IF(BL16&gt;VLOOKUP("FIXO",[1]ARBOR!$A:$C,3,0),"Maior que CAP!",IF(BF16&lt;&gt;"",-ROUND(BL16/VLOOKUP("FIXO",[1]ARBOR!$A:$C,3,0)-1,4)-BF16,-ROUND(BL16/VLOOKUP("FIXO",[1]ARBOR!$A:$C,3,0)-1,4)))))</f>
        <v/>
      </c>
      <c r="BN16" s="187"/>
      <c r="BO16" s="127" t="str">
        <f>IF(ISERROR(IF(BK16="","",VLOOKUP(($AY16&amp;BK16&amp;"Template de desconto FLAT bundle - Fixo - Varejo - Ganho Tributário Cross"),[1]BENEFICIOS!$A:$E,5,0))),"Criar",IF(BK16="","",VLOOKUP(($AY16&amp;BK16&amp;"Template de desconto FLAT bundle - Fixo - Varejo - Ganho Tributário Cross"),[1]BENEFICIOS!$A:$E,5,0)))</f>
        <v/>
      </c>
      <c r="BP16" s="188" t="s">
        <v>158</v>
      </c>
      <c r="BQ16" s="189" t="s">
        <v>159</v>
      </c>
      <c r="BR16" s="190" t="s">
        <v>156</v>
      </c>
      <c r="BS16" s="191" t="str">
        <f t="shared" si="0"/>
        <v/>
      </c>
      <c r="BT16" s="181"/>
      <c r="BU16" s="192"/>
      <c r="BV16" s="193" t="s">
        <v>198</v>
      </c>
      <c r="BW16" s="194">
        <v>44.9</v>
      </c>
      <c r="BX16" s="127">
        <f>IF(BW16=0,"",IF(BW16=VLOOKUP("PCS-30874g",[1]ARBOR!$A:$C,3,0),0.0001,IF(BW16&gt;VLOOKUP("PCS-30874g",[1]ARBOR!$A:$C,3,0),"Maior que CAP!",IF((DOLLAR(BW16+(VLOOKUP("PCS-30874g",[1]ARBOR!$A:$C,3,0)*-TRUNC(BW16/VLOOKUP("PCS-30874g",[1]ARBOR!$A:$C,3,0)-1,4)),6))&lt;&gt;(DOLLAR(VLOOKUP("PCS-30874g",[1]ARBOR!$A:$C,3,0),6)),-TRUNC(BW16/VLOOKUP("PCS-30874g",[1]ARBOR!$A:$C,3,0)-1,4)+0.0001,-TRUNC(BW16/VLOOKUP("PCS-30874g",[1]ARBOR!$A:$C,3,0)-1,4)))))</f>
        <v>0.53679999999999994</v>
      </c>
      <c r="BY16" s="189" t="str">
        <f>IF(ISERROR(IF(BX16="","",VLOOKUP(($AY16&amp;BX16&amp;"Template de desconto FLAT bundle - Velox XDSL - Varejo"),[1]BENEFICIOS!$A:$E,5,0))),"Criar",IF(BX16="","",VLOOKUP(($AY16&amp;BX16&amp;"Template de desconto FLAT bundle - Velox XDSL - Varejo"),[1]BENEFICIOS!$A:$E,5,0)))</f>
        <v>MKT-1-9829477373</v>
      </c>
      <c r="BZ16" s="193" t="s">
        <v>198</v>
      </c>
      <c r="CA16" s="194">
        <v>44.9</v>
      </c>
      <c r="CB16" s="127">
        <f>IF(CA16=0,"",IF(CA16=VLOOKUP("PCS-30577g",[1]ARBOR!$A:$C,3,0),0.0001,IF(CA16&gt;VLOOKUP("PCS-30577g",[1]ARBOR!$A:$C,3,0),"Maior que CAP!",IF((DOLLAR(CA16+(VLOOKUP("PCS-30577g",[1]ARBOR!$A:$C,3,0)*-TRUNC(CA16/VLOOKUP("PCS-30577g",[1]ARBOR!$A:$C,3,0)-1,4)),6))&lt;&gt;(DOLLAR(VLOOKUP("PCS-30577g",[1]ARBOR!$A:$C,3,0),6)),-TRUNC(CA16/VLOOKUP("PCS-30577g",[1]ARBOR!$A:$C,3,0)-1,4)+0.0001,-TRUNC(CA16/VLOOKUP("PCS-30577g",[1]ARBOR!$A:$C,3,0)-1,4)))))</f>
        <v>0.53679999999999994</v>
      </c>
      <c r="CC16" s="189" t="str">
        <f>IF(ISERROR(IF(CB16="","",VLOOKUP(($AY16&amp;CB16&amp;"Template de desconto FLAT bundle - Velox XDSL - Varejo"),[1]BENEFICIOS!$A:$E,5,0))),"Criar",IF(CB16="","",VLOOKUP(($AY16&amp;CB16&amp;"Template de desconto FLAT bundle - Velox XDSL - Varejo"),[1]BENEFICIOS!$A:$E,5,0)))</f>
        <v>MKT-1-9829477373</v>
      </c>
      <c r="CD16" s="193" t="s">
        <v>198</v>
      </c>
      <c r="CE16" s="194">
        <v>44.9</v>
      </c>
      <c r="CF16" s="127">
        <f>IF(CE16=0,"",IF(CE16=VLOOKUP("PCS-30604g",[1]ARBOR!$A:$C,3,0),0.0001,IF(CE16&gt;VLOOKUP("PCS-30604g",[1]ARBOR!$A:$C,3,0),"Maior que CAP!",IF((DOLLAR(CE16+(VLOOKUP("PCS-30604g",[1]ARBOR!$A:$C,3,0)*-TRUNC(CE16/VLOOKUP("PCS-30604g",[1]ARBOR!$A:$C,3,0)-1,4)),6))&lt;&gt;(DOLLAR(VLOOKUP("PCS-30604g",[1]ARBOR!$A:$C,3,0),6)),-TRUNC(CE16/VLOOKUP("PCS-30604g",[1]ARBOR!$A:$C,3,0)-1,4)+0.0001,-TRUNC(CE16/VLOOKUP("PCS-30604g",[1]ARBOR!$A:$C,3,0)-1,4)))))</f>
        <v>0.53679999999999994</v>
      </c>
      <c r="CG16" s="189" t="str">
        <f>IF(ISERROR(IF(CF16="","",VLOOKUP(($AY16&amp;CF16&amp;"Template de desconto FLAT bundle - Velox XDSL - Varejo"),[1]BENEFICIOS!$A:$E,5,0))),"Criar",IF(CF16="","",VLOOKUP(($AY16&amp;CF16&amp;"Template de desconto FLAT bundle - Velox XDSL - Varejo"),[1]BENEFICIOS!$A:$E,5,0)))</f>
        <v>MKT-1-9829477373</v>
      </c>
      <c r="CH16" s="193" t="s">
        <v>198</v>
      </c>
      <c r="CI16" s="194">
        <v>44.9</v>
      </c>
      <c r="CJ16" s="127">
        <f>IF(CI16=0,"",IF(CI16=VLOOKUP("PCS-30631g",[1]ARBOR!$A:$C,3,0),0.0001,IF(CI16&gt;VLOOKUP("PCS-30631g",[1]ARBOR!$A:$C,3,0),"Maior que CAP!",IF((DOLLAR(CI16+(VLOOKUP("PCS-30631g",[1]ARBOR!$A:$C,3,0)*-TRUNC(CI16/VLOOKUP("PCS-30631g",[1]ARBOR!$A:$C,3,0)-1,4)),6))&lt;&gt;(DOLLAR(VLOOKUP("PCS-30631g",[1]ARBOR!$A:$C,3,0),6)),-TRUNC(CI16/VLOOKUP("PCS-30631g",[1]ARBOR!$A:$C,3,0)-1,4)+0.0001,-TRUNC(CI16/VLOOKUP("PCS-30631g",[1]ARBOR!$A:$C,3,0)-1,4)))))</f>
        <v>0.54310000000000003</v>
      </c>
      <c r="CK16" s="189" t="str">
        <f>IF(ISERROR(IF(CJ16="","",VLOOKUP(($AY16&amp;CJ16&amp;"Template de desconto FLAT bundle - Velox XDSL - Varejo"),[1]BENEFICIOS!$A:$E,5,0))),"Criar",IF(CJ16="","",VLOOKUP(($AY16&amp;CJ16&amp;"Template de desconto FLAT bundle - Velox XDSL - Varejo"),[1]BENEFICIOS!$A:$E,5,0)))</f>
        <v>MKT-1-9828219079</v>
      </c>
      <c r="CL16" s="193" t="s">
        <v>86</v>
      </c>
      <c r="CM16" s="194">
        <v>49.9</v>
      </c>
      <c r="CN16" s="127">
        <f>IF(CM16=0,"",IF(CM16=VLOOKUP("PCS-30658g",[1]ARBOR!$A:$C,3,0),0.0001,IF(CM16&gt;VLOOKUP("PCS-30658g",[1]ARBOR!$A:$C,3,0),"Maior que CAP!",IF((DOLLAR(CM16+(VLOOKUP("PCS-30658g",[1]ARBOR!$A:$C,3,0)*-TRUNC(CM16/VLOOKUP("PCS-30658g",[1]ARBOR!$A:$C,3,0)-1,4)),6))&lt;&gt;(DOLLAR(VLOOKUP("PCS-30658g",[1]ARBOR!$A:$C,3,0),6)),-TRUNC(CM16/VLOOKUP("PCS-30658g",[1]ARBOR!$A:$C,3,0)-1,4)+0.0001,-TRUNC(CM16/VLOOKUP("PCS-30658g",[1]ARBOR!$A:$C,3,0)-1,4)))))</f>
        <v>0.55569999999999997</v>
      </c>
      <c r="CO16" s="189" t="str">
        <f>IF(ISERROR(IF(CN16="","",VLOOKUP(($AY16&amp;CN16&amp;"Template de desconto FLAT bundle - Velox XDSL - Varejo"),[1]BENEFICIOS!$A:$E,5,0))),"Criar",IF(CN16="","",VLOOKUP(($AY16&amp;CN16&amp;"Template de desconto FLAT bundle - Velox XDSL - Varejo"),[1]BENEFICIOS!$A:$E,5,0)))</f>
        <v>MKT-1-9828243608</v>
      </c>
      <c r="CP16" s="193" t="s">
        <v>86</v>
      </c>
      <c r="CQ16" s="194">
        <v>49.9</v>
      </c>
      <c r="CR16" s="127">
        <f>IF(CQ16=0,"",IF(CQ16=VLOOKUP("PCS-30685g",[1]ARBOR!$A:$C,3,0),0.0001,IF(CQ16&gt;VLOOKUP("PCS-30685g",[1]ARBOR!$A:$C,3,0),"Maior que CAP!",IF((DOLLAR(CQ16+(VLOOKUP("PCS-30685g",[1]ARBOR!$A:$C,3,0)*-TRUNC(CQ16/VLOOKUP("PCS-30685g",[1]ARBOR!$A:$C,3,0)-1,4)),6))&lt;&gt;(DOLLAR(VLOOKUP("PCS-30685g",[1]ARBOR!$A:$C,3,0),6)),-TRUNC(CQ16/VLOOKUP("PCS-30685g",[1]ARBOR!$A:$C,3,0)-1,4)+0.0001,-TRUNC(CQ16/VLOOKUP("PCS-30685g",[1]ARBOR!$A:$C,3,0)-1,4)))))</f>
        <v>0.60509999999999997</v>
      </c>
      <c r="CS16" s="189" t="str">
        <f>IF(ISERROR(IF(CR16="","",VLOOKUP(($AY16&amp;CR16&amp;"Template de desconto FLAT bundle - Velox XDSL - Varejo"),[1]BENEFICIOS!$A:$E,5,0))),"Criar",IF(CR16="","",VLOOKUP(($AY16&amp;CR16&amp;"Template de desconto FLAT bundle - Velox XDSL - Varejo"),[1]BENEFICIOS!$A:$E,5,0)))</f>
        <v>MKT-1-9828260647</v>
      </c>
      <c r="CT16" s="193" t="s">
        <v>86</v>
      </c>
      <c r="CU16" s="194">
        <v>49.9</v>
      </c>
      <c r="CV16" s="127">
        <f>IF(CU16=0,"",IF(CU16=VLOOKUP("PCS-30712g",[1]ARBOR!$A:$C,3,0),0.0001,IF(CU16&gt;VLOOKUP("PCS-30712g",[1]ARBOR!$A:$C,3,0),"Maior que CAP!",IF((DOLLAR(CU16+(VLOOKUP("PCS-30712g",[1]ARBOR!$A:$C,3,0)*-TRUNC(CU16/VLOOKUP("PCS-30712g",[1]ARBOR!$A:$C,3,0)-1,4)),6))&lt;&gt;(DOLLAR(VLOOKUP("PCS-30712g",[1]ARBOR!$A:$C,3,0),6)),-TRUNC(CU16/VLOOKUP("PCS-30712g",[1]ARBOR!$A:$C,3,0)-1,4)+0.0001,-TRUNC(CU16/VLOOKUP("PCS-30712g",[1]ARBOR!$A:$C,3,0)-1,4)))))</f>
        <v>0.64459999999999995</v>
      </c>
      <c r="CW16" s="189" t="str">
        <f>IF(ISERROR(IF(CV16="","",VLOOKUP(($AY16&amp;CV16&amp;"Template de desconto FLAT bundle - Velox XDSL - Varejo"),[1]BENEFICIOS!$A:$E,5,0))),"Criar",IF(CV16="","",VLOOKUP(($AY16&amp;CV16&amp;"Template de desconto FLAT bundle - Velox XDSL - Varejo"),[1]BENEFICIOS!$A:$E,5,0)))</f>
        <v>MKT-1-9828260926</v>
      </c>
      <c r="CX16" s="193" t="s">
        <v>86</v>
      </c>
      <c r="CY16" s="194">
        <v>59.9</v>
      </c>
      <c r="CZ16" s="127">
        <f>IF(CY16=0,"",IF(CY16=VLOOKUP("PCS-30739g",[1]ARBOR!$A:$C,3,0),0.0001,IF(CY16&gt;VLOOKUP("PCS-30739g",[1]ARBOR!$A:$C,3,0),"Maior que CAP!",IF((DOLLAR(CY16+(VLOOKUP("PCS-30739g",[1]ARBOR!$A:$C,3,0)*-TRUNC(CY16/VLOOKUP("PCS-30739g",[1]ARBOR!$A:$C,3,0)-1,4)),6))&lt;&gt;(DOLLAR(VLOOKUP("PCS-30739g",[1]ARBOR!$A:$C,3,0),6)),-TRUNC(CY16/VLOOKUP("PCS-30739g",[1]ARBOR!$A:$C,3,0)-1,4)+0.0001,-TRUNC(CY16/VLOOKUP("PCS-30739g",[1]ARBOR!$A:$C,3,0)-1,4)))))</f>
        <v>0.71560000000000001</v>
      </c>
      <c r="DA16" s="195" t="str">
        <f>IF(ISERROR(IF(CZ16="","",VLOOKUP(($AY16&amp;CZ16&amp;"Template de desconto FLAT bundle - Velox XDSL - Varejo"),[1]BENEFICIOS!$A:$E,5,0))),"Criar",IF(CZ16="","",VLOOKUP(($AY16&amp;CZ16&amp;"Template de desconto FLAT bundle - Velox XDSL - Varejo"),[1]BENEFICIOS!$A:$E,5,0)))</f>
        <v>MKT-1-9828272465</v>
      </c>
      <c r="DB16" s="196">
        <v>29.95</v>
      </c>
      <c r="DC16" s="241">
        <v>6</v>
      </c>
      <c r="DD16" s="127">
        <f>IF(DB16=0,"",IF(DB16=VLOOKUP("PCS-30739g",[1]ARBOR!$A:$C,3,0),0.0001,IF(DB16&gt;VLOOKUP("PCS-30739g",[1]ARBOR!$A:$C,3,0),"Maior que CAP!",IF((DOLLAR(DB16+(VLOOKUP("PCS-30739g",[1]ARBOR!$A:$C,3,0)*-TRUNC(DB16/VLOOKUP("PCS-30739g",[1]ARBOR!$A:$C,3,0)-1,4)),6))&lt;&gt;(DOLLAR(VLOOKUP("PCS-30739g",[1]ARBOR!$A:$C,3,0),6)),(-TRUNC(DB16/VLOOKUP("PCS-30739g",[1]ARBOR!$A:$C,3,0)-1,4)+0.0001)-CZ16,-TRUNC(DB16/VLOOKUP("PCS-30739g",[1]ARBOR!$A:$C,3,0)-1,4)-CZ16))))</f>
        <v>0.14219999999999999</v>
      </c>
      <c r="DE16" s="189" t="str">
        <f>IF(ISERROR(IF(DD16="","",VLOOKUP(($AY16&amp;DD16&amp;"Template de desconto percentual Bundle - Velox XDSL - Varejo"),[1]BENEFICIOS!$A:$E,5,0))),"Criar",IF(DD16="","",VLOOKUP(($AY16&amp;DD16&amp;"Template de desconto percentual Bundle - Velox XDSL - Varejo"),[1]BENEFICIOS!$A:$E,5,0)))</f>
        <v>MKT-1-9832066535</v>
      </c>
      <c r="DF16" s="193" t="s">
        <v>86</v>
      </c>
      <c r="DG16" s="194">
        <v>59.9</v>
      </c>
      <c r="DH16" s="127">
        <f>IF(DG16=0,"",IF(DG16=VLOOKUP("PCS-30766g",[1]ARBOR!$A:$C,3,0),0.0001,IF(DG16&gt;VLOOKUP("PCS-30766g",[1]ARBOR!$A:$C,3,0),"Maior que CAP!",IF((DOLLAR(DG16+(VLOOKUP("PCS-30766g",[1]ARBOR!$A:$C,3,0)*-TRUNC(DG16/VLOOKUP("PCS-30766g",[1]ARBOR!$A:$C,3,0)-1,4)),6))&lt;&gt;(DOLLAR(VLOOKUP("PCS-30766g",[1]ARBOR!$A:$C,3,0),6)),-TRUNC(DG16/VLOOKUP("PCS-30766g",[1]ARBOR!$A:$C,3,0)-1,4)+0.0001,-TRUNC(DG16/VLOOKUP("PCS-30766g",[1]ARBOR!$A:$C,3,0)-1,4)))))</f>
        <v>0.78669999999999995</v>
      </c>
      <c r="DI16" s="195" t="str">
        <f>IF(ISERROR(IF(DH16="","",VLOOKUP(($AY16&amp;DH16&amp;"Template de desconto FLAT bundle - Velox XDSL - Varejo"),[1]BENEFICIOS!$A:$E,5,0))),"Criar",IF(DH16="","",VLOOKUP(($AY16&amp;DH16&amp;"Template de desconto FLAT bundle - Velox XDSL - Varejo"),[1]BENEFICIOS!$A:$E,5,0)))</f>
        <v>MKT-1-9828285890</v>
      </c>
      <c r="DJ16" s="196">
        <v>29.95</v>
      </c>
      <c r="DK16" s="241">
        <v>6</v>
      </c>
      <c r="DL16" s="127">
        <f>IF(DJ16=0,"",IF(DJ16=VLOOKUP("PCS-30766g",[1]ARBOR!$A:$C,3,0),0.0001,IF(DJ16&gt;VLOOKUP("PCS-30766g",[1]ARBOR!$A:$C,3,0),"Maior que CAP!",IF((DOLLAR(DJ16+(VLOOKUP("PCS-30766g",[1]ARBOR!$A:$C,3,0)*-TRUNC(DJ16/VLOOKUP("PCS-30766g",[1]ARBOR!$A:$C,3,0)-1,4)),6))&lt;&gt;(DOLLAR(VLOOKUP("PCS-30766g",[1]ARBOR!$A:$C,3,0),6)),(-TRUNC(DJ16/VLOOKUP("PCS-30766g",[1]ARBOR!$A:$C,3,0)-1,4)+0.0001)-DH16,-TRUNC(DJ16/VLOOKUP("PCS-30766g",[1]ARBOR!$A:$C,3,0)-1,4)-DH16))))</f>
        <v>0.10670000000000002</v>
      </c>
      <c r="DM16" s="189" t="str">
        <f>IF(ISERROR(IF(DL16="","",VLOOKUP(($AY16&amp;DL16&amp;"Template de desconto percentual Bundle - Velox XDSL - Varejo"),[1]BENEFICIOS!$A:$E,5,0))),"Criar",IF(DL16="","",VLOOKUP(($AY16&amp;DL16&amp;"Template de desconto percentual Bundle - Velox XDSL - Varejo"),[1]BENEFICIOS!$A:$E,5,0)))</f>
        <v>MKT-1-9832066763</v>
      </c>
      <c r="DN16" s="193" t="s">
        <v>198</v>
      </c>
      <c r="DO16" s="194">
        <v>69.900000000000006</v>
      </c>
      <c r="DP16" s="127">
        <f>IF(DO16=0,"",IF(DO16=VLOOKUP("PCS-30793g",[1]ARBOR!$A:$C,3,0),0.0001,IF(DO16&gt;VLOOKUP("PCS-30793g",[1]ARBOR!$A:$C,3,0),"Maior que CAP!",IF((DOLLAR(DO16+(VLOOKUP("PCS-30793g",[1]ARBOR!$A:$C,3,0)*-TRUNC(DO16/VLOOKUP("PCS-30793g",[1]ARBOR!$A:$C,3,0)-1,4)),6))&lt;&gt;(DOLLAR(VLOOKUP("PCS-30793g",[1]ARBOR!$A:$C,3,0),6)),-TRUNC(DO16/VLOOKUP("PCS-30793g",[1]ARBOR!$A:$C,3,0)-1,4)+0.0001,-TRUNC(DO16/VLOOKUP("PCS-30793g",[1]ARBOR!$A:$C,3,0)-1,4)))))</f>
        <v>0.75109999999999999</v>
      </c>
      <c r="DQ16" s="195" t="str">
        <f>IF(ISERROR(IF(DP16="","",VLOOKUP(($AY16&amp;DP16&amp;"Template de desconto FLAT bundle - Velox XDSL - Varejo"),[1]BENEFICIOS!$A:$E,5,0))),"Criar",IF(DP16="","",VLOOKUP(($AY16&amp;DP16&amp;"Template de desconto FLAT bundle - Velox XDSL - Varejo"),[1]BENEFICIOS!$A:$E,5,0)))</f>
        <v>MKT-1-9828314259</v>
      </c>
      <c r="DR16" s="196">
        <v>34.950000000000003</v>
      </c>
      <c r="DS16" s="241">
        <v>6</v>
      </c>
      <c r="DT16" s="127">
        <f>IF(DR16=0,"",IF(DR16=VLOOKUP("PCS-30793g",[1]ARBOR!$A:$C,3,0),0.0001,IF(DR16&gt;VLOOKUP("PCS-30793g",[1]ARBOR!$A:$C,3,0),"Maior que CAP!",IF((DOLLAR(DR16+(VLOOKUP("PCS-30793g",[1]ARBOR!$A:$C,3,0)*-TRUNC(DR16/VLOOKUP("PCS-30793g",[1]ARBOR!$A:$C,3,0)-1,4)),6))&lt;&gt;(DOLLAR(VLOOKUP("PCS-30793g",[1]ARBOR!$A:$C,3,0),6)),(-TRUNC(DR16/VLOOKUP("PCS-30793g",[1]ARBOR!$A:$C,3,0)-1,4)+0.0001)-DP16,-TRUNC(DR16/VLOOKUP("PCS-30793g",[1]ARBOR!$A:$C,3,0)-1,4)-DP16))))</f>
        <v>0.12449999999999994</v>
      </c>
      <c r="DU16" s="189" t="str">
        <f>IF(ISERROR(IF(DT16="","",VLOOKUP(($AY16&amp;DT16&amp;"Template de desconto percentual Bundle - Velox XDSL - Varejo"),[1]BENEFICIOS!$A:$E,5,0))),"Criar",IF(DT16="","",VLOOKUP(($AY16&amp;DT16&amp;"Template de desconto percentual Bundle - Velox XDSL - Varejo"),[1]BENEFICIOS!$A:$E,5,0)))</f>
        <v>MKT-1-9826047043</v>
      </c>
      <c r="DV16" s="193" t="s">
        <v>86</v>
      </c>
      <c r="DW16" s="194">
        <v>69.900000000000006</v>
      </c>
      <c r="DX16" s="127">
        <f>IF(DW16=0,"",IF(DW16=VLOOKUP("PCS-30820g",[1]ARBOR!$A:$C,3,0),0.0001,IF(DW16&gt;VLOOKUP("PCS-30820g",[1]ARBOR!$A:$C,3,0),"Maior que CAP!",IF((DOLLAR(DW16+(VLOOKUP("PCS-30820g",[1]ARBOR!$A:$C,3,0)*-TRUNC(DW16/VLOOKUP("PCS-30820g",[1]ARBOR!$A:$C,3,0)-1,4)),6))&lt;&gt;(DOLLAR(VLOOKUP("PCS-30820g",[1]ARBOR!$A:$C,3,0),6)),-TRUNC(DW16/VLOOKUP("PCS-30820g",[1]ARBOR!$A:$C,3,0)-1,4)+0.0001,-TRUNC(DW16/VLOOKUP("PCS-30820g",[1]ARBOR!$A:$C,3,0)-1,4)))))</f>
        <v>0.75109999999999999</v>
      </c>
      <c r="DY16" s="195" t="str">
        <f>IF(ISERROR(IF(DX16="","",VLOOKUP(($AY16&amp;DX16&amp;"Template de desconto FLAT bundle - Velox XDSL - Varejo"),[1]BENEFICIOS!$A:$E,5,0))),"Criar",IF(DX16="","",VLOOKUP(($AY16&amp;DX16&amp;"Template de desconto FLAT bundle - Velox XDSL - Varejo"),[1]BENEFICIOS!$A:$E,5,0)))</f>
        <v>MKT-1-9828314259</v>
      </c>
      <c r="DZ16" s="196">
        <v>34.950000000000003</v>
      </c>
      <c r="EA16" s="241">
        <v>6</v>
      </c>
      <c r="EB16" s="127">
        <f>IF(DZ16=0,"",IF(DZ16=VLOOKUP("PCS-30820g",[1]ARBOR!$A:$C,3,0),0.0001,IF(DZ16&gt;VLOOKUP("PCS-30820g",[1]ARBOR!$A:$C,3,0),"Maior que CAP!",IF((DOLLAR(DZ16+(VLOOKUP("PCS-30820g",[1]ARBOR!$A:$C,3,0)*-TRUNC(DZ16/VLOOKUP("PCS-30820g",[1]ARBOR!$A:$C,3,0)-1,4)),6))&lt;&gt;(DOLLAR(VLOOKUP("PCS-30820g",[1]ARBOR!$A:$C,3,0),6)),(-TRUNC(DZ16/VLOOKUP("PCS-30820g",[1]ARBOR!$A:$C,3,0)-1,4)+0.0001)-DX16,-TRUNC(DZ16/VLOOKUP("PCS-30820g",[1]ARBOR!$A:$C,3,0)-1,4)-DX16))))</f>
        <v>0.12449999999999994</v>
      </c>
      <c r="EC16" s="189" t="str">
        <f>IF(ISERROR(IF(EB16="","",VLOOKUP(($AY16&amp;EB16&amp;"Template de desconto percentual Bundle - Velox XDSL - Varejo"),[1]BENEFICIOS!$A:$E,5,0))),"Criar",IF(EB16="","",VLOOKUP(($AY16&amp;EB16&amp;"Template de desconto percentual Bundle - Velox XDSL - Varejo"),[1]BENEFICIOS!$A:$E,5,0)))</f>
        <v>MKT-1-9826047043</v>
      </c>
      <c r="ED16" s="198"/>
      <c r="EE16" s="127" t="str">
        <f>IF(ED16=0,"",IF(ED16=VLOOKUP("PCS-21448p2",[1]ARBOR!$A:$C,3,0),0.0001,IF(ED16&gt;VLOOKUP("PCS-21448p2",[1]ARBOR!$A:$C,3,0),"Maior que CAP!",IF((DOLLAR(ED16+(VLOOKUP("PCS-21448p2",[1]ARBOR!$A:$C,3,0)*-TRUNC(ED16/VLOOKUP("PCS-21448p2",[1]ARBOR!$A:$C,3,0)-1,4)),6))&lt;&gt;(DOLLAR(VLOOKUP("PCS-21448p2",[1]ARBOR!$A:$C,3,0),6)),-TRUNC(ED16/VLOOKUP("PCS-21448p2",[1]ARBOR!$A:$C,3,0)-1,4)+0.0001,-TRUNC(ED16/VLOOKUP("PCS-21448p2",[1]ARBOR!$A:$C,3,0)-1,4)))))</f>
        <v/>
      </c>
      <c r="EF16" s="127" t="str">
        <f>IF(ISERROR(IF(EE16="","",VLOOKUP(("Oi Conta Total Plug 10GB Downgrade"&amp;EE16&amp;"Template de desconto percentual BL Móvel - Internet Total - Varejo"),[1]BENEFICIOS!$A:$E,5,0))),"Criar",IF(EE16="","",VLOOKUP(("Oi Conta Total Plug 10GB Downgrade"&amp;EE16&amp;"Template de desconto percentual BL Móvel - Internet Total - Varejo"),[1]BENEFICIOS!$A:$E,5,0)))</f>
        <v/>
      </c>
      <c r="EG16" s="199">
        <v>19.899999999999999</v>
      </c>
      <c r="EH16" s="200">
        <f>IF(EG16=0,"",IF(EG16=VLOOKUP("SVA",[1]ARBOR!$A:$C,3,0),0.0001,IF(EG16&gt;VLOOKUP("SVA",[1]ARBOR!$A:$C,3,0),"Maior que CAP!",IF((DOLLAR(EG16+(VLOOKUP("SVA",[1]ARBOR!$A:$C,3,0)*-TRUNC(EG16/VLOOKUP("SVA",[1]ARBOR!$A:$C,3,0)-1,4)),6))&lt;&gt;(DOLLAR(VLOOKUP("SVA",[1]ARBOR!$A:$C,3,0),6)),-TRUNC(EG16/VLOOKUP("SVA",[1]ARBOR!$A:$C,3,0)-1,4)+0.0001,-TRUNC(EG16/VLOOKUP("SVA",[1]ARBOR!$A:$C,3,0)-1,4)))))</f>
        <v>7.1400000000000005E-2</v>
      </c>
      <c r="EI16" s="200" t="s">
        <v>199</v>
      </c>
      <c r="EJ16" s="201" t="s">
        <v>212</v>
      </c>
      <c r="EK16" s="202">
        <v>6</v>
      </c>
      <c r="EL16" s="203">
        <f t="shared" si="3"/>
        <v>0.92859999999999998</v>
      </c>
      <c r="EM16" s="200" t="s">
        <v>213</v>
      </c>
      <c r="EN16" s="129"/>
      <c r="EO16" s="127" t="str">
        <f>IF(EN16=0,"",IF(EN16=VLOOKUP("PCS-OzTL40",[1]ARBOR!$A:$C,3,0),0.0001,IF(EN16&gt;VLOOKUP("PCS-OzTL40",[1]ARBOR!$A:$C,3,0),"Maior que CAP!",IF((DOLLAR(EN16+(VLOOKUP("PCS-OzTL40",[1]ARBOR!$A:$C,3,0)*-TRUNC(EN16/VLOOKUP("PCS-OzTL40",[1]ARBOR!$A:$C,3,0)-1,4)),6))&lt;&gt;(DOLLAR(VLOOKUP("PCS-OzTL40",[1]ARBOR!$A:$C,3,0),6)),-TRUNC(EN16/VLOOKUP("PCS-OzTL40",[1]ARBOR!$A:$C,3,0)-1,4)+0.0001,-TRUNC(EN16/VLOOKUP("PCS-OzTL40",[1]ARBOR!$A:$C,3,0)-1,4)))))</f>
        <v/>
      </c>
      <c r="EP16" s="189" t="str">
        <f>IF(ISERROR(IF(EO16="","",VLOOKUP(($AY16&amp;EO16&amp;"Template desconto FLAT Plano Principal Oi TV nível conta"),[1]BENEFICIOS!$A:$G,5,0))),"Criar",IF(EO16="","",VLOOKUP(($AY16&amp;EO16&amp;"Template desconto FLAT Plano Principal Oi TV nível conta"),[1]BENEFICIOS!$A:$G,5,0)))</f>
        <v/>
      </c>
      <c r="EQ16" s="129"/>
      <c r="ER16" s="127" t="str">
        <f>IF(EQ16=0,"",IF(EQ16=VLOOKUP("PCS-OzTL41",[1]ARBOR!$A:$C,3,0),0.0001,IF(EQ16&gt;VLOOKUP("PCS-OzTL41",[1]ARBOR!$A:$C,3,0),"Maior que CAP!",IF((DOLLAR(EQ16+(VLOOKUP("PCS-OzTL41",[1]ARBOR!$A:$C,3,0)*-TRUNC(EQ16/VLOOKUP("PCS-OzTL41",[1]ARBOR!$A:$C,3,0)-1,4)),6))&lt;&gt;(DOLLAR(VLOOKUP("PCS-OzTL41",[1]ARBOR!$A:$C,3,0),6)),-TRUNC(EQ16/VLOOKUP("PCS-OzTL41",[1]ARBOR!$A:$C,3,0)-1,4)+0.0001,-TRUNC(EQ16/VLOOKUP("PCS-OzTL41",[1]ARBOR!$A:$C,3,0)-1,4)))))</f>
        <v/>
      </c>
      <c r="ES16" s="204" t="str">
        <f>IF(ISERROR(IF(ER16="","",VLOOKUP(($AY16&amp;ER16&amp;"Template desconto FLAT Plano Principal Oi TV nível conta"),[1]BENEFICIOS!$A:$G,5,0))),"Criar",IF(ER16="","",VLOOKUP(($AY16&amp;ER16&amp;"Template desconto FLAT Plano Principal Oi TV nível conta"),[1]BENEFICIOS!$A:$G,5,0)))</f>
        <v/>
      </c>
      <c r="ET16" s="129">
        <v>134.9</v>
      </c>
      <c r="EU16" s="127">
        <f>IF(ET16=0,"",IF(ET16=VLOOKUP("PCS-OzTL44",[1]ARBOR!$A:$C,3,0),0.0001,IF(ET16&gt;VLOOKUP("PCS-OzTL44",[1]ARBOR!$A:$C,3,0),"Maior que CAP!",IF((DOLLAR(ET16+(VLOOKUP("PCS-OzTL44",[1]ARBOR!$A:$C,3,0)*-TRUNC(ET16/VLOOKUP("PCS-OzTL44",[1]ARBOR!$A:$C,3,0)-1,4)),6))&lt;&gt;(DOLLAR(VLOOKUP("PCS-OzTL44",[1]ARBOR!$A:$C,3,0),6)),-TRUNC(ET16/VLOOKUP("PCS-OzTL44",[1]ARBOR!$A:$C,3,0)-1,4)+0.0001,-TRUNC(ET16/VLOOKUP("PCS-OzTL44",[1]ARBOR!$A:$C,3,0)-1,4)))))</f>
        <v>0.29969999999999997</v>
      </c>
      <c r="EV16" s="204" t="str">
        <f>IF(ISERROR(IF(EU16="","",VLOOKUP(($AY16&amp;EU16&amp;"Template desconto FLAT Plano Principal Oi TV nível conta"),[1]BENEFICIOS!$A:$G,5,0))),"Criar",IF(EU16="","",VLOOKUP(($AY16&amp;EU16&amp;"Template desconto FLAT Plano Principal Oi TV nível conta"),[1]BENEFICIOS!$A:$G,5,0)))</f>
        <v>MKT-1-9827358355</v>
      </c>
      <c r="EW16" s="129">
        <v>144.9</v>
      </c>
      <c r="EX16" s="127">
        <f>IF(EW16=0,"",IF(EW16=VLOOKUP("PCS-OzTL43",[1]ARBOR!$A:$C,3,0),0.0001,IF(EW16&gt;VLOOKUP("PCS-OzTL43",[1]ARBOR!$A:$C,3,0),"Maior que CAP!",IF((DOLLAR(EW16+(VLOOKUP("PCS-OzTL43",[1]ARBOR!$A:$C,3,0)*-TRUNC(EW16/VLOOKUP("PCS-OzTL43",[1]ARBOR!$A:$C,3,0)-1,4)),6))&lt;&gt;(DOLLAR(VLOOKUP("PCS-OzTL43",[1]ARBOR!$A:$C,3,0),6)),-TRUNC(EW16/VLOOKUP("PCS-OzTL43",[1]ARBOR!$A:$C,3,0)-1,4)+0.0001,-TRUNC(EW16/VLOOKUP("PCS-OzTL43",[1]ARBOR!$A:$C,3,0)-1,4)))))</f>
        <v>0.28849999999999998</v>
      </c>
      <c r="EY16" s="204" t="str">
        <f>IF(ISERROR(IF(EX16="","",VLOOKUP(($AY16&amp;EX16&amp;"Template desconto FLAT Plano Principal Oi TV nível conta"),[1]BENEFICIOS!$A:$G,5,0))),"Criar",IF(EX16="","",VLOOKUP(($AY16&amp;EX16&amp;"Template desconto FLAT Plano Principal Oi TV nível conta"),[1]BENEFICIOS!$A:$G,5,0)))</f>
        <v>MKT-1-9827358670</v>
      </c>
      <c r="EZ16" s="129">
        <v>179.9</v>
      </c>
      <c r="FA16" s="127">
        <f>IF(EZ16=0,"",IF(EZ16=VLOOKUP("PCS-OzTL45",[1]ARBOR!$A:$C,3,0),0.0001,IF(EZ16&gt;VLOOKUP("PCS-OzTL45",[1]ARBOR!$A:$C,3,0),"Maior que CAP!",IF((DOLLAR(EZ16+(VLOOKUP("PCS-OzTL45",[1]ARBOR!$A:$C,3,0)*-TRUNC(EZ16/VLOOKUP("PCS-OzTL45",[1]ARBOR!$A:$C,3,0)-1,4)),6))&lt;&gt;(DOLLAR(VLOOKUP("PCS-OzTL45",[1]ARBOR!$A:$C,3,0),6)),-TRUNC(EZ16/VLOOKUP("PCS-OzTL45",[1]ARBOR!$A:$C,3,0)-1,4)+0.0001,-TRUNC(EZ16/VLOOKUP("PCS-OzTL45",[1]ARBOR!$A:$C,3,0)-1,4)))))</f>
        <v>0.13979999999999998</v>
      </c>
      <c r="FB16" s="204" t="str">
        <f>IF(ISERROR(IF(FA16="","",VLOOKUP(($AY16&amp;FA16&amp;"Template desconto FLAT Plano Principal Oi TV nível conta"),[1]BENEFICIOS!$A:$G,5,0))),"Criar",IF(FA16="","",VLOOKUP(($AY16&amp;FA16&amp;"Template desconto FLAT Plano Principal Oi TV nível conta"),[1]BENEFICIOS!$A:$G,5,0)))</f>
        <v>MKT-1-9827358935</v>
      </c>
      <c r="FC16" s="129"/>
      <c r="FD16" s="127" t="str">
        <f>IF(FC16=0,"",IF(FC16=VLOOKUP("PCS-OzTL741",[1]ARBOR!$A:$C,3,0),0.0001,IF(FC16&gt;VLOOKUP("PCS-OzTL741",[1]ARBOR!$A:$C,3,0),"Maior que CAP!",IF((DOLLAR(FC16+(VLOOKUP("PCS-OzTL741",[1]ARBOR!$A:$C,3,0)*-TRUNC(FC16/VLOOKUP("PCS-OzTL741",[1]ARBOR!$A:$C,3,0)-1,4)),6))&lt;&gt;(DOLLAR(VLOOKUP("PCS-OzTL741",[1]ARBOR!$A:$C,3,0),6)),-TRUNC(FC16/VLOOKUP("PCS-OzTL741",[1]ARBOR!$A:$C,3,0)-1,4)+0.0001,-TRUNC(FC16/VLOOKUP("PCS-OzTL741",[1]ARBOR!$A:$C,3,0)-1,4)))))</f>
        <v/>
      </c>
      <c r="FE16" s="204" t="str">
        <f>IF(ISERROR(IF(FD16="","",VLOOKUP(($AY16&amp;FD16&amp;"Template desconto FLAT Plano Principal Oi TV nível conta"),[1]BENEFICIOS!$A:$G,5,0))),"Criar",IF(FD16="","",VLOOKUP(($AY16&amp;FD16&amp;"Template desconto FLAT Plano Principal Oi TV nível conta"),[1]BENEFICIOS!$A:$G,5,0)))</f>
        <v/>
      </c>
      <c r="FF16" s="129">
        <v>154.9</v>
      </c>
      <c r="FG16" s="127">
        <f>IF(FF16=0,"",IF(FF16=VLOOKUP("PCS-OzTL744",[1]ARBOR!$A:$C,3,0),0.0001,IF(FF16&gt;VLOOKUP("PCS-OzTL744",[1]ARBOR!$A:$C,3,0),"Maior que CAP!",IF((DOLLAR(FF16+(VLOOKUP("PCS-OzTL744",[1]ARBOR!$A:$C,3,0)*-TRUNC(FF16/VLOOKUP("PCS-OzTL744",[1]ARBOR!$A:$C,3,0)-1,4)),6))&lt;&gt;(DOLLAR(VLOOKUP("PCS-OzTL744",[1]ARBOR!$A:$C,3,0),6)),-TRUNC(FF16/VLOOKUP("PCS-OzTL744",[1]ARBOR!$A:$C,3,0)-1,4)+0.0001,-TRUNC(FF16/VLOOKUP("PCS-OzTL744",[1]ARBOR!$A:$C,3,0)-1,4)))))</f>
        <v>0.25939999999999996</v>
      </c>
      <c r="FH16" s="204" t="str">
        <f>IF(ISERROR(IF(FG16="","",VLOOKUP(($AY16&amp;FG16&amp;"Template desconto FLAT Plano Principal Oi TV nível conta"),[1]BENEFICIOS!$A:$G,5,0))),"Criar",IF(FG16="","",VLOOKUP(($AY16&amp;FG16&amp;"Template desconto FLAT Plano Principal Oi TV nível conta"),[1]BENEFICIOS!$A:$G,5,0)))</f>
        <v>MKT-1-9827370190</v>
      </c>
      <c r="FI16" s="129">
        <v>164.9</v>
      </c>
      <c r="FJ16" s="127">
        <f>IF(FI16=0,"",IF(FI16=VLOOKUP("PCS-OzTL743",[1]ARBOR!$A:$C,3,0),0.0001,IF(FI16&gt;VLOOKUP("PCS-OzTL743",[1]ARBOR!$A:$C,3,0),"Maior que CAP!",IF((DOLLAR(FI16+(VLOOKUP("PCS-OzTL743",[1]ARBOR!$A:$C,3,0)*-TRUNC(FI16/VLOOKUP("PCS-OzTL743",[1]ARBOR!$A:$C,3,0)-1,4)),6))&lt;&gt;(DOLLAR(VLOOKUP("PCS-OzTL743",[1]ARBOR!$A:$C,3,0),6)),-TRUNC(FI16/VLOOKUP("PCS-OzTL743",[1]ARBOR!$A:$C,3,0)-1,4)+0.0001,-TRUNC(FI16/VLOOKUP("PCS-OzTL743",[1]ARBOR!$A:$C,3,0)-1,4)))))</f>
        <v>0.251</v>
      </c>
      <c r="FK16" s="204" t="str">
        <f>IF(ISERROR(IF(FJ16="","",VLOOKUP(($AY16&amp;FJ16&amp;"Template desconto FLAT Plano Principal Oi TV nível conta"),[1]BENEFICIOS!$A:$G,5,0))),"Criar",IF(FJ16="","",VLOOKUP(($AY16&amp;FJ16&amp;"Template desconto FLAT Plano Principal Oi TV nível conta"),[1]BENEFICIOS!$A:$G,5,0)))</f>
        <v>MKT-1-9827370755</v>
      </c>
      <c r="FL16" s="129">
        <v>199.9</v>
      </c>
      <c r="FM16" s="127">
        <f>IF(FL16=0,"",IF(FL16=VLOOKUP("PCS-OzTL745",[1]ARBOR!$A:$C,3,0),0.0001,IF(FL16&gt;VLOOKUP("PCS-OzTL745",[1]ARBOR!$A:$C,3,0),"Maior que CAP!",IF((DOLLAR(FL16+(VLOOKUP("PCS-OzTL745",[1]ARBOR!$A:$C,3,0)*-TRUNC(FL16/VLOOKUP("PCS-OzTL745",[1]ARBOR!$A:$C,3,0)-1,4)),6))&lt;&gt;(DOLLAR(VLOOKUP("PCS-OzTL745",[1]ARBOR!$A:$C,3,0),6)),-TRUNC(FL16/VLOOKUP("PCS-OzTL745",[1]ARBOR!$A:$C,3,0)-1,4)+0.0001,-TRUNC(FL16/VLOOKUP("PCS-OzTL745",[1]ARBOR!$A:$C,3,0)-1,4)))))</f>
        <v>0.21049999999999999</v>
      </c>
      <c r="FN16" s="204" t="str">
        <f>IF(ISERROR(IF(FM16="","",VLOOKUP(($AY16&amp;FM16&amp;"Template desconto FLAT Plano Principal Oi TV nível conta"),[1]BENEFICIOS!$A:$G,5,0))),"Criar",IF(FM16="","",VLOOKUP(($AY16&amp;FM16&amp;"Template desconto FLAT Plano Principal Oi TV nível conta"),[1]BENEFICIOS!$A:$G,5,0)))</f>
        <v>MKT-1-9827396510</v>
      </c>
      <c r="FO16" s="129"/>
      <c r="FP16" s="127" t="str">
        <f>IF(FO16=0,"",IF(FO16=VLOOKUP("PCS-OzTL42",[1]ARBOR!$A:$C,3,0),0.0001,IF(FO16&gt;VLOOKUP("PCS-OzTL42",[1]ARBOR!$A:$C,3,0),"Maior que CAP!",IF((DOLLAR(FO16+(VLOOKUP("PCS-OzTL42",[1]ARBOR!$A:$C,3,0)*-TRUNC(FO16/VLOOKUP("PCS-OzTL42",[1]ARBOR!$A:$C,3,0)-1,4)),6))&lt;&gt;(DOLLAR(VLOOKUP("PCS-OzTL42",[1]ARBOR!$A:$C,3,0),6)),-TRUNC(FO16/VLOOKUP("PCS-OzTL42",[1]ARBOR!$A:$C,3,0)-1,4)+0.0001,-TRUNC(FO16/VLOOKUP("PCS-OzTL42",[1]ARBOR!$A:$C,3,0)-1,4)))))</f>
        <v/>
      </c>
      <c r="FQ16" s="204" t="str">
        <f>IF(ISERROR(IF(FP16="","",VLOOKUP(($AY16&amp;FP16&amp;"Template desconto FLAT Plano Principal Oi TV nível conta"),[1]BENEFICIOS!$A:$G,5,0))),"Criar",IF(FP16="","",VLOOKUP(($AY16&amp;FP16&amp;"Template desconto FLAT Plano Principal Oi TV nível conta"),[1]BENEFICIOS!$A:$G,5,0)))</f>
        <v/>
      </c>
      <c r="FR16" s="129"/>
      <c r="FS16" s="127" t="str">
        <f>IF(FR16=0,"",IF(FR16=VLOOKUP("PCS-OzTL47",[1]ARBOR!$A:$C,3,0),0.0001,IF(FR16&gt;VLOOKUP("PCS-OzTL47",[1]ARBOR!$A:$C,3,0),"Maior que CAP!",IF((DOLLAR(FR16+(VLOOKUP("PCS-OzTL47",[1]ARBOR!$A:$C,3,0)*-TRUNC(FR16/VLOOKUP("PCS-OzTL47",[1]ARBOR!$A:$C,3,0)-1,4)),6))&lt;&gt;(DOLLAR(VLOOKUP("PCS-OzTL47",[1]ARBOR!$A:$C,3,0),6)),-TRUNC(FR16/VLOOKUP("PCS-OzTL47",[1]ARBOR!$A:$C,3,0)-1,4)+0.0001,-TRUNC(FR16/VLOOKUP("PCS-OzTL47",[1]ARBOR!$A:$C,3,0)-1,4)))))</f>
        <v/>
      </c>
      <c r="FT16" s="204" t="str">
        <f>IF(ISERROR(IF(FS16="","",VLOOKUP(($AY16&amp;FS16&amp;"Template desconto FLAT Plano Principal Oi TV nível conta"),[1]BENEFICIOS!$A:$G,5,0))),"Criar",IF(FS16="","",VLOOKUP(($AY16&amp;FS16&amp;"Template desconto FLAT Plano Principal Oi TV nível conta"),[1]BENEFICIOS!$A:$G,5,0)))</f>
        <v/>
      </c>
      <c r="FU16" s="129"/>
      <c r="FV16" s="127" t="str">
        <f>IF(FU16=0,"",IF(FU16=VLOOKUP("PCS-OzTL46",[1]ARBOR!$A:$C,3,0),0.0001,IF(FU16&gt;VLOOKUP("PCS-OzTL46",[1]ARBOR!$A:$C,3,0),"Maior que CAP!",IF((DOLLAR(FU16+(VLOOKUP("PCS-OzTL46",[1]ARBOR!$A:$C,3,0)*-TRUNC(FU16/VLOOKUP("PCS-OzTL46",[1]ARBOR!$A:$C,3,0)-1,4)),6))&lt;&gt;(DOLLAR(VLOOKUP("PCS-OzTL46",[1]ARBOR!$A:$C,3,0),6)),-TRUNC(FU16/VLOOKUP("PCS-OzTL46",[1]ARBOR!$A:$C,3,0)-1,4)+0.0001,-TRUNC(FU16/VLOOKUP("PCS-OzTL46",[1]ARBOR!$A:$C,3,0)-1,4)))))</f>
        <v/>
      </c>
      <c r="FW16" s="204" t="str">
        <f>IF(ISERROR(IF(FV16="","",VLOOKUP(($AY16&amp;FV16&amp;"Template desconto FLAT Plano Principal Oi TV nível conta"),[1]BENEFICIOS!$A:$G,5,0))),"Criar",IF(FV16="","",VLOOKUP(($AY16&amp;FV16&amp;"Template desconto FLAT Plano Principal Oi TV nível conta"),[1]BENEFICIOS!$A:$G,5,0)))</f>
        <v/>
      </c>
      <c r="FX16" s="129"/>
      <c r="FY16" s="127" t="str">
        <f>IF(FX16=0,"",IF(FX16=VLOOKUP("PCS-OzTL48",[1]ARBOR!$A:$C,3,0),0.0001,IF(FX16&gt;VLOOKUP("PCS-OzTL48",[1]ARBOR!$A:$C,3,0),"Maior que CAP!",IF((DOLLAR(FX16+(VLOOKUP("PCS-OzTL48",[1]ARBOR!$A:$C,3,0)*-TRUNC(FX16/VLOOKUP("PCS-OzTL48",[1]ARBOR!$A:$C,3,0)-1,4)),6))&lt;&gt;(DOLLAR(VLOOKUP("PCS-OzTL48",[1]ARBOR!$A:$C,3,0),6)),-TRUNC(FX16/VLOOKUP("PCS-OzTL48",[1]ARBOR!$A:$C,3,0)-1,4)+0.0001,-TRUNC(FX16/VLOOKUP("PCS-OzTL48",[1]ARBOR!$A:$C,3,0)-1,4)))))</f>
        <v/>
      </c>
      <c r="FZ16" s="204" t="str">
        <f>IF(ISERROR(IF(FY16="","",VLOOKUP(($AY16&amp;FY16&amp;"Template desconto FLAT Plano Principal Oi TV nível conta"),[1]BENEFICIOS!$A:$G,5,0))),"Criar",IF(FY16="","",VLOOKUP(($AY16&amp;FY16&amp;"Template desconto FLAT Plano Principal Oi TV nível conta"),[1]BENEFICIOS!$A:$G,5,0)))</f>
        <v/>
      </c>
      <c r="GA16" s="129"/>
      <c r="GB16" s="127" t="str">
        <f>IF(GA16=0,"",IF(GA16=VLOOKUP("PCS-OzTL742",[1]ARBOR!$A:$C,3,0),0.0001,IF(GA16&gt;VLOOKUP("PCS-OzTL742",[1]ARBOR!$A:$C,3,0),"Maior que CAP!",IF((DOLLAR(GA16+(VLOOKUP("PCS-OzTL742",[1]ARBOR!$A:$C,3,0)*-TRUNC(GA16/VLOOKUP("PCS-OzTL742",[1]ARBOR!$A:$C,3,0)-1,4)),6))&lt;&gt;(DOLLAR(VLOOKUP("PCS-OzTL742",[1]ARBOR!$A:$C,3,0),6)),-TRUNC(GA16/VLOOKUP("PCS-OzTL742",[1]ARBOR!$A:$C,3,0)-1,4)+0.0001,-TRUNC(GA16/VLOOKUP("PCS-OzTL742",[1]ARBOR!$A:$C,3,0)-1,4)))))</f>
        <v/>
      </c>
      <c r="GC16" s="204" t="str">
        <f>IF(ISERROR(IF(GB16="","",VLOOKUP(($AY16&amp;GB16&amp;"Template desconto FLAT Plano Principal Oi TV nível conta"),[1]BENEFICIOS!$A:$G,5,0))),"Criar",IF(GB16="","",VLOOKUP(($AY16&amp;GB16&amp;"Template desconto FLAT Plano Principal Oi TV nível conta"),[1]BENEFICIOS!$A:$G,5,0)))</f>
        <v/>
      </c>
      <c r="GD16" s="129"/>
      <c r="GE16" s="127" t="str">
        <f>IF(GD16=0,"",IF(GD16=VLOOKUP("PCS-OzTL747",[1]ARBOR!$A:$C,3,0),0.0001,IF(GD16&gt;VLOOKUP("PCS-OzTL747",[1]ARBOR!$A:$C,3,0),"Maior que CAP!",IF((DOLLAR(GD16+(VLOOKUP("PCS-OzTL747",[1]ARBOR!$A:$C,3,0)*-TRUNC(GD16/VLOOKUP("PCS-OzTL747",[1]ARBOR!$A:$C,3,0)-1,4)),6))&lt;&gt;(DOLLAR(VLOOKUP("PCS-OzTL747",[1]ARBOR!$A:$C,3,0),6)),-TRUNC(GD16/VLOOKUP("PCS-OzTL747",[1]ARBOR!$A:$C,3,0)-1,4)+0.0001,-TRUNC(GD16/VLOOKUP("PCS-OzTL747",[1]ARBOR!$A:$C,3,0)-1,4)))))</f>
        <v/>
      </c>
      <c r="GF16" s="204" t="str">
        <f>IF(ISERROR(IF(GE16="","",VLOOKUP(($AY16&amp;GE16&amp;"Template desconto FLAT Plano Principal Oi TV nível conta"),[1]BENEFICIOS!$A:$G,5,0))),"Criar",IF(GE16="","",VLOOKUP(($AY16&amp;GE16&amp;"Template desconto FLAT Plano Principal Oi TV nível conta"),[1]BENEFICIOS!$A:$G,5,0)))</f>
        <v/>
      </c>
      <c r="GG16" s="129"/>
      <c r="GH16" s="127" t="str">
        <f>IF(GG16=0,"",IF(GG16=VLOOKUP("PCS-OzTL746",[1]ARBOR!$A:$C,3,0),0.0001,IF(GG16&gt;VLOOKUP("PCS-OzTL746",[1]ARBOR!$A:$C,3,0),"Maior que CAP!",IF((DOLLAR(GG16+(VLOOKUP("PCS-OzTL746",[1]ARBOR!$A:$C,3,0)*-TRUNC(GG16/VLOOKUP("PCS-OzTL746",[1]ARBOR!$A:$C,3,0)-1,4)),6))&lt;&gt;(DOLLAR(VLOOKUP("PCS-OzTL746",[1]ARBOR!$A:$C,3,0),6)),-TRUNC(GG16/VLOOKUP("PCS-OzTL746",[1]ARBOR!$A:$C,3,0)-1,4)+0.0001,-TRUNC(GG16/VLOOKUP("PCS-OzTL746",[1]ARBOR!$A:$C,3,0)-1,4)))))</f>
        <v/>
      </c>
      <c r="GI16" s="204" t="str">
        <f>IF(ISERROR(IF(GH16="","",VLOOKUP(($AY16&amp;GH16&amp;"Template desconto FLAT Plano Principal Oi TV nível conta"),[1]BENEFICIOS!$A:$G,5,0))),"Criar",IF(GH16="","",VLOOKUP(($AY16&amp;GH16&amp;"Template desconto FLAT Plano Principal Oi TV nível conta"),[1]BENEFICIOS!$A:$G,5,0)))</f>
        <v/>
      </c>
      <c r="GJ16" s="129"/>
      <c r="GK16" s="127" t="str">
        <f>IF(GJ16=0,"",IF(GJ16=VLOOKUP("PCS-OzTL748",[1]ARBOR!$A:$C,3,0),0.0001,IF(GJ16&gt;VLOOKUP("PCS-OzTL748",[1]ARBOR!$A:$C,3,0),"Maior que CAP!",IF((DOLLAR(GJ16+(VLOOKUP("PCS-OzTL748",[1]ARBOR!$A:$C,3,0)*-TRUNC(GJ16/VLOOKUP("PCS-OzTL748",[1]ARBOR!$A:$C,3,0)-1,4)),6))&lt;&gt;(DOLLAR(VLOOKUP("PCS-OzTL748",[1]ARBOR!$A:$C,3,0),6)),-TRUNC(GJ16/VLOOKUP("PCS-OzTL748",[1]ARBOR!$A:$C,3,0)-1,4)+0.0001,-TRUNC(GJ16/VLOOKUP("PCS-OzTL748",[1]ARBOR!$A:$C,3,0)-1,4)))))</f>
        <v/>
      </c>
      <c r="GL16" s="204" t="str">
        <f>IF(ISERROR(IF(GK16="","",VLOOKUP(($AY16&amp;GK16&amp;"Template desconto FLAT Plano Principal Oi TV nível conta"),[1]BENEFICIOS!$A:$G,5,0))),"Criar",IF(GK16="","",VLOOKUP(($AY16&amp;GK16&amp;"Template desconto FLAT Plano Principal Oi TV nível conta"),[1]BENEFICIOS!$A:$G,5,0)))</f>
        <v/>
      </c>
      <c r="GM16" s="129">
        <v>75</v>
      </c>
      <c r="GN16" s="127">
        <f>IF(GM16=0,"",IF(GM16=VLOOKUP("PCS-OzTL34",[1]ARBOR!$A:$C,3,0),0.0001,IF(GM16&gt;VLOOKUP("PCS-OzTL34",[1]ARBOR!$A:$C,3,0),"Maior que CAP!",IF((DOLLAR(GM16+(VLOOKUP("PCS-OzTL34",[1]ARBOR!$A:$C,3,0)*-TRUNC(GM16/VLOOKUP("PCS-OzTL34",[1]ARBOR!$A:$C,3,0)-1,4)),6))&lt;&gt;(DOLLAR(VLOOKUP("PCS-OzTL34",[1]ARBOR!$A:$C,3,0),6)),-TRUNC(GM16/VLOOKUP("PCS-OzTL34",[1]ARBOR!$A:$C,3,0)-1,4)+0.0001,-TRUNC(GM16/VLOOKUP("PCS-OzTL34",[1]ARBOR!$A:$C,3,0)-1,4)))))</f>
        <v>0.31900000000000001</v>
      </c>
      <c r="GO16" s="204" t="s">
        <v>161</v>
      </c>
      <c r="GP16" s="129">
        <v>19.899999999999999</v>
      </c>
      <c r="GQ16" s="127">
        <f>IF(GP16=0,"",IF(GP16=VLOOKUP("PCS-OzTL31",[1]ARBOR!$A:$C,3,0),0.0001,IF(GP16&gt;VLOOKUP("PCS-OzTL31",[1]ARBOR!$A:$C,3,0),"Maior que CAP!",IF((DOLLAR(GP16+(VLOOKUP("PCS-OzTL31",[1]ARBOR!$A:$C,3,0)*-TRUNC(GP16/VLOOKUP("PCS-OzTL31",[1]ARBOR!$A:$C,3,0)-1,4)),6))&lt;&gt;(DOLLAR(VLOOKUP("PCS-OzTL31",[1]ARBOR!$A:$C,3,0),6)),-TRUNC(GP16/VLOOKUP("PCS-OzTL31",[1]ARBOR!$A:$C,3,0)-1,4)+0.0001,-TRUNC(GP16/VLOOKUP("PCS-OzTL31",[1]ARBOR!$A:$C,3,0)-1,4)))))</f>
        <v>9.1800000000000007E-2</v>
      </c>
      <c r="GR16" s="204" t="s">
        <v>162</v>
      </c>
      <c r="GS16" s="129">
        <v>19.899999999999999</v>
      </c>
      <c r="GT16" s="127">
        <f>IF(GS16=0,"",IF(GS16=VLOOKUP("PCS-OzTL32",[1]ARBOR!$A:$C,3,0),0.0001,IF(GS16&gt;VLOOKUP("PCS-OzTL32",[1]ARBOR!$A:$C,3,0),"Maior que CAP!",IF((DOLLAR(GS16+(VLOOKUP("PCS-OzTL32",[1]ARBOR!$A:$C,3,0)*-TRUNC(GS16/VLOOKUP("PCS-OzTL32",[1]ARBOR!$A:$C,3,0)-1,4)),6))&lt;&gt;(DOLLAR(VLOOKUP("PCS-OzTL32",[1]ARBOR!$A:$C,3,0),6)),-TRUNC(GS16/VLOOKUP("PCS-OzTL32",[1]ARBOR!$A:$C,3,0)-1,4)+0.0001,-TRUNC(GS16/VLOOKUP("PCS-OzTL32",[1]ARBOR!$A:$C,3,0)-1,4)))))</f>
        <v>9.1800000000000007E-2</v>
      </c>
      <c r="GU16" s="204" t="s">
        <v>163</v>
      </c>
      <c r="GV16" s="129">
        <v>29.9</v>
      </c>
      <c r="GW16" s="127">
        <f>IF(GV16=0,"",IF(GV16=VLOOKUP("PCS-OzTL33",[1]ARBOR!$A:$C,3,0),0.0001,IF(GV16&gt;VLOOKUP("PCS-OzTL33",[1]ARBOR!$A:$C,3,0),"Maior que CAP!",IF((DOLLAR(GV16+(VLOOKUP("PCS-OzTL33",[1]ARBOR!$A:$C,3,0)*-TRUNC(GV16/VLOOKUP("PCS-OzTL33",[1]ARBOR!$A:$C,3,0)-1,4)),6))&lt;&gt;(DOLLAR(VLOOKUP("PCS-OzTL33",[1]ARBOR!$A:$C,3,0),6)),-TRUNC(GV16/VLOOKUP("PCS-OzTL33",[1]ARBOR!$A:$C,3,0)-1,4)+0.0001,-TRUNC(GV16/VLOOKUP("PCS-OzTL33",[1]ARBOR!$A:$C,3,0)-1,4)))))</f>
        <v>9.1800000000000007E-2</v>
      </c>
      <c r="GX16" s="204" t="s">
        <v>164</v>
      </c>
      <c r="GY16" s="129">
        <v>14.9</v>
      </c>
      <c r="GZ16" s="127">
        <f>IF(GY16=0,"",IF(GY16=VLOOKUP("PCS-OzTL503",[1]ARBOR!$A:$C,3,0),0.0001,IF(GY16&gt;VLOOKUP("PCS-OzTL503",[1]ARBOR!$A:$C,3,0),"Maior que CAP!",IF((DOLLAR(GY16+(VLOOKUP("PCS-OzTL503",[1]ARBOR!$A:$C,3,0)*-TRUNC(GY16/VLOOKUP("PCS-OzTL503",[1]ARBOR!$A:$C,3,0)-1,4)),6))&lt;&gt;(DOLLAR(VLOOKUP("PCS-OzTL503",[1]ARBOR!$A:$C,3,0),6)),-TRUNC(GY16/VLOOKUP("PCS-OzTL503",[1]ARBOR!$A:$C,3,0)-1,4)+0.0001,-TRUNC(GY16/VLOOKUP("PCS-OzTL503",[1]ARBOR!$A:$C,3,0)-1,4)))))</f>
        <v>9.1499999999999998E-2</v>
      </c>
      <c r="HA16" s="204" t="s">
        <v>165</v>
      </c>
      <c r="HB16" s="129">
        <v>10</v>
      </c>
      <c r="HC16" s="127">
        <f>IF(HB16=0,"",IF(HB16=VLOOKUP("PCS-OzTL500",[1]ARBOR!$A:$C,3,0),0.0001,IF(HB16&gt;VLOOKUP("PCS-OzTL500",[1]ARBOR!$A:$C,3,0),"Maior que CAP!",IF((DOLLAR(HB16+(VLOOKUP("PCS-OzTL500",[1]ARBOR!$A:$C,3,0)*-TRUNC(HB16/VLOOKUP("PCS-OzTL500",[1]ARBOR!$A:$C,3,0)-1,4)),6))&lt;&gt;(DOLLAR(VLOOKUP("PCS-OzTL500",[1]ARBOR!$A:$C,3,0),6)),-TRUNC(HB16/VLOOKUP("PCS-OzTL500",[1]ARBOR!$A:$C,3,0)-1,4)+0.0001,-TRUNC(HB16/VLOOKUP("PCS-OzTL500",[1]ARBOR!$A:$C,3,0)-1,4)))))</f>
        <v>9.1800000000000007E-2</v>
      </c>
      <c r="HD16" s="204" t="s">
        <v>166</v>
      </c>
      <c r="HE16" s="129" t="s">
        <v>167</v>
      </c>
      <c r="HF16" s="127"/>
      <c r="HG16" s="204"/>
      <c r="HH16" s="129" t="s">
        <v>168</v>
      </c>
      <c r="HI16" s="127"/>
      <c r="HJ16" s="204"/>
      <c r="HK16" s="129" t="s">
        <v>169</v>
      </c>
      <c r="HL16" s="127"/>
      <c r="HM16" s="204"/>
      <c r="HN16" s="129" t="s">
        <v>170</v>
      </c>
      <c r="HO16" s="127"/>
      <c r="HP16" s="204"/>
      <c r="HQ16" s="129" t="s">
        <v>171</v>
      </c>
      <c r="HR16" s="127"/>
      <c r="HS16" s="204"/>
      <c r="HT16" s="129">
        <v>24.9</v>
      </c>
      <c r="HU16" s="127">
        <f>IF(HT16=0,"",IF(HT16=VLOOKUP("PCS-OzTL99",[1]ARBOR!$A:$C,3,0),0.0001,IF(HT16&gt;VLOOKUP("PCS-OzTL99",[1]ARBOR!$A:$C,3,0),"Maior que CAP!",IF((DOLLAR(HT16+(VLOOKUP("PCS-OzTL99",[1]ARBOR!$A:$C,3,0)*-TRUNC(HT16/VLOOKUP("PCS-OzTL99",[1]ARBOR!$A:$C,3,0)-1,4)),6))&lt;&gt;(DOLLAR(VLOOKUP("PCS-OzTL99",[1]ARBOR!$A:$C,3,0),6)),-TRUNC(HT16/VLOOKUP("PCS-OzTL99",[1]ARBOR!$A:$C,3,0)-1,4)+0.0001,-TRUNC(HT16/VLOOKUP("PCS-OzTL99",[1]ARBOR!$A:$C,3,0)-1,4)))))</f>
        <v>0.16729999999999998</v>
      </c>
      <c r="HV16" s="205" t="s">
        <v>172</v>
      </c>
      <c r="HW16" s="196" t="s">
        <v>149</v>
      </c>
      <c r="HX16" s="204" t="str">
        <f t="shared" si="4"/>
        <v>PCS-34704</v>
      </c>
      <c r="HY16" s="206" t="str">
        <f>IFERROR((IF(AZ16="","",VLOOKUP(AZ16,[1]ARBOR!A:C,3,0))),"")</f>
        <v/>
      </c>
      <c r="HZ16" s="207"/>
      <c r="IA16" s="184" t="str">
        <f>IF(HZ16="","",ROUND(1-(HZ16/VLOOKUP(AZ16&amp;"ASS",[1]ARBOR!A:C,3,0)),4))</f>
        <v/>
      </c>
      <c r="IB16" s="184"/>
      <c r="IC16" s="208"/>
      <c r="ID16" s="209"/>
      <c r="IE16" s="127" t="str">
        <f>IF(ID16="","",ROUND(IF(ID16=0,"",IF(ID16=HY16,0.0001,1-((ID16+(VLOOKUP(AZ16&amp;"ASS",[1]ARBOR!A:C,3,0)-HZ16))/HY16))),4))</f>
        <v/>
      </c>
      <c r="IF16" s="127" t="str">
        <f>IF(ISERROR(IF(IE16="","",VLOOKUP(($AY16&amp;IE16&amp;"Template de desconto percentual FLAT Móvel - Conta Total - Varejo - Ganho Tributário Cross"),[1]BENEFICIOS!$A:$E,5,0))),"Criar",IF(IE16="","",VLOOKUP(($AY16&amp;IE16&amp;"Template de desconto percentual FLAT Móvel - Conta Total - Varejo - Ganho Tributário Cross"),[1]BENEFICIOS!$A:$E,5,0)))</f>
        <v/>
      </c>
      <c r="IG16" s="193"/>
      <c r="IH16" s="127"/>
      <c r="II16" s="210"/>
      <c r="IJ16" s="211"/>
      <c r="IK16" s="127"/>
      <c r="IL16" s="127"/>
      <c r="IM16" s="212"/>
      <c r="IN16" s="212"/>
      <c r="IO16" s="213"/>
      <c r="IP16" s="214" t="str">
        <f>IF(IO16=0,"",IF(IO16=VLOOKUP("PCS-813566",[1]ARBOR!$A:$C,3,0),0.0001,IF(IO16&gt;VLOOKUP("PCS-813566",[1]ARBOR!$A:$C,3,0),"Maior que CAP!",ROUND(-1*(IO16/VLOOKUP("PCS-813566",[1]ARBOR!$A:$C,3,0)-1),4))))</f>
        <v/>
      </c>
      <c r="IQ16" s="215" t="str">
        <f>IF(ISERROR(IF(IP16="","",VLOOKUP(("Oi Internet Pra Celular 300MB"&amp;IP16&amp;"Template Flat Instância Dados"),[1]BENEFICIOS!$A:$E,5,0))),"Criar",IF(IP16="","",VLOOKUP(("Oi Internet Pra Celular 300MB"&amp;IP16&amp;"Template Flat Instância Dados"),[1]BENEFICIOS!$A:$E,5,0)))</f>
        <v/>
      </c>
      <c r="IR16" s="216"/>
      <c r="IS16" s="217" t="str">
        <f>IF(IR16=0,"",IF(IR16=VLOOKUP("sva_bancas",[1]ARBOR!$A:$C,3,0),0.0001,IF(IR16&gt;VLOOKUP("sva_livros",[1]ARBOR!$A:$C,3,0),"Maior que CAP!",ROUND(-1*(IR16/VLOOKUP("sva_bancas",[1]ARBOR!$A:$C,3,0)-1),4))))</f>
        <v/>
      </c>
      <c r="IT16" s="218" t="str">
        <f>IF(ISERROR(IF(IS16="","",VLOOKUP(("Oi Internet Pra Celular 300MB"&amp;IS16&amp;"Template Desconto % SVA DADOS B2C"),[1]BENEFICIOS!$A:$E,5,0))),"Criar",IF(IS16="","",VLOOKUP(("Oi Internet Pra Celular 300MB"&amp;IS16&amp;"Template Desconto % SVA DADOS B2C"),[1]BENEFICIOS!$A:$E,5,0)))</f>
        <v/>
      </c>
      <c r="IU16" s="213"/>
      <c r="IV16" s="214" t="str">
        <f>IF(IU16=0,"",IF(IU16=VLOOKUP("PCS-813564",[1]ARBOR!$A:$C,3,0),0.0001,IF(IU16&gt;VLOOKUP("PCS-813564",[1]ARBOR!$A:$C,3,0),"Maior que CAP!",ROUND(-1*(IU16/VLOOKUP("PCS-813564",[1]ARBOR!$A:$C,3,0)-1),4))))</f>
        <v/>
      </c>
      <c r="IW16" s="215" t="str">
        <f>IF(ISERROR(IF(IV16="","",VLOOKUP(("Oi Internet Pra Celular 500MB"&amp;IV16&amp;"Template Flat Instância Dados"),[1]BENEFICIOS!$A:$E,5,0))),"Criar",IF(IV16="","",VLOOKUP(("Oi Internet Pra Celular 500MB"&amp;IV16&amp;"Template Flat Instância Dados"),[1]BENEFICIOS!$A:$E,5,0)))</f>
        <v/>
      </c>
      <c r="IX16" s="216"/>
      <c r="IY16" s="217" t="str">
        <f>IF(IX16=0,"",IF(IX16=VLOOKUP("sva_livros",[1]ARBOR!$A:$C,3,0),0.0001,IF(IX16&gt;VLOOKUP("sva_livros",[1]ARBOR!$A:$C,3,0),"Maior que CAP!",ROUND(-1*(IX16/VLOOKUP("sva_livros",[1]ARBOR!$A:$C,3,0)-1),4))))</f>
        <v/>
      </c>
      <c r="IZ16" s="218" t="str">
        <f>IF(ISERROR(IF(IY16="","",VLOOKUP(("Oi Internet Pra Celular 500MB"&amp;IY16&amp;"Template Desconto % SVA DADOS B2C"),[1]BENEFICIOS!$A:$E,5,0))),"Criar",IF(IY16="","",VLOOKUP(("Oi Internet Pra Celular 500MB"&amp;IY16&amp;"Template Desconto % SVA DADOS B2C"),[1]BENEFICIOS!$A:$E,5,0)))</f>
        <v/>
      </c>
      <c r="JA16" s="213"/>
      <c r="JB16" s="214" t="str">
        <f>IF(JA16=0,"",IF(JA16=VLOOKUP("PCS-10357",[1]ARBOR!$A:$C,3,0),0.0001,IF(JA16&gt;VLOOKUP("PCS-10357",[1]ARBOR!$A:$C,3,0),"Maior que CAP!",ROUND(-1*(JA16/VLOOKUP("PCS-10357",[1]ARBOR!$A:$C,3,0)-1),4))))</f>
        <v/>
      </c>
      <c r="JC16" s="215" t="str">
        <f>IF(ISERROR(IF(JB16="","",VLOOKUP(("Oi Internet Pra Celular 1GB"&amp;JB16&amp;"Template Flat Instância Dados"),[1]BENEFICIOS!$A:$E,5,0))),"Criar",IF(JB16="","",VLOOKUP(("Oi Internet Pra Celular 1GB"&amp;JB16&amp;"Template Flat Instância Dados"),[1]BENEFICIOS!$A:$E,5,0)))</f>
        <v/>
      </c>
      <c r="JD16" s="216"/>
      <c r="JE16" s="217" t="str">
        <f>IF(JD16=0,"",IF(JD16=VLOOKUP("sva_livros",[1]ARBOR!$A:$C,3,0),0.0001,IF(JD16&gt;VLOOKUP("sva_livros",[1]ARBOR!$A:$C,3,0),"Maior que CAP!",ROUND(-1*(JD16/VLOOKUP("sva_livros",[1]ARBOR!$A:$C,3,0)-1),4))))</f>
        <v/>
      </c>
      <c r="JF16" s="218" t="str">
        <f>IF(ISERROR(IF(JE16="","",VLOOKUP(("Oi Internet Pra Celular 1GB"&amp;JE16&amp;"Template Desconto % SVA DADOS B2C"),[1]BENEFICIOS!$A:$E,5,0))),"Criar",IF(JE16="","",VLOOKUP(("Oi Internet Pra Celular 1GB"&amp;JE16&amp;"Template Desconto % SVA DADOS B2C"),[1]BENEFICIOS!$A:$E,5,0)))</f>
        <v/>
      </c>
      <c r="JG16" s="213"/>
      <c r="JH16" s="214" t="str">
        <f>IF(JG16=0,"",IF(JG16=VLOOKUP("PCS-813565",[1]ARBOR!$A:$C,3,0),0.0001,IF(JG16&gt;VLOOKUP("PCS-813565",[1]ARBOR!$A:$C,3,0),"Maior que CAP!",ROUND(-1*(JG16/VLOOKUP("PCS-813565",[1]ARBOR!$A:$C,3,0)-1),4))))</f>
        <v/>
      </c>
      <c r="JI16" s="215" t="str">
        <f>IF(ISERROR(IF(JH16="","",VLOOKUP(("Oi Internet Pra Celular 2GB"&amp;JH16&amp;"Template Flat Instância Dados"),[1]BENEFICIOS!$A:$E,5,0))),"Criar",IF(JH16="","",VLOOKUP(("Oi Internet Pra Celular 2GB"&amp;JH16&amp;"Template Flat Instância Dados"),[1]BENEFICIOS!$A:$E,5,0)))</f>
        <v/>
      </c>
      <c r="JJ16" s="216"/>
      <c r="JK16" s="217" t="str">
        <f>IF(JJ16=0,"",IF(JJ16=VLOOKUP("sva_livros",[1]ARBOR!$A:$C,3,0),0.0001,IF(JJ16&gt;VLOOKUP("sva_livros",[1]ARBOR!$A:$C,3,0),"Maior que CAP!",ROUND(-1*(JJ16/VLOOKUP("sva_livros",[1]ARBOR!$A:$C,3,0)-1),4))))</f>
        <v/>
      </c>
      <c r="JL16" s="218" t="str">
        <f>IF(ISERROR(IF(JK16="","",VLOOKUP(("Oi Internet Pra Celular 2GB"&amp;JK16&amp;"Template Desconto % SVA DADOS B2C"),[1]BENEFICIOS!$A:$E,5,0))),"Criar",IF(JK16="","",VLOOKUP(("Oi Internet Pra Celular 2GB"&amp;JK16&amp;"Template Desconto % SVA DADOS B2C"),[1]BENEFICIOS!$A:$E,5,0)))</f>
        <v/>
      </c>
      <c r="JM16" s="213"/>
      <c r="JN16" s="214" t="str">
        <f>IF(JM16=0,"",IF(JM16=VLOOKUP("PCS-7171B",[1]ARBOR!$A:$C,3,0),0.0001,IF(JM16&gt;VLOOKUP("PCS-7171B",[1]ARBOR!$A:$C,3,0),"Maior que CAP!",ROUND(-1*(JM16/VLOOKUP("PCS-7171B",[1]ARBOR!$A:$C,3,0)-1),4))))</f>
        <v/>
      </c>
      <c r="JO16" s="215" t="str">
        <f>IF(ISERROR(IF(JN16="","",VLOOKUP(("Oi Internet Pra Celular 3GB"&amp;JN16&amp;"Template Flat Instância Dados"),[1]BENEFICIOS!$A:$E,5,0))),"Criar",IF(JN16="","",VLOOKUP(("Oi Internet Pra Celular 3GB"&amp;JN16&amp;"Template Flat Instância Dados"),[1]BENEFICIOS!$A:$E,5,0)))</f>
        <v/>
      </c>
      <c r="JP16" s="216"/>
      <c r="JQ16" s="217" t="str">
        <f>IF(JP16=0,"",IF(JP16=VLOOKUP("sva_livros",[1]ARBOR!$A:$C,3,0),0.0001,IF(JP16&gt;VLOOKUP("sva_livros",[1]ARBOR!$A:$C,3,0),"Maior que CAP!",ROUND(-1*(JP16/VLOOKUP("sva_livros",[1]ARBOR!$A:$C,3,0)-1),4))))</f>
        <v/>
      </c>
      <c r="JR16" s="218" t="str">
        <f>IF(ISERROR(IF(JQ16="","",VLOOKUP(("Oi Internet Pra Celular 3GB"&amp;JQ16&amp;"Template Desconto % SVA DADOS B2C"),[1]BENEFICIOS!$A:$E,5,0))),"Criar",IF(JQ16="","",VLOOKUP(("Oi Internet Pra Celular 3GB"&amp;JQ16&amp;"Template Desconto % SVA DADOS B2C"),[1]BENEFICIOS!$A:$E,5,0)))</f>
        <v/>
      </c>
      <c r="JS16" s="213"/>
      <c r="JT16" s="214" t="str">
        <f>IF(JS16=0,"",IF(JS16=VLOOKUP("PCS-51793o08",[1]ARBOR!$A:$C,3,0),0.0001,IF(JS16&gt;VLOOKUP("PCS-51793o08",[1]ARBOR!$A:$C,3,0),"Maior que CAP!",ROUND(-1*(JS16/VLOOKUP("PCS-51793o08",[1]ARBOR!$A:$C,3,0)-1),4))))</f>
        <v/>
      </c>
      <c r="JU16" s="215" t="str">
        <f>IF(ISERROR(IF(JT16="","",VLOOKUP(("Oi Internet Pra Celular 5GB"&amp;JT16&amp;"Template Flat Instância Dados"),[1]BENEFICIOS!$A:$E,5,0))),"Criar",IF(JT16="","",VLOOKUP(("Oi Internet Pra Celular 5GB"&amp;JT16&amp;"Template Flat Instância Dados"),[1]BENEFICIOS!$A:$E,5,0)))</f>
        <v/>
      </c>
      <c r="JV16" s="216"/>
      <c r="JW16" s="217" t="str">
        <f>IF(JV16=0,"",IF(JV16=VLOOKUP("sva_curtas",[1]ARBOR!$A:$C,3,0),0.0001,IF(JV16&gt;VLOOKUP("sva_curtas",[1]ARBOR!$A:$C,3,0),"Maior que CAP!",ROUND(-1*(JV16/VLOOKUP("sva_curtas",[1]ARBOR!$A:$C,3,0)-1),4))))</f>
        <v/>
      </c>
      <c r="JX16" s="218" t="str">
        <f>IF(ISERROR(IF(JW16="","",VLOOKUP(("Oi Internet Pra Celular 5GB"&amp;JW16&amp;"Template Desconto % SVA DADOS B2C"),[1]BENEFICIOS!$A:$E,5,0))),"Criar",IF(JW16="","",VLOOKUP(("Oi Internet Pra Celular 5GB"&amp;JW16&amp;"Template Desconto % SVA DADOS B2C"),[1]BENEFICIOS!$A:$E,5,0)))</f>
        <v/>
      </c>
      <c r="JY16" s="213"/>
      <c r="JZ16" s="214" t="str">
        <f>IF(JY16=0,"",IF(JY16=VLOOKUP("PCS-7171A",[1]ARBOR!$A:$C,3,0),0.0001,IF(JY16&gt;VLOOKUP("PCS-7171A",[1]ARBOR!$A:$C,3,0),"Maior que CAP!",ROUND(-1*(JY16/VLOOKUP("PCS-7171A",[1]ARBOR!$A:$C,3,0)-1),4))))</f>
        <v/>
      </c>
      <c r="KA16" s="219" t="str">
        <f>IF(ISERROR(IF(JZ16="","",VLOOKUP(("Oi Internet Pra Celular 10GB"&amp;JZ16&amp;"Template Flat Instância Dados"),[1]BENEFICIOS!$A:$E,5,0))),"Criar",IF(JZ16="","",VLOOKUP(("Oi Internet Pra Celular 10GB"&amp;JZ16&amp;"Template Flat Instância Dados"),[1]BENEFICIOS!$A:$E,5,0)))</f>
        <v/>
      </c>
      <c r="KB16" s="216"/>
      <c r="KC16" s="217" t="str">
        <f>IF(KB16=0,"",IF(KB16=VLOOKUP("sva_curtas",[1]ARBOR!$A:$C,3,0),0.0001,IF(KB16&gt;VLOOKUP("sva_curtas",[1]ARBOR!$A:$C,3,0),"Maior que CAP!",ROUND(-1*(KB16/VLOOKUP("sva_curtas",[1]ARBOR!$A:$C,3,0)-1),4))))</f>
        <v/>
      </c>
      <c r="KD16" s="218" t="str">
        <f>IF(ISERROR(IF(KC16="","",VLOOKUP(("Oi Internet Pra Celular 10GB"&amp;KC16&amp;"Template Desconto % SVA DADOS B2C"),[1]BENEFICIOS!$A:$E,5,0))),"Criar",IF(KC16="","",VLOOKUP(("Oi Internet Pra Celular 10GB"&amp;KC16&amp;"Template Desconto % SVA DADOS B2C"),[1]BENEFICIOS!$A:$E,5,0)))</f>
        <v/>
      </c>
      <c r="KE16" s="220"/>
      <c r="KF16" s="221"/>
      <c r="KG16" s="222" t="s">
        <v>149</v>
      </c>
      <c r="KH16" s="223" t="s">
        <v>173</v>
      </c>
      <c r="KI16" s="224">
        <v>699</v>
      </c>
      <c r="KJ16" s="223">
        <v>12</v>
      </c>
      <c r="KK16" s="225" t="str">
        <f t="shared" si="5"/>
        <v>Oi benefício fidelização Multiprodutos</v>
      </c>
      <c r="KL16" s="226" t="str">
        <f t="shared" si="6"/>
        <v>PCS-Fk83324</v>
      </c>
      <c r="KM16" s="226" t="str">
        <f t="shared" si="7"/>
        <v>PCS-SBL553142</v>
      </c>
      <c r="KN16" s="227" t="s">
        <v>174</v>
      </c>
      <c r="KO16" s="228" t="s">
        <v>175</v>
      </c>
      <c r="KP16" s="228" t="s">
        <v>176</v>
      </c>
      <c r="KQ16" s="227" t="s">
        <v>177</v>
      </c>
      <c r="KR16" s="225" t="s">
        <v>178</v>
      </c>
      <c r="KS16" s="226" t="s">
        <v>179</v>
      </c>
      <c r="KT16" s="229" t="s">
        <v>180</v>
      </c>
      <c r="KU16" s="155" t="s">
        <v>181</v>
      </c>
      <c r="KV16" s="155" t="s">
        <v>181</v>
      </c>
      <c r="KW16" s="155">
        <v>234.91</v>
      </c>
      <c r="KX16" s="155">
        <v>244.91</v>
      </c>
      <c r="KY16" s="155">
        <v>279.90999999999997</v>
      </c>
      <c r="KZ16" s="155" t="s">
        <v>181</v>
      </c>
      <c r="LA16" s="155">
        <v>254.91</v>
      </c>
      <c r="LB16" s="155">
        <v>264.90999999999997</v>
      </c>
      <c r="LC16" s="155">
        <v>299.90999999999997</v>
      </c>
      <c r="LD16" s="155" t="s">
        <v>181</v>
      </c>
      <c r="LE16" s="155" t="s">
        <v>181</v>
      </c>
      <c r="LF16" s="155" t="s">
        <v>181</v>
      </c>
      <c r="LG16" s="155" t="s">
        <v>181</v>
      </c>
      <c r="LH16" s="155" t="s">
        <v>181</v>
      </c>
      <c r="LI16" s="155" t="s">
        <v>181</v>
      </c>
      <c r="LJ16" s="155" t="s">
        <v>181</v>
      </c>
      <c r="LK16" s="230" t="s">
        <v>181</v>
      </c>
      <c r="LL16" s="238"/>
      <c r="LM16" s="239"/>
      <c r="LN16" s="239"/>
      <c r="LO16" s="239"/>
      <c r="LP16" s="239"/>
      <c r="LQ16" s="239"/>
      <c r="LR16" s="239"/>
      <c r="LS16" s="239"/>
      <c r="LT16" s="239"/>
      <c r="LU16" s="240"/>
      <c r="LV16" t="s">
        <v>216</v>
      </c>
      <c r="LW16" t="s">
        <v>183</v>
      </c>
    </row>
    <row r="17" spans="1:335" x14ac:dyDescent="0.25">
      <c r="A17" s="160" t="s">
        <v>146</v>
      </c>
      <c r="B17" s="161" t="s">
        <v>147</v>
      </c>
      <c r="C17" s="161" t="s">
        <v>148</v>
      </c>
      <c r="D17" s="162" t="s">
        <v>149</v>
      </c>
      <c r="E17" s="163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5"/>
      <c r="Q17" s="165"/>
      <c r="R17" s="165"/>
      <c r="S17" s="166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7"/>
      <c r="AF17" s="164"/>
      <c r="AG17" s="164"/>
      <c r="AH17" s="168"/>
      <c r="AI17" s="235" t="s">
        <v>217</v>
      </c>
      <c r="AJ17" s="85" t="s">
        <v>151</v>
      </c>
      <c r="AK17" s="86" t="s">
        <v>197</v>
      </c>
      <c r="AL17" s="169">
        <v>43039</v>
      </c>
      <c r="AM17" s="170">
        <v>43159</v>
      </c>
      <c r="AN17" s="89" t="s">
        <v>153</v>
      </c>
      <c r="AO17" s="90" t="s">
        <v>153</v>
      </c>
      <c r="AP17" s="171"/>
      <c r="AQ17" s="171" t="s">
        <v>154</v>
      </c>
      <c r="AR17" s="171">
        <v>20</v>
      </c>
      <c r="AS17" s="171">
        <v>10000</v>
      </c>
      <c r="AT17" s="172" t="s">
        <v>155</v>
      </c>
      <c r="AU17" s="173" t="s">
        <v>149</v>
      </c>
      <c r="AV17" s="174" t="s">
        <v>156</v>
      </c>
      <c r="AW17" s="175" t="s">
        <v>156</v>
      </c>
      <c r="AX17" s="176" t="s">
        <v>217</v>
      </c>
      <c r="AY17" s="177" t="s">
        <v>188</v>
      </c>
      <c r="AZ17" s="178" t="str">
        <f>IF(ISERROR(VLOOKUP(AY17,[1]PLANOS!B:C,2,0)),"",VLOOKUP(AY17,[1]PLANOS!B:C,2,0))</f>
        <v>PCS-3PHipi</v>
      </c>
      <c r="BA17" s="179" t="s">
        <v>156</v>
      </c>
      <c r="BB17" s="180" t="str">
        <f t="shared" si="1"/>
        <v/>
      </c>
      <c r="BC17" s="181"/>
      <c r="BD17" s="182"/>
      <c r="BE17" s="183">
        <v>50.11</v>
      </c>
      <c r="BF17" s="127">
        <f>IF(BE17=0,"",IF(BE17=VLOOKUP("FIXO",[1]ARBOR!$A:$C,3,0),0.0001,IF(BE17&gt;VLOOKUP("FIXO",[1]ARBOR!$A:$C,3,0),"Maior que CAP!",IF((DOLLAR(BE17+(VLOOKUP("FIXO",[1]ARBOR!$A:$C,3,0)*-TRUNC(BE17/VLOOKUP("FIXO",[1]ARBOR!$A:$C,3,0)-1,4)),6))&lt;&gt;(DOLLAR(VLOOKUP("FIXO",[1]ARBOR!$A:$C,3,0),6)),-TRUNC(BE17/VLOOKUP("FIXO",[1]ARBOR!$A:$C,3,0)-1,4)+0.0001,-TRUNC(BE17/VLOOKUP("FIXO",[1]ARBOR!$A:$C,3,0)-1,4)))))</f>
        <v>0.33929999999999999</v>
      </c>
      <c r="BG17" s="184"/>
      <c r="BH17" s="127" t="str">
        <f>IF(BG17=0,"",IF(BG17=VLOOKUP("FIXO",[1]ARBOR!$A:$C,3,0),0.0001,IF(BG17&gt;VLOOKUP("FIXO",[1]ARBOR!$A:$C,3,0),"Maior que CAP!",IF((DOLLAR(BG17+(VLOOKUP("FIXO",[1]ARBOR!$A:$C,3,0)*-TRUNC(BG17/VLOOKUP("FIXO",[1]ARBOR!$A:$C,3,0)-1,4)),6))&lt;&gt;(DOLLAR(VLOOKUP("FIXO",[1]ARBOR!$A:$C,3,0),6)),-TRUNC(BG17/VLOOKUP("FIXO",[1]ARBOR!$A:$C,3,0)-1,4)+0.0001,-TRUNC(BG17/VLOOKUP("FIXO",[1]ARBOR!$A:$C,3,0)-1,4)))))</f>
        <v/>
      </c>
      <c r="BI17" s="127" t="str">
        <f>IF(ISERROR(IF(BF17="","",VLOOKUP(($AY17&amp;BF17&amp;"Template de desconto FLAT bundle - Fixo - Varejo - Ganho Tributário Cross"),[1]BENEFICIOS!$A:$E,5,0))),"Criar",IF(BF17="","",VLOOKUP(($AY17&amp;BF17&amp;"Template de desconto FLAT bundle - Fixo - Varejo - Ganho Tributário Cross"),[1]BENEFICIOS!$A:$E,5,0)))</f>
        <v>MKT-1-9825728196</v>
      </c>
      <c r="BJ17" s="185"/>
      <c r="BK17" s="127" t="str">
        <f t="shared" si="2"/>
        <v/>
      </c>
      <c r="BL17" s="186"/>
      <c r="BM17" s="127" t="str">
        <f>IF(BL17=0,"",IF(BL17=VLOOKUP("FIXO",[1]ARBOR!$A:$C,3,0),0.0001,IF(BL17&gt;VLOOKUP("FIXO",[1]ARBOR!$A:$C,3,0),"Maior que CAP!",IF(BF17&lt;&gt;"",-ROUND(BL17/VLOOKUP("FIXO",[1]ARBOR!$A:$C,3,0)-1,4)-BF17,-ROUND(BL17/VLOOKUP("FIXO",[1]ARBOR!$A:$C,3,0)-1,4)))))</f>
        <v/>
      </c>
      <c r="BN17" s="187"/>
      <c r="BO17" s="127" t="str">
        <f>IF(ISERROR(IF(BK17="","",VLOOKUP(($AY17&amp;BK17&amp;"Template de desconto FLAT bundle - Fixo - Varejo - Ganho Tributário Cross"),[1]BENEFICIOS!$A:$E,5,0))),"Criar",IF(BK17="","",VLOOKUP(($AY17&amp;BK17&amp;"Template de desconto FLAT bundle - Fixo - Varejo - Ganho Tributário Cross"),[1]BENEFICIOS!$A:$E,5,0)))</f>
        <v/>
      </c>
      <c r="BP17" s="188" t="s">
        <v>158</v>
      </c>
      <c r="BQ17" s="189" t="s">
        <v>159</v>
      </c>
      <c r="BR17" s="190" t="s">
        <v>156</v>
      </c>
      <c r="BS17" s="191" t="str">
        <f t="shared" si="0"/>
        <v/>
      </c>
      <c r="BT17" s="181"/>
      <c r="BU17" s="192"/>
      <c r="BV17" s="193" t="s">
        <v>198</v>
      </c>
      <c r="BW17" s="194">
        <v>44.9</v>
      </c>
      <c r="BX17" s="127">
        <f>IF(BW17=0,"",IF(BW17=VLOOKUP("PCS-30874g",[1]ARBOR!$A:$C,3,0),0.0001,IF(BW17&gt;VLOOKUP("PCS-30874g",[1]ARBOR!$A:$C,3,0),"Maior que CAP!",IF((DOLLAR(BW17+(VLOOKUP("PCS-30874g",[1]ARBOR!$A:$C,3,0)*-TRUNC(BW17/VLOOKUP("PCS-30874g",[1]ARBOR!$A:$C,3,0)-1,4)),6))&lt;&gt;(DOLLAR(VLOOKUP("PCS-30874g",[1]ARBOR!$A:$C,3,0),6)),-TRUNC(BW17/VLOOKUP("PCS-30874g",[1]ARBOR!$A:$C,3,0)-1,4)+0.0001,-TRUNC(BW17/VLOOKUP("PCS-30874g",[1]ARBOR!$A:$C,3,0)-1,4)))))</f>
        <v>0.53679999999999994</v>
      </c>
      <c r="BY17" s="189" t="str">
        <f>IF(ISERROR(IF(BX17="","",VLOOKUP(($AY17&amp;BX17&amp;"Template de desconto FLAT bundle - Velox XDSL - Varejo"),[1]BENEFICIOS!$A:$E,5,0))),"Criar",IF(BX17="","",VLOOKUP(($AY17&amp;BX17&amp;"Template de desconto FLAT bundle - Velox XDSL - Varejo"),[1]BENEFICIOS!$A:$E,5,0)))</f>
        <v>MKT-1-9829477373</v>
      </c>
      <c r="BZ17" s="193" t="s">
        <v>198</v>
      </c>
      <c r="CA17" s="194">
        <v>44.9</v>
      </c>
      <c r="CB17" s="127">
        <f>IF(CA17=0,"",IF(CA17=VLOOKUP("PCS-30577g",[1]ARBOR!$A:$C,3,0),0.0001,IF(CA17&gt;VLOOKUP("PCS-30577g",[1]ARBOR!$A:$C,3,0),"Maior que CAP!",IF((DOLLAR(CA17+(VLOOKUP("PCS-30577g",[1]ARBOR!$A:$C,3,0)*-TRUNC(CA17/VLOOKUP("PCS-30577g",[1]ARBOR!$A:$C,3,0)-1,4)),6))&lt;&gt;(DOLLAR(VLOOKUP("PCS-30577g",[1]ARBOR!$A:$C,3,0),6)),-TRUNC(CA17/VLOOKUP("PCS-30577g",[1]ARBOR!$A:$C,3,0)-1,4)+0.0001,-TRUNC(CA17/VLOOKUP("PCS-30577g",[1]ARBOR!$A:$C,3,0)-1,4)))))</f>
        <v>0.53679999999999994</v>
      </c>
      <c r="CC17" s="189" t="str">
        <f>IF(ISERROR(IF(CB17="","",VLOOKUP(($AY17&amp;CB17&amp;"Template de desconto FLAT bundle - Velox XDSL - Varejo"),[1]BENEFICIOS!$A:$E,5,0))),"Criar",IF(CB17="","",VLOOKUP(($AY17&amp;CB17&amp;"Template de desconto FLAT bundle - Velox XDSL - Varejo"),[1]BENEFICIOS!$A:$E,5,0)))</f>
        <v>MKT-1-9829477373</v>
      </c>
      <c r="CD17" s="193" t="s">
        <v>198</v>
      </c>
      <c r="CE17" s="194">
        <v>44.9</v>
      </c>
      <c r="CF17" s="127">
        <f>IF(CE17=0,"",IF(CE17=VLOOKUP("PCS-30604g",[1]ARBOR!$A:$C,3,0),0.0001,IF(CE17&gt;VLOOKUP("PCS-30604g",[1]ARBOR!$A:$C,3,0),"Maior que CAP!",IF((DOLLAR(CE17+(VLOOKUP("PCS-30604g",[1]ARBOR!$A:$C,3,0)*-TRUNC(CE17/VLOOKUP("PCS-30604g",[1]ARBOR!$A:$C,3,0)-1,4)),6))&lt;&gt;(DOLLAR(VLOOKUP("PCS-30604g",[1]ARBOR!$A:$C,3,0),6)),-TRUNC(CE17/VLOOKUP("PCS-30604g",[1]ARBOR!$A:$C,3,0)-1,4)+0.0001,-TRUNC(CE17/VLOOKUP("PCS-30604g",[1]ARBOR!$A:$C,3,0)-1,4)))))</f>
        <v>0.53679999999999994</v>
      </c>
      <c r="CG17" s="189" t="str">
        <f>IF(ISERROR(IF(CF17="","",VLOOKUP(($AY17&amp;CF17&amp;"Template de desconto FLAT bundle - Velox XDSL - Varejo"),[1]BENEFICIOS!$A:$E,5,0))),"Criar",IF(CF17="","",VLOOKUP(($AY17&amp;CF17&amp;"Template de desconto FLAT bundle - Velox XDSL - Varejo"),[1]BENEFICIOS!$A:$E,5,0)))</f>
        <v>MKT-1-9829477373</v>
      </c>
      <c r="CH17" s="193" t="s">
        <v>198</v>
      </c>
      <c r="CI17" s="194">
        <v>44.9</v>
      </c>
      <c r="CJ17" s="127">
        <f>IF(CI17=0,"",IF(CI17=VLOOKUP("PCS-30631g",[1]ARBOR!$A:$C,3,0),0.0001,IF(CI17&gt;VLOOKUP("PCS-30631g",[1]ARBOR!$A:$C,3,0),"Maior que CAP!",IF((DOLLAR(CI17+(VLOOKUP("PCS-30631g",[1]ARBOR!$A:$C,3,0)*-TRUNC(CI17/VLOOKUP("PCS-30631g",[1]ARBOR!$A:$C,3,0)-1,4)),6))&lt;&gt;(DOLLAR(VLOOKUP("PCS-30631g",[1]ARBOR!$A:$C,3,0),6)),-TRUNC(CI17/VLOOKUP("PCS-30631g",[1]ARBOR!$A:$C,3,0)-1,4)+0.0001,-TRUNC(CI17/VLOOKUP("PCS-30631g",[1]ARBOR!$A:$C,3,0)-1,4)))))</f>
        <v>0.54310000000000003</v>
      </c>
      <c r="CK17" s="189" t="str">
        <f>IF(ISERROR(IF(CJ17="","",VLOOKUP(($AY17&amp;CJ17&amp;"Template de desconto FLAT bundle - Velox XDSL - Varejo"),[1]BENEFICIOS!$A:$E,5,0))),"Criar",IF(CJ17="","",VLOOKUP(($AY17&amp;CJ17&amp;"Template de desconto FLAT bundle - Velox XDSL - Varejo"),[1]BENEFICIOS!$A:$E,5,0)))</f>
        <v>MKT-1-9828219079</v>
      </c>
      <c r="CL17" s="193" t="s">
        <v>86</v>
      </c>
      <c r="CM17" s="194">
        <v>49.9</v>
      </c>
      <c r="CN17" s="127">
        <f>IF(CM17=0,"",IF(CM17=VLOOKUP("PCS-30658g",[1]ARBOR!$A:$C,3,0),0.0001,IF(CM17&gt;VLOOKUP("PCS-30658g",[1]ARBOR!$A:$C,3,0),"Maior que CAP!",IF((DOLLAR(CM17+(VLOOKUP("PCS-30658g",[1]ARBOR!$A:$C,3,0)*-TRUNC(CM17/VLOOKUP("PCS-30658g",[1]ARBOR!$A:$C,3,0)-1,4)),6))&lt;&gt;(DOLLAR(VLOOKUP("PCS-30658g",[1]ARBOR!$A:$C,3,0),6)),-TRUNC(CM17/VLOOKUP("PCS-30658g",[1]ARBOR!$A:$C,3,0)-1,4)+0.0001,-TRUNC(CM17/VLOOKUP("PCS-30658g",[1]ARBOR!$A:$C,3,0)-1,4)))))</f>
        <v>0.55569999999999997</v>
      </c>
      <c r="CO17" s="189" t="str">
        <f>IF(ISERROR(IF(CN17="","",VLOOKUP(($AY17&amp;CN17&amp;"Template de desconto FLAT bundle - Velox XDSL - Varejo"),[1]BENEFICIOS!$A:$E,5,0))),"Criar",IF(CN17="","",VLOOKUP(($AY17&amp;CN17&amp;"Template de desconto FLAT bundle - Velox XDSL - Varejo"),[1]BENEFICIOS!$A:$E,5,0)))</f>
        <v>MKT-1-9828243608</v>
      </c>
      <c r="CP17" s="193" t="s">
        <v>86</v>
      </c>
      <c r="CQ17" s="194">
        <v>49.9</v>
      </c>
      <c r="CR17" s="127">
        <f>IF(CQ17=0,"",IF(CQ17=VLOOKUP("PCS-30685g",[1]ARBOR!$A:$C,3,0),0.0001,IF(CQ17&gt;VLOOKUP("PCS-30685g",[1]ARBOR!$A:$C,3,0),"Maior que CAP!",IF((DOLLAR(CQ17+(VLOOKUP("PCS-30685g",[1]ARBOR!$A:$C,3,0)*-TRUNC(CQ17/VLOOKUP("PCS-30685g",[1]ARBOR!$A:$C,3,0)-1,4)),6))&lt;&gt;(DOLLAR(VLOOKUP("PCS-30685g",[1]ARBOR!$A:$C,3,0),6)),-TRUNC(CQ17/VLOOKUP("PCS-30685g",[1]ARBOR!$A:$C,3,0)-1,4)+0.0001,-TRUNC(CQ17/VLOOKUP("PCS-30685g",[1]ARBOR!$A:$C,3,0)-1,4)))))</f>
        <v>0.60509999999999997</v>
      </c>
      <c r="CS17" s="189" t="str">
        <f>IF(ISERROR(IF(CR17="","",VLOOKUP(($AY17&amp;CR17&amp;"Template de desconto FLAT bundle - Velox XDSL - Varejo"),[1]BENEFICIOS!$A:$E,5,0))),"Criar",IF(CR17="","",VLOOKUP(($AY17&amp;CR17&amp;"Template de desconto FLAT bundle - Velox XDSL - Varejo"),[1]BENEFICIOS!$A:$E,5,0)))</f>
        <v>MKT-1-9828260647</v>
      </c>
      <c r="CT17" s="193" t="s">
        <v>86</v>
      </c>
      <c r="CU17" s="194">
        <v>49.9</v>
      </c>
      <c r="CV17" s="127">
        <f>IF(CU17=0,"",IF(CU17=VLOOKUP("PCS-30712g",[1]ARBOR!$A:$C,3,0),0.0001,IF(CU17&gt;VLOOKUP("PCS-30712g",[1]ARBOR!$A:$C,3,0),"Maior que CAP!",IF((DOLLAR(CU17+(VLOOKUP("PCS-30712g",[1]ARBOR!$A:$C,3,0)*-TRUNC(CU17/VLOOKUP("PCS-30712g",[1]ARBOR!$A:$C,3,0)-1,4)),6))&lt;&gt;(DOLLAR(VLOOKUP("PCS-30712g",[1]ARBOR!$A:$C,3,0),6)),-TRUNC(CU17/VLOOKUP("PCS-30712g",[1]ARBOR!$A:$C,3,0)-1,4)+0.0001,-TRUNC(CU17/VLOOKUP("PCS-30712g",[1]ARBOR!$A:$C,3,0)-1,4)))))</f>
        <v>0.64459999999999995</v>
      </c>
      <c r="CW17" s="189" t="str">
        <f>IF(ISERROR(IF(CV17="","",VLOOKUP(($AY17&amp;CV17&amp;"Template de desconto FLAT bundle - Velox XDSL - Varejo"),[1]BENEFICIOS!$A:$E,5,0))),"Criar",IF(CV17="","",VLOOKUP(($AY17&amp;CV17&amp;"Template de desconto FLAT bundle - Velox XDSL - Varejo"),[1]BENEFICIOS!$A:$E,5,0)))</f>
        <v>MKT-1-9828260926</v>
      </c>
      <c r="CX17" s="193" t="s">
        <v>86</v>
      </c>
      <c r="CY17" s="194">
        <v>59.9</v>
      </c>
      <c r="CZ17" s="127">
        <f>IF(CY17=0,"",IF(CY17=VLOOKUP("PCS-30739g",[1]ARBOR!$A:$C,3,0),0.0001,IF(CY17&gt;VLOOKUP("PCS-30739g",[1]ARBOR!$A:$C,3,0),"Maior que CAP!",IF((DOLLAR(CY17+(VLOOKUP("PCS-30739g",[1]ARBOR!$A:$C,3,0)*-TRUNC(CY17/VLOOKUP("PCS-30739g",[1]ARBOR!$A:$C,3,0)-1,4)),6))&lt;&gt;(DOLLAR(VLOOKUP("PCS-30739g",[1]ARBOR!$A:$C,3,0),6)),-TRUNC(CY17/VLOOKUP("PCS-30739g",[1]ARBOR!$A:$C,3,0)-1,4)+0.0001,-TRUNC(CY17/VLOOKUP("PCS-30739g",[1]ARBOR!$A:$C,3,0)-1,4)))))</f>
        <v>0.71560000000000001</v>
      </c>
      <c r="DA17" s="195" t="str">
        <f>IF(ISERROR(IF(CZ17="","",VLOOKUP(($AY17&amp;CZ17&amp;"Template de desconto FLAT bundle - Velox XDSL - Varejo"),[1]BENEFICIOS!$A:$E,5,0))),"Criar",IF(CZ17="","",VLOOKUP(($AY17&amp;CZ17&amp;"Template de desconto FLAT bundle - Velox XDSL - Varejo"),[1]BENEFICIOS!$A:$E,5,0)))</f>
        <v>MKT-1-9828272465</v>
      </c>
      <c r="DB17" s="196">
        <v>29.95</v>
      </c>
      <c r="DC17" s="241">
        <v>6</v>
      </c>
      <c r="DD17" s="127">
        <f>IF(DB17=0,"",IF(DB17=VLOOKUP("PCS-30739g",[1]ARBOR!$A:$C,3,0),0.0001,IF(DB17&gt;VLOOKUP("PCS-30739g",[1]ARBOR!$A:$C,3,0),"Maior que CAP!",IF((DOLLAR(DB17+(VLOOKUP("PCS-30739g",[1]ARBOR!$A:$C,3,0)*-TRUNC(DB17/VLOOKUP("PCS-30739g",[1]ARBOR!$A:$C,3,0)-1,4)),6))&lt;&gt;(DOLLAR(VLOOKUP("PCS-30739g",[1]ARBOR!$A:$C,3,0),6)),(-TRUNC(DB17/VLOOKUP("PCS-30739g",[1]ARBOR!$A:$C,3,0)-1,4)+0.0001)-CZ17,-TRUNC(DB17/VLOOKUP("PCS-30739g",[1]ARBOR!$A:$C,3,0)-1,4)-CZ17))))</f>
        <v>0.14219999999999999</v>
      </c>
      <c r="DE17" s="189" t="str">
        <f>IF(ISERROR(IF(DD17="","",VLOOKUP(($AY17&amp;DD17&amp;"Template de desconto percentual Bundle - Velox XDSL - Varejo"),[1]BENEFICIOS!$A:$E,5,0))),"Criar",IF(DD17="","",VLOOKUP(($AY17&amp;DD17&amp;"Template de desconto percentual Bundle - Velox XDSL - Varejo"),[1]BENEFICIOS!$A:$E,5,0)))</f>
        <v>MKT-1-9832066535</v>
      </c>
      <c r="DF17" s="193" t="s">
        <v>86</v>
      </c>
      <c r="DG17" s="194">
        <v>59.9</v>
      </c>
      <c r="DH17" s="127">
        <f>IF(DG17=0,"",IF(DG17=VLOOKUP("PCS-30766g",[1]ARBOR!$A:$C,3,0),0.0001,IF(DG17&gt;VLOOKUP("PCS-30766g",[1]ARBOR!$A:$C,3,0),"Maior que CAP!",IF((DOLLAR(DG17+(VLOOKUP("PCS-30766g",[1]ARBOR!$A:$C,3,0)*-TRUNC(DG17/VLOOKUP("PCS-30766g",[1]ARBOR!$A:$C,3,0)-1,4)),6))&lt;&gt;(DOLLAR(VLOOKUP("PCS-30766g",[1]ARBOR!$A:$C,3,0),6)),-TRUNC(DG17/VLOOKUP("PCS-30766g",[1]ARBOR!$A:$C,3,0)-1,4)+0.0001,-TRUNC(DG17/VLOOKUP("PCS-30766g",[1]ARBOR!$A:$C,3,0)-1,4)))))</f>
        <v>0.78669999999999995</v>
      </c>
      <c r="DI17" s="195" t="str">
        <f>IF(ISERROR(IF(DH17="","",VLOOKUP(($AY17&amp;DH17&amp;"Template de desconto FLAT bundle - Velox XDSL - Varejo"),[1]BENEFICIOS!$A:$E,5,0))),"Criar",IF(DH17="","",VLOOKUP(($AY17&amp;DH17&amp;"Template de desconto FLAT bundle - Velox XDSL - Varejo"),[1]BENEFICIOS!$A:$E,5,0)))</f>
        <v>MKT-1-9828285890</v>
      </c>
      <c r="DJ17" s="196">
        <v>29.95</v>
      </c>
      <c r="DK17" s="241">
        <v>6</v>
      </c>
      <c r="DL17" s="127">
        <f>IF(DJ17=0,"",IF(DJ17=VLOOKUP("PCS-30766g",[1]ARBOR!$A:$C,3,0),0.0001,IF(DJ17&gt;VLOOKUP("PCS-30766g",[1]ARBOR!$A:$C,3,0),"Maior que CAP!",IF((DOLLAR(DJ17+(VLOOKUP("PCS-30766g",[1]ARBOR!$A:$C,3,0)*-TRUNC(DJ17/VLOOKUP("PCS-30766g",[1]ARBOR!$A:$C,3,0)-1,4)),6))&lt;&gt;(DOLLAR(VLOOKUP("PCS-30766g",[1]ARBOR!$A:$C,3,0),6)),(-TRUNC(DJ17/VLOOKUP("PCS-30766g",[1]ARBOR!$A:$C,3,0)-1,4)+0.0001)-DH17,-TRUNC(DJ17/VLOOKUP("PCS-30766g",[1]ARBOR!$A:$C,3,0)-1,4)-DH17))))</f>
        <v>0.10670000000000002</v>
      </c>
      <c r="DM17" s="189" t="str">
        <f>IF(ISERROR(IF(DL17="","",VLOOKUP(($AY17&amp;DL17&amp;"Template de desconto percentual Bundle - Velox XDSL - Varejo"),[1]BENEFICIOS!$A:$E,5,0))),"Criar",IF(DL17="","",VLOOKUP(($AY17&amp;DL17&amp;"Template de desconto percentual Bundle - Velox XDSL - Varejo"),[1]BENEFICIOS!$A:$E,5,0)))</f>
        <v>MKT-1-9832066763</v>
      </c>
      <c r="DN17" s="193" t="s">
        <v>198</v>
      </c>
      <c r="DO17" s="194">
        <v>69.900000000000006</v>
      </c>
      <c r="DP17" s="127">
        <f>IF(DO17=0,"",IF(DO17=VLOOKUP("PCS-30793g",[1]ARBOR!$A:$C,3,0),0.0001,IF(DO17&gt;VLOOKUP("PCS-30793g",[1]ARBOR!$A:$C,3,0),"Maior que CAP!",IF((DOLLAR(DO17+(VLOOKUP("PCS-30793g",[1]ARBOR!$A:$C,3,0)*-TRUNC(DO17/VLOOKUP("PCS-30793g",[1]ARBOR!$A:$C,3,0)-1,4)),6))&lt;&gt;(DOLLAR(VLOOKUP("PCS-30793g",[1]ARBOR!$A:$C,3,0),6)),-TRUNC(DO17/VLOOKUP("PCS-30793g",[1]ARBOR!$A:$C,3,0)-1,4)+0.0001,-TRUNC(DO17/VLOOKUP("PCS-30793g",[1]ARBOR!$A:$C,3,0)-1,4)))))</f>
        <v>0.75109999999999999</v>
      </c>
      <c r="DQ17" s="195" t="str">
        <f>IF(ISERROR(IF(DP17="","",VLOOKUP(($AY17&amp;DP17&amp;"Template de desconto FLAT bundle - Velox XDSL - Varejo"),[1]BENEFICIOS!$A:$E,5,0))),"Criar",IF(DP17="","",VLOOKUP(($AY17&amp;DP17&amp;"Template de desconto FLAT bundle - Velox XDSL - Varejo"),[1]BENEFICIOS!$A:$E,5,0)))</f>
        <v>MKT-1-9828314259</v>
      </c>
      <c r="DR17" s="196">
        <v>34.950000000000003</v>
      </c>
      <c r="DS17" s="241">
        <v>6</v>
      </c>
      <c r="DT17" s="127">
        <f>IF(DR17=0,"",IF(DR17=VLOOKUP("PCS-30793g",[1]ARBOR!$A:$C,3,0),0.0001,IF(DR17&gt;VLOOKUP("PCS-30793g",[1]ARBOR!$A:$C,3,0),"Maior que CAP!",IF((DOLLAR(DR17+(VLOOKUP("PCS-30793g",[1]ARBOR!$A:$C,3,0)*-TRUNC(DR17/VLOOKUP("PCS-30793g",[1]ARBOR!$A:$C,3,0)-1,4)),6))&lt;&gt;(DOLLAR(VLOOKUP("PCS-30793g",[1]ARBOR!$A:$C,3,0),6)),(-TRUNC(DR17/VLOOKUP("PCS-30793g",[1]ARBOR!$A:$C,3,0)-1,4)+0.0001)-DP17,-TRUNC(DR17/VLOOKUP("PCS-30793g",[1]ARBOR!$A:$C,3,0)-1,4)-DP17))))</f>
        <v>0.12449999999999994</v>
      </c>
      <c r="DU17" s="189" t="str">
        <f>IF(ISERROR(IF(DT17="","",VLOOKUP(($AY17&amp;DT17&amp;"Template de desconto percentual Bundle - Velox XDSL - Varejo"),[1]BENEFICIOS!$A:$E,5,0))),"Criar",IF(DT17="","",VLOOKUP(($AY17&amp;DT17&amp;"Template de desconto percentual Bundle - Velox XDSL - Varejo"),[1]BENEFICIOS!$A:$E,5,0)))</f>
        <v>MKT-1-9826047043</v>
      </c>
      <c r="DV17" s="193" t="s">
        <v>86</v>
      </c>
      <c r="DW17" s="194">
        <v>69.900000000000006</v>
      </c>
      <c r="DX17" s="127">
        <f>IF(DW17=0,"",IF(DW17=VLOOKUP("PCS-30820g",[1]ARBOR!$A:$C,3,0),0.0001,IF(DW17&gt;VLOOKUP("PCS-30820g",[1]ARBOR!$A:$C,3,0),"Maior que CAP!",IF((DOLLAR(DW17+(VLOOKUP("PCS-30820g",[1]ARBOR!$A:$C,3,0)*-TRUNC(DW17/VLOOKUP("PCS-30820g",[1]ARBOR!$A:$C,3,0)-1,4)),6))&lt;&gt;(DOLLAR(VLOOKUP("PCS-30820g",[1]ARBOR!$A:$C,3,0),6)),-TRUNC(DW17/VLOOKUP("PCS-30820g",[1]ARBOR!$A:$C,3,0)-1,4)+0.0001,-TRUNC(DW17/VLOOKUP("PCS-30820g",[1]ARBOR!$A:$C,3,0)-1,4)))))</f>
        <v>0.75109999999999999</v>
      </c>
      <c r="DY17" s="195" t="str">
        <f>IF(ISERROR(IF(DX17="","",VLOOKUP(($AY17&amp;DX17&amp;"Template de desconto FLAT bundle - Velox XDSL - Varejo"),[1]BENEFICIOS!$A:$E,5,0))),"Criar",IF(DX17="","",VLOOKUP(($AY17&amp;DX17&amp;"Template de desconto FLAT bundle - Velox XDSL - Varejo"),[1]BENEFICIOS!$A:$E,5,0)))</f>
        <v>MKT-1-9828314259</v>
      </c>
      <c r="DZ17" s="196">
        <v>34.950000000000003</v>
      </c>
      <c r="EA17" s="241">
        <v>6</v>
      </c>
      <c r="EB17" s="127">
        <f>IF(DZ17=0,"",IF(DZ17=VLOOKUP("PCS-30820g",[1]ARBOR!$A:$C,3,0),0.0001,IF(DZ17&gt;VLOOKUP("PCS-30820g",[1]ARBOR!$A:$C,3,0),"Maior que CAP!",IF((DOLLAR(DZ17+(VLOOKUP("PCS-30820g",[1]ARBOR!$A:$C,3,0)*-TRUNC(DZ17/VLOOKUP("PCS-30820g",[1]ARBOR!$A:$C,3,0)-1,4)),6))&lt;&gt;(DOLLAR(VLOOKUP("PCS-30820g",[1]ARBOR!$A:$C,3,0),6)),(-TRUNC(DZ17/VLOOKUP("PCS-30820g",[1]ARBOR!$A:$C,3,0)-1,4)+0.0001)-DX17,-TRUNC(DZ17/VLOOKUP("PCS-30820g",[1]ARBOR!$A:$C,3,0)-1,4)-DX17))))</f>
        <v>0.12449999999999994</v>
      </c>
      <c r="EC17" s="189" t="str">
        <f>IF(ISERROR(IF(EB17="","",VLOOKUP(($AY17&amp;EB17&amp;"Template de desconto percentual Bundle - Velox XDSL - Varejo"),[1]BENEFICIOS!$A:$E,5,0))),"Criar",IF(EB17="","",VLOOKUP(($AY17&amp;EB17&amp;"Template de desconto percentual Bundle - Velox XDSL - Varejo"),[1]BENEFICIOS!$A:$E,5,0)))</f>
        <v>MKT-1-9826047043</v>
      </c>
      <c r="ED17" s="198"/>
      <c r="EE17" s="127" t="str">
        <f>IF(ED17=0,"",IF(ED17=VLOOKUP("PCS-21448p2",[1]ARBOR!$A:$C,3,0),0.0001,IF(ED17&gt;VLOOKUP("PCS-21448p2",[1]ARBOR!$A:$C,3,0),"Maior que CAP!",IF((DOLLAR(ED17+(VLOOKUP("PCS-21448p2",[1]ARBOR!$A:$C,3,0)*-TRUNC(ED17/VLOOKUP("PCS-21448p2",[1]ARBOR!$A:$C,3,0)-1,4)),6))&lt;&gt;(DOLLAR(VLOOKUP("PCS-21448p2",[1]ARBOR!$A:$C,3,0),6)),-TRUNC(ED17/VLOOKUP("PCS-21448p2",[1]ARBOR!$A:$C,3,0)-1,4)+0.0001,-TRUNC(ED17/VLOOKUP("PCS-21448p2",[1]ARBOR!$A:$C,3,0)-1,4)))))</f>
        <v/>
      </c>
      <c r="EF17" s="127" t="str">
        <f>IF(ISERROR(IF(EE17="","",VLOOKUP(("Oi Conta Total Plug 10GB Downgrade"&amp;EE17&amp;"Template de desconto percentual BL Móvel - Internet Total - Varejo"),[1]BENEFICIOS!$A:$E,5,0))),"Criar",IF(EE17="","",VLOOKUP(("Oi Conta Total Plug 10GB Downgrade"&amp;EE17&amp;"Template de desconto percentual BL Móvel - Internet Total - Varejo"),[1]BENEFICIOS!$A:$E,5,0)))</f>
        <v/>
      </c>
      <c r="EG17" s="199">
        <v>19.899999999999999</v>
      </c>
      <c r="EH17" s="200">
        <f>IF(EG17=0,"",IF(EG17=VLOOKUP("SVA",[1]ARBOR!$A:$C,3,0),0.0001,IF(EG17&gt;VLOOKUP("SVA",[1]ARBOR!$A:$C,3,0),"Maior que CAP!",IF((DOLLAR(EG17+(VLOOKUP("SVA",[1]ARBOR!$A:$C,3,0)*-TRUNC(EG17/VLOOKUP("SVA",[1]ARBOR!$A:$C,3,0)-1,4)),6))&lt;&gt;(DOLLAR(VLOOKUP("SVA",[1]ARBOR!$A:$C,3,0),6)),-TRUNC(EG17/VLOOKUP("SVA",[1]ARBOR!$A:$C,3,0)-1,4)+0.0001,-TRUNC(EG17/VLOOKUP("SVA",[1]ARBOR!$A:$C,3,0)-1,4)))))</f>
        <v>7.1400000000000005E-2</v>
      </c>
      <c r="EI17" s="200" t="s">
        <v>199</v>
      </c>
      <c r="EJ17" s="201" t="s">
        <v>212</v>
      </c>
      <c r="EK17" s="202">
        <v>6</v>
      </c>
      <c r="EL17" s="203">
        <f t="shared" si="3"/>
        <v>0.92859999999999998</v>
      </c>
      <c r="EM17" s="200" t="s">
        <v>213</v>
      </c>
      <c r="EN17" s="129"/>
      <c r="EO17" s="127" t="str">
        <f>IF(EN17=0,"",IF(EN17=VLOOKUP("PCS-OzTL40",[1]ARBOR!$A:$C,3,0),0.0001,IF(EN17&gt;VLOOKUP("PCS-OzTL40",[1]ARBOR!$A:$C,3,0),"Maior que CAP!",IF((DOLLAR(EN17+(VLOOKUP("PCS-OzTL40",[1]ARBOR!$A:$C,3,0)*-TRUNC(EN17/VLOOKUP("PCS-OzTL40",[1]ARBOR!$A:$C,3,0)-1,4)),6))&lt;&gt;(DOLLAR(VLOOKUP("PCS-OzTL40",[1]ARBOR!$A:$C,3,0),6)),-TRUNC(EN17/VLOOKUP("PCS-OzTL40",[1]ARBOR!$A:$C,3,0)-1,4)+0.0001,-TRUNC(EN17/VLOOKUP("PCS-OzTL40",[1]ARBOR!$A:$C,3,0)-1,4)))))</f>
        <v/>
      </c>
      <c r="EP17" s="189" t="str">
        <f>IF(ISERROR(IF(EO17="","",VLOOKUP(($AY17&amp;EO17&amp;"Template desconto FLAT Plano Principal Oi TV nível conta"),[1]BENEFICIOS!$A:$G,5,0))),"Criar",IF(EO17="","",VLOOKUP(($AY17&amp;EO17&amp;"Template desconto FLAT Plano Principal Oi TV nível conta"),[1]BENEFICIOS!$A:$G,5,0)))</f>
        <v/>
      </c>
      <c r="EQ17" s="129"/>
      <c r="ER17" s="127" t="str">
        <f>IF(EQ17=0,"",IF(EQ17=VLOOKUP("PCS-OzTL41",[1]ARBOR!$A:$C,3,0),0.0001,IF(EQ17&gt;VLOOKUP("PCS-OzTL41",[1]ARBOR!$A:$C,3,0),"Maior que CAP!",IF((DOLLAR(EQ17+(VLOOKUP("PCS-OzTL41",[1]ARBOR!$A:$C,3,0)*-TRUNC(EQ17/VLOOKUP("PCS-OzTL41",[1]ARBOR!$A:$C,3,0)-1,4)),6))&lt;&gt;(DOLLAR(VLOOKUP("PCS-OzTL41",[1]ARBOR!$A:$C,3,0),6)),-TRUNC(EQ17/VLOOKUP("PCS-OzTL41",[1]ARBOR!$A:$C,3,0)-1,4)+0.0001,-TRUNC(EQ17/VLOOKUP("PCS-OzTL41",[1]ARBOR!$A:$C,3,0)-1,4)))))</f>
        <v/>
      </c>
      <c r="ES17" s="204" t="str">
        <f>IF(ISERROR(IF(ER17="","",VLOOKUP(($AY17&amp;ER17&amp;"Template desconto FLAT Plano Principal Oi TV nível conta"),[1]BENEFICIOS!$A:$G,5,0))),"Criar",IF(ER17="","",VLOOKUP(($AY17&amp;ER17&amp;"Template desconto FLAT Plano Principal Oi TV nível conta"),[1]BENEFICIOS!$A:$G,5,0)))</f>
        <v/>
      </c>
      <c r="ET17" s="129"/>
      <c r="EU17" s="127" t="str">
        <f>IF(ET17=0,"",IF(ET17=VLOOKUP("PCS-OzTL44",[1]ARBOR!$A:$C,3,0),0.0001,IF(ET17&gt;VLOOKUP("PCS-OzTL44",[1]ARBOR!$A:$C,3,0),"Maior que CAP!",IF((DOLLAR(ET17+(VLOOKUP("PCS-OzTL44",[1]ARBOR!$A:$C,3,0)*-TRUNC(ET17/VLOOKUP("PCS-OzTL44",[1]ARBOR!$A:$C,3,0)-1,4)),6))&lt;&gt;(DOLLAR(VLOOKUP("PCS-OzTL44",[1]ARBOR!$A:$C,3,0),6)),-TRUNC(ET17/VLOOKUP("PCS-OzTL44",[1]ARBOR!$A:$C,3,0)-1,4)+0.0001,-TRUNC(ET17/VLOOKUP("PCS-OzTL44",[1]ARBOR!$A:$C,3,0)-1,4)))))</f>
        <v/>
      </c>
      <c r="EV17" s="204" t="str">
        <f>IF(ISERROR(IF(EU17="","",VLOOKUP(($AY17&amp;EU17&amp;"Template desconto FLAT Plano Principal Oi TV nível conta"),[1]BENEFICIOS!$A:$G,5,0))),"Criar",IF(EU17="","",VLOOKUP(($AY17&amp;EU17&amp;"Template desconto FLAT Plano Principal Oi TV nível conta"),[1]BENEFICIOS!$A:$G,5,0)))</f>
        <v/>
      </c>
      <c r="EW17" s="129"/>
      <c r="EX17" s="127" t="str">
        <f>IF(EW17=0,"",IF(EW17=VLOOKUP("PCS-OzTL43",[1]ARBOR!$A:$C,3,0),0.0001,IF(EW17&gt;VLOOKUP("PCS-OzTL43",[1]ARBOR!$A:$C,3,0),"Maior que CAP!",IF((DOLLAR(EW17+(VLOOKUP("PCS-OzTL43",[1]ARBOR!$A:$C,3,0)*-TRUNC(EW17/VLOOKUP("PCS-OzTL43",[1]ARBOR!$A:$C,3,0)-1,4)),6))&lt;&gt;(DOLLAR(VLOOKUP("PCS-OzTL43",[1]ARBOR!$A:$C,3,0),6)),-TRUNC(EW17/VLOOKUP("PCS-OzTL43",[1]ARBOR!$A:$C,3,0)-1,4)+0.0001,-TRUNC(EW17/VLOOKUP("PCS-OzTL43",[1]ARBOR!$A:$C,3,0)-1,4)))))</f>
        <v/>
      </c>
      <c r="EY17" s="204" t="str">
        <f>IF(ISERROR(IF(EX17="","",VLOOKUP(($AY17&amp;EX17&amp;"Template desconto FLAT Plano Principal Oi TV nível conta"),[1]BENEFICIOS!$A:$G,5,0))),"Criar",IF(EX17="","",VLOOKUP(($AY17&amp;EX17&amp;"Template desconto FLAT Plano Principal Oi TV nível conta"),[1]BENEFICIOS!$A:$G,5,0)))</f>
        <v/>
      </c>
      <c r="EZ17" s="129"/>
      <c r="FA17" s="127" t="str">
        <f>IF(EZ17=0,"",IF(EZ17=VLOOKUP("PCS-OzTL45",[1]ARBOR!$A:$C,3,0),0.0001,IF(EZ17&gt;VLOOKUP("PCS-OzTL45",[1]ARBOR!$A:$C,3,0),"Maior que CAP!",IF((DOLLAR(EZ17+(VLOOKUP("PCS-OzTL45",[1]ARBOR!$A:$C,3,0)*-TRUNC(EZ17/VLOOKUP("PCS-OzTL45",[1]ARBOR!$A:$C,3,0)-1,4)),6))&lt;&gt;(DOLLAR(VLOOKUP("PCS-OzTL45",[1]ARBOR!$A:$C,3,0),6)),-TRUNC(EZ17/VLOOKUP("PCS-OzTL45",[1]ARBOR!$A:$C,3,0)-1,4)+0.0001,-TRUNC(EZ17/VLOOKUP("PCS-OzTL45",[1]ARBOR!$A:$C,3,0)-1,4)))))</f>
        <v/>
      </c>
      <c r="FB17" s="204" t="str">
        <f>IF(ISERROR(IF(FA17="","",VLOOKUP(($AY17&amp;FA17&amp;"Template desconto FLAT Plano Principal Oi TV nível conta"),[1]BENEFICIOS!$A:$G,5,0))),"Criar",IF(FA17="","",VLOOKUP(($AY17&amp;FA17&amp;"Template desconto FLAT Plano Principal Oi TV nível conta"),[1]BENEFICIOS!$A:$G,5,0)))</f>
        <v/>
      </c>
      <c r="FC17" s="129"/>
      <c r="FD17" s="127" t="str">
        <f>IF(FC17=0,"",IF(FC17=VLOOKUP("PCS-OzTL741",[1]ARBOR!$A:$C,3,0),0.0001,IF(FC17&gt;VLOOKUP("PCS-OzTL741",[1]ARBOR!$A:$C,3,0),"Maior que CAP!",IF((DOLLAR(FC17+(VLOOKUP("PCS-OzTL741",[1]ARBOR!$A:$C,3,0)*-TRUNC(FC17/VLOOKUP("PCS-OzTL741",[1]ARBOR!$A:$C,3,0)-1,4)),6))&lt;&gt;(DOLLAR(VLOOKUP("PCS-OzTL741",[1]ARBOR!$A:$C,3,0),6)),-TRUNC(FC17/VLOOKUP("PCS-OzTL741",[1]ARBOR!$A:$C,3,0)-1,4)+0.0001,-TRUNC(FC17/VLOOKUP("PCS-OzTL741",[1]ARBOR!$A:$C,3,0)-1,4)))))</f>
        <v/>
      </c>
      <c r="FE17" s="204" t="str">
        <f>IF(ISERROR(IF(FD17="","",VLOOKUP(($AY17&amp;FD17&amp;"Template desconto FLAT Plano Principal Oi TV nível conta"),[1]BENEFICIOS!$A:$G,5,0))),"Criar",IF(FD17="","",VLOOKUP(($AY17&amp;FD17&amp;"Template desconto FLAT Plano Principal Oi TV nível conta"),[1]BENEFICIOS!$A:$G,5,0)))</f>
        <v/>
      </c>
      <c r="FF17" s="129"/>
      <c r="FG17" s="127" t="str">
        <f>IF(FF17=0,"",IF(FF17=VLOOKUP("PCS-OzTL744",[1]ARBOR!$A:$C,3,0),0.0001,IF(FF17&gt;VLOOKUP("PCS-OzTL744",[1]ARBOR!$A:$C,3,0),"Maior que CAP!",IF((DOLLAR(FF17+(VLOOKUP("PCS-OzTL744",[1]ARBOR!$A:$C,3,0)*-TRUNC(FF17/VLOOKUP("PCS-OzTL744",[1]ARBOR!$A:$C,3,0)-1,4)),6))&lt;&gt;(DOLLAR(VLOOKUP("PCS-OzTL744",[1]ARBOR!$A:$C,3,0),6)),-TRUNC(FF17/VLOOKUP("PCS-OzTL744",[1]ARBOR!$A:$C,3,0)-1,4)+0.0001,-TRUNC(FF17/VLOOKUP("PCS-OzTL744",[1]ARBOR!$A:$C,3,0)-1,4)))))</f>
        <v/>
      </c>
      <c r="FH17" s="204" t="str">
        <f>IF(ISERROR(IF(FG17="","",VLOOKUP(($AY17&amp;FG17&amp;"Template desconto FLAT Plano Principal Oi TV nível conta"),[1]BENEFICIOS!$A:$G,5,0))),"Criar",IF(FG17="","",VLOOKUP(($AY17&amp;FG17&amp;"Template desconto FLAT Plano Principal Oi TV nível conta"),[1]BENEFICIOS!$A:$G,5,0)))</f>
        <v/>
      </c>
      <c r="FI17" s="129"/>
      <c r="FJ17" s="127" t="str">
        <f>IF(FI17=0,"",IF(FI17=VLOOKUP("PCS-OzTL743",[1]ARBOR!$A:$C,3,0),0.0001,IF(FI17&gt;VLOOKUP("PCS-OzTL743",[1]ARBOR!$A:$C,3,0),"Maior que CAP!",IF((DOLLAR(FI17+(VLOOKUP("PCS-OzTL743",[1]ARBOR!$A:$C,3,0)*-TRUNC(FI17/VLOOKUP("PCS-OzTL743",[1]ARBOR!$A:$C,3,0)-1,4)),6))&lt;&gt;(DOLLAR(VLOOKUP("PCS-OzTL743",[1]ARBOR!$A:$C,3,0),6)),-TRUNC(FI17/VLOOKUP("PCS-OzTL743",[1]ARBOR!$A:$C,3,0)-1,4)+0.0001,-TRUNC(FI17/VLOOKUP("PCS-OzTL743",[1]ARBOR!$A:$C,3,0)-1,4)))))</f>
        <v/>
      </c>
      <c r="FK17" s="204" t="str">
        <f>IF(ISERROR(IF(FJ17="","",VLOOKUP(($AY17&amp;FJ17&amp;"Template desconto FLAT Plano Principal Oi TV nível conta"),[1]BENEFICIOS!$A:$G,5,0))),"Criar",IF(FJ17="","",VLOOKUP(($AY17&amp;FJ17&amp;"Template desconto FLAT Plano Principal Oi TV nível conta"),[1]BENEFICIOS!$A:$G,5,0)))</f>
        <v/>
      </c>
      <c r="FL17" s="129"/>
      <c r="FM17" s="127" t="str">
        <f>IF(FL17=0,"",IF(FL17=VLOOKUP("PCS-OzTL745",[1]ARBOR!$A:$C,3,0),0.0001,IF(FL17&gt;VLOOKUP("PCS-OzTL745",[1]ARBOR!$A:$C,3,0),"Maior que CAP!",IF((DOLLAR(FL17+(VLOOKUP("PCS-OzTL745",[1]ARBOR!$A:$C,3,0)*-TRUNC(FL17/VLOOKUP("PCS-OzTL745",[1]ARBOR!$A:$C,3,0)-1,4)),6))&lt;&gt;(DOLLAR(VLOOKUP("PCS-OzTL745",[1]ARBOR!$A:$C,3,0),6)),-TRUNC(FL17/VLOOKUP("PCS-OzTL745",[1]ARBOR!$A:$C,3,0)-1,4)+0.0001,-TRUNC(FL17/VLOOKUP("PCS-OzTL745",[1]ARBOR!$A:$C,3,0)-1,4)))))</f>
        <v/>
      </c>
      <c r="FN17" s="204" t="str">
        <f>IF(ISERROR(IF(FM17="","",VLOOKUP(($AY17&amp;FM17&amp;"Template desconto FLAT Plano Principal Oi TV nível conta"),[1]BENEFICIOS!$A:$G,5,0))),"Criar",IF(FM17="","",VLOOKUP(($AY17&amp;FM17&amp;"Template desconto FLAT Plano Principal Oi TV nível conta"),[1]BENEFICIOS!$A:$G,5,0)))</f>
        <v/>
      </c>
      <c r="FO17" s="129"/>
      <c r="FP17" s="127" t="str">
        <f>IF(FO17=0,"",IF(FO17=VLOOKUP("PCS-OzTL42",[1]ARBOR!$A:$C,3,0),0.0001,IF(FO17&gt;VLOOKUP("PCS-OzTL42",[1]ARBOR!$A:$C,3,0),"Maior que CAP!",IF((DOLLAR(FO17+(VLOOKUP("PCS-OzTL42",[1]ARBOR!$A:$C,3,0)*-TRUNC(FO17/VLOOKUP("PCS-OzTL42",[1]ARBOR!$A:$C,3,0)-1,4)),6))&lt;&gt;(DOLLAR(VLOOKUP("PCS-OzTL42",[1]ARBOR!$A:$C,3,0),6)),-TRUNC(FO17/VLOOKUP("PCS-OzTL42",[1]ARBOR!$A:$C,3,0)-1,4)+0.0001,-TRUNC(FO17/VLOOKUP("PCS-OzTL42",[1]ARBOR!$A:$C,3,0)-1,4)))))</f>
        <v/>
      </c>
      <c r="FQ17" s="204" t="str">
        <f>IF(ISERROR(IF(FP17="","",VLOOKUP(($AY17&amp;FP17&amp;"Template desconto FLAT Plano Principal Oi TV nível conta"),[1]BENEFICIOS!$A:$G,5,0))),"Criar",IF(FP17="","",VLOOKUP(($AY17&amp;FP17&amp;"Template desconto FLAT Plano Principal Oi TV nível conta"),[1]BENEFICIOS!$A:$G,5,0)))</f>
        <v/>
      </c>
      <c r="FR17" s="129">
        <v>149.9</v>
      </c>
      <c r="FS17" s="127">
        <f>IF(FR17=0,"",IF(FR17=VLOOKUP("PCS-OzTL47",[1]ARBOR!$A:$C,3,0),0.0001,IF(FR17&gt;VLOOKUP("PCS-OzTL47",[1]ARBOR!$A:$C,3,0),"Maior que CAP!",IF((DOLLAR(FR17+(VLOOKUP("PCS-OzTL47",[1]ARBOR!$A:$C,3,0)*-TRUNC(FR17/VLOOKUP("PCS-OzTL47",[1]ARBOR!$A:$C,3,0)-1,4)),6))&lt;&gt;(DOLLAR(VLOOKUP("PCS-OzTL47",[1]ARBOR!$A:$C,3,0),6)),-TRUNC(FR17/VLOOKUP("PCS-OzTL47",[1]ARBOR!$A:$C,3,0)-1,4)+0.0001,-TRUNC(FR17/VLOOKUP("PCS-OzTL47",[1]ARBOR!$A:$C,3,0)-1,4)))))</f>
        <v>0.26389999999999997</v>
      </c>
      <c r="FT17" s="204" t="str">
        <f>IF(ISERROR(IF(FS17="","",VLOOKUP(($AY17&amp;FS17&amp;"Template desconto FLAT Plano Principal Oi TV nível conta"),[1]BENEFICIOS!$A:$G,5,0))),"Criar",IF(FS17="","",VLOOKUP(($AY17&amp;FS17&amp;"Template desconto FLAT Plano Principal Oi TV nível conta"),[1]BENEFICIOS!$A:$G,5,0)))</f>
        <v>MKT-1-10140957431</v>
      </c>
      <c r="FU17" s="129"/>
      <c r="FV17" s="127" t="str">
        <f>IF(FU17=0,"",IF(FU17=VLOOKUP("PCS-OzTL46",[1]ARBOR!$A:$C,3,0),0.0001,IF(FU17&gt;VLOOKUP("PCS-OzTL46",[1]ARBOR!$A:$C,3,0),"Maior que CAP!",IF((DOLLAR(FU17+(VLOOKUP("PCS-OzTL46",[1]ARBOR!$A:$C,3,0)*-TRUNC(FU17/VLOOKUP("PCS-OzTL46",[1]ARBOR!$A:$C,3,0)-1,4)),6))&lt;&gt;(DOLLAR(VLOOKUP("PCS-OzTL46",[1]ARBOR!$A:$C,3,0),6)),-TRUNC(FU17/VLOOKUP("PCS-OzTL46",[1]ARBOR!$A:$C,3,0)-1,4)+0.0001,-TRUNC(FU17/VLOOKUP("PCS-OzTL46",[1]ARBOR!$A:$C,3,0)-1,4)))))</f>
        <v/>
      </c>
      <c r="FW17" s="204" t="str">
        <f>IF(ISERROR(IF(FV17="","",VLOOKUP(($AY17&amp;FV17&amp;"Template desconto FLAT Plano Principal Oi TV nível conta"),[1]BENEFICIOS!$A:$G,5,0))),"Criar",IF(FV17="","",VLOOKUP(($AY17&amp;FV17&amp;"Template desconto FLAT Plano Principal Oi TV nível conta"),[1]BENEFICIOS!$A:$G,5,0)))</f>
        <v/>
      </c>
      <c r="FX17" s="129"/>
      <c r="FY17" s="127" t="str">
        <f>IF(FX17=0,"",IF(FX17=VLOOKUP("PCS-OzTL48",[1]ARBOR!$A:$C,3,0),0.0001,IF(FX17&gt;VLOOKUP("PCS-OzTL48",[1]ARBOR!$A:$C,3,0),"Maior que CAP!",IF((DOLLAR(FX17+(VLOOKUP("PCS-OzTL48",[1]ARBOR!$A:$C,3,0)*-TRUNC(FX17/VLOOKUP("PCS-OzTL48",[1]ARBOR!$A:$C,3,0)-1,4)),6))&lt;&gt;(DOLLAR(VLOOKUP("PCS-OzTL48",[1]ARBOR!$A:$C,3,0),6)),-TRUNC(FX17/VLOOKUP("PCS-OzTL48",[1]ARBOR!$A:$C,3,0)-1,4)+0.0001,-TRUNC(FX17/VLOOKUP("PCS-OzTL48",[1]ARBOR!$A:$C,3,0)-1,4)))))</f>
        <v/>
      </c>
      <c r="FZ17" s="204" t="str">
        <f>IF(ISERROR(IF(FY17="","",VLOOKUP(($AY17&amp;FY17&amp;"Template desconto FLAT Plano Principal Oi TV nível conta"),[1]BENEFICIOS!$A:$G,5,0))),"Criar",IF(FY17="","",VLOOKUP(($AY17&amp;FY17&amp;"Template desconto FLAT Plano Principal Oi TV nível conta"),[1]BENEFICIOS!$A:$G,5,0)))</f>
        <v/>
      </c>
      <c r="GA17" s="129"/>
      <c r="GB17" s="127" t="str">
        <f>IF(GA17=0,"",IF(GA17=VLOOKUP("PCS-OzTL742",[1]ARBOR!$A:$C,3,0),0.0001,IF(GA17&gt;VLOOKUP("PCS-OzTL742",[1]ARBOR!$A:$C,3,0),"Maior que CAP!",IF((DOLLAR(GA17+(VLOOKUP("PCS-OzTL742",[1]ARBOR!$A:$C,3,0)*-TRUNC(GA17/VLOOKUP("PCS-OzTL742",[1]ARBOR!$A:$C,3,0)-1,4)),6))&lt;&gt;(DOLLAR(VLOOKUP("PCS-OzTL742",[1]ARBOR!$A:$C,3,0),6)),-TRUNC(GA17/VLOOKUP("PCS-OzTL742",[1]ARBOR!$A:$C,3,0)-1,4)+0.0001,-TRUNC(GA17/VLOOKUP("PCS-OzTL742",[1]ARBOR!$A:$C,3,0)-1,4)))))</f>
        <v/>
      </c>
      <c r="GC17" s="204" t="str">
        <f>IF(ISERROR(IF(GB17="","",VLOOKUP(($AY17&amp;GB17&amp;"Template desconto FLAT Plano Principal Oi TV nível conta"),[1]BENEFICIOS!$A:$G,5,0))),"Criar",IF(GB17="","",VLOOKUP(($AY17&amp;GB17&amp;"Template desconto FLAT Plano Principal Oi TV nível conta"),[1]BENEFICIOS!$A:$G,5,0)))</f>
        <v/>
      </c>
      <c r="GD17" s="129">
        <v>169.9</v>
      </c>
      <c r="GE17" s="127">
        <f>IF(GD17=0,"",IF(GD17=VLOOKUP("PCS-OzTL747",[1]ARBOR!$A:$C,3,0),0.0001,IF(GD17&gt;VLOOKUP("PCS-OzTL747",[1]ARBOR!$A:$C,3,0),"Maior que CAP!",IF((DOLLAR(GD17+(VLOOKUP("PCS-OzTL747",[1]ARBOR!$A:$C,3,0)*-TRUNC(GD17/VLOOKUP("PCS-OzTL747",[1]ARBOR!$A:$C,3,0)-1,4)),6))&lt;&gt;(DOLLAR(VLOOKUP("PCS-OzTL747",[1]ARBOR!$A:$C,3,0),6)),-TRUNC(GD17/VLOOKUP("PCS-OzTL747",[1]ARBOR!$A:$C,3,0)-1,4)+0.0001,-TRUNC(GD17/VLOOKUP("PCS-OzTL747",[1]ARBOR!$A:$C,3,0)-1,4)))))</f>
        <v>0.34329999999999999</v>
      </c>
      <c r="GF17" s="204" t="str">
        <f>IF(ISERROR(IF(GE17="","",VLOOKUP(($AY17&amp;GE17&amp;"Template desconto FLAT Plano Principal Oi TV nível conta"),[1]BENEFICIOS!$A:$G,5,0))),"Criar",IF(GE17="","",VLOOKUP(($AY17&amp;GE17&amp;"Template desconto FLAT Plano Principal Oi TV nível conta"),[1]BENEFICIOS!$A:$G,5,0)))</f>
        <v>MKT-1-10140956051</v>
      </c>
      <c r="GG17" s="129"/>
      <c r="GH17" s="127" t="str">
        <f>IF(GG17=0,"",IF(GG17=VLOOKUP("PCS-OzTL746",[1]ARBOR!$A:$C,3,0),0.0001,IF(GG17&gt;VLOOKUP("PCS-OzTL746",[1]ARBOR!$A:$C,3,0),"Maior que CAP!",IF((DOLLAR(GG17+(VLOOKUP("PCS-OzTL746",[1]ARBOR!$A:$C,3,0)*-TRUNC(GG17/VLOOKUP("PCS-OzTL746",[1]ARBOR!$A:$C,3,0)-1,4)),6))&lt;&gt;(DOLLAR(VLOOKUP("PCS-OzTL746",[1]ARBOR!$A:$C,3,0),6)),-TRUNC(GG17/VLOOKUP("PCS-OzTL746",[1]ARBOR!$A:$C,3,0)-1,4)+0.0001,-TRUNC(GG17/VLOOKUP("PCS-OzTL746",[1]ARBOR!$A:$C,3,0)-1,4)))))</f>
        <v/>
      </c>
      <c r="GI17" s="204" t="str">
        <f>IF(ISERROR(IF(GH17="","",VLOOKUP(($AY17&amp;GH17&amp;"Template desconto FLAT Plano Principal Oi TV nível conta"),[1]BENEFICIOS!$A:$G,5,0))),"Criar",IF(GH17="","",VLOOKUP(($AY17&amp;GH17&amp;"Template desconto FLAT Plano Principal Oi TV nível conta"),[1]BENEFICIOS!$A:$G,5,0)))</f>
        <v/>
      </c>
      <c r="GJ17" s="129"/>
      <c r="GK17" s="127" t="str">
        <f>IF(GJ17=0,"",IF(GJ17=VLOOKUP("PCS-OzTL748",[1]ARBOR!$A:$C,3,0),0.0001,IF(GJ17&gt;VLOOKUP("PCS-OzTL748",[1]ARBOR!$A:$C,3,0),"Maior que CAP!",IF((DOLLAR(GJ17+(VLOOKUP("PCS-OzTL748",[1]ARBOR!$A:$C,3,0)*-TRUNC(GJ17/VLOOKUP("PCS-OzTL748",[1]ARBOR!$A:$C,3,0)-1,4)),6))&lt;&gt;(DOLLAR(VLOOKUP("PCS-OzTL748",[1]ARBOR!$A:$C,3,0),6)),-TRUNC(GJ17/VLOOKUP("PCS-OzTL748",[1]ARBOR!$A:$C,3,0)-1,4)+0.0001,-TRUNC(GJ17/VLOOKUP("PCS-OzTL748",[1]ARBOR!$A:$C,3,0)-1,4)))))</f>
        <v/>
      </c>
      <c r="GL17" s="204" t="str">
        <f>IF(ISERROR(IF(GK17="","",VLOOKUP(($AY17&amp;GK17&amp;"Template desconto FLAT Plano Principal Oi TV nível conta"),[1]BENEFICIOS!$A:$G,5,0))),"Criar",IF(GK17="","",VLOOKUP(($AY17&amp;GK17&amp;"Template desconto FLAT Plano Principal Oi TV nível conta"),[1]BENEFICIOS!$A:$G,5,0)))</f>
        <v/>
      </c>
      <c r="GM17" s="129">
        <v>75</v>
      </c>
      <c r="GN17" s="127">
        <f>IF(GM17=0,"",IF(GM17=VLOOKUP("PCS-OzTL34",[1]ARBOR!$A:$C,3,0),0.0001,IF(GM17&gt;VLOOKUP("PCS-OzTL34",[1]ARBOR!$A:$C,3,0),"Maior que CAP!",IF((DOLLAR(GM17+(VLOOKUP("PCS-OzTL34",[1]ARBOR!$A:$C,3,0)*-TRUNC(GM17/VLOOKUP("PCS-OzTL34",[1]ARBOR!$A:$C,3,0)-1,4)),6))&lt;&gt;(DOLLAR(VLOOKUP("PCS-OzTL34",[1]ARBOR!$A:$C,3,0),6)),-TRUNC(GM17/VLOOKUP("PCS-OzTL34",[1]ARBOR!$A:$C,3,0)-1,4)+0.0001,-TRUNC(GM17/VLOOKUP("PCS-OzTL34",[1]ARBOR!$A:$C,3,0)-1,4)))))</f>
        <v>0.31900000000000001</v>
      </c>
      <c r="GO17" s="204" t="s">
        <v>161</v>
      </c>
      <c r="GP17" s="129">
        <v>19.899999999999999</v>
      </c>
      <c r="GQ17" s="127">
        <f>IF(GP17=0,"",IF(GP17=VLOOKUP("PCS-OzTL31",[1]ARBOR!$A:$C,3,0),0.0001,IF(GP17&gt;VLOOKUP("PCS-OzTL31",[1]ARBOR!$A:$C,3,0),"Maior que CAP!",IF((DOLLAR(GP17+(VLOOKUP("PCS-OzTL31",[1]ARBOR!$A:$C,3,0)*-TRUNC(GP17/VLOOKUP("PCS-OzTL31",[1]ARBOR!$A:$C,3,0)-1,4)),6))&lt;&gt;(DOLLAR(VLOOKUP("PCS-OzTL31",[1]ARBOR!$A:$C,3,0),6)),-TRUNC(GP17/VLOOKUP("PCS-OzTL31",[1]ARBOR!$A:$C,3,0)-1,4)+0.0001,-TRUNC(GP17/VLOOKUP("PCS-OzTL31",[1]ARBOR!$A:$C,3,0)-1,4)))))</f>
        <v>9.1800000000000007E-2</v>
      </c>
      <c r="GR17" s="204" t="s">
        <v>162</v>
      </c>
      <c r="GS17" s="129">
        <v>19.899999999999999</v>
      </c>
      <c r="GT17" s="127">
        <f>IF(GS17=0,"",IF(GS17=VLOOKUP("PCS-OzTL32",[1]ARBOR!$A:$C,3,0),0.0001,IF(GS17&gt;VLOOKUP("PCS-OzTL32",[1]ARBOR!$A:$C,3,0),"Maior que CAP!",IF((DOLLAR(GS17+(VLOOKUP("PCS-OzTL32",[1]ARBOR!$A:$C,3,0)*-TRUNC(GS17/VLOOKUP("PCS-OzTL32",[1]ARBOR!$A:$C,3,0)-1,4)),6))&lt;&gt;(DOLLAR(VLOOKUP("PCS-OzTL32",[1]ARBOR!$A:$C,3,0),6)),-TRUNC(GS17/VLOOKUP("PCS-OzTL32",[1]ARBOR!$A:$C,3,0)-1,4)+0.0001,-TRUNC(GS17/VLOOKUP("PCS-OzTL32",[1]ARBOR!$A:$C,3,0)-1,4)))))</f>
        <v>9.1800000000000007E-2</v>
      </c>
      <c r="GU17" s="204" t="s">
        <v>163</v>
      </c>
      <c r="GV17" s="129">
        <v>29.9</v>
      </c>
      <c r="GW17" s="127">
        <f>IF(GV17=0,"",IF(GV17=VLOOKUP("PCS-OzTL33",[1]ARBOR!$A:$C,3,0),0.0001,IF(GV17&gt;VLOOKUP("PCS-OzTL33",[1]ARBOR!$A:$C,3,0),"Maior que CAP!",IF((DOLLAR(GV17+(VLOOKUP("PCS-OzTL33",[1]ARBOR!$A:$C,3,0)*-TRUNC(GV17/VLOOKUP("PCS-OzTL33",[1]ARBOR!$A:$C,3,0)-1,4)),6))&lt;&gt;(DOLLAR(VLOOKUP("PCS-OzTL33",[1]ARBOR!$A:$C,3,0),6)),-TRUNC(GV17/VLOOKUP("PCS-OzTL33",[1]ARBOR!$A:$C,3,0)-1,4)+0.0001,-TRUNC(GV17/VLOOKUP("PCS-OzTL33",[1]ARBOR!$A:$C,3,0)-1,4)))))</f>
        <v>9.1800000000000007E-2</v>
      </c>
      <c r="GX17" s="204" t="s">
        <v>164</v>
      </c>
      <c r="GY17" s="129">
        <v>14.9</v>
      </c>
      <c r="GZ17" s="127">
        <f>IF(GY17=0,"",IF(GY17=VLOOKUP("PCS-OzTL503",[1]ARBOR!$A:$C,3,0),0.0001,IF(GY17&gt;VLOOKUP("PCS-OzTL503",[1]ARBOR!$A:$C,3,0),"Maior que CAP!",IF((DOLLAR(GY17+(VLOOKUP("PCS-OzTL503",[1]ARBOR!$A:$C,3,0)*-TRUNC(GY17/VLOOKUP("PCS-OzTL503",[1]ARBOR!$A:$C,3,0)-1,4)),6))&lt;&gt;(DOLLAR(VLOOKUP("PCS-OzTL503",[1]ARBOR!$A:$C,3,0),6)),-TRUNC(GY17/VLOOKUP("PCS-OzTL503",[1]ARBOR!$A:$C,3,0)-1,4)+0.0001,-TRUNC(GY17/VLOOKUP("PCS-OzTL503",[1]ARBOR!$A:$C,3,0)-1,4)))))</f>
        <v>9.1499999999999998E-2</v>
      </c>
      <c r="HA17" s="204" t="s">
        <v>165</v>
      </c>
      <c r="HB17" s="129">
        <v>10</v>
      </c>
      <c r="HC17" s="127">
        <f>IF(HB17=0,"",IF(HB17=VLOOKUP("PCS-OzTL500",[1]ARBOR!$A:$C,3,0),0.0001,IF(HB17&gt;VLOOKUP("PCS-OzTL500",[1]ARBOR!$A:$C,3,0),"Maior que CAP!",IF((DOLLAR(HB17+(VLOOKUP("PCS-OzTL500",[1]ARBOR!$A:$C,3,0)*-TRUNC(HB17/VLOOKUP("PCS-OzTL500",[1]ARBOR!$A:$C,3,0)-1,4)),6))&lt;&gt;(DOLLAR(VLOOKUP("PCS-OzTL500",[1]ARBOR!$A:$C,3,0),6)),-TRUNC(HB17/VLOOKUP("PCS-OzTL500",[1]ARBOR!$A:$C,3,0)-1,4)+0.0001,-TRUNC(HB17/VLOOKUP("PCS-OzTL500",[1]ARBOR!$A:$C,3,0)-1,4)))))</f>
        <v>9.1800000000000007E-2</v>
      </c>
      <c r="HD17" s="204" t="s">
        <v>166</v>
      </c>
      <c r="HE17" s="129" t="s">
        <v>167</v>
      </c>
      <c r="HF17" s="127"/>
      <c r="HG17" s="204"/>
      <c r="HH17" s="129" t="s">
        <v>168</v>
      </c>
      <c r="HI17" s="127"/>
      <c r="HJ17" s="204"/>
      <c r="HK17" s="129" t="s">
        <v>169</v>
      </c>
      <c r="HL17" s="127"/>
      <c r="HM17" s="204"/>
      <c r="HN17" s="129" t="s">
        <v>170</v>
      </c>
      <c r="HO17" s="127"/>
      <c r="HP17" s="204"/>
      <c r="HQ17" s="129" t="s">
        <v>171</v>
      </c>
      <c r="HR17" s="127"/>
      <c r="HS17" s="204"/>
      <c r="HT17" s="129">
        <v>24.9</v>
      </c>
      <c r="HU17" s="127">
        <f>IF(HT17=0,"",IF(HT17=VLOOKUP("PCS-OzTL99",[1]ARBOR!$A:$C,3,0),0.0001,IF(HT17&gt;VLOOKUP("PCS-OzTL99",[1]ARBOR!$A:$C,3,0),"Maior que CAP!",IF((DOLLAR(HT17+(VLOOKUP("PCS-OzTL99",[1]ARBOR!$A:$C,3,0)*-TRUNC(HT17/VLOOKUP("PCS-OzTL99",[1]ARBOR!$A:$C,3,0)-1,4)),6))&lt;&gt;(DOLLAR(VLOOKUP("PCS-OzTL99",[1]ARBOR!$A:$C,3,0),6)),-TRUNC(HT17/VLOOKUP("PCS-OzTL99",[1]ARBOR!$A:$C,3,0)-1,4)+0.0001,-TRUNC(HT17/VLOOKUP("PCS-OzTL99",[1]ARBOR!$A:$C,3,0)-1,4)))))</f>
        <v>0.16729999999999998</v>
      </c>
      <c r="HV17" s="205" t="s">
        <v>172</v>
      </c>
      <c r="HW17" s="196" t="s">
        <v>149</v>
      </c>
      <c r="HX17" s="204" t="str">
        <f t="shared" si="4"/>
        <v>PCS-34704</v>
      </c>
      <c r="HY17" s="206" t="str">
        <f>IFERROR((IF(AZ17="","",VLOOKUP(AZ17,[1]ARBOR!A:C,3,0))),"")</f>
        <v/>
      </c>
      <c r="HZ17" s="207"/>
      <c r="IA17" s="184" t="str">
        <f>IF(HZ17="","",ROUND(1-(HZ17/VLOOKUP(AZ17&amp;"ASS",[1]ARBOR!A:C,3,0)),4))</f>
        <v/>
      </c>
      <c r="IB17" s="184"/>
      <c r="IC17" s="208"/>
      <c r="ID17" s="209"/>
      <c r="IE17" s="127" t="str">
        <f>IF(ID17="","",ROUND(IF(ID17=0,"",IF(ID17=HY17,0.0001,1-((ID17+(VLOOKUP(AZ17&amp;"ASS",[1]ARBOR!A:C,3,0)-HZ17))/HY17))),4))</f>
        <v/>
      </c>
      <c r="IF17" s="127" t="str">
        <f>IF(ISERROR(IF(IE17="","",VLOOKUP(($AY17&amp;IE17&amp;"Template de desconto percentual FLAT Móvel - Conta Total - Varejo - Ganho Tributário Cross"),[1]BENEFICIOS!$A:$E,5,0))),"Criar",IF(IE17="","",VLOOKUP(($AY17&amp;IE17&amp;"Template de desconto percentual FLAT Móvel - Conta Total - Varejo - Ganho Tributário Cross"),[1]BENEFICIOS!$A:$E,5,0)))</f>
        <v/>
      </c>
      <c r="IG17" s="193"/>
      <c r="IH17" s="127"/>
      <c r="II17" s="210"/>
      <c r="IJ17" s="211"/>
      <c r="IK17" s="127"/>
      <c r="IL17" s="127"/>
      <c r="IM17" s="212"/>
      <c r="IN17" s="212"/>
      <c r="IO17" s="213"/>
      <c r="IP17" s="214" t="str">
        <f>IF(IO17=0,"",IF(IO17=VLOOKUP("PCS-813566",[1]ARBOR!$A:$C,3,0),0.0001,IF(IO17&gt;VLOOKUP("PCS-813566",[1]ARBOR!$A:$C,3,0),"Maior que CAP!",ROUND(-1*(IO17/VLOOKUP("PCS-813566",[1]ARBOR!$A:$C,3,0)-1),4))))</f>
        <v/>
      </c>
      <c r="IQ17" s="215" t="str">
        <f>IF(ISERROR(IF(IP17="","",VLOOKUP(("Oi Internet Pra Celular 300MB"&amp;IP17&amp;"Template Flat Instância Dados"),[1]BENEFICIOS!$A:$E,5,0))),"Criar",IF(IP17="","",VLOOKUP(("Oi Internet Pra Celular 300MB"&amp;IP17&amp;"Template Flat Instância Dados"),[1]BENEFICIOS!$A:$E,5,0)))</f>
        <v/>
      </c>
      <c r="IR17" s="216"/>
      <c r="IS17" s="217" t="str">
        <f>IF(IR17=0,"",IF(IR17=VLOOKUP("sva_bancas",[1]ARBOR!$A:$C,3,0),0.0001,IF(IR17&gt;VLOOKUP("sva_livros",[1]ARBOR!$A:$C,3,0),"Maior que CAP!",ROUND(-1*(IR17/VLOOKUP("sva_bancas",[1]ARBOR!$A:$C,3,0)-1),4))))</f>
        <v/>
      </c>
      <c r="IT17" s="218" t="str">
        <f>IF(ISERROR(IF(IS17="","",VLOOKUP(("Oi Internet Pra Celular 300MB"&amp;IS17&amp;"Template Desconto % SVA DADOS B2C"),[1]BENEFICIOS!$A:$E,5,0))),"Criar",IF(IS17="","",VLOOKUP(("Oi Internet Pra Celular 300MB"&amp;IS17&amp;"Template Desconto % SVA DADOS B2C"),[1]BENEFICIOS!$A:$E,5,0)))</f>
        <v/>
      </c>
      <c r="IU17" s="213"/>
      <c r="IV17" s="214" t="str">
        <f>IF(IU17=0,"",IF(IU17=VLOOKUP("PCS-813564",[1]ARBOR!$A:$C,3,0),0.0001,IF(IU17&gt;VLOOKUP("PCS-813564",[1]ARBOR!$A:$C,3,0),"Maior que CAP!",ROUND(-1*(IU17/VLOOKUP("PCS-813564",[1]ARBOR!$A:$C,3,0)-1),4))))</f>
        <v/>
      </c>
      <c r="IW17" s="215" t="str">
        <f>IF(ISERROR(IF(IV17="","",VLOOKUP(("Oi Internet Pra Celular 500MB"&amp;IV17&amp;"Template Flat Instância Dados"),[1]BENEFICIOS!$A:$E,5,0))),"Criar",IF(IV17="","",VLOOKUP(("Oi Internet Pra Celular 500MB"&amp;IV17&amp;"Template Flat Instância Dados"),[1]BENEFICIOS!$A:$E,5,0)))</f>
        <v/>
      </c>
      <c r="IX17" s="216"/>
      <c r="IY17" s="217" t="str">
        <f>IF(IX17=0,"",IF(IX17=VLOOKUP("sva_livros",[1]ARBOR!$A:$C,3,0),0.0001,IF(IX17&gt;VLOOKUP("sva_livros",[1]ARBOR!$A:$C,3,0),"Maior que CAP!",ROUND(-1*(IX17/VLOOKUP("sva_livros",[1]ARBOR!$A:$C,3,0)-1),4))))</f>
        <v/>
      </c>
      <c r="IZ17" s="218" t="str">
        <f>IF(ISERROR(IF(IY17="","",VLOOKUP(("Oi Internet Pra Celular 500MB"&amp;IY17&amp;"Template Desconto % SVA DADOS B2C"),[1]BENEFICIOS!$A:$E,5,0))),"Criar",IF(IY17="","",VLOOKUP(("Oi Internet Pra Celular 500MB"&amp;IY17&amp;"Template Desconto % SVA DADOS B2C"),[1]BENEFICIOS!$A:$E,5,0)))</f>
        <v/>
      </c>
      <c r="JA17" s="213"/>
      <c r="JB17" s="214" t="str">
        <f>IF(JA17=0,"",IF(JA17=VLOOKUP("PCS-10357",[1]ARBOR!$A:$C,3,0),0.0001,IF(JA17&gt;VLOOKUP("PCS-10357",[1]ARBOR!$A:$C,3,0),"Maior que CAP!",ROUND(-1*(JA17/VLOOKUP("PCS-10357",[1]ARBOR!$A:$C,3,0)-1),4))))</f>
        <v/>
      </c>
      <c r="JC17" s="215" t="str">
        <f>IF(ISERROR(IF(JB17="","",VLOOKUP(("Oi Internet Pra Celular 1GB"&amp;JB17&amp;"Template Flat Instância Dados"),[1]BENEFICIOS!$A:$E,5,0))),"Criar",IF(JB17="","",VLOOKUP(("Oi Internet Pra Celular 1GB"&amp;JB17&amp;"Template Flat Instância Dados"),[1]BENEFICIOS!$A:$E,5,0)))</f>
        <v/>
      </c>
      <c r="JD17" s="216"/>
      <c r="JE17" s="217" t="str">
        <f>IF(JD17=0,"",IF(JD17=VLOOKUP("sva_livros",[1]ARBOR!$A:$C,3,0),0.0001,IF(JD17&gt;VLOOKUP("sva_livros",[1]ARBOR!$A:$C,3,0),"Maior que CAP!",ROUND(-1*(JD17/VLOOKUP("sva_livros",[1]ARBOR!$A:$C,3,0)-1),4))))</f>
        <v/>
      </c>
      <c r="JF17" s="218" t="str">
        <f>IF(ISERROR(IF(JE17="","",VLOOKUP(("Oi Internet Pra Celular 1GB"&amp;JE17&amp;"Template Desconto % SVA DADOS B2C"),[1]BENEFICIOS!$A:$E,5,0))),"Criar",IF(JE17="","",VLOOKUP(("Oi Internet Pra Celular 1GB"&amp;JE17&amp;"Template Desconto % SVA DADOS B2C"),[1]BENEFICIOS!$A:$E,5,0)))</f>
        <v/>
      </c>
      <c r="JG17" s="213"/>
      <c r="JH17" s="214" t="str">
        <f>IF(JG17=0,"",IF(JG17=VLOOKUP("PCS-813565",[1]ARBOR!$A:$C,3,0),0.0001,IF(JG17&gt;VLOOKUP("PCS-813565",[1]ARBOR!$A:$C,3,0),"Maior que CAP!",ROUND(-1*(JG17/VLOOKUP("PCS-813565",[1]ARBOR!$A:$C,3,0)-1),4))))</f>
        <v/>
      </c>
      <c r="JI17" s="215" t="str">
        <f>IF(ISERROR(IF(JH17="","",VLOOKUP(("Oi Internet Pra Celular 2GB"&amp;JH17&amp;"Template Flat Instância Dados"),[1]BENEFICIOS!$A:$E,5,0))),"Criar",IF(JH17="","",VLOOKUP(("Oi Internet Pra Celular 2GB"&amp;JH17&amp;"Template Flat Instância Dados"),[1]BENEFICIOS!$A:$E,5,0)))</f>
        <v/>
      </c>
      <c r="JJ17" s="216"/>
      <c r="JK17" s="217" t="str">
        <f>IF(JJ17=0,"",IF(JJ17=VLOOKUP("sva_livros",[1]ARBOR!$A:$C,3,0),0.0001,IF(JJ17&gt;VLOOKUP("sva_livros",[1]ARBOR!$A:$C,3,0),"Maior que CAP!",ROUND(-1*(JJ17/VLOOKUP("sva_livros",[1]ARBOR!$A:$C,3,0)-1),4))))</f>
        <v/>
      </c>
      <c r="JL17" s="218" t="str">
        <f>IF(ISERROR(IF(JK17="","",VLOOKUP(("Oi Internet Pra Celular 2GB"&amp;JK17&amp;"Template Desconto % SVA DADOS B2C"),[1]BENEFICIOS!$A:$E,5,0))),"Criar",IF(JK17="","",VLOOKUP(("Oi Internet Pra Celular 2GB"&amp;JK17&amp;"Template Desconto % SVA DADOS B2C"),[1]BENEFICIOS!$A:$E,5,0)))</f>
        <v/>
      </c>
      <c r="JM17" s="213"/>
      <c r="JN17" s="214" t="str">
        <f>IF(JM17=0,"",IF(JM17=VLOOKUP("PCS-7171B",[1]ARBOR!$A:$C,3,0),0.0001,IF(JM17&gt;VLOOKUP("PCS-7171B",[1]ARBOR!$A:$C,3,0),"Maior que CAP!",ROUND(-1*(JM17/VLOOKUP("PCS-7171B",[1]ARBOR!$A:$C,3,0)-1),4))))</f>
        <v/>
      </c>
      <c r="JO17" s="215" t="str">
        <f>IF(ISERROR(IF(JN17="","",VLOOKUP(("Oi Internet Pra Celular 3GB"&amp;JN17&amp;"Template Flat Instância Dados"),[1]BENEFICIOS!$A:$E,5,0))),"Criar",IF(JN17="","",VLOOKUP(("Oi Internet Pra Celular 3GB"&amp;JN17&amp;"Template Flat Instância Dados"),[1]BENEFICIOS!$A:$E,5,0)))</f>
        <v/>
      </c>
      <c r="JP17" s="216"/>
      <c r="JQ17" s="217" t="str">
        <f>IF(JP17=0,"",IF(JP17=VLOOKUP("sva_livros",[1]ARBOR!$A:$C,3,0),0.0001,IF(JP17&gt;VLOOKUP("sva_livros",[1]ARBOR!$A:$C,3,0),"Maior que CAP!",ROUND(-1*(JP17/VLOOKUP("sva_livros",[1]ARBOR!$A:$C,3,0)-1),4))))</f>
        <v/>
      </c>
      <c r="JR17" s="218" t="str">
        <f>IF(ISERROR(IF(JQ17="","",VLOOKUP(("Oi Internet Pra Celular 3GB"&amp;JQ17&amp;"Template Desconto % SVA DADOS B2C"),[1]BENEFICIOS!$A:$E,5,0))),"Criar",IF(JQ17="","",VLOOKUP(("Oi Internet Pra Celular 3GB"&amp;JQ17&amp;"Template Desconto % SVA DADOS B2C"),[1]BENEFICIOS!$A:$E,5,0)))</f>
        <v/>
      </c>
      <c r="JS17" s="213"/>
      <c r="JT17" s="214" t="str">
        <f>IF(JS17=0,"",IF(JS17=VLOOKUP("PCS-51793o08",[1]ARBOR!$A:$C,3,0),0.0001,IF(JS17&gt;VLOOKUP("PCS-51793o08",[1]ARBOR!$A:$C,3,0),"Maior que CAP!",ROUND(-1*(JS17/VLOOKUP("PCS-51793o08",[1]ARBOR!$A:$C,3,0)-1),4))))</f>
        <v/>
      </c>
      <c r="JU17" s="215" t="str">
        <f>IF(ISERROR(IF(JT17="","",VLOOKUP(("Oi Internet Pra Celular 5GB"&amp;JT17&amp;"Template Flat Instância Dados"),[1]BENEFICIOS!$A:$E,5,0))),"Criar",IF(JT17="","",VLOOKUP(("Oi Internet Pra Celular 5GB"&amp;JT17&amp;"Template Flat Instância Dados"),[1]BENEFICIOS!$A:$E,5,0)))</f>
        <v/>
      </c>
      <c r="JV17" s="216"/>
      <c r="JW17" s="217" t="str">
        <f>IF(JV17=0,"",IF(JV17=VLOOKUP("sva_curtas",[1]ARBOR!$A:$C,3,0),0.0001,IF(JV17&gt;VLOOKUP("sva_curtas",[1]ARBOR!$A:$C,3,0),"Maior que CAP!",ROUND(-1*(JV17/VLOOKUP("sva_curtas",[1]ARBOR!$A:$C,3,0)-1),4))))</f>
        <v/>
      </c>
      <c r="JX17" s="218" t="str">
        <f>IF(ISERROR(IF(JW17="","",VLOOKUP(("Oi Internet Pra Celular 5GB"&amp;JW17&amp;"Template Desconto % SVA DADOS B2C"),[1]BENEFICIOS!$A:$E,5,0))),"Criar",IF(JW17="","",VLOOKUP(("Oi Internet Pra Celular 5GB"&amp;JW17&amp;"Template Desconto % SVA DADOS B2C"),[1]BENEFICIOS!$A:$E,5,0)))</f>
        <v/>
      </c>
      <c r="JY17" s="213"/>
      <c r="JZ17" s="214" t="str">
        <f>IF(JY17=0,"",IF(JY17=VLOOKUP("PCS-7171A",[1]ARBOR!$A:$C,3,0),0.0001,IF(JY17&gt;VLOOKUP("PCS-7171A",[1]ARBOR!$A:$C,3,0),"Maior que CAP!",ROUND(-1*(JY17/VLOOKUP("PCS-7171A",[1]ARBOR!$A:$C,3,0)-1),4))))</f>
        <v/>
      </c>
      <c r="KA17" s="219" t="str">
        <f>IF(ISERROR(IF(JZ17="","",VLOOKUP(("Oi Internet Pra Celular 10GB"&amp;JZ17&amp;"Template Flat Instância Dados"),[1]BENEFICIOS!$A:$E,5,0))),"Criar",IF(JZ17="","",VLOOKUP(("Oi Internet Pra Celular 10GB"&amp;JZ17&amp;"Template Flat Instância Dados"),[1]BENEFICIOS!$A:$E,5,0)))</f>
        <v/>
      </c>
      <c r="KB17" s="216"/>
      <c r="KC17" s="217" t="str">
        <f>IF(KB17=0,"",IF(KB17=VLOOKUP("sva_curtas",[1]ARBOR!$A:$C,3,0),0.0001,IF(KB17&gt;VLOOKUP("sva_curtas",[1]ARBOR!$A:$C,3,0),"Maior que CAP!",ROUND(-1*(KB17/VLOOKUP("sva_curtas",[1]ARBOR!$A:$C,3,0)-1),4))))</f>
        <v/>
      </c>
      <c r="KD17" s="218" t="str">
        <f>IF(ISERROR(IF(KC17="","",VLOOKUP(("Oi Internet Pra Celular 10GB"&amp;KC17&amp;"Template Desconto % SVA DADOS B2C"),[1]BENEFICIOS!$A:$E,5,0))),"Criar",IF(KC17="","",VLOOKUP(("Oi Internet Pra Celular 10GB"&amp;KC17&amp;"Template Desconto % SVA DADOS B2C"),[1]BENEFICIOS!$A:$E,5,0)))</f>
        <v/>
      </c>
      <c r="KE17" s="220"/>
      <c r="KF17" s="221"/>
      <c r="KG17" s="222" t="s">
        <v>149</v>
      </c>
      <c r="KH17" s="223" t="s">
        <v>173</v>
      </c>
      <c r="KI17" s="224">
        <v>799</v>
      </c>
      <c r="KJ17" s="223">
        <v>12</v>
      </c>
      <c r="KK17" s="225" t="str">
        <f t="shared" si="5"/>
        <v>Oi benefício fidelização Multiprodutos</v>
      </c>
      <c r="KL17" s="226" t="str">
        <f t="shared" si="6"/>
        <v>PCS-Fk83324</v>
      </c>
      <c r="KM17" s="226" t="str">
        <f t="shared" si="7"/>
        <v>PCS-SBL553142</v>
      </c>
      <c r="KN17" s="227" t="s">
        <v>174</v>
      </c>
      <c r="KO17" s="228" t="s">
        <v>175</v>
      </c>
      <c r="KP17" s="228" t="s">
        <v>176</v>
      </c>
      <c r="KQ17" s="227" t="s">
        <v>177</v>
      </c>
      <c r="KR17" s="225" t="s">
        <v>178</v>
      </c>
      <c r="KS17" s="226" t="s">
        <v>179</v>
      </c>
      <c r="KT17" s="229" t="s">
        <v>180</v>
      </c>
      <c r="KU17" s="155"/>
      <c r="KV17" s="155"/>
      <c r="KW17" s="155"/>
      <c r="KX17" s="155"/>
      <c r="KY17" s="155"/>
      <c r="KZ17" s="155"/>
      <c r="LA17" s="155"/>
      <c r="LB17" s="155"/>
      <c r="LC17" s="155"/>
      <c r="LD17" s="155"/>
      <c r="LE17" s="155"/>
      <c r="LF17" s="155"/>
      <c r="LG17" s="155"/>
      <c r="LH17" s="155"/>
      <c r="LI17" s="155"/>
      <c r="LJ17" s="155"/>
      <c r="LK17" s="230"/>
      <c r="LL17" s="238"/>
      <c r="LM17" s="239"/>
      <c r="LN17" s="239"/>
      <c r="LO17" s="239"/>
      <c r="LP17" s="239"/>
      <c r="LQ17" s="239"/>
      <c r="LR17" s="239"/>
      <c r="LS17" s="239"/>
      <c r="LT17" s="239"/>
      <c r="LU17" s="240"/>
      <c r="LV17" t="s">
        <v>218</v>
      </c>
      <c r="LW17" t="s">
        <v>183</v>
      </c>
    </row>
    <row r="18" spans="1:335" x14ac:dyDescent="0.25">
      <c r="A18" s="160" t="s">
        <v>146</v>
      </c>
      <c r="B18" s="161" t="s">
        <v>147</v>
      </c>
      <c r="C18" s="161" t="s">
        <v>148</v>
      </c>
      <c r="D18" s="162" t="s">
        <v>149</v>
      </c>
      <c r="E18" s="163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5"/>
      <c r="Q18" s="165"/>
      <c r="R18" s="165"/>
      <c r="S18" s="166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7"/>
      <c r="AF18" s="164"/>
      <c r="AG18" s="164"/>
      <c r="AH18" s="168"/>
      <c r="AI18" s="235" t="s">
        <v>219</v>
      </c>
      <c r="AJ18" s="85" t="s">
        <v>151</v>
      </c>
      <c r="AK18" s="86" t="s">
        <v>197</v>
      </c>
      <c r="AL18" s="169">
        <v>43039</v>
      </c>
      <c r="AM18" s="170">
        <v>43159</v>
      </c>
      <c r="AN18" s="89" t="s">
        <v>153</v>
      </c>
      <c r="AO18" s="90" t="s">
        <v>153</v>
      </c>
      <c r="AP18" s="171"/>
      <c r="AQ18" s="171" t="s">
        <v>154</v>
      </c>
      <c r="AR18" s="171">
        <v>20</v>
      </c>
      <c r="AS18" s="171">
        <v>10000</v>
      </c>
      <c r="AT18" s="172" t="s">
        <v>155</v>
      </c>
      <c r="AU18" s="173" t="s">
        <v>149</v>
      </c>
      <c r="AV18" s="174" t="s">
        <v>156</v>
      </c>
      <c r="AW18" s="175" t="s">
        <v>156</v>
      </c>
      <c r="AX18" s="176" t="s">
        <v>219</v>
      </c>
      <c r="AY18" s="177" t="s">
        <v>188</v>
      </c>
      <c r="AZ18" s="178" t="str">
        <f>IF(ISERROR(VLOOKUP(AY18,[1]PLANOS!B:C,2,0)),"",VLOOKUP(AY18,[1]PLANOS!B:C,2,0))</f>
        <v>PCS-3PHipi</v>
      </c>
      <c r="BA18" s="179" t="s">
        <v>156</v>
      </c>
      <c r="BB18" s="180" t="str">
        <f t="shared" si="1"/>
        <v/>
      </c>
      <c r="BC18" s="181"/>
      <c r="BD18" s="182"/>
      <c r="BE18" s="183">
        <v>50.11</v>
      </c>
      <c r="BF18" s="127">
        <f>IF(BE18=0,"",IF(BE18=VLOOKUP("FIXO",[1]ARBOR!$A:$C,3,0),0.0001,IF(BE18&gt;VLOOKUP("FIXO",[1]ARBOR!$A:$C,3,0),"Maior que CAP!",IF((DOLLAR(BE18+(VLOOKUP("FIXO",[1]ARBOR!$A:$C,3,0)*-TRUNC(BE18/VLOOKUP("FIXO",[1]ARBOR!$A:$C,3,0)-1,4)),6))&lt;&gt;(DOLLAR(VLOOKUP("FIXO",[1]ARBOR!$A:$C,3,0),6)),-TRUNC(BE18/VLOOKUP("FIXO",[1]ARBOR!$A:$C,3,0)-1,4)+0.0001,-TRUNC(BE18/VLOOKUP("FIXO",[1]ARBOR!$A:$C,3,0)-1,4)))))</f>
        <v>0.33929999999999999</v>
      </c>
      <c r="BG18" s="184"/>
      <c r="BH18" s="127" t="str">
        <f>IF(BG18=0,"",IF(BG18=VLOOKUP("FIXO",[1]ARBOR!$A:$C,3,0),0.0001,IF(BG18&gt;VLOOKUP("FIXO",[1]ARBOR!$A:$C,3,0),"Maior que CAP!",IF((DOLLAR(BG18+(VLOOKUP("FIXO",[1]ARBOR!$A:$C,3,0)*-TRUNC(BG18/VLOOKUP("FIXO",[1]ARBOR!$A:$C,3,0)-1,4)),6))&lt;&gt;(DOLLAR(VLOOKUP("FIXO",[1]ARBOR!$A:$C,3,0),6)),-TRUNC(BG18/VLOOKUP("FIXO",[1]ARBOR!$A:$C,3,0)-1,4)+0.0001,-TRUNC(BG18/VLOOKUP("FIXO",[1]ARBOR!$A:$C,3,0)-1,4)))))</f>
        <v/>
      </c>
      <c r="BI18" s="127" t="str">
        <f>IF(ISERROR(IF(BF18="","",VLOOKUP(($AY18&amp;BF18&amp;"Template de desconto FLAT bundle - Fixo - Varejo - Ganho Tributário Cross"),[1]BENEFICIOS!$A:$E,5,0))),"Criar",IF(BF18="","",VLOOKUP(($AY18&amp;BF18&amp;"Template de desconto FLAT bundle - Fixo - Varejo - Ganho Tributário Cross"),[1]BENEFICIOS!$A:$E,5,0)))</f>
        <v>MKT-1-9825728196</v>
      </c>
      <c r="BJ18" s="185"/>
      <c r="BK18" s="127" t="str">
        <f t="shared" si="2"/>
        <v/>
      </c>
      <c r="BL18" s="186"/>
      <c r="BM18" s="127" t="str">
        <f>IF(BL18=0,"",IF(BL18=VLOOKUP("FIXO",[1]ARBOR!$A:$C,3,0),0.0001,IF(BL18&gt;VLOOKUP("FIXO",[1]ARBOR!$A:$C,3,0),"Maior que CAP!",IF(BF18&lt;&gt;"",-ROUND(BL18/VLOOKUP("FIXO",[1]ARBOR!$A:$C,3,0)-1,4)-BF18,-ROUND(BL18/VLOOKUP("FIXO",[1]ARBOR!$A:$C,3,0)-1,4)))))</f>
        <v/>
      </c>
      <c r="BN18" s="187"/>
      <c r="BO18" s="127" t="str">
        <f>IF(ISERROR(IF(BK18="","",VLOOKUP(($AY18&amp;BK18&amp;"Template de desconto FLAT bundle - Fixo - Varejo - Ganho Tributário Cross"),[1]BENEFICIOS!$A:$E,5,0))),"Criar",IF(BK18="","",VLOOKUP(($AY18&amp;BK18&amp;"Template de desconto FLAT bundle - Fixo - Varejo - Ganho Tributário Cross"),[1]BENEFICIOS!$A:$E,5,0)))</f>
        <v/>
      </c>
      <c r="BP18" s="188" t="s">
        <v>158</v>
      </c>
      <c r="BQ18" s="189" t="s">
        <v>159</v>
      </c>
      <c r="BR18" s="190" t="s">
        <v>156</v>
      </c>
      <c r="BS18" s="191" t="str">
        <f t="shared" si="0"/>
        <v/>
      </c>
      <c r="BT18" s="181"/>
      <c r="BU18" s="192"/>
      <c r="BV18" s="193" t="s">
        <v>198</v>
      </c>
      <c r="BW18" s="194">
        <v>44.9</v>
      </c>
      <c r="BX18" s="127">
        <f>IF(BW18=0,"",IF(BW18=VLOOKUP("PCS-30874g",[1]ARBOR!$A:$C,3,0),0.0001,IF(BW18&gt;VLOOKUP("PCS-30874g",[1]ARBOR!$A:$C,3,0),"Maior que CAP!",IF((DOLLAR(BW18+(VLOOKUP("PCS-30874g",[1]ARBOR!$A:$C,3,0)*-TRUNC(BW18/VLOOKUP("PCS-30874g",[1]ARBOR!$A:$C,3,0)-1,4)),6))&lt;&gt;(DOLLAR(VLOOKUP("PCS-30874g",[1]ARBOR!$A:$C,3,0),6)),-TRUNC(BW18/VLOOKUP("PCS-30874g",[1]ARBOR!$A:$C,3,0)-1,4)+0.0001,-TRUNC(BW18/VLOOKUP("PCS-30874g",[1]ARBOR!$A:$C,3,0)-1,4)))))</f>
        <v>0.53679999999999994</v>
      </c>
      <c r="BY18" s="189" t="str">
        <f>IF(ISERROR(IF(BX18="","",VLOOKUP(($AY18&amp;BX18&amp;"Template de desconto FLAT bundle - Velox XDSL - Varejo"),[1]BENEFICIOS!$A:$E,5,0))),"Criar",IF(BX18="","",VLOOKUP(($AY18&amp;BX18&amp;"Template de desconto FLAT bundle - Velox XDSL - Varejo"),[1]BENEFICIOS!$A:$E,5,0)))</f>
        <v>MKT-1-9829477373</v>
      </c>
      <c r="BZ18" s="193" t="s">
        <v>198</v>
      </c>
      <c r="CA18" s="194">
        <v>44.9</v>
      </c>
      <c r="CB18" s="127">
        <f>IF(CA18=0,"",IF(CA18=VLOOKUP("PCS-30577g",[1]ARBOR!$A:$C,3,0),0.0001,IF(CA18&gt;VLOOKUP("PCS-30577g",[1]ARBOR!$A:$C,3,0),"Maior que CAP!",IF((DOLLAR(CA18+(VLOOKUP("PCS-30577g",[1]ARBOR!$A:$C,3,0)*-TRUNC(CA18/VLOOKUP("PCS-30577g",[1]ARBOR!$A:$C,3,0)-1,4)),6))&lt;&gt;(DOLLAR(VLOOKUP("PCS-30577g",[1]ARBOR!$A:$C,3,0),6)),-TRUNC(CA18/VLOOKUP("PCS-30577g",[1]ARBOR!$A:$C,3,0)-1,4)+0.0001,-TRUNC(CA18/VLOOKUP("PCS-30577g",[1]ARBOR!$A:$C,3,0)-1,4)))))</f>
        <v>0.53679999999999994</v>
      </c>
      <c r="CC18" s="189" t="str">
        <f>IF(ISERROR(IF(CB18="","",VLOOKUP(($AY18&amp;CB18&amp;"Template de desconto FLAT bundle - Velox XDSL - Varejo"),[1]BENEFICIOS!$A:$E,5,0))),"Criar",IF(CB18="","",VLOOKUP(($AY18&amp;CB18&amp;"Template de desconto FLAT bundle - Velox XDSL - Varejo"),[1]BENEFICIOS!$A:$E,5,0)))</f>
        <v>MKT-1-9829477373</v>
      </c>
      <c r="CD18" s="193" t="s">
        <v>198</v>
      </c>
      <c r="CE18" s="194">
        <v>44.9</v>
      </c>
      <c r="CF18" s="127">
        <f>IF(CE18=0,"",IF(CE18=VLOOKUP("PCS-30604g",[1]ARBOR!$A:$C,3,0),0.0001,IF(CE18&gt;VLOOKUP("PCS-30604g",[1]ARBOR!$A:$C,3,0),"Maior que CAP!",IF((DOLLAR(CE18+(VLOOKUP("PCS-30604g",[1]ARBOR!$A:$C,3,0)*-TRUNC(CE18/VLOOKUP("PCS-30604g",[1]ARBOR!$A:$C,3,0)-1,4)),6))&lt;&gt;(DOLLAR(VLOOKUP("PCS-30604g",[1]ARBOR!$A:$C,3,0),6)),-TRUNC(CE18/VLOOKUP("PCS-30604g",[1]ARBOR!$A:$C,3,0)-1,4)+0.0001,-TRUNC(CE18/VLOOKUP("PCS-30604g",[1]ARBOR!$A:$C,3,0)-1,4)))))</f>
        <v>0.53679999999999994</v>
      </c>
      <c r="CG18" s="189" t="str">
        <f>IF(ISERROR(IF(CF18="","",VLOOKUP(($AY18&amp;CF18&amp;"Template de desconto FLAT bundle - Velox XDSL - Varejo"),[1]BENEFICIOS!$A:$E,5,0))),"Criar",IF(CF18="","",VLOOKUP(($AY18&amp;CF18&amp;"Template de desconto FLAT bundle - Velox XDSL - Varejo"),[1]BENEFICIOS!$A:$E,5,0)))</f>
        <v>MKT-1-9829477373</v>
      </c>
      <c r="CH18" s="193" t="s">
        <v>198</v>
      </c>
      <c r="CI18" s="194">
        <v>44.9</v>
      </c>
      <c r="CJ18" s="127">
        <f>IF(CI18=0,"",IF(CI18=VLOOKUP("PCS-30631g",[1]ARBOR!$A:$C,3,0),0.0001,IF(CI18&gt;VLOOKUP("PCS-30631g",[1]ARBOR!$A:$C,3,0),"Maior que CAP!",IF((DOLLAR(CI18+(VLOOKUP("PCS-30631g",[1]ARBOR!$A:$C,3,0)*-TRUNC(CI18/VLOOKUP("PCS-30631g",[1]ARBOR!$A:$C,3,0)-1,4)),6))&lt;&gt;(DOLLAR(VLOOKUP("PCS-30631g",[1]ARBOR!$A:$C,3,0),6)),-TRUNC(CI18/VLOOKUP("PCS-30631g",[1]ARBOR!$A:$C,3,0)-1,4)+0.0001,-TRUNC(CI18/VLOOKUP("PCS-30631g",[1]ARBOR!$A:$C,3,0)-1,4)))))</f>
        <v>0.54310000000000003</v>
      </c>
      <c r="CK18" s="189" t="str">
        <f>IF(ISERROR(IF(CJ18="","",VLOOKUP(($AY18&amp;CJ18&amp;"Template de desconto FLAT bundle - Velox XDSL - Varejo"),[1]BENEFICIOS!$A:$E,5,0))),"Criar",IF(CJ18="","",VLOOKUP(($AY18&amp;CJ18&amp;"Template de desconto FLAT bundle - Velox XDSL - Varejo"),[1]BENEFICIOS!$A:$E,5,0)))</f>
        <v>MKT-1-9828219079</v>
      </c>
      <c r="CL18" s="193" t="s">
        <v>86</v>
      </c>
      <c r="CM18" s="194">
        <v>49.9</v>
      </c>
      <c r="CN18" s="127">
        <f>IF(CM18=0,"",IF(CM18=VLOOKUP("PCS-30658g",[1]ARBOR!$A:$C,3,0),0.0001,IF(CM18&gt;VLOOKUP("PCS-30658g",[1]ARBOR!$A:$C,3,0),"Maior que CAP!",IF((DOLLAR(CM18+(VLOOKUP("PCS-30658g",[1]ARBOR!$A:$C,3,0)*-TRUNC(CM18/VLOOKUP("PCS-30658g",[1]ARBOR!$A:$C,3,0)-1,4)),6))&lt;&gt;(DOLLAR(VLOOKUP("PCS-30658g",[1]ARBOR!$A:$C,3,0),6)),-TRUNC(CM18/VLOOKUP("PCS-30658g",[1]ARBOR!$A:$C,3,0)-1,4)+0.0001,-TRUNC(CM18/VLOOKUP("PCS-30658g",[1]ARBOR!$A:$C,3,0)-1,4)))))</f>
        <v>0.55569999999999997</v>
      </c>
      <c r="CO18" s="189" t="str">
        <f>IF(ISERROR(IF(CN18="","",VLOOKUP(($AY18&amp;CN18&amp;"Template de desconto FLAT bundle - Velox XDSL - Varejo"),[1]BENEFICIOS!$A:$E,5,0))),"Criar",IF(CN18="","",VLOOKUP(($AY18&amp;CN18&amp;"Template de desconto FLAT bundle - Velox XDSL - Varejo"),[1]BENEFICIOS!$A:$E,5,0)))</f>
        <v>MKT-1-9828243608</v>
      </c>
      <c r="CP18" s="193" t="s">
        <v>86</v>
      </c>
      <c r="CQ18" s="194">
        <v>49.9</v>
      </c>
      <c r="CR18" s="127">
        <f>IF(CQ18=0,"",IF(CQ18=VLOOKUP("PCS-30685g",[1]ARBOR!$A:$C,3,0),0.0001,IF(CQ18&gt;VLOOKUP("PCS-30685g",[1]ARBOR!$A:$C,3,0),"Maior que CAP!",IF((DOLLAR(CQ18+(VLOOKUP("PCS-30685g",[1]ARBOR!$A:$C,3,0)*-TRUNC(CQ18/VLOOKUP("PCS-30685g",[1]ARBOR!$A:$C,3,0)-1,4)),6))&lt;&gt;(DOLLAR(VLOOKUP("PCS-30685g",[1]ARBOR!$A:$C,3,0),6)),-TRUNC(CQ18/VLOOKUP("PCS-30685g",[1]ARBOR!$A:$C,3,0)-1,4)+0.0001,-TRUNC(CQ18/VLOOKUP("PCS-30685g",[1]ARBOR!$A:$C,3,0)-1,4)))))</f>
        <v>0.60509999999999997</v>
      </c>
      <c r="CS18" s="189" t="str">
        <f>IF(ISERROR(IF(CR18="","",VLOOKUP(($AY18&amp;CR18&amp;"Template de desconto FLAT bundle - Velox XDSL - Varejo"),[1]BENEFICIOS!$A:$E,5,0))),"Criar",IF(CR18="","",VLOOKUP(($AY18&amp;CR18&amp;"Template de desconto FLAT bundle - Velox XDSL - Varejo"),[1]BENEFICIOS!$A:$E,5,0)))</f>
        <v>MKT-1-9828260647</v>
      </c>
      <c r="CT18" s="193" t="s">
        <v>86</v>
      </c>
      <c r="CU18" s="194">
        <v>49.9</v>
      </c>
      <c r="CV18" s="127">
        <f>IF(CU18=0,"",IF(CU18=VLOOKUP("PCS-30712g",[1]ARBOR!$A:$C,3,0),0.0001,IF(CU18&gt;VLOOKUP("PCS-30712g",[1]ARBOR!$A:$C,3,0),"Maior que CAP!",IF((DOLLAR(CU18+(VLOOKUP("PCS-30712g",[1]ARBOR!$A:$C,3,0)*-TRUNC(CU18/VLOOKUP("PCS-30712g",[1]ARBOR!$A:$C,3,0)-1,4)),6))&lt;&gt;(DOLLAR(VLOOKUP("PCS-30712g",[1]ARBOR!$A:$C,3,0),6)),-TRUNC(CU18/VLOOKUP("PCS-30712g",[1]ARBOR!$A:$C,3,0)-1,4)+0.0001,-TRUNC(CU18/VLOOKUP("PCS-30712g",[1]ARBOR!$A:$C,3,0)-1,4)))))</f>
        <v>0.64459999999999995</v>
      </c>
      <c r="CW18" s="189" t="str">
        <f>IF(ISERROR(IF(CV18="","",VLOOKUP(($AY18&amp;CV18&amp;"Template de desconto FLAT bundle - Velox XDSL - Varejo"),[1]BENEFICIOS!$A:$E,5,0))),"Criar",IF(CV18="","",VLOOKUP(($AY18&amp;CV18&amp;"Template de desconto FLAT bundle - Velox XDSL - Varejo"),[1]BENEFICIOS!$A:$E,5,0)))</f>
        <v>MKT-1-9828260926</v>
      </c>
      <c r="CX18" s="193" t="s">
        <v>86</v>
      </c>
      <c r="CY18" s="194">
        <v>59.9</v>
      </c>
      <c r="CZ18" s="127">
        <f>IF(CY18=0,"",IF(CY18=VLOOKUP("PCS-30739g",[1]ARBOR!$A:$C,3,0),0.0001,IF(CY18&gt;VLOOKUP("PCS-30739g",[1]ARBOR!$A:$C,3,0),"Maior que CAP!",IF((DOLLAR(CY18+(VLOOKUP("PCS-30739g",[1]ARBOR!$A:$C,3,0)*-TRUNC(CY18/VLOOKUP("PCS-30739g",[1]ARBOR!$A:$C,3,0)-1,4)),6))&lt;&gt;(DOLLAR(VLOOKUP("PCS-30739g",[1]ARBOR!$A:$C,3,0),6)),-TRUNC(CY18/VLOOKUP("PCS-30739g",[1]ARBOR!$A:$C,3,0)-1,4)+0.0001,-TRUNC(CY18/VLOOKUP("PCS-30739g",[1]ARBOR!$A:$C,3,0)-1,4)))))</f>
        <v>0.71560000000000001</v>
      </c>
      <c r="DA18" s="195" t="str">
        <f>IF(ISERROR(IF(CZ18="","",VLOOKUP(($AY18&amp;CZ18&amp;"Template de desconto FLAT bundle - Velox XDSL - Varejo"),[1]BENEFICIOS!$A:$E,5,0))),"Criar",IF(CZ18="","",VLOOKUP(($AY18&amp;CZ18&amp;"Template de desconto FLAT bundle - Velox XDSL - Varejo"),[1]BENEFICIOS!$A:$E,5,0)))</f>
        <v>MKT-1-9828272465</v>
      </c>
      <c r="DB18" s="196">
        <v>29.95</v>
      </c>
      <c r="DC18" s="241">
        <v>6</v>
      </c>
      <c r="DD18" s="127">
        <f>IF(DB18=0,"",IF(DB18=VLOOKUP("PCS-30739g",[1]ARBOR!$A:$C,3,0),0.0001,IF(DB18&gt;VLOOKUP("PCS-30739g",[1]ARBOR!$A:$C,3,0),"Maior que CAP!",IF((DOLLAR(DB18+(VLOOKUP("PCS-30739g",[1]ARBOR!$A:$C,3,0)*-TRUNC(DB18/VLOOKUP("PCS-30739g",[1]ARBOR!$A:$C,3,0)-1,4)),6))&lt;&gt;(DOLLAR(VLOOKUP("PCS-30739g",[1]ARBOR!$A:$C,3,0),6)),(-TRUNC(DB18/VLOOKUP("PCS-30739g",[1]ARBOR!$A:$C,3,0)-1,4)+0.0001)-CZ18,-TRUNC(DB18/VLOOKUP("PCS-30739g",[1]ARBOR!$A:$C,3,0)-1,4)-CZ18))))</f>
        <v>0.14219999999999999</v>
      </c>
      <c r="DE18" s="189" t="str">
        <f>IF(ISERROR(IF(DD18="","",VLOOKUP(($AY18&amp;DD18&amp;"Template de desconto percentual Bundle - Velox XDSL - Varejo"),[1]BENEFICIOS!$A:$E,5,0))),"Criar",IF(DD18="","",VLOOKUP(($AY18&amp;DD18&amp;"Template de desconto percentual Bundle - Velox XDSL - Varejo"),[1]BENEFICIOS!$A:$E,5,0)))</f>
        <v>MKT-1-9832066535</v>
      </c>
      <c r="DF18" s="193" t="s">
        <v>86</v>
      </c>
      <c r="DG18" s="194">
        <v>59.9</v>
      </c>
      <c r="DH18" s="127">
        <f>IF(DG18=0,"",IF(DG18=VLOOKUP("PCS-30766g",[1]ARBOR!$A:$C,3,0),0.0001,IF(DG18&gt;VLOOKUP("PCS-30766g",[1]ARBOR!$A:$C,3,0),"Maior que CAP!",IF((DOLLAR(DG18+(VLOOKUP("PCS-30766g",[1]ARBOR!$A:$C,3,0)*-TRUNC(DG18/VLOOKUP("PCS-30766g",[1]ARBOR!$A:$C,3,0)-1,4)),6))&lt;&gt;(DOLLAR(VLOOKUP("PCS-30766g",[1]ARBOR!$A:$C,3,0),6)),-TRUNC(DG18/VLOOKUP("PCS-30766g",[1]ARBOR!$A:$C,3,0)-1,4)+0.0001,-TRUNC(DG18/VLOOKUP("PCS-30766g",[1]ARBOR!$A:$C,3,0)-1,4)))))</f>
        <v>0.78669999999999995</v>
      </c>
      <c r="DI18" s="195" t="str">
        <f>IF(ISERROR(IF(DH18="","",VLOOKUP(($AY18&amp;DH18&amp;"Template de desconto FLAT bundle - Velox XDSL - Varejo"),[1]BENEFICIOS!$A:$E,5,0))),"Criar",IF(DH18="","",VLOOKUP(($AY18&amp;DH18&amp;"Template de desconto FLAT bundle - Velox XDSL - Varejo"),[1]BENEFICIOS!$A:$E,5,0)))</f>
        <v>MKT-1-9828285890</v>
      </c>
      <c r="DJ18" s="196">
        <v>29.95</v>
      </c>
      <c r="DK18" s="241">
        <v>6</v>
      </c>
      <c r="DL18" s="127">
        <f>IF(DJ18=0,"",IF(DJ18=VLOOKUP("PCS-30766g",[1]ARBOR!$A:$C,3,0),0.0001,IF(DJ18&gt;VLOOKUP("PCS-30766g",[1]ARBOR!$A:$C,3,0),"Maior que CAP!",IF((DOLLAR(DJ18+(VLOOKUP("PCS-30766g",[1]ARBOR!$A:$C,3,0)*-TRUNC(DJ18/VLOOKUP("PCS-30766g",[1]ARBOR!$A:$C,3,0)-1,4)),6))&lt;&gt;(DOLLAR(VLOOKUP("PCS-30766g",[1]ARBOR!$A:$C,3,0),6)),(-TRUNC(DJ18/VLOOKUP("PCS-30766g",[1]ARBOR!$A:$C,3,0)-1,4)+0.0001)-DH18,-TRUNC(DJ18/VLOOKUP("PCS-30766g",[1]ARBOR!$A:$C,3,0)-1,4)-DH18))))</f>
        <v>0.10670000000000002</v>
      </c>
      <c r="DM18" s="189" t="str">
        <f>IF(ISERROR(IF(DL18="","",VLOOKUP(($AY18&amp;DL18&amp;"Template de desconto percentual Bundle - Velox XDSL - Varejo"),[1]BENEFICIOS!$A:$E,5,0))),"Criar",IF(DL18="","",VLOOKUP(($AY18&amp;DL18&amp;"Template de desconto percentual Bundle - Velox XDSL - Varejo"),[1]BENEFICIOS!$A:$E,5,0)))</f>
        <v>MKT-1-9832066763</v>
      </c>
      <c r="DN18" s="193" t="s">
        <v>198</v>
      </c>
      <c r="DO18" s="194">
        <v>69.900000000000006</v>
      </c>
      <c r="DP18" s="127">
        <f>IF(DO18=0,"",IF(DO18=VLOOKUP("PCS-30793g",[1]ARBOR!$A:$C,3,0),0.0001,IF(DO18&gt;VLOOKUP("PCS-30793g",[1]ARBOR!$A:$C,3,0),"Maior que CAP!",IF((DOLLAR(DO18+(VLOOKUP("PCS-30793g",[1]ARBOR!$A:$C,3,0)*-TRUNC(DO18/VLOOKUP("PCS-30793g",[1]ARBOR!$A:$C,3,0)-1,4)),6))&lt;&gt;(DOLLAR(VLOOKUP("PCS-30793g",[1]ARBOR!$A:$C,3,0),6)),-TRUNC(DO18/VLOOKUP("PCS-30793g",[1]ARBOR!$A:$C,3,0)-1,4)+0.0001,-TRUNC(DO18/VLOOKUP("PCS-30793g",[1]ARBOR!$A:$C,3,0)-1,4)))))</f>
        <v>0.75109999999999999</v>
      </c>
      <c r="DQ18" s="195" t="str">
        <f>IF(ISERROR(IF(DP18="","",VLOOKUP(($AY18&amp;DP18&amp;"Template de desconto FLAT bundle - Velox XDSL - Varejo"),[1]BENEFICIOS!$A:$E,5,0))),"Criar",IF(DP18="","",VLOOKUP(($AY18&amp;DP18&amp;"Template de desconto FLAT bundle - Velox XDSL - Varejo"),[1]BENEFICIOS!$A:$E,5,0)))</f>
        <v>MKT-1-9828314259</v>
      </c>
      <c r="DR18" s="196">
        <v>34.950000000000003</v>
      </c>
      <c r="DS18" s="241">
        <v>6</v>
      </c>
      <c r="DT18" s="127">
        <f>IF(DR18=0,"",IF(DR18=VLOOKUP("PCS-30793g",[1]ARBOR!$A:$C,3,0),0.0001,IF(DR18&gt;VLOOKUP("PCS-30793g",[1]ARBOR!$A:$C,3,0),"Maior que CAP!",IF((DOLLAR(DR18+(VLOOKUP("PCS-30793g",[1]ARBOR!$A:$C,3,0)*-TRUNC(DR18/VLOOKUP("PCS-30793g",[1]ARBOR!$A:$C,3,0)-1,4)),6))&lt;&gt;(DOLLAR(VLOOKUP("PCS-30793g",[1]ARBOR!$A:$C,3,0),6)),(-TRUNC(DR18/VLOOKUP("PCS-30793g",[1]ARBOR!$A:$C,3,0)-1,4)+0.0001)-DP18,-TRUNC(DR18/VLOOKUP("PCS-30793g",[1]ARBOR!$A:$C,3,0)-1,4)-DP18))))</f>
        <v>0.12449999999999994</v>
      </c>
      <c r="DU18" s="189" t="str">
        <f>IF(ISERROR(IF(DT18="","",VLOOKUP(($AY18&amp;DT18&amp;"Template de desconto percentual Bundle - Velox XDSL - Varejo"),[1]BENEFICIOS!$A:$E,5,0))),"Criar",IF(DT18="","",VLOOKUP(($AY18&amp;DT18&amp;"Template de desconto percentual Bundle - Velox XDSL - Varejo"),[1]BENEFICIOS!$A:$E,5,0)))</f>
        <v>MKT-1-9826047043</v>
      </c>
      <c r="DV18" s="193" t="s">
        <v>86</v>
      </c>
      <c r="DW18" s="194">
        <v>69.900000000000006</v>
      </c>
      <c r="DX18" s="127">
        <f>IF(DW18=0,"",IF(DW18=VLOOKUP("PCS-30820g",[1]ARBOR!$A:$C,3,0),0.0001,IF(DW18&gt;VLOOKUP("PCS-30820g",[1]ARBOR!$A:$C,3,0),"Maior que CAP!",IF((DOLLAR(DW18+(VLOOKUP("PCS-30820g",[1]ARBOR!$A:$C,3,0)*-TRUNC(DW18/VLOOKUP("PCS-30820g",[1]ARBOR!$A:$C,3,0)-1,4)),6))&lt;&gt;(DOLLAR(VLOOKUP("PCS-30820g",[1]ARBOR!$A:$C,3,0),6)),-TRUNC(DW18/VLOOKUP("PCS-30820g",[1]ARBOR!$A:$C,3,0)-1,4)+0.0001,-TRUNC(DW18/VLOOKUP("PCS-30820g",[1]ARBOR!$A:$C,3,0)-1,4)))))</f>
        <v>0.75109999999999999</v>
      </c>
      <c r="DY18" s="195" t="str">
        <f>IF(ISERROR(IF(DX18="","",VLOOKUP(($AY18&amp;DX18&amp;"Template de desconto FLAT bundle - Velox XDSL - Varejo"),[1]BENEFICIOS!$A:$E,5,0))),"Criar",IF(DX18="","",VLOOKUP(($AY18&amp;DX18&amp;"Template de desconto FLAT bundle - Velox XDSL - Varejo"),[1]BENEFICIOS!$A:$E,5,0)))</f>
        <v>MKT-1-9828314259</v>
      </c>
      <c r="DZ18" s="196">
        <v>34.950000000000003</v>
      </c>
      <c r="EA18" s="241">
        <v>6</v>
      </c>
      <c r="EB18" s="127">
        <f>IF(DZ18=0,"",IF(DZ18=VLOOKUP("PCS-30820g",[1]ARBOR!$A:$C,3,0),0.0001,IF(DZ18&gt;VLOOKUP("PCS-30820g",[1]ARBOR!$A:$C,3,0),"Maior que CAP!",IF((DOLLAR(DZ18+(VLOOKUP("PCS-30820g",[1]ARBOR!$A:$C,3,0)*-TRUNC(DZ18/VLOOKUP("PCS-30820g",[1]ARBOR!$A:$C,3,0)-1,4)),6))&lt;&gt;(DOLLAR(VLOOKUP("PCS-30820g",[1]ARBOR!$A:$C,3,0),6)),(-TRUNC(DZ18/VLOOKUP("PCS-30820g",[1]ARBOR!$A:$C,3,0)-1,4)+0.0001)-DX18,-TRUNC(DZ18/VLOOKUP("PCS-30820g",[1]ARBOR!$A:$C,3,0)-1,4)-DX18))))</f>
        <v>0.12449999999999994</v>
      </c>
      <c r="EC18" s="189" t="str">
        <f>IF(ISERROR(IF(EB18="","",VLOOKUP(($AY18&amp;EB18&amp;"Template de desconto percentual Bundle - Velox XDSL - Varejo"),[1]BENEFICIOS!$A:$E,5,0))),"Criar",IF(EB18="","",VLOOKUP(($AY18&amp;EB18&amp;"Template de desconto percentual Bundle - Velox XDSL - Varejo"),[1]BENEFICIOS!$A:$E,5,0)))</f>
        <v>MKT-1-9826047043</v>
      </c>
      <c r="ED18" s="198"/>
      <c r="EE18" s="127" t="str">
        <f>IF(ED18=0,"",IF(ED18=VLOOKUP("PCS-21448p2",[1]ARBOR!$A:$C,3,0),0.0001,IF(ED18&gt;VLOOKUP("PCS-21448p2",[1]ARBOR!$A:$C,3,0),"Maior que CAP!",IF((DOLLAR(ED18+(VLOOKUP("PCS-21448p2",[1]ARBOR!$A:$C,3,0)*-TRUNC(ED18/VLOOKUP("PCS-21448p2",[1]ARBOR!$A:$C,3,0)-1,4)),6))&lt;&gt;(DOLLAR(VLOOKUP("PCS-21448p2",[1]ARBOR!$A:$C,3,0),6)),-TRUNC(ED18/VLOOKUP("PCS-21448p2",[1]ARBOR!$A:$C,3,0)-1,4)+0.0001,-TRUNC(ED18/VLOOKUP("PCS-21448p2",[1]ARBOR!$A:$C,3,0)-1,4)))))</f>
        <v/>
      </c>
      <c r="EF18" s="127" t="str">
        <f>IF(ISERROR(IF(EE18="","",VLOOKUP(("Oi Conta Total Plug 10GB Downgrade"&amp;EE18&amp;"Template de desconto percentual BL Móvel - Internet Total - Varejo"),[1]BENEFICIOS!$A:$E,5,0))),"Criar",IF(EE18="","",VLOOKUP(("Oi Conta Total Plug 10GB Downgrade"&amp;EE18&amp;"Template de desconto percentual BL Móvel - Internet Total - Varejo"),[1]BENEFICIOS!$A:$E,5,0)))</f>
        <v/>
      </c>
      <c r="EG18" s="199">
        <v>19.899999999999999</v>
      </c>
      <c r="EH18" s="200">
        <f>IF(EG18=0,"",IF(EG18=VLOOKUP("SVA",[1]ARBOR!$A:$C,3,0),0.0001,IF(EG18&gt;VLOOKUP("SVA",[1]ARBOR!$A:$C,3,0),"Maior que CAP!",IF((DOLLAR(EG18+(VLOOKUP("SVA",[1]ARBOR!$A:$C,3,0)*-TRUNC(EG18/VLOOKUP("SVA",[1]ARBOR!$A:$C,3,0)-1,4)),6))&lt;&gt;(DOLLAR(VLOOKUP("SVA",[1]ARBOR!$A:$C,3,0),6)),-TRUNC(EG18/VLOOKUP("SVA",[1]ARBOR!$A:$C,3,0)-1,4)+0.0001,-TRUNC(EG18/VLOOKUP("SVA",[1]ARBOR!$A:$C,3,0)-1,4)))))</f>
        <v>7.1400000000000005E-2</v>
      </c>
      <c r="EI18" s="200" t="s">
        <v>199</v>
      </c>
      <c r="EJ18" s="201" t="s">
        <v>212</v>
      </c>
      <c r="EK18" s="202">
        <v>6</v>
      </c>
      <c r="EL18" s="203">
        <f t="shared" si="3"/>
        <v>0.92859999999999998</v>
      </c>
      <c r="EM18" s="200" t="s">
        <v>213</v>
      </c>
      <c r="EN18" s="129"/>
      <c r="EO18" s="127" t="str">
        <f>IF(EN18=0,"",IF(EN18=VLOOKUP("PCS-OzTL40",[1]ARBOR!$A:$C,3,0),0.0001,IF(EN18&gt;VLOOKUP("PCS-OzTL40",[1]ARBOR!$A:$C,3,0),"Maior que CAP!",IF((DOLLAR(EN18+(VLOOKUP("PCS-OzTL40",[1]ARBOR!$A:$C,3,0)*-TRUNC(EN18/VLOOKUP("PCS-OzTL40",[1]ARBOR!$A:$C,3,0)-1,4)),6))&lt;&gt;(DOLLAR(VLOOKUP("PCS-OzTL40",[1]ARBOR!$A:$C,3,0),6)),-TRUNC(EN18/VLOOKUP("PCS-OzTL40",[1]ARBOR!$A:$C,3,0)-1,4)+0.0001,-TRUNC(EN18/VLOOKUP("PCS-OzTL40",[1]ARBOR!$A:$C,3,0)-1,4)))))</f>
        <v/>
      </c>
      <c r="EP18" s="189" t="str">
        <f>IF(ISERROR(IF(EO18="","",VLOOKUP(($AY18&amp;EO18&amp;"Template desconto FLAT Plano Principal Oi TV nível conta"),[1]BENEFICIOS!$A:$G,5,0))),"Criar",IF(EO18="","",VLOOKUP(($AY18&amp;EO18&amp;"Template desconto FLAT Plano Principal Oi TV nível conta"),[1]BENEFICIOS!$A:$G,5,0)))</f>
        <v/>
      </c>
      <c r="EQ18" s="129"/>
      <c r="ER18" s="127" t="str">
        <f>IF(EQ18=0,"",IF(EQ18=VLOOKUP("PCS-OzTL41",[1]ARBOR!$A:$C,3,0),0.0001,IF(EQ18&gt;VLOOKUP("PCS-OzTL41",[1]ARBOR!$A:$C,3,0),"Maior que CAP!",IF((DOLLAR(EQ18+(VLOOKUP("PCS-OzTL41",[1]ARBOR!$A:$C,3,0)*-TRUNC(EQ18/VLOOKUP("PCS-OzTL41",[1]ARBOR!$A:$C,3,0)-1,4)),6))&lt;&gt;(DOLLAR(VLOOKUP("PCS-OzTL41",[1]ARBOR!$A:$C,3,0),6)),-TRUNC(EQ18/VLOOKUP("PCS-OzTL41",[1]ARBOR!$A:$C,3,0)-1,4)+0.0001,-TRUNC(EQ18/VLOOKUP("PCS-OzTL41",[1]ARBOR!$A:$C,3,0)-1,4)))))</f>
        <v/>
      </c>
      <c r="ES18" s="204" t="str">
        <f>IF(ISERROR(IF(ER18="","",VLOOKUP(($AY18&amp;ER18&amp;"Template desconto FLAT Plano Principal Oi TV nível conta"),[1]BENEFICIOS!$A:$G,5,0))),"Criar",IF(ER18="","",VLOOKUP(($AY18&amp;ER18&amp;"Template desconto FLAT Plano Principal Oi TV nível conta"),[1]BENEFICIOS!$A:$G,5,0)))</f>
        <v/>
      </c>
      <c r="ET18" s="129"/>
      <c r="EU18" s="127" t="str">
        <f>IF(ET18=0,"",IF(ET18=VLOOKUP("PCS-OzTL44",[1]ARBOR!$A:$C,3,0),0.0001,IF(ET18&gt;VLOOKUP("PCS-OzTL44",[1]ARBOR!$A:$C,3,0),"Maior que CAP!",IF((DOLLAR(ET18+(VLOOKUP("PCS-OzTL44",[1]ARBOR!$A:$C,3,0)*-TRUNC(ET18/VLOOKUP("PCS-OzTL44",[1]ARBOR!$A:$C,3,0)-1,4)),6))&lt;&gt;(DOLLAR(VLOOKUP("PCS-OzTL44",[1]ARBOR!$A:$C,3,0),6)),-TRUNC(ET18/VLOOKUP("PCS-OzTL44",[1]ARBOR!$A:$C,3,0)-1,4)+0.0001,-TRUNC(ET18/VLOOKUP("PCS-OzTL44",[1]ARBOR!$A:$C,3,0)-1,4)))))</f>
        <v/>
      </c>
      <c r="EV18" s="204" t="str">
        <f>IF(ISERROR(IF(EU18="","",VLOOKUP(($AY18&amp;EU18&amp;"Template desconto FLAT Plano Principal Oi TV nível conta"),[1]BENEFICIOS!$A:$G,5,0))),"Criar",IF(EU18="","",VLOOKUP(($AY18&amp;EU18&amp;"Template desconto FLAT Plano Principal Oi TV nível conta"),[1]BENEFICIOS!$A:$G,5,0)))</f>
        <v/>
      </c>
      <c r="EW18" s="129"/>
      <c r="EX18" s="127" t="str">
        <f>IF(EW18=0,"",IF(EW18=VLOOKUP("PCS-OzTL43",[1]ARBOR!$A:$C,3,0),0.0001,IF(EW18&gt;VLOOKUP("PCS-OzTL43",[1]ARBOR!$A:$C,3,0),"Maior que CAP!",IF((DOLLAR(EW18+(VLOOKUP("PCS-OzTL43",[1]ARBOR!$A:$C,3,0)*-TRUNC(EW18/VLOOKUP("PCS-OzTL43",[1]ARBOR!$A:$C,3,0)-1,4)),6))&lt;&gt;(DOLLAR(VLOOKUP("PCS-OzTL43",[1]ARBOR!$A:$C,3,0),6)),-TRUNC(EW18/VLOOKUP("PCS-OzTL43",[1]ARBOR!$A:$C,3,0)-1,4)+0.0001,-TRUNC(EW18/VLOOKUP("PCS-OzTL43",[1]ARBOR!$A:$C,3,0)-1,4)))))</f>
        <v/>
      </c>
      <c r="EY18" s="204" t="str">
        <f>IF(ISERROR(IF(EX18="","",VLOOKUP(($AY18&amp;EX18&amp;"Template desconto FLAT Plano Principal Oi TV nível conta"),[1]BENEFICIOS!$A:$G,5,0))),"Criar",IF(EX18="","",VLOOKUP(($AY18&amp;EX18&amp;"Template desconto FLAT Plano Principal Oi TV nível conta"),[1]BENEFICIOS!$A:$G,5,0)))</f>
        <v/>
      </c>
      <c r="EZ18" s="129"/>
      <c r="FA18" s="127" t="str">
        <f>IF(EZ18=0,"",IF(EZ18=VLOOKUP("PCS-OzTL45",[1]ARBOR!$A:$C,3,0),0.0001,IF(EZ18&gt;VLOOKUP("PCS-OzTL45",[1]ARBOR!$A:$C,3,0),"Maior que CAP!",IF((DOLLAR(EZ18+(VLOOKUP("PCS-OzTL45",[1]ARBOR!$A:$C,3,0)*-TRUNC(EZ18/VLOOKUP("PCS-OzTL45",[1]ARBOR!$A:$C,3,0)-1,4)),6))&lt;&gt;(DOLLAR(VLOOKUP("PCS-OzTL45",[1]ARBOR!$A:$C,3,0),6)),-TRUNC(EZ18/VLOOKUP("PCS-OzTL45",[1]ARBOR!$A:$C,3,0)-1,4)+0.0001,-TRUNC(EZ18/VLOOKUP("PCS-OzTL45",[1]ARBOR!$A:$C,3,0)-1,4)))))</f>
        <v/>
      </c>
      <c r="FB18" s="204" t="str">
        <f>IF(ISERROR(IF(FA18="","",VLOOKUP(($AY18&amp;FA18&amp;"Template desconto FLAT Plano Principal Oi TV nível conta"),[1]BENEFICIOS!$A:$G,5,0))),"Criar",IF(FA18="","",VLOOKUP(($AY18&amp;FA18&amp;"Template desconto FLAT Plano Principal Oi TV nível conta"),[1]BENEFICIOS!$A:$G,5,0)))</f>
        <v/>
      </c>
      <c r="FC18" s="129"/>
      <c r="FD18" s="127" t="str">
        <f>IF(FC18=0,"",IF(FC18=VLOOKUP("PCS-OzTL741",[1]ARBOR!$A:$C,3,0),0.0001,IF(FC18&gt;VLOOKUP("PCS-OzTL741",[1]ARBOR!$A:$C,3,0),"Maior que CAP!",IF((DOLLAR(FC18+(VLOOKUP("PCS-OzTL741",[1]ARBOR!$A:$C,3,0)*-TRUNC(FC18/VLOOKUP("PCS-OzTL741",[1]ARBOR!$A:$C,3,0)-1,4)),6))&lt;&gt;(DOLLAR(VLOOKUP("PCS-OzTL741",[1]ARBOR!$A:$C,3,0),6)),-TRUNC(FC18/VLOOKUP("PCS-OzTL741",[1]ARBOR!$A:$C,3,0)-1,4)+0.0001,-TRUNC(FC18/VLOOKUP("PCS-OzTL741",[1]ARBOR!$A:$C,3,0)-1,4)))))</f>
        <v/>
      </c>
      <c r="FE18" s="204" t="str">
        <f>IF(ISERROR(IF(FD18="","",VLOOKUP(($AY18&amp;FD18&amp;"Template desconto FLAT Plano Principal Oi TV nível conta"),[1]BENEFICIOS!$A:$G,5,0))),"Criar",IF(FD18="","",VLOOKUP(($AY18&amp;FD18&amp;"Template desconto FLAT Plano Principal Oi TV nível conta"),[1]BENEFICIOS!$A:$G,5,0)))</f>
        <v/>
      </c>
      <c r="FF18" s="129"/>
      <c r="FG18" s="127" t="str">
        <f>IF(FF18=0,"",IF(FF18=VLOOKUP("PCS-OzTL744",[1]ARBOR!$A:$C,3,0),0.0001,IF(FF18&gt;VLOOKUP("PCS-OzTL744",[1]ARBOR!$A:$C,3,0),"Maior que CAP!",IF((DOLLAR(FF18+(VLOOKUP("PCS-OzTL744",[1]ARBOR!$A:$C,3,0)*-TRUNC(FF18/VLOOKUP("PCS-OzTL744",[1]ARBOR!$A:$C,3,0)-1,4)),6))&lt;&gt;(DOLLAR(VLOOKUP("PCS-OzTL744",[1]ARBOR!$A:$C,3,0),6)),-TRUNC(FF18/VLOOKUP("PCS-OzTL744",[1]ARBOR!$A:$C,3,0)-1,4)+0.0001,-TRUNC(FF18/VLOOKUP("PCS-OzTL744",[1]ARBOR!$A:$C,3,0)-1,4)))))</f>
        <v/>
      </c>
      <c r="FH18" s="204" t="str">
        <f>IF(ISERROR(IF(FG18="","",VLOOKUP(($AY18&amp;FG18&amp;"Template desconto FLAT Plano Principal Oi TV nível conta"),[1]BENEFICIOS!$A:$G,5,0))),"Criar",IF(FG18="","",VLOOKUP(($AY18&amp;FG18&amp;"Template desconto FLAT Plano Principal Oi TV nível conta"),[1]BENEFICIOS!$A:$G,5,0)))</f>
        <v/>
      </c>
      <c r="FI18" s="129"/>
      <c r="FJ18" s="127" t="str">
        <f>IF(FI18=0,"",IF(FI18=VLOOKUP("PCS-OzTL743",[1]ARBOR!$A:$C,3,0),0.0001,IF(FI18&gt;VLOOKUP("PCS-OzTL743",[1]ARBOR!$A:$C,3,0),"Maior que CAP!",IF((DOLLAR(FI18+(VLOOKUP("PCS-OzTL743",[1]ARBOR!$A:$C,3,0)*-TRUNC(FI18/VLOOKUP("PCS-OzTL743",[1]ARBOR!$A:$C,3,0)-1,4)),6))&lt;&gt;(DOLLAR(VLOOKUP("PCS-OzTL743",[1]ARBOR!$A:$C,3,0),6)),-TRUNC(FI18/VLOOKUP("PCS-OzTL743",[1]ARBOR!$A:$C,3,0)-1,4)+0.0001,-TRUNC(FI18/VLOOKUP("PCS-OzTL743",[1]ARBOR!$A:$C,3,0)-1,4)))))</f>
        <v/>
      </c>
      <c r="FK18" s="204" t="str">
        <f>IF(ISERROR(IF(FJ18="","",VLOOKUP(($AY18&amp;FJ18&amp;"Template desconto FLAT Plano Principal Oi TV nível conta"),[1]BENEFICIOS!$A:$G,5,0))),"Criar",IF(FJ18="","",VLOOKUP(($AY18&amp;FJ18&amp;"Template desconto FLAT Plano Principal Oi TV nível conta"),[1]BENEFICIOS!$A:$G,5,0)))</f>
        <v/>
      </c>
      <c r="FL18" s="129"/>
      <c r="FM18" s="127" t="str">
        <f>IF(FL18=0,"",IF(FL18=VLOOKUP("PCS-OzTL745",[1]ARBOR!$A:$C,3,0),0.0001,IF(FL18&gt;VLOOKUP("PCS-OzTL745",[1]ARBOR!$A:$C,3,0),"Maior que CAP!",IF((DOLLAR(FL18+(VLOOKUP("PCS-OzTL745",[1]ARBOR!$A:$C,3,0)*-TRUNC(FL18/VLOOKUP("PCS-OzTL745",[1]ARBOR!$A:$C,3,0)-1,4)),6))&lt;&gt;(DOLLAR(VLOOKUP("PCS-OzTL745",[1]ARBOR!$A:$C,3,0),6)),-TRUNC(FL18/VLOOKUP("PCS-OzTL745",[1]ARBOR!$A:$C,3,0)-1,4)+0.0001,-TRUNC(FL18/VLOOKUP("PCS-OzTL745",[1]ARBOR!$A:$C,3,0)-1,4)))))</f>
        <v/>
      </c>
      <c r="FN18" s="204" t="str">
        <f>IF(ISERROR(IF(FM18="","",VLOOKUP(($AY18&amp;FM18&amp;"Template desconto FLAT Plano Principal Oi TV nível conta"),[1]BENEFICIOS!$A:$G,5,0))),"Criar",IF(FM18="","",VLOOKUP(($AY18&amp;FM18&amp;"Template desconto FLAT Plano Principal Oi TV nível conta"),[1]BENEFICIOS!$A:$G,5,0)))</f>
        <v/>
      </c>
      <c r="FO18" s="129"/>
      <c r="FP18" s="127" t="str">
        <f>IF(FO18=0,"",IF(FO18=VLOOKUP("PCS-OzTL42",[1]ARBOR!$A:$C,3,0),0.0001,IF(FO18&gt;VLOOKUP("PCS-OzTL42",[1]ARBOR!$A:$C,3,0),"Maior que CAP!",IF((DOLLAR(FO18+(VLOOKUP("PCS-OzTL42",[1]ARBOR!$A:$C,3,0)*-TRUNC(FO18/VLOOKUP("PCS-OzTL42",[1]ARBOR!$A:$C,3,0)-1,4)),6))&lt;&gt;(DOLLAR(VLOOKUP("PCS-OzTL42",[1]ARBOR!$A:$C,3,0),6)),-TRUNC(FO18/VLOOKUP("PCS-OzTL42",[1]ARBOR!$A:$C,3,0)-1,4)+0.0001,-TRUNC(FO18/VLOOKUP("PCS-OzTL42",[1]ARBOR!$A:$C,3,0)-1,4)))))</f>
        <v/>
      </c>
      <c r="FQ18" s="204" t="str">
        <f>IF(ISERROR(IF(FP18="","",VLOOKUP(($AY18&amp;FP18&amp;"Template desconto FLAT Plano Principal Oi TV nível conta"),[1]BENEFICIOS!$A:$G,5,0))),"Criar",IF(FP18="","",VLOOKUP(($AY18&amp;FP18&amp;"Template desconto FLAT Plano Principal Oi TV nível conta"),[1]BENEFICIOS!$A:$G,5,0)))</f>
        <v/>
      </c>
      <c r="FR18" s="129"/>
      <c r="FS18" s="127" t="str">
        <f>IF(FR18=0,"",IF(FR18=VLOOKUP("PCS-OzTL47",[1]ARBOR!$A:$C,3,0),0.0001,IF(FR18&gt;VLOOKUP("PCS-OzTL47",[1]ARBOR!$A:$C,3,0),"Maior que CAP!",IF((DOLLAR(FR18+(VLOOKUP("PCS-OzTL47",[1]ARBOR!$A:$C,3,0)*-TRUNC(FR18/VLOOKUP("PCS-OzTL47",[1]ARBOR!$A:$C,3,0)-1,4)),6))&lt;&gt;(DOLLAR(VLOOKUP("PCS-OzTL47",[1]ARBOR!$A:$C,3,0),6)),-TRUNC(FR18/VLOOKUP("PCS-OzTL47",[1]ARBOR!$A:$C,3,0)-1,4)+0.0001,-TRUNC(FR18/VLOOKUP("PCS-OzTL47",[1]ARBOR!$A:$C,3,0)-1,4)))))</f>
        <v/>
      </c>
      <c r="FT18" s="204" t="str">
        <f>IF(ISERROR(IF(FS18="","",VLOOKUP(($AY18&amp;FS18&amp;"Template desconto FLAT Plano Principal Oi TV nível conta"),[1]BENEFICIOS!$A:$G,5,0))),"Criar",IF(FS18="","",VLOOKUP(($AY18&amp;FS18&amp;"Template desconto FLAT Plano Principal Oi TV nível conta"),[1]BENEFICIOS!$A:$G,5,0)))</f>
        <v/>
      </c>
      <c r="FU18" s="129">
        <v>149.9</v>
      </c>
      <c r="FV18" s="127">
        <f>IF(FU18=0,"",IF(FU18=VLOOKUP("PCS-OzTL46",[1]ARBOR!$A:$C,3,0),0.0001,IF(FU18&gt;VLOOKUP("PCS-OzTL46",[1]ARBOR!$A:$C,3,0),"Maior que CAP!",IF((DOLLAR(FU18+(VLOOKUP("PCS-OzTL46",[1]ARBOR!$A:$C,3,0)*-TRUNC(FU18/VLOOKUP("PCS-OzTL46",[1]ARBOR!$A:$C,3,0)-1,4)),6))&lt;&gt;(DOLLAR(VLOOKUP("PCS-OzTL46",[1]ARBOR!$A:$C,3,0),6)),-TRUNC(FU18/VLOOKUP("PCS-OzTL46",[1]ARBOR!$A:$C,3,0)-1,4)+0.0001,-TRUNC(FU18/VLOOKUP("PCS-OzTL46",[1]ARBOR!$A:$C,3,0)-1,4)))))</f>
        <v>0.30169999999999997</v>
      </c>
      <c r="FW18" s="204" t="str">
        <f>IF(ISERROR(IF(FV18="","",VLOOKUP(($AY18&amp;FV18&amp;"Template desconto FLAT Plano Principal Oi TV nível conta"),[1]BENEFICIOS!$A:$G,5,0))),"Criar",IF(FV18="","",VLOOKUP(($AY18&amp;FV18&amp;"Template desconto FLAT Plano Principal Oi TV nível conta"),[1]BENEFICIOS!$A:$G,5,0)))</f>
        <v>MKT-1-10140936051</v>
      </c>
      <c r="FX18" s="129"/>
      <c r="FY18" s="127" t="str">
        <f>IF(FX18=0,"",IF(FX18=VLOOKUP("PCS-OzTL48",[1]ARBOR!$A:$C,3,0),0.0001,IF(FX18&gt;VLOOKUP("PCS-OzTL48",[1]ARBOR!$A:$C,3,0),"Maior que CAP!",IF((DOLLAR(FX18+(VLOOKUP("PCS-OzTL48",[1]ARBOR!$A:$C,3,0)*-TRUNC(FX18/VLOOKUP("PCS-OzTL48",[1]ARBOR!$A:$C,3,0)-1,4)),6))&lt;&gt;(DOLLAR(VLOOKUP("PCS-OzTL48",[1]ARBOR!$A:$C,3,0),6)),-TRUNC(FX18/VLOOKUP("PCS-OzTL48",[1]ARBOR!$A:$C,3,0)-1,4)+0.0001,-TRUNC(FX18/VLOOKUP("PCS-OzTL48",[1]ARBOR!$A:$C,3,0)-1,4)))))</f>
        <v/>
      </c>
      <c r="FZ18" s="204" t="str">
        <f>IF(ISERROR(IF(FY18="","",VLOOKUP(($AY18&amp;FY18&amp;"Template desconto FLAT Plano Principal Oi TV nível conta"),[1]BENEFICIOS!$A:$G,5,0))),"Criar",IF(FY18="","",VLOOKUP(($AY18&amp;FY18&amp;"Template desconto FLAT Plano Principal Oi TV nível conta"),[1]BENEFICIOS!$A:$G,5,0)))</f>
        <v/>
      </c>
      <c r="GA18" s="129"/>
      <c r="GB18" s="127" t="str">
        <f>IF(GA18=0,"",IF(GA18=VLOOKUP("PCS-OzTL742",[1]ARBOR!$A:$C,3,0),0.0001,IF(GA18&gt;VLOOKUP("PCS-OzTL742",[1]ARBOR!$A:$C,3,0),"Maior que CAP!",IF((DOLLAR(GA18+(VLOOKUP("PCS-OzTL742",[1]ARBOR!$A:$C,3,0)*-TRUNC(GA18/VLOOKUP("PCS-OzTL742",[1]ARBOR!$A:$C,3,0)-1,4)),6))&lt;&gt;(DOLLAR(VLOOKUP("PCS-OzTL742",[1]ARBOR!$A:$C,3,0),6)),-TRUNC(GA18/VLOOKUP("PCS-OzTL742",[1]ARBOR!$A:$C,3,0)-1,4)+0.0001,-TRUNC(GA18/VLOOKUP("PCS-OzTL742",[1]ARBOR!$A:$C,3,0)-1,4)))))</f>
        <v/>
      </c>
      <c r="GC18" s="204" t="str">
        <f>IF(ISERROR(IF(GB18="","",VLOOKUP(($AY18&amp;GB18&amp;"Template desconto FLAT Plano Principal Oi TV nível conta"),[1]BENEFICIOS!$A:$G,5,0))),"Criar",IF(GB18="","",VLOOKUP(($AY18&amp;GB18&amp;"Template desconto FLAT Plano Principal Oi TV nível conta"),[1]BENEFICIOS!$A:$G,5,0)))</f>
        <v/>
      </c>
      <c r="GD18" s="129"/>
      <c r="GE18" s="127" t="str">
        <f>IF(GD18=0,"",IF(GD18=VLOOKUP("PCS-OzTL747",[1]ARBOR!$A:$C,3,0),0.0001,IF(GD18&gt;VLOOKUP("PCS-OzTL747",[1]ARBOR!$A:$C,3,0),"Maior que CAP!",IF((DOLLAR(GD18+(VLOOKUP("PCS-OzTL747",[1]ARBOR!$A:$C,3,0)*-TRUNC(GD18/VLOOKUP("PCS-OzTL747",[1]ARBOR!$A:$C,3,0)-1,4)),6))&lt;&gt;(DOLLAR(VLOOKUP("PCS-OzTL747",[1]ARBOR!$A:$C,3,0),6)),-TRUNC(GD18/VLOOKUP("PCS-OzTL747",[1]ARBOR!$A:$C,3,0)-1,4)+0.0001,-TRUNC(GD18/VLOOKUP("PCS-OzTL747",[1]ARBOR!$A:$C,3,0)-1,4)))))</f>
        <v/>
      </c>
      <c r="GF18" s="204" t="str">
        <f>IF(ISERROR(IF(GE18="","",VLOOKUP(($AY18&amp;GE18&amp;"Template desconto FLAT Plano Principal Oi TV nível conta"),[1]BENEFICIOS!$A:$G,5,0))),"Criar",IF(GE18="","",VLOOKUP(($AY18&amp;GE18&amp;"Template desconto FLAT Plano Principal Oi TV nível conta"),[1]BENEFICIOS!$A:$G,5,0)))</f>
        <v/>
      </c>
      <c r="GG18" s="129">
        <v>169.9</v>
      </c>
      <c r="GH18" s="127">
        <f>IF(GG18=0,"",IF(GG18=VLOOKUP("PCS-OzTL746",[1]ARBOR!$A:$C,3,0),0.0001,IF(GG18&gt;VLOOKUP("PCS-OzTL746",[1]ARBOR!$A:$C,3,0),"Maior que CAP!",IF((DOLLAR(GG18+(VLOOKUP("PCS-OzTL746",[1]ARBOR!$A:$C,3,0)*-TRUNC(GG18/VLOOKUP("PCS-OzTL746",[1]ARBOR!$A:$C,3,0)-1,4)),6))&lt;&gt;(DOLLAR(VLOOKUP("PCS-OzTL746",[1]ARBOR!$A:$C,3,0),6)),-TRUNC(GG18/VLOOKUP("PCS-OzTL746",[1]ARBOR!$A:$C,3,0)-1,4)+0.0001,-TRUNC(GG18/VLOOKUP("PCS-OzTL746",[1]ARBOR!$A:$C,3,0)-1,4)))))</f>
        <v>0.37009999999999998</v>
      </c>
      <c r="GI18" s="204" t="str">
        <f>IF(ISERROR(IF(GH18="","",VLOOKUP(($AY18&amp;GH18&amp;"Template desconto FLAT Plano Principal Oi TV nível conta"),[1]BENEFICIOS!$A:$G,5,0))),"Criar",IF(GH18="","",VLOOKUP(($AY18&amp;GH18&amp;"Template desconto FLAT Plano Principal Oi TV nível conta"),[1]BENEFICIOS!$A:$G,5,0)))</f>
        <v>MKT-1-10140958331</v>
      </c>
      <c r="GJ18" s="129"/>
      <c r="GK18" s="127" t="str">
        <f>IF(GJ18=0,"",IF(GJ18=VLOOKUP("PCS-OzTL748",[1]ARBOR!$A:$C,3,0),0.0001,IF(GJ18&gt;VLOOKUP("PCS-OzTL748",[1]ARBOR!$A:$C,3,0),"Maior que CAP!",IF((DOLLAR(GJ18+(VLOOKUP("PCS-OzTL748",[1]ARBOR!$A:$C,3,0)*-TRUNC(GJ18/VLOOKUP("PCS-OzTL748",[1]ARBOR!$A:$C,3,0)-1,4)),6))&lt;&gt;(DOLLAR(VLOOKUP("PCS-OzTL748",[1]ARBOR!$A:$C,3,0),6)),-TRUNC(GJ18/VLOOKUP("PCS-OzTL748",[1]ARBOR!$A:$C,3,0)-1,4)+0.0001,-TRUNC(GJ18/VLOOKUP("PCS-OzTL748",[1]ARBOR!$A:$C,3,0)-1,4)))))</f>
        <v/>
      </c>
      <c r="GL18" s="204" t="str">
        <f>IF(ISERROR(IF(GK18="","",VLOOKUP(($AY18&amp;GK18&amp;"Template desconto FLAT Plano Principal Oi TV nível conta"),[1]BENEFICIOS!$A:$G,5,0))),"Criar",IF(GK18="","",VLOOKUP(($AY18&amp;GK18&amp;"Template desconto FLAT Plano Principal Oi TV nível conta"),[1]BENEFICIOS!$A:$G,5,0)))</f>
        <v/>
      </c>
      <c r="GM18" s="129">
        <v>75</v>
      </c>
      <c r="GN18" s="127">
        <f>IF(GM18=0,"",IF(GM18=VLOOKUP("PCS-OzTL34",[1]ARBOR!$A:$C,3,0),0.0001,IF(GM18&gt;VLOOKUP("PCS-OzTL34",[1]ARBOR!$A:$C,3,0),"Maior que CAP!",IF((DOLLAR(GM18+(VLOOKUP("PCS-OzTL34",[1]ARBOR!$A:$C,3,0)*-TRUNC(GM18/VLOOKUP("PCS-OzTL34",[1]ARBOR!$A:$C,3,0)-1,4)),6))&lt;&gt;(DOLLAR(VLOOKUP("PCS-OzTL34",[1]ARBOR!$A:$C,3,0),6)),-TRUNC(GM18/VLOOKUP("PCS-OzTL34",[1]ARBOR!$A:$C,3,0)-1,4)+0.0001,-TRUNC(GM18/VLOOKUP("PCS-OzTL34",[1]ARBOR!$A:$C,3,0)-1,4)))))</f>
        <v>0.31900000000000001</v>
      </c>
      <c r="GO18" s="204" t="s">
        <v>161</v>
      </c>
      <c r="GP18" s="129">
        <v>19.899999999999999</v>
      </c>
      <c r="GQ18" s="127">
        <f>IF(GP18=0,"",IF(GP18=VLOOKUP("PCS-OzTL31",[1]ARBOR!$A:$C,3,0),0.0001,IF(GP18&gt;VLOOKUP("PCS-OzTL31",[1]ARBOR!$A:$C,3,0),"Maior que CAP!",IF((DOLLAR(GP18+(VLOOKUP("PCS-OzTL31",[1]ARBOR!$A:$C,3,0)*-TRUNC(GP18/VLOOKUP("PCS-OzTL31",[1]ARBOR!$A:$C,3,0)-1,4)),6))&lt;&gt;(DOLLAR(VLOOKUP("PCS-OzTL31",[1]ARBOR!$A:$C,3,0),6)),-TRUNC(GP18/VLOOKUP("PCS-OzTL31",[1]ARBOR!$A:$C,3,0)-1,4)+0.0001,-TRUNC(GP18/VLOOKUP("PCS-OzTL31",[1]ARBOR!$A:$C,3,0)-1,4)))))</f>
        <v>9.1800000000000007E-2</v>
      </c>
      <c r="GR18" s="204" t="s">
        <v>162</v>
      </c>
      <c r="GS18" s="129">
        <v>19.899999999999999</v>
      </c>
      <c r="GT18" s="127">
        <f>IF(GS18=0,"",IF(GS18=VLOOKUP("PCS-OzTL32",[1]ARBOR!$A:$C,3,0),0.0001,IF(GS18&gt;VLOOKUP("PCS-OzTL32",[1]ARBOR!$A:$C,3,0),"Maior que CAP!",IF((DOLLAR(GS18+(VLOOKUP("PCS-OzTL32",[1]ARBOR!$A:$C,3,0)*-TRUNC(GS18/VLOOKUP("PCS-OzTL32",[1]ARBOR!$A:$C,3,0)-1,4)),6))&lt;&gt;(DOLLAR(VLOOKUP("PCS-OzTL32",[1]ARBOR!$A:$C,3,0),6)),-TRUNC(GS18/VLOOKUP("PCS-OzTL32",[1]ARBOR!$A:$C,3,0)-1,4)+0.0001,-TRUNC(GS18/VLOOKUP("PCS-OzTL32",[1]ARBOR!$A:$C,3,0)-1,4)))))</f>
        <v>9.1800000000000007E-2</v>
      </c>
      <c r="GU18" s="204" t="s">
        <v>163</v>
      </c>
      <c r="GV18" s="129">
        <v>29.9</v>
      </c>
      <c r="GW18" s="127">
        <f>IF(GV18=0,"",IF(GV18=VLOOKUP("PCS-OzTL33",[1]ARBOR!$A:$C,3,0),0.0001,IF(GV18&gt;VLOOKUP("PCS-OzTL33",[1]ARBOR!$A:$C,3,0),"Maior que CAP!",IF((DOLLAR(GV18+(VLOOKUP("PCS-OzTL33",[1]ARBOR!$A:$C,3,0)*-TRUNC(GV18/VLOOKUP("PCS-OzTL33",[1]ARBOR!$A:$C,3,0)-1,4)),6))&lt;&gt;(DOLLAR(VLOOKUP("PCS-OzTL33",[1]ARBOR!$A:$C,3,0),6)),-TRUNC(GV18/VLOOKUP("PCS-OzTL33",[1]ARBOR!$A:$C,3,0)-1,4)+0.0001,-TRUNC(GV18/VLOOKUP("PCS-OzTL33",[1]ARBOR!$A:$C,3,0)-1,4)))))</f>
        <v>9.1800000000000007E-2</v>
      </c>
      <c r="GX18" s="204" t="s">
        <v>164</v>
      </c>
      <c r="GY18" s="129">
        <v>14.9</v>
      </c>
      <c r="GZ18" s="127">
        <f>IF(GY18=0,"",IF(GY18=VLOOKUP("PCS-OzTL503",[1]ARBOR!$A:$C,3,0),0.0001,IF(GY18&gt;VLOOKUP("PCS-OzTL503",[1]ARBOR!$A:$C,3,0),"Maior que CAP!",IF((DOLLAR(GY18+(VLOOKUP("PCS-OzTL503",[1]ARBOR!$A:$C,3,0)*-TRUNC(GY18/VLOOKUP("PCS-OzTL503",[1]ARBOR!$A:$C,3,0)-1,4)),6))&lt;&gt;(DOLLAR(VLOOKUP("PCS-OzTL503",[1]ARBOR!$A:$C,3,0),6)),-TRUNC(GY18/VLOOKUP("PCS-OzTL503",[1]ARBOR!$A:$C,3,0)-1,4)+0.0001,-TRUNC(GY18/VLOOKUP("PCS-OzTL503",[1]ARBOR!$A:$C,3,0)-1,4)))))</f>
        <v>9.1499999999999998E-2</v>
      </c>
      <c r="HA18" s="204" t="s">
        <v>165</v>
      </c>
      <c r="HB18" s="129">
        <v>10</v>
      </c>
      <c r="HC18" s="127">
        <f>IF(HB18=0,"",IF(HB18=VLOOKUP("PCS-OzTL500",[1]ARBOR!$A:$C,3,0),0.0001,IF(HB18&gt;VLOOKUP("PCS-OzTL500",[1]ARBOR!$A:$C,3,0),"Maior que CAP!",IF((DOLLAR(HB18+(VLOOKUP("PCS-OzTL500",[1]ARBOR!$A:$C,3,0)*-TRUNC(HB18/VLOOKUP("PCS-OzTL500",[1]ARBOR!$A:$C,3,0)-1,4)),6))&lt;&gt;(DOLLAR(VLOOKUP("PCS-OzTL500",[1]ARBOR!$A:$C,3,0),6)),-TRUNC(HB18/VLOOKUP("PCS-OzTL500",[1]ARBOR!$A:$C,3,0)-1,4)+0.0001,-TRUNC(HB18/VLOOKUP("PCS-OzTL500",[1]ARBOR!$A:$C,3,0)-1,4)))))</f>
        <v>9.1800000000000007E-2</v>
      </c>
      <c r="HD18" s="204" t="s">
        <v>166</v>
      </c>
      <c r="HE18" s="129" t="s">
        <v>167</v>
      </c>
      <c r="HF18" s="127"/>
      <c r="HG18" s="204"/>
      <c r="HH18" s="129" t="s">
        <v>168</v>
      </c>
      <c r="HI18" s="127"/>
      <c r="HJ18" s="204"/>
      <c r="HK18" s="129" t="s">
        <v>169</v>
      </c>
      <c r="HL18" s="127"/>
      <c r="HM18" s="204"/>
      <c r="HN18" s="129" t="s">
        <v>170</v>
      </c>
      <c r="HO18" s="127"/>
      <c r="HP18" s="204"/>
      <c r="HQ18" s="129" t="s">
        <v>171</v>
      </c>
      <c r="HR18" s="127"/>
      <c r="HS18" s="204"/>
      <c r="HT18" s="129">
        <v>24.9</v>
      </c>
      <c r="HU18" s="127">
        <f>IF(HT18=0,"",IF(HT18=VLOOKUP("PCS-OzTL99",[1]ARBOR!$A:$C,3,0),0.0001,IF(HT18&gt;VLOOKUP("PCS-OzTL99",[1]ARBOR!$A:$C,3,0),"Maior que CAP!",IF((DOLLAR(HT18+(VLOOKUP("PCS-OzTL99",[1]ARBOR!$A:$C,3,0)*-TRUNC(HT18/VLOOKUP("PCS-OzTL99",[1]ARBOR!$A:$C,3,0)-1,4)),6))&lt;&gt;(DOLLAR(VLOOKUP("PCS-OzTL99",[1]ARBOR!$A:$C,3,0),6)),-TRUNC(HT18/VLOOKUP("PCS-OzTL99",[1]ARBOR!$A:$C,3,0)-1,4)+0.0001,-TRUNC(HT18/VLOOKUP("PCS-OzTL99",[1]ARBOR!$A:$C,3,0)-1,4)))))</f>
        <v>0.16729999999999998</v>
      </c>
      <c r="HV18" s="205" t="s">
        <v>172</v>
      </c>
      <c r="HW18" s="196" t="s">
        <v>149</v>
      </c>
      <c r="HX18" s="204" t="str">
        <f t="shared" si="4"/>
        <v>PCS-34704</v>
      </c>
      <c r="HY18" s="206" t="str">
        <f>IFERROR((IF(AZ18="","",VLOOKUP(AZ18,[1]ARBOR!A:C,3,0))),"")</f>
        <v/>
      </c>
      <c r="HZ18" s="207"/>
      <c r="IA18" s="184" t="str">
        <f>IF(HZ18="","",ROUND(1-(HZ18/VLOOKUP(AZ18&amp;"ASS",[1]ARBOR!A:C,3,0)),4))</f>
        <v/>
      </c>
      <c r="IB18" s="184"/>
      <c r="IC18" s="208"/>
      <c r="ID18" s="209"/>
      <c r="IE18" s="127" t="str">
        <f>IF(ID18="","",ROUND(IF(ID18=0,"",IF(ID18=HY18,0.0001,1-((ID18+(VLOOKUP(AZ18&amp;"ASS",[1]ARBOR!A:C,3,0)-HZ18))/HY18))),4))</f>
        <v/>
      </c>
      <c r="IF18" s="127" t="str">
        <f>IF(ISERROR(IF(IE18="","",VLOOKUP(($AY18&amp;IE18&amp;"Template de desconto percentual FLAT Móvel - Conta Total - Varejo - Ganho Tributário Cross"),[1]BENEFICIOS!$A:$E,5,0))),"Criar",IF(IE18="","",VLOOKUP(($AY18&amp;IE18&amp;"Template de desconto percentual FLAT Móvel - Conta Total - Varejo - Ganho Tributário Cross"),[1]BENEFICIOS!$A:$E,5,0)))</f>
        <v/>
      </c>
      <c r="IG18" s="193"/>
      <c r="IH18" s="127"/>
      <c r="II18" s="210"/>
      <c r="IJ18" s="211"/>
      <c r="IK18" s="127"/>
      <c r="IL18" s="127"/>
      <c r="IM18" s="212"/>
      <c r="IN18" s="212"/>
      <c r="IO18" s="213"/>
      <c r="IP18" s="214" t="str">
        <f>IF(IO18=0,"",IF(IO18=VLOOKUP("PCS-813566",[1]ARBOR!$A:$C,3,0),0.0001,IF(IO18&gt;VLOOKUP("PCS-813566",[1]ARBOR!$A:$C,3,0),"Maior que CAP!",ROUND(-1*(IO18/VLOOKUP("PCS-813566",[1]ARBOR!$A:$C,3,0)-1),4))))</f>
        <v/>
      </c>
      <c r="IQ18" s="215" t="str">
        <f>IF(ISERROR(IF(IP18="","",VLOOKUP(("Oi Internet Pra Celular 300MB"&amp;IP18&amp;"Template Flat Instância Dados"),[1]BENEFICIOS!$A:$E,5,0))),"Criar",IF(IP18="","",VLOOKUP(("Oi Internet Pra Celular 300MB"&amp;IP18&amp;"Template Flat Instância Dados"),[1]BENEFICIOS!$A:$E,5,0)))</f>
        <v/>
      </c>
      <c r="IR18" s="216"/>
      <c r="IS18" s="217" t="str">
        <f>IF(IR18=0,"",IF(IR18=VLOOKUP("sva_bancas",[1]ARBOR!$A:$C,3,0),0.0001,IF(IR18&gt;VLOOKUP("sva_livros",[1]ARBOR!$A:$C,3,0),"Maior que CAP!",ROUND(-1*(IR18/VLOOKUP("sva_bancas",[1]ARBOR!$A:$C,3,0)-1),4))))</f>
        <v/>
      </c>
      <c r="IT18" s="218" t="str">
        <f>IF(ISERROR(IF(IS18="","",VLOOKUP(("Oi Internet Pra Celular 300MB"&amp;IS18&amp;"Template Desconto % SVA DADOS B2C"),[1]BENEFICIOS!$A:$E,5,0))),"Criar",IF(IS18="","",VLOOKUP(("Oi Internet Pra Celular 300MB"&amp;IS18&amp;"Template Desconto % SVA DADOS B2C"),[1]BENEFICIOS!$A:$E,5,0)))</f>
        <v/>
      </c>
      <c r="IU18" s="213"/>
      <c r="IV18" s="214" t="str">
        <f>IF(IU18=0,"",IF(IU18=VLOOKUP("PCS-813564",[1]ARBOR!$A:$C,3,0),0.0001,IF(IU18&gt;VLOOKUP("PCS-813564",[1]ARBOR!$A:$C,3,0),"Maior que CAP!",ROUND(-1*(IU18/VLOOKUP("PCS-813564",[1]ARBOR!$A:$C,3,0)-1),4))))</f>
        <v/>
      </c>
      <c r="IW18" s="215" t="str">
        <f>IF(ISERROR(IF(IV18="","",VLOOKUP(("Oi Internet Pra Celular 500MB"&amp;IV18&amp;"Template Flat Instância Dados"),[1]BENEFICIOS!$A:$E,5,0))),"Criar",IF(IV18="","",VLOOKUP(("Oi Internet Pra Celular 500MB"&amp;IV18&amp;"Template Flat Instância Dados"),[1]BENEFICIOS!$A:$E,5,0)))</f>
        <v/>
      </c>
      <c r="IX18" s="216"/>
      <c r="IY18" s="217" t="str">
        <f>IF(IX18=0,"",IF(IX18=VLOOKUP("sva_livros",[1]ARBOR!$A:$C,3,0),0.0001,IF(IX18&gt;VLOOKUP("sva_livros",[1]ARBOR!$A:$C,3,0),"Maior que CAP!",ROUND(-1*(IX18/VLOOKUP("sva_livros",[1]ARBOR!$A:$C,3,0)-1),4))))</f>
        <v/>
      </c>
      <c r="IZ18" s="218" t="str">
        <f>IF(ISERROR(IF(IY18="","",VLOOKUP(("Oi Internet Pra Celular 500MB"&amp;IY18&amp;"Template Desconto % SVA DADOS B2C"),[1]BENEFICIOS!$A:$E,5,0))),"Criar",IF(IY18="","",VLOOKUP(("Oi Internet Pra Celular 500MB"&amp;IY18&amp;"Template Desconto % SVA DADOS B2C"),[1]BENEFICIOS!$A:$E,5,0)))</f>
        <v/>
      </c>
      <c r="JA18" s="213"/>
      <c r="JB18" s="214" t="str">
        <f>IF(JA18=0,"",IF(JA18=VLOOKUP("PCS-10357",[1]ARBOR!$A:$C,3,0),0.0001,IF(JA18&gt;VLOOKUP("PCS-10357",[1]ARBOR!$A:$C,3,0),"Maior que CAP!",ROUND(-1*(JA18/VLOOKUP("PCS-10357",[1]ARBOR!$A:$C,3,0)-1),4))))</f>
        <v/>
      </c>
      <c r="JC18" s="215" t="str">
        <f>IF(ISERROR(IF(JB18="","",VLOOKUP(("Oi Internet Pra Celular 1GB"&amp;JB18&amp;"Template Flat Instância Dados"),[1]BENEFICIOS!$A:$E,5,0))),"Criar",IF(JB18="","",VLOOKUP(("Oi Internet Pra Celular 1GB"&amp;JB18&amp;"Template Flat Instância Dados"),[1]BENEFICIOS!$A:$E,5,0)))</f>
        <v/>
      </c>
      <c r="JD18" s="216"/>
      <c r="JE18" s="217" t="str">
        <f>IF(JD18=0,"",IF(JD18=VLOOKUP("sva_livros",[1]ARBOR!$A:$C,3,0),0.0001,IF(JD18&gt;VLOOKUP("sva_livros",[1]ARBOR!$A:$C,3,0),"Maior que CAP!",ROUND(-1*(JD18/VLOOKUP("sva_livros",[1]ARBOR!$A:$C,3,0)-1),4))))</f>
        <v/>
      </c>
      <c r="JF18" s="218" t="str">
        <f>IF(ISERROR(IF(JE18="","",VLOOKUP(("Oi Internet Pra Celular 1GB"&amp;JE18&amp;"Template Desconto % SVA DADOS B2C"),[1]BENEFICIOS!$A:$E,5,0))),"Criar",IF(JE18="","",VLOOKUP(("Oi Internet Pra Celular 1GB"&amp;JE18&amp;"Template Desconto % SVA DADOS B2C"),[1]BENEFICIOS!$A:$E,5,0)))</f>
        <v/>
      </c>
      <c r="JG18" s="213"/>
      <c r="JH18" s="214" t="str">
        <f>IF(JG18=0,"",IF(JG18=VLOOKUP("PCS-813565",[1]ARBOR!$A:$C,3,0),0.0001,IF(JG18&gt;VLOOKUP("PCS-813565",[1]ARBOR!$A:$C,3,0),"Maior que CAP!",ROUND(-1*(JG18/VLOOKUP("PCS-813565",[1]ARBOR!$A:$C,3,0)-1),4))))</f>
        <v/>
      </c>
      <c r="JI18" s="215" t="str">
        <f>IF(ISERROR(IF(JH18="","",VLOOKUP(("Oi Internet Pra Celular 2GB"&amp;JH18&amp;"Template Flat Instância Dados"),[1]BENEFICIOS!$A:$E,5,0))),"Criar",IF(JH18="","",VLOOKUP(("Oi Internet Pra Celular 2GB"&amp;JH18&amp;"Template Flat Instância Dados"),[1]BENEFICIOS!$A:$E,5,0)))</f>
        <v/>
      </c>
      <c r="JJ18" s="216"/>
      <c r="JK18" s="217" t="str">
        <f>IF(JJ18=0,"",IF(JJ18=VLOOKUP("sva_livros",[1]ARBOR!$A:$C,3,0),0.0001,IF(JJ18&gt;VLOOKUP("sva_livros",[1]ARBOR!$A:$C,3,0),"Maior que CAP!",ROUND(-1*(JJ18/VLOOKUP("sva_livros",[1]ARBOR!$A:$C,3,0)-1),4))))</f>
        <v/>
      </c>
      <c r="JL18" s="218" t="str">
        <f>IF(ISERROR(IF(JK18="","",VLOOKUP(("Oi Internet Pra Celular 2GB"&amp;JK18&amp;"Template Desconto % SVA DADOS B2C"),[1]BENEFICIOS!$A:$E,5,0))),"Criar",IF(JK18="","",VLOOKUP(("Oi Internet Pra Celular 2GB"&amp;JK18&amp;"Template Desconto % SVA DADOS B2C"),[1]BENEFICIOS!$A:$E,5,0)))</f>
        <v/>
      </c>
      <c r="JM18" s="213"/>
      <c r="JN18" s="214" t="str">
        <f>IF(JM18=0,"",IF(JM18=VLOOKUP("PCS-7171B",[1]ARBOR!$A:$C,3,0),0.0001,IF(JM18&gt;VLOOKUP("PCS-7171B",[1]ARBOR!$A:$C,3,0),"Maior que CAP!",ROUND(-1*(JM18/VLOOKUP("PCS-7171B",[1]ARBOR!$A:$C,3,0)-1),4))))</f>
        <v/>
      </c>
      <c r="JO18" s="215" t="str">
        <f>IF(ISERROR(IF(JN18="","",VLOOKUP(("Oi Internet Pra Celular 3GB"&amp;JN18&amp;"Template Flat Instância Dados"),[1]BENEFICIOS!$A:$E,5,0))),"Criar",IF(JN18="","",VLOOKUP(("Oi Internet Pra Celular 3GB"&amp;JN18&amp;"Template Flat Instância Dados"),[1]BENEFICIOS!$A:$E,5,0)))</f>
        <v/>
      </c>
      <c r="JP18" s="216"/>
      <c r="JQ18" s="217" t="str">
        <f>IF(JP18=0,"",IF(JP18=VLOOKUP("sva_livros",[1]ARBOR!$A:$C,3,0),0.0001,IF(JP18&gt;VLOOKUP("sva_livros",[1]ARBOR!$A:$C,3,0),"Maior que CAP!",ROUND(-1*(JP18/VLOOKUP("sva_livros",[1]ARBOR!$A:$C,3,0)-1),4))))</f>
        <v/>
      </c>
      <c r="JR18" s="218" t="str">
        <f>IF(ISERROR(IF(JQ18="","",VLOOKUP(("Oi Internet Pra Celular 3GB"&amp;JQ18&amp;"Template Desconto % SVA DADOS B2C"),[1]BENEFICIOS!$A:$E,5,0))),"Criar",IF(JQ18="","",VLOOKUP(("Oi Internet Pra Celular 3GB"&amp;JQ18&amp;"Template Desconto % SVA DADOS B2C"),[1]BENEFICIOS!$A:$E,5,0)))</f>
        <v/>
      </c>
      <c r="JS18" s="213"/>
      <c r="JT18" s="214" t="str">
        <f>IF(JS18=0,"",IF(JS18=VLOOKUP("PCS-51793o08",[1]ARBOR!$A:$C,3,0),0.0001,IF(JS18&gt;VLOOKUP("PCS-51793o08",[1]ARBOR!$A:$C,3,0),"Maior que CAP!",ROUND(-1*(JS18/VLOOKUP("PCS-51793o08",[1]ARBOR!$A:$C,3,0)-1),4))))</f>
        <v/>
      </c>
      <c r="JU18" s="215" t="str">
        <f>IF(ISERROR(IF(JT18="","",VLOOKUP(("Oi Internet Pra Celular 5GB"&amp;JT18&amp;"Template Flat Instância Dados"),[1]BENEFICIOS!$A:$E,5,0))),"Criar",IF(JT18="","",VLOOKUP(("Oi Internet Pra Celular 5GB"&amp;JT18&amp;"Template Flat Instância Dados"),[1]BENEFICIOS!$A:$E,5,0)))</f>
        <v/>
      </c>
      <c r="JV18" s="216"/>
      <c r="JW18" s="217" t="str">
        <f>IF(JV18=0,"",IF(JV18=VLOOKUP("sva_curtas",[1]ARBOR!$A:$C,3,0),0.0001,IF(JV18&gt;VLOOKUP("sva_curtas",[1]ARBOR!$A:$C,3,0),"Maior que CAP!",ROUND(-1*(JV18/VLOOKUP("sva_curtas",[1]ARBOR!$A:$C,3,0)-1),4))))</f>
        <v/>
      </c>
      <c r="JX18" s="218" t="str">
        <f>IF(ISERROR(IF(JW18="","",VLOOKUP(("Oi Internet Pra Celular 5GB"&amp;JW18&amp;"Template Desconto % SVA DADOS B2C"),[1]BENEFICIOS!$A:$E,5,0))),"Criar",IF(JW18="","",VLOOKUP(("Oi Internet Pra Celular 5GB"&amp;JW18&amp;"Template Desconto % SVA DADOS B2C"),[1]BENEFICIOS!$A:$E,5,0)))</f>
        <v/>
      </c>
      <c r="JY18" s="213"/>
      <c r="JZ18" s="214" t="str">
        <f>IF(JY18=0,"",IF(JY18=VLOOKUP("PCS-7171A",[1]ARBOR!$A:$C,3,0),0.0001,IF(JY18&gt;VLOOKUP("PCS-7171A",[1]ARBOR!$A:$C,3,0),"Maior que CAP!",ROUND(-1*(JY18/VLOOKUP("PCS-7171A",[1]ARBOR!$A:$C,3,0)-1),4))))</f>
        <v/>
      </c>
      <c r="KA18" s="219" t="str">
        <f>IF(ISERROR(IF(JZ18="","",VLOOKUP(("Oi Internet Pra Celular 10GB"&amp;JZ18&amp;"Template Flat Instância Dados"),[1]BENEFICIOS!$A:$E,5,0))),"Criar",IF(JZ18="","",VLOOKUP(("Oi Internet Pra Celular 10GB"&amp;JZ18&amp;"Template Flat Instância Dados"),[1]BENEFICIOS!$A:$E,5,0)))</f>
        <v/>
      </c>
      <c r="KB18" s="216"/>
      <c r="KC18" s="217" t="str">
        <f>IF(KB18=0,"",IF(KB18=VLOOKUP("sva_curtas",[1]ARBOR!$A:$C,3,0),0.0001,IF(KB18&gt;VLOOKUP("sva_curtas",[1]ARBOR!$A:$C,3,0),"Maior que CAP!",ROUND(-1*(KB18/VLOOKUP("sva_curtas",[1]ARBOR!$A:$C,3,0)-1),4))))</f>
        <v/>
      </c>
      <c r="KD18" s="218" t="str">
        <f>IF(ISERROR(IF(KC18="","",VLOOKUP(("Oi Internet Pra Celular 10GB"&amp;KC18&amp;"Template Desconto % SVA DADOS B2C"),[1]BENEFICIOS!$A:$E,5,0))),"Criar",IF(KC18="","",VLOOKUP(("Oi Internet Pra Celular 10GB"&amp;KC18&amp;"Template Desconto % SVA DADOS B2C"),[1]BENEFICIOS!$A:$E,5,0)))</f>
        <v/>
      </c>
      <c r="KE18" s="220"/>
      <c r="KF18" s="221"/>
      <c r="KG18" s="222" t="s">
        <v>149</v>
      </c>
      <c r="KH18" s="223" t="s">
        <v>173</v>
      </c>
      <c r="KI18" s="224">
        <v>799</v>
      </c>
      <c r="KJ18" s="223">
        <v>12</v>
      </c>
      <c r="KK18" s="225" t="str">
        <f t="shared" si="5"/>
        <v>Oi benefício fidelização Multiprodutos</v>
      </c>
      <c r="KL18" s="226" t="str">
        <f t="shared" si="6"/>
        <v>PCS-Fk83324</v>
      </c>
      <c r="KM18" s="226" t="str">
        <f t="shared" si="7"/>
        <v>PCS-SBL553142</v>
      </c>
      <c r="KN18" s="227" t="s">
        <v>174</v>
      </c>
      <c r="KO18" s="228" t="s">
        <v>175</v>
      </c>
      <c r="KP18" s="228" t="s">
        <v>176</v>
      </c>
      <c r="KQ18" s="227" t="s">
        <v>177</v>
      </c>
      <c r="KR18" s="225" t="s">
        <v>178</v>
      </c>
      <c r="KS18" s="226" t="s">
        <v>179</v>
      </c>
      <c r="KT18" s="229" t="s">
        <v>180</v>
      </c>
      <c r="KU18" s="155"/>
      <c r="KV18" s="155"/>
      <c r="KW18" s="155"/>
      <c r="KX18" s="155"/>
      <c r="KY18" s="155"/>
      <c r="KZ18" s="155"/>
      <c r="LA18" s="155"/>
      <c r="LB18" s="155"/>
      <c r="LC18" s="155"/>
      <c r="LD18" s="155"/>
      <c r="LE18" s="155"/>
      <c r="LF18" s="155"/>
      <c r="LG18" s="155"/>
      <c r="LH18" s="155"/>
      <c r="LI18" s="155"/>
      <c r="LJ18" s="155"/>
      <c r="LK18" s="230"/>
      <c r="LL18" s="238"/>
      <c r="LM18" s="239"/>
      <c r="LN18" s="239"/>
      <c r="LO18" s="239"/>
      <c r="LP18" s="239"/>
      <c r="LQ18" s="239"/>
      <c r="LR18" s="239"/>
      <c r="LS18" s="239"/>
      <c r="LT18" s="239"/>
      <c r="LU18" s="240"/>
      <c r="LV18" t="s">
        <v>220</v>
      </c>
      <c r="LW18" t="s">
        <v>183</v>
      </c>
    </row>
    <row r="19" spans="1:335" x14ac:dyDescent="0.25">
      <c r="A19" s="160" t="s">
        <v>146</v>
      </c>
      <c r="B19" s="161" t="s">
        <v>147</v>
      </c>
      <c r="C19" s="161" t="s">
        <v>148</v>
      </c>
      <c r="D19" s="162" t="s">
        <v>149</v>
      </c>
      <c r="E19" s="163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5"/>
      <c r="Q19" s="165"/>
      <c r="R19" s="165"/>
      <c r="S19" s="166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7"/>
      <c r="AF19" s="164"/>
      <c r="AG19" s="164"/>
      <c r="AH19" s="168"/>
      <c r="AI19" s="235" t="s">
        <v>221</v>
      </c>
      <c r="AJ19" s="85" t="s">
        <v>151</v>
      </c>
      <c r="AK19" s="86" t="s">
        <v>197</v>
      </c>
      <c r="AL19" s="169">
        <v>43039</v>
      </c>
      <c r="AM19" s="170">
        <v>43159</v>
      </c>
      <c r="AN19" s="89" t="s">
        <v>153</v>
      </c>
      <c r="AO19" s="90" t="s">
        <v>153</v>
      </c>
      <c r="AP19" s="171"/>
      <c r="AQ19" s="171" t="s">
        <v>154</v>
      </c>
      <c r="AR19" s="171">
        <v>20</v>
      </c>
      <c r="AS19" s="171">
        <v>10000</v>
      </c>
      <c r="AT19" s="172" t="s">
        <v>155</v>
      </c>
      <c r="AU19" s="173" t="s">
        <v>149</v>
      </c>
      <c r="AV19" s="174" t="s">
        <v>156</v>
      </c>
      <c r="AW19" s="175" t="s">
        <v>156</v>
      </c>
      <c r="AX19" s="176" t="s">
        <v>221</v>
      </c>
      <c r="AY19" s="177" t="s">
        <v>188</v>
      </c>
      <c r="AZ19" s="178" t="str">
        <f>IF(ISERROR(VLOOKUP(AY19,[1]PLANOS!B:C,2,0)),"",VLOOKUP(AY19,[1]PLANOS!B:C,2,0))</f>
        <v>PCS-3PHipi</v>
      </c>
      <c r="BA19" s="179" t="s">
        <v>156</v>
      </c>
      <c r="BB19" s="180" t="str">
        <f t="shared" si="1"/>
        <v/>
      </c>
      <c r="BC19" s="181"/>
      <c r="BD19" s="182"/>
      <c r="BE19" s="183">
        <v>50.11</v>
      </c>
      <c r="BF19" s="127">
        <f>IF(BE19=0,"",IF(BE19=VLOOKUP("FIXO",[1]ARBOR!$A:$C,3,0),0.0001,IF(BE19&gt;VLOOKUP("FIXO",[1]ARBOR!$A:$C,3,0),"Maior que CAP!",IF((DOLLAR(BE19+(VLOOKUP("FIXO",[1]ARBOR!$A:$C,3,0)*-TRUNC(BE19/VLOOKUP("FIXO",[1]ARBOR!$A:$C,3,0)-1,4)),6))&lt;&gt;(DOLLAR(VLOOKUP("FIXO",[1]ARBOR!$A:$C,3,0),6)),-TRUNC(BE19/VLOOKUP("FIXO",[1]ARBOR!$A:$C,3,0)-1,4)+0.0001,-TRUNC(BE19/VLOOKUP("FIXO",[1]ARBOR!$A:$C,3,0)-1,4)))))</f>
        <v>0.33929999999999999</v>
      </c>
      <c r="BG19" s="184"/>
      <c r="BH19" s="127" t="str">
        <f>IF(BG19=0,"",IF(BG19=VLOOKUP("FIXO",[1]ARBOR!$A:$C,3,0),0.0001,IF(BG19&gt;VLOOKUP("FIXO",[1]ARBOR!$A:$C,3,0),"Maior que CAP!",IF((DOLLAR(BG19+(VLOOKUP("FIXO",[1]ARBOR!$A:$C,3,0)*-TRUNC(BG19/VLOOKUP("FIXO",[1]ARBOR!$A:$C,3,0)-1,4)),6))&lt;&gt;(DOLLAR(VLOOKUP("FIXO",[1]ARBOR!$A:$C,3,0),6)),-TRUNC(BG19/VLOOKUP("FIXO",[1]ARBOR!$A:$C,3,0)-1,4)+0.0001,-TRUNC(BG19/VLOOKUP("FIXO",[1]ARBOR!$A:$C,3,0)-1,4)))))</f>
        <v/>
      </c>
      <c r="BI19" s="127" t="str">
        <f>IF(ISERROR(IF(BF19="","",VLOOKUP(($AY19&amp;BF19&amp;"Template de desconto FLAT bundle - Fixo - Varejo - Ganho Tributário Cross"),[1]BENEFICIOS!$A:$E,5,0))),"Criar",IF(BF19="","",VLOOKUP(($AY19&amp;BF19&amp;"Template de desconto FLAT bundle - Fixo - Varejo - Ganho Tributário Cross"),[1]BENEFICIOS!$A:$E,5,0)))</f>
        <v>MKT-1-9825728196</v>
      </c>
      <c r="BJ19" s="185"/>
      <c r="BK19" s="127" t="str">
        <f t="shared" si="2"/>
        <v/>
      </c>
      <c r="BL19" s="186"/>
      <c r="BM19" s="127" t="str">
        <f>IF(BL19=0,"",IF(BL19=VLOOKUP("FIXO",[1]ARBOR!$A:$C,3,0),0.0001,IF(BL19&gt;VLOOKUP("FIXO",[1]ARBOR!$A:$C,3,0),"Maior que CAP!",IF(BF19&lt;&gt;"",-ROUND(BL19/VLOOKUP("FIXO",[1]ARBOR!$A:$C,3,0)-1,4)-BF19,-ROUND(BL19/VLOOKUP("FIXO",[1]ARBOR!$A:$C,3,0)-1,4)))))</f>
        <v/>
      </c>
      <c r="BN19" s="187"/>
      <c r="BO19" s="127" t="str">
        <f>IF(ISERROR(IF(BK19="","",VLOOKUP(($AY19&amp;BK19&amp;"Template de desconto FLAT bundle - Fixo - Varejo - Ganho Tributário Cross"),[1]BENEFICIOS!$A:$E,5,0))),"Criar",IF(BK19="","",VLOOKUP(($AY19&amp;BK19&amp;"Template de desconto FLAT bundle - Fixo - Varejo - Ganho Tributário Cross"),[1]BENEFICIOS!$A:$E,5,0)))</f>
        <v/>
      </c>
      <c r="BP19" s="188" t="s">
        <v>158</v>
      </c>
      <c r="BQ19" s="189" t="s">
        <v>159</v>
      </c>
      <c r="BR19" s="190" t="s">
        <v>156</v>
      </c>
      <c r="BS19" s="191" t="str">
        <f t="shared" si="0"/>
        <v/>
      </c>
      <c r="BT19" s="181"/>
      <c r="BU19" s="192"/>
      <c r="BV19" s="193" t="s">
        <v>198</v>
      </c>
      <c r="BW19" s="194">
        <v>44.9</v>
      </c>
      <c r="BX19" s="127">
        <f>IF(BW19=0,"",IF(BW19=VLOOKUP("PCS-30874g",[1]ARBOR!$A:$C,3,0),0.0001,IF(BW19&gt;VLOOKUP("PCS-30874g",[1]ARBOR!$A:$C,3,0),"Maior que CAP!",IF((DOLLAR(BW19+(VLOOKUP("PCS-30874g",[1]ARBOR!$A:$C,3,0)*-TRUNC(BW19/VLOOKUP("PCS-30874g",[1]ARBOR!$A:$C,3,0)-1,4)),6))&lt;&gt;(DOLLAR(VLOOKUP("PCS-30874g",[1]ARBOR!$A:$C,3,0),6)),-TRUNC(BW19/VLOOKUP("PCS-30874g",[1]ARBOR!$A:$C,3,0)-1,4)+0.0001,-TRUNC(BW19/VLOOKUP("PCS-30874g",[1]ARBOR!$A:$C,3,0)-1,4)))))</f>
        <v>0.53679999999999994</v>
      </c>
      <c r="BY19" s="189" t="str">
        <f>IF(ISERROR(IF(BX19="","",VLOOKUP(($AY19&amp;BX19&amp;"Template de desconto FLAT bundle - Velox XDSL - Varejo"),[1]BENEFICIOS!$A:$E,5,0))),"Criar",IF(BX19="","",VLOOKUP(($AY19&amp;BX19&amp;"Template de desconto FLAT bundle - Velox XDSL - Varejo"),[1]BENEFICIOS!$A:$E,5,0)))</f>
        <v>MKT-1-9829477373</v>
      </c>
      <c r="BZ19" s="193" t="s">
        <v>198</v>
      </c>
      <c r="CA19" s="194">
        <v>44.9</v>
      </c>
      <c r="CB19" s="127">
        <f>IF(CA19=0,"",IF(CA19=VLOOKUP("PCS-30577g",[1]ARBOR!$A:$C,3,0),0.0001,IF(CA19&gt;VLOOKUP("PCS-30577g",[1]ARBOR!$A:$C,3,0),"Maior que CAP!",IF((DOLLAR(CA19+(VLOOKUP("PCS-30577g",[1]ARBOR!$A:$C,3,0)*-TRUNC(CA19/VLOOKUP("PCS-30577g",[1]ARBOR!$A:$C,3,0)-1,4)),6))&lt;&gt;(DOLLAR(VLOOKUP("PCS-30577g",[1]ARBOR!$A:$C,3,0),6)),-TRUNC(CA19/VLOOKUP("PCS-30577g",[1]ARBOR!$A:$C,3,0)-1,4)+0.0001,-TRUNC(CA19/VLOOKUP("PCS-30577g",[1]ARBOR!$A:$C,3,0)-1,4)))))</f>
        <v>0.53679999999999994</v>
      </c>
      <c r="CC19" s="189" t="str">
        <f>IF(ISERROR(IF(CB19="","",VLOOKUP(($AY19&amp;CB19&amp;"Template de desconto FLAT bundle - Velox XDSL - Varejo"),[1]BENEFICIOS!$A:$E,5,0))),"Criar",IF(CB19="","",VLOOKUP(($AY19&amp;CB19&amp;"Template de desconto FLAT bundle - Velox XDSL - Varejo"),[1]BENEFICIOS!$A:$E,5,0)))</f>
        <v>MKT-1-9829477373</v>
      </c>
      <c r="CD19" s="193" t="s">
        <v>198</v>
      </c>
      <c r="CE19" s="194">
        <v>44.9</v>
      </c>
      <c r="CF19" s="127">
        <f>IF(CE19=0,"",IF(CE19=VLOOKUP("PCS-30604g",[1]ARBOR!$A:$C,3,0),0.0001,IF(CE19&gt;VLOOKUP("PCS-30604g",[1]ARBOR!$A:$C,3,0),"Maior que CAP!",IF((DOLLAR(CE19+(VLOOKUP("PCS-30604g",[1]ARBOR!$A:$C,3,0)*-TRUNC(CE19/VLOOKUP("PCS-30604g",[1]ARBOR!$A:$C,3,0)-1,4)),6))&lt;&gt;(DOLLAR(VLOOKUP("PCS-30604g",[1]ARBOR!$A:$C,3,0),6)),-TRUNC(CE19/VLOOKUP("PCS-30604g",[1]ARBOR!$A:$C,3,0)-1,4)+0.0001,-TRUNC(CE19/VLOOKUP("PCS-30604g",[1]ARBOR!$A:$C,3,0)-1,4)))))</f>
        <v>0.53679999999999994</v>
      </c>
      <c r="CG19" s="189" t="str">
        <f>IF(ISERROR(IF(CF19="","",VLOOKUP(($AY19&amp;CF19&amp;"Template de desconto FLAT bundle - Velox XDSL - Varejo"),[1]BENEFICIOS!$A:$E,5,0))),"Criar",IF(CF19="","",VLOOKUP(($AY19&amp;CF19&amp;"Template de desconto FLAT bundle - Velox XDSL - Varejo"),[1]BENEFICIOS!$A:$E,5,0)))</f>
        <v>MKT-1-9829477373</v>
      </c>
      <c r="CH19" s="193" t="s">
        <v>198</v>
      </c>
      <c r="CI19" s="194">
        <v>44.9</v>
      </c>
      <c r="CJ19" s="127">
        <f>IF(CI19=0,"",IF(CI19=VLOOKUP("PCS-30631g",[1]ARBOR!$A:$C,3,0),0.0001,IF(CI19&gt;VLOOKUP("PCS-30631g",[1]ARBOR!$A:$C,3,0),"Maior que CAP!",IF((DOLLAR(CI19+(VLOOKUP("PCS-30631g",[1]ARBOR!$A:$C,3,0)*-TRUNC(CI19/VLOOKUP("PCS-30631g",[1]ARBOR!$A:$C,3,0)-1,4)),6))&lt;&gt;(DOLLAR(VLOOKUP("PCS-30631g",[1]ARBOR!$A:$C,3,0),6)),-TRUNC(CI19/VLOOKUP("PCS-30631g",[1]ARBOR!$A:$C,3,0)-1,4)+0.0001,-TRUNC(CI19/VLOOKUP("PCS-30631g",[1]ARBOR!$A:$C,3,0)-1,4)))))</f>
        <v>0.54310000000000003</v>
      </c>
      <c r="CK19" s="189" t="str">
        <f>IF(ISERROR(IF(CJ19="","",VLOOKUP(($AY19&amp;CJ19&amp;"Template de desconto FLAT bundle - Velox XDSL - Varejo"),[1]BENEFICIOS!$A:$E,5,0))),"Criar",IF(CJ19="","",VLOOKUP(($AY19&amp;CJ19&amp;"Template de desconto FLAT bundle - Velox XDSL - Varejo"),[1]BENEFICIOS!$A:$E,5,0)))</f>
        <v>MKT-1-9828219079</v>
      </c>
      <c r="CL19" s="193" t="s">
        <v>86</v>
      </c>
      <c r="CM19" s="194">
        <v>49.9</v>
      </c>
      <c r="CN19" s="127">
        <f>IF(CM19=0,"",IF(CM19=VLOOKUP("PCS-30658g",[1]ARBOR!$A:$C,3,0),0.0001,IF(CM19&gt;VLOOKUP("PCS-30658g",[1]ARBOR!$A:$C,3,0),"Maior que CAP!",IF((DOLLAR(CM19+(VLOOKUP("PCS-30658g",[1]ARBOR!$A:$C,3,0)*-TRUNC(CM19/VLOOKUP("PCS-30658g",[1]ARBOR!$A:$C,3,0)-1,4)),6))&lt;&gt;(DOLLAR(VLOOKUP("PCS-30658g",[1]ARBOR!$A:$C,3,0),6)),-TRUNC(CM19/VLOOKUP("PCS-30658g",[1]ARBOR!$A:$C,3,0)-1,4)+0.0001,-TRUNC(CM19/VLOOKUP("PCS-30658g",[1]ARBOR!$A:$C,3,0)-1,4)))))</f>
        <v>0.55569999999999997</v>
      </c>
      <c r="CO19" s="189" t="str">
        <f>IF(ISERROR(IF(CN19="","",VLOOKUP(($AY19&amp;CN19&amp;"Template de desconto FLAT bundle - Velox XDSL - Varejo"),[1]BENEFICIOS!$A:$E,5,0))),"Criar",IF(CN19="","",VLOOKUP(($AY19&amp;CN19&amp;"Template de desconto FLAT bundle - Velox XDSL - Varejo"),[1]BENEFICIOS!$A:$E,5,0)))</f>
        <v>MKT-1-9828243608</v>
      </c>
      <c r="CP19" s="193" t="s">
        <v>86</v>
      </c>
      <c r="CQ19" s="194">
        <v>49.9</v>
      </c>
      <c r="CR19" s="127">
        <f>IF(CQ19=0,"",IF(CQ19=VLOOKUP("PCS-30685g",[1]ARBOR!$A:$C,3,0),0.0001,IF(CQ19&gt;VLOOKUP("PCS-30685g",[1]ARBOR!$A:$C,3,0),"Maior que CAP!",IF((DOLLAR(CQ19+(VLOOKUP("PCS-30685g",[1]ARBOR!$A:$C,3,0)*-TRUNC(CQ19/VLOOKUP("PCS-30685g",[1]ARBOR!$A:$C,3,0)-1,4)),6))&lt;&gt;(DOLLAR(VLOOKUP("PCS-30685g",[1]ARBOR!$A:$C,3,0),6)),-TRUNC(CQ19/VLOOKUP("PCS-30685g",[1]ARBOR!$A:$C,3,0)-1,4)+0.0001,-TRUNC(CQ19/VLOOKUP("PCS-30685g",[1]ARBOR!$A:$C,3,0)-1,4)))))</f>
        <v>0.60509999999999997</v>
      </c>
      <c r="CS19" s="189" t="str">
        <f>IF(ISERROR(IF(CR19="","",VLOOKUP(($AY19&amp;CR19&amp;"Template de desconto FLAT bundle - Velox XDSL - Varejo"),[1]BENEFICIOS!$A:$E,5,0))),"Criar",IF(CR19="","",VLOOKUP(($AY19&amp;CR19&amp;"Template de desconto FLAT bundle - Velox XDSL - Varejo"),[1]BENEFICIOS!$A:$E,5,0)))</f>
        <v>MKT-1-9828260647</v>
      </c>
      <c r="CT19" s="193" t="s">
        <v>86</v>
      </c>
      <c r="CU19" s="194">
        <v>49.9</v>
      </c>
      <c r="CV19" s="127">
        <f>IF(CU19=0,"",IF(CU19=VLOOKUP("PCS-30712g",[1]ARBOR!$A:$C,3,0),0.0001,IF(CU19&gt;VLOOKUP("PCS-30712g",[1]ARBOR!$A:$C,3,0),"Maior que CAP!",IF((DOLLAR(CU19+(VLOOKUP("PCS-30712g",[1]ARBOR!$A:$C,3,0)*-TRUNC(CU19/VLOOKUP("PCS-30712g",[1]ARBOR!$A:$C,3,0)-1,4)),6))&lt;&gt;(DOLLAR(VLOOKUP("PCS-30712g",[1]ARBOR!$A:$C,3,0),6)),-TRUNC(CU19/VLOOKUP("PCS-30712g",[1]ARBOR!$A:$C,3,0)-1,4)+0.0001,-TRUNC(CU19/VLOOKUP("PCS-30712g",[1]ARBOR!$A:$C,3,0)-1,4)))))</f>
        <v>0.64459999999999995</v>
      </c>
      <c r="CW19" s="189" t="str">
        <f>IF(ISERROR(IF(CV19="","",VLOOKUP(($AY19&amp;CV19&amp;"Template de desconto FLAT bundle - Velox XDSL - Varejo"),[1]BENEFICIOS!$A:$E,5,0))),"Criar",IF(CV19="","",VLOOKUP(($AY19&amp;CV19&amp;"Template de desconto FLAT bundle - Velox XDSL - Varejo"),[1]BENEFICIOS!$A:$E,5,0)))</f>
        <v>MKT-1-9828260926</v>
      </c>
      <c r="CX19" s="193" t="s">
        <v>86</v>
      </c>
      <c r="CY19" s="194">
        <v>59.9</v>
      </c>
      <c r="CZ19" s="127">
        <f>IF(CY19=0,"",IF(CY19=VLOOKUP("PCS-30739g",[1]ARBOR!$A:$C,3,0),0.0001,IF(CY19&gt;VLOOKUP("PCS-30739g",[1]ARBOR!$A:$C,3,0),"Maior que CAP!",IF((DOLLAR(CY19+(VLOOKUP("PCS-30739g",[1]ARBOR!$A:$C,3,0)*-TRUNC(CY19/VLOOKUP("PCS-30739g",[1]ARBOR!$A:$C,3,0)-1,4)),6))&lt;&gt;(DOLLAR(VLOOKUP("PCS-30739g",[1]ARBOR!$A:$C,3,0),6)),-TRUNC(CY19/VLOOKUP("PCS-30739g",[1]ARBOR!$A:$C,3,0)-1,4)+0.0001,-TRUNC(CY19/VLOOKUP("PCS-30739g",[1]ARBOR!$A:$C,3,0)-1,4)))))</f>
        <v>0.71560000000000001</v>
      </c>
      <c r="DA19" s="195" t="str">
        <f>IF(ISERROR(IF(CZ19="","",VLOOKUP(($AY19&amp;CZ19&amp;"Template de desconto FLAT bundle - Velox XDSL - Varejo"),[1]BENEFICIOS!$A:$E,5,0))),"Criar",IF(CZ19="","",VLOOKUP(($AY19&amp;CZ19&amp;"Template de desconto FLAT bundle - Velox XDSL - Varejo"),[1]BENEFICIOS!$A:$E,5,0)))</f>
        <v>MKT-1-9828272465</v>
      </c>
      <c r="DB19" s="196">
        <v>29.95</v>
      </c>
      <c r="DC19" s="241">
        <v>6</v>
      </c>
      <c r="DD19" s="127">
        <f>IF(DB19=0,"",IF(DB19=VLOOKUP("PCS-30739g",[1]ARBOR!$A:$C,3,0),0.0001,IF(DB19&gt;VLOOKUP("PCS-30739g",[1]ARBOR!$A:$C,3,0),"Maior que CAP!",IF((DOLLAR(DB19+(VLOOKUP("PCS-30739g",[1]ARBOR!$A:$C,3,0)*-TRUNC(DB19/VLOOKUP("PCS-30739g",[1]ARBOR!$A:$C,3,0)-1,4)),6))&lt;&gt;(DOLLAR(VLOOKUP("PCS-30739g",[1]ARBOR!$A:$C,3,0),6)),(-TRUNC(DB19/VLOOKUP("PCS-30739g",[1]ARBOR!$A:$C,3,0)-1,4)+0.0001)-CZ19,-TRUNC(DB19/VLOOKUP("PCS-30739g",[1]ARBOR!$A:$C,3,0)-1,4)-CZ19))))</f>
        <v>0.14219999999999999</v>
      </c>
      <c r="DE19" s="189" t="str">
        <f>IF(ISERROR(IF(DD19="","",VLOOKUP(($AY19&amp;DD19&amp;"Template de desconto percentual Bundle - Velox XDSL - Varejo"),[1]BENEFICIOS!$A:$E,5,0))),"Criar",IF(DD19="","",VLOOKUP(($AY19&amp;DD19&amp;"Template de desconto percentual Bundle - Velox XDSL - Varejo"),[1]BENEFICIOS!$A:$E,5,0)))</f>
        <v>MKT-1-9832066535</v>
      </c>
      <c r="DF19" s="193" t="s">
        <v>86</v>
      </c>
      <c r="DG19" s="194">
        <v>59.9</v>
      </c>
      <c r="DH19" s="127">
        <f>IF(DG19=0,"",IF(DG19=VLOOKUP("PCS-30766g",[1]ARBOR!$A:$C,3,0),0.0001,IF(DG19&gt;VLOOKUP("PCS-30766g",[1]ARBOR!$A:$C,3,0),"Maior que CAP!",IF((DOLLAR(DG19+(VLOOKUP("PCS-30766g",[1]ARBOR!$A:$C,3,0)*-TRUNC(DG19/VLOOKUP("PCS-30766g",[1]ARBOR!$A:$C,3,0)-1,4)),6))&lt;&gt;(DOLLAR(VLOOKUP("PCS-30766g",[1]ARBOR!$A:$C,3,0),6)),-TRUNC(DG19/VLOOKUP("PCS-30766g",[1]ARBOR!$A:$C,3,0)-1,4)+0.0001,-TRUNC(DG19/VLOOKUP("PCS-30766g",[1]ARBOR!$A:$C,3,0)-1,4)))))</f>
        <v>0.78669999999999995</v>
      </c>
      <c r="DI19" s="195" t="str">
        <f>IF(ISERROR(IF(DH19="","",VLOOKUP(($AY19&amp;DH19&amp;"Template de desconto FLAT bundle - Velox XDSL - Varejo"),[1]BENEFICIOS!$A:$E,5,0))),"Criar",IF(DH19="","",VLOOKUP(($AY19&amp;DH19&amp;"Template de desconto FLAT bundle - Velox XDSL - Varejo"),[1]BENEFICIOS!$A:$E,5,0)))</f>
        <v>MKT-1-9828285890</v>
      </c>
      <c r="DJ19" s="196">
        <v>29.95</v>
      </c>
      <c r="DK19" s="241">
        <v>6</v>
      </c>
      <c r="DL19" s="127">
        <f>IF(DJ19=0,"",IF(DJ19=VLOOKUP("PCS-30766g",[1]ARBOR!$A:$C,3,0),0.0001,IF(DJ19&gt;VLOOKUP("PCS-30766g",[1]ARBOR!$A:$C,3,0),"Maior que CAP!",IF((DOLLAR(DJ19+(VLOOKUP("PCS-30766g",[1]ARBOR!$A:$C,3,0)*-TRUNC(DJ19/VLOOKUP("PCS-30766g",[1]ARBOR!$A:$C,3,0)-1,4)),6))&lt;&gt;(DOLLAR(VLOOKUP("PCS-30766g",[1]ARBOR!$A:$C,3,0),6)),(-TRUNC(DJ19/VLOOKUP("PCS-30766g",[1]ARBOR!$A:$C,3,0)-1,4)+0.0001)-DH19,-TRUNC(DJ19/VLOOKUP("PCS-30766g",[1]ARBOR!$A:$C,3,0)-1,4)-DH19))))</f>
        <v>0.10670000000000002</v>
      </c>
      <c r="DM19" s="189" t="str">
        <f>IF(ISERROR(IF(DL19="","",VLOOKUP(($AY19&amp;DL19&amp;"Template de desconto percentual Bundle - Velox XDSL - Varejo"),[1]BENEFICIOS!$A:$E,5,0))),"Criar",IF(DL19="","",VLOOKUP(($AY19&amp;DL19&amp;"Template de desconto percentual Bundle - Velox XDSL - Varejo"),[1]BENEFICIOS!$A:$E,5,0)))</f>
        <v>MKT-1-9832066763</v>
      </c>
      <c r="DN19" s="193" t="s">
        <v>198</v>
      </c>
      <c r="DO19" s="194">
        <v>69.900000000000006</v>
      </c>
      <c r="DP19" s="127">
        <f>IF(DO19=0,"",IF(DO19=VLOOKUP("PCS-30793g",[1]ARBOR!$A:$C,3,0),0.0001,IF(DO19&gt;VLOOKUP("PCS-30793g",[1]ARBOR!$A:$C,3,0),"Maior que CAP!",IF((DOLLAR(DO19+(VLOOKUP("PCS-30793g",[1]ARBOR!$A:$C,3,0)*-TRUNC(DO19/VLOOKUP("PCS-30793g",[1]ARBOR!$A:$C,3,0)-1,4)),6))&lt;&gt;(DOLLAR(VLOOKUP("PCS-30793g",[1]ARBOR!$A:$C,3,0),6)),-TRUNC(DO19/VLOOKUP("PCS-30793g",[1]ARBOR!$A:$C,3,0)-1,4)+0.0001,-TRUNC(DO19/VLOOKUP("PCS-30793g",[1]ARBOR!$A:$C,3,0)-1,4)))))</f>
        <v>0.75109999999999999</v>
      </c>
      <c r="DQ19" s="195" t="str">
        <f>IF(ISERROR(IF(DP19="","",VLOOKUP(($AY19&amp;DP19&amp;"Template de desconto FLAT bundle - Velox XDSL - Varejo"),[1]BENEFICIOS!$A:$E,5,0))),"Criar",IF(DP19="","",VLOOKUP(($AY19&amp;DP19&amp;"Template de desconto FLAT bundle - Velox XDSL - Varejo"),[1]BENEFICIOS!$A:$E,5,0)))</f>
        <v>MKT-1-9828314259</v>
      </c>
      <c r="DR19" s="196">
        <v>34.950000000000003</v>
      </c>
      <c r="DS19" s="241">
        <v>6</v>
      </c>
      <c r="DT19" s="127">
        <f>IF(DR19=0,"",IF(DR19=VLOOKUP("PCS-30793g",[1]ARBOR!$A:$C,3,0),0.0001,IF(DR19&gt;VLOOKUP("PCS-30793g",[1]ARBOR!$A:$C,3,0),"Maior que CAP!",IF((DOLLAR(DR19+(VLOOKUP("PCS-30793g",[1]ARBOR!$A:$C,3,0)*-TRUNC(DR19/VLOOKUP("PCS-30793g",[1]ARBOR!$A:$C,3,0)-1,4)),6))&lt;&gt;(DOLLAR(VLOOKUP("PCS-30793g",[1]ARBOR!$A:$C,3,0),6)),(-TRUNC(DR19/VLOOKUP("PCS-30793g",[1]ARBOR!$A:$C,3,0)-1,4)+0.0001)-DP19,-TRUNC(DR19/VLOOKUP("PCS-30793g",[1]ARBOR!$A:$C,3,0)-1,4)-DP19))))</f>
        <v>0.12449999999999994</v>
      </c>
      <c r="DU19" s="189" t="str">
        <f>IF(ISERROR(IF(DT19="","",VLOOKUP(($AY19&amp;DT19&amp;"Template de desconto percentual Bundle - Velox XDSL - Varejo"),[1]BENEFICIOS!$A:$E,5,0))),"Criar",IF(DT19="","",VLOOKUP(($AY19&amp;DT19&amp;"Template de desconto percentual Bundle - Velox XDSL - Varejo"),[1]BENEFICIOS!$A:$E,5,0)))</f>
        <v>MKT-1-9826047043</v>
      </c>
      <c r="DV19" s="193" t="s">
        <v>86</v>
      </c>
      <c r="DW19" s="194">
        <v>69.900000000000006</v>
      </c>
      <c r="DX19" s="127">
        <f>IF(DW19=0,"",IF(DW19=VLOOKUP("PCS-30820g",[1]ARBOR!$A:$C,3,0),0.0001,IF(DW19&gt;VLOOKUP("PCS-30820g",[1]ARBOR!$A:$C,3,0),"Maior que CAP!",IF((DOLLAR(DW19+(VLOOKUP("PCS-30820g",[1]ARBOR!$A:$C,3,0)*-TRUNC(DW19/VLOOKUP("PCS-30820g",[1]ARBOR!$A:$C,3,0)-1,4)),6))&lt;&gt;(DOLLAR(VLOOKUP("PCS-30820g",[1]ARBOR!$A:$C,3,0),6)),-TRUNC(DW19/VLOOKUP("PCS-30820g",[1]ARBOR!$A:$C,3,0)-1,4)+0.0001,-TRUNC(DW19/VLOOKUP("PCS-30820g",[1]ARBOR!$A:$C,3,0)-1,4)))))</f>
        <v>0.75109999999999999</v>
      </c>
      <c r="DY19" s="195" t="str">
        <f>IF(ISERROR(IF(DX19="","",VLOOKUP(($AY19&amp;DX19&amp;"Template de desconto FLAT bundle - Velox XDSL - Varejo"),[1]BENEFICIOS!$A:$E,5,0))),"Criar",IF(DX19="","",VLOOKUP(($AY19&amp;DX19&amp;"Template de desconto FLAT bundle - Velox XDSL - Varejo"),[1]BENEFICIOS!$A:$E,5,0)))</f>
        <v>MKT-1-9828314259</v>
      </c>
      <c r="DZ19" s="196">
        <v>34.950000000000003</v>
      </c>
      <c r="EA19" s="241">
        <v>6</v>
      </c>
      <c r="EB19" s="127">
        <f>IF(DZ19=0,"",IF(DZ19=VLOOKUP("PCS-30820g",[1]ARBOR!$A:$C,3,0),0.0001,IF(DZ19&gt;VLOOKUP("PCS-30820g",[1]ARBOR!$A:$C,3,0),"Maior que CAP!",IF((DOLLAR(DZ19+(VLOOKUP("PCS-30820g",[1]ARBOR!$A:$C,3,0)*-TRUNC(DZ19/VLOOKUP("PCS-30820g",[1]ARBOR!$A:$C,3,0)-1,4)),6))&lt;&gt;(DOLLAR(VLOOKUP("PCS-30820g",[1]ARBOR!$A:$C,3,0),6)),(-TRUNC(DZ19/VLOOKUP("PCS-30820g",[1]ARBOR!$A:$C,3,0)-1,4)+0.0001)-DX19,-TRUNC(DZ19/VLOOKUP("PCS-30820g",[1]ARBOR!$A:$C,3,0)-1,4)-DX19))))</f>
        <v>0.12449999999999994</v>
      </c>
      <c r="EC19" s="189" t="str">
        <f>IF(ISERROR(IF(EB19="","",VLOOKUP(($AY19&amp;EB19&amp;"Template de desconto percentual Bundle - Velox XDSL - Varejo"),[1]BENEFICIOS!$A:$E,5,0))),"Criar",IF(EB19="","",VLOOKUP(($AY19&amp;EB19&amp;"Template de desconto percentual Bundle - Velox XDSL - Varejo"),[1]BENEFICIOS!$A:$E,5,0)))</f>
        <v>MKT-1-9826047043</v>
      </c>
      <c r="ED19" s="198"/>
      <c r="EE19" s="127" t="str">
        <f>IF(ED19=0,"",IF(ED19=VLOOKUP("PCS-21448p2",[1]ARBOR!$A:$C,3,0),0.0001,IF(ED19&gt;VLOOKUP("PCS-21448p2",[1]ARBOR!$A:$C,3,0),"Maior que CAP!",IF((DOLLAR(ED19+(VLOOKUP("PCS-21448p2",[1]ARBOR!$A:$C,3,0)*-TRUNC(ED19/VLOOKUP("PCS-21448p2",[1]ARBOR!$A:$C,3,0)-1,4)),6))&lt;&gt;(DOLLAR(VLOOKUP("PCS-21448p2",[1]ARBOR!$A:$C,3,0),6)),-TRUNC(ED19/VLOOKUP("PCS-21448p2",[1]ARBOR!$A:$C,3,0)-1,4)+0.0001,-TRUNC(ED19/VLOOKUP("PCS-21448p2",[1]ARBOR!$A:$C,3,0)-1,4)))))</f>
        <v/>
      </c>
      <c r="EF19" s="127" t="str">
        <f>IF(ISERROR(IF(EE19="","",VLOOKUP(("Oi Conta Total Plug 10GB Downgrade"&amp;EE19&amp;"Template de desconto percentual BL Móvel - Internet Total - Varejo"),[1]BENEFICIOS!$A:$E,5,0))),"Criar",IF(EE19="","",VLOOKUP(("Oi Conta Total Plug 10GB Downgrade"&amp;EE19&amp;"Template de desconto percentual BL Móvel - Internet Total - Varejo"),[1]BENEFICIOS!$A:$E,5,0)))</f>
        <v/>
      </c>
      <c r="EG19" s="199">
        <v>19.899999999999999</v>
      </c>
      <c r="EH19" s="200">
        <f>IF(EG19=0,"",IF(EG19=VLOOKUP("SVA",[1]ARBOR!$A:$C,3,0),0.0001,IF(EG19&gt;VLOOKUP("SVA",[1]ARBOR!$A:$C,3,0),"Maior que CAP!",IF((DOLLAR(EG19+(VLOOKUP("SVA",[1]ARBOR!$A:$C,3,0)*-TRUNC(EG19/VLOOKUP("SVA",[1]ARBOR!$A:$C,3,0)-1,4)),6))&lt;&gt;(DOLLAR(VLOOKUP("SVA",[1]ARBOR!$A:$C,3,0),6)),-TRUNC(EG19/VLOOKUP("SVA",[1]ARBOR!$A:$C,3,0)-1,4)+0.0001,-TRUNC(EG19/VLOOKUP("SVA",[1]ARBOR!$A:$C,3,0)-1,4)))))</f>
        <v>7.1400000000000005E-2</v>
      </c>
      <c r="EI19" s="200" t="s">
        <v>199</v>
      </c>
      <c r="EJ19" s="201" t="s">
        <v>212</v>
      </c>
      <c r="EK19" s="202">
        <v>6</v>
      </c>
      <c r="EL19" s="203">
        <f t="shared" si="3"/>
        <v>0.92859999999999998</v>
      </c>
      <c r="EM19" s="200" t="s">
        <v>213</v>
      </c>
      <c r="EN19" s="129"/>
      <c r="EO19" s="127" t="str">
        <f>IF(EN19=0,"",IF(EN19=VLOOKUP("PCS-OzTL40",[1]ARBOR!$A:$C,3,0),0.0001,IF(EN19&gt;VLOOKUP("PCS-OzTL40",[1]ARBOR!$A:$C,3,0),"Maior que CAP!",IF((DOLLAR(EN19+(VLOOKUP("PCS-OzTL40",[1]ARBOR!$A:$C,3,0)*-TRUNC(EN19/VLOOKUP("PCS-OzTL40",[1]ARBOR!$A:$C,3,0)-1,4)),6))&lt;&gt;(DOLLAR(VLOOKUP("PCS-OzTL40",[1]ARBOR!$A:$C,3,0),6)),-TRUNC(EN19/VLOOKUP("PCS-OzTL40",[1]ARBOR!$A:$C,3,0)-1,4)+0.0001,-TRUNC(EN19/VLOOKUP("PCS-OzTL40",[1]ARBOR!$A:$C,3,0)-1,4)))))</f>
        <v/>
      </c>
      <c r="EP19" s="189" t="str">
        <f>IF(ISERROR(IF(EO19="","",VLOOKUP(($AY19&amp;EO19&amp;"Template desconto FLAT Plano Principal Oi TV nível conta"),[1]BENEFICIOS!$A:$G,5,0))),"Criar",IF(EO19="","",VLOOKUP(($AY19&amp;EO19&amp;"Template desconto FLAT Plano Principal Oi TV nível conta"),[1]BENEFICIOS!$A:$G,5,0)))</f>
        <v/>
      </c>
      <c r="EQ19" s="129"/>
      <c r="ER19" s="127" t="str">
        <f>IF(EQ19=0,"",IF(EQ19=VLOOKUP("PCS-OzTL41",[1]ARBOR!$A:$C,3,0),0.0001,IF(EQ19&gt;VLOOKUP("PCS-OzTL41",[1]ARBOR!$A:$C,3,0),"Maior que CAP!",IF((DOLLAR(EQ19+(VLOOKUP("PCS-OzTL41",[1]ARBOR!$A:$C,3,0)*-TRUNC(EQ19/VLOOKUP("PCS-OzTL41",[1]ARBOR!$A:$C,3,0)-1,4)),6))&lt;&gt;(DOLLAR(VLOOKUP("PCS-OzTL41",[1]ARBOR!$A:$C,3,0),6)),-TRUNC(EQ19/VLOOKUP("PCS-OzTL41",[1]ARBOR!$A:$C,3,0)-1,4)+0.0001,-TRUNC(EQ19/VLOOKUP("PCS-OzTL41",[1]ARBOR!$A:$C,3,0)-1,4)))))</f>
        <v/>
      </c>
      <c r="ES19" s="204" t="str">
        <f>IF(ISERROR(IF(ER19="","",VLOOKUP(($AY19&amp;ER19&amp;"Template desconto FLAT Plano Principal Oi TV nível conta"),[1]BENEFICIOS!$A:$G,5,0))),"Criar",IF(ER19="","",VLOOKUP(($AY19&amp;ER19&amp;"Template desconto FLAT Plano Principal Oi TV nível conta"),[1]BENEFICIOS!$A:$G,5,0)))</f>
        <v/>
      </c>
      <c r="ET19" s="129"/>
      <c r="EU19" s="127" t="str">
        <f>IF(ET19=0,"",IF(ET19=VLOOKUP("PCS-OzTL44",[1]ARBOR!$A:$C,3,0),0.0001,IF(ET19&gt;VLOOKUP("PCS-OzTL44",[1]ARBOR!$A:$C,3,0),"Maior que CAP!",IF((DOLLAR(ET19+(VLOOKUP("PCS-OzTL44",[1]ARBOR!$A:$C,3,0)*-TRUNC(ET19/VLOOKUP("PCS-OzTL44",[1]ARBOR!$A:$C,3,0)-1,4)),6))&lt;&gt;(DOLLAR(VLOOKUP("PCS-OzTL44",[1]ARBOR!$A:$C,3,0),6)),-TRUNC(ET19/VLOOKUP("PCS-OzTL44",[1]ARBOR!$A:$C,3,0)-1,4)+0.0001,-TRUNC(ET19/VLOOKUP("PCS-OzTL44",[1]ARBOR!$A:$C,3,0)-1,4)))))</f>
        <v/>
      </c>
      <c r="EV19" s="204" t="str">
        <f>IF(ISERROR(IF(EU19="","",VLOOKUP(($AY19&amp;EU19&amp;"Template desconto FLAT Plano Principal Oi TV nível conta"),[1]BENEFICIOS!$A:$G,5,0))),"Criar",IF(EU19="","",VLOOKUP(($AY19&amp;EU19&amp;"Template desconto FLAT Plano Principal Oi TV nível conta"),[1]BENEFICIOS!$A:$G,5,0)))</f>
        <v/>
      </c>
      <c r="EW19" s="129"/>
      <c r="EX19" s="127" t="str">
        <f>IF(EW19=0,"",IF(EW19=VLOOKUP("PCS-OzTL43",[1]ARBOR!$A:$C,3,0),0.0001,IF(EW19&gt;VLOOKUP("PCS-OzTL43",[1]ARBOR!$A:$C,3,0),"Maior que CAP!",IF((DOLLAR(EW19+(VLOOKUP("PCS-OzTL43",[1]ARBOR!$A:$C,3,0)*-TRUNC(EW19/VLOOKUP("PCS-OzTL43",[1]ARBOR!$A:$C,3,0)-1,4)),6))&lt;&gt;(DOLLAR(VLOOKUP("PCS-OzTL43",[1]ARBOR!$A:$C,3,0),6)),-TRUNC(EW19/VLOOKUP("PCS-OzTL43",[1]ARBOR!$A:$C,3,0)-1,4)+0.0001,-TRUNC(EW19/VLOOKUP("PCS-OzTL43",[1]ARBOR!$A:$C,3,0)-1,4)))))</f>
        <v/>
      </c>
      <c r="EY19" s="204" t="str">
        <f>IF(ISERROR(IF(EX19="","",VLOOKUP(($AY19&amp;EX19&amp;"Template desconto FLAT Plano Principal Oi TV nível conta"),[1]BENEFICIOS!$A:$G,5,0))),"Criar",IF(EX19="","",VLOOKUP(($AY19&amp;EX19&amp;"Template desconto FLAT Plano Principal Oi TV nível conta"),[1]BENEFICIOS!$A:$G,5,0)))</f>
        <v/>
      </c>
      <c r="EZ19" s="129"/>
      <c r="FA19" s="127" t="str">
        <f>IF(EZ19=0,"",IF(EZ19=VLOOKUP("PCS-OzTL45",[1]ARBOR!$A:$C,3,0),0.0001,IF(EZ19&gt;VLOOKUP("PCS-OzTL45",[1]ARBOR!$A:$C,3,0),"Maior que CAP!",IF((DOLLAR(EZ19+(VLOOKUP("PCS-OzTL45",[1]ARBOR!$A:$C,3,0)*-TRUNC(EZ19/VLOOKUP("PCS-OzTL45",[1]ARBOR!$A:$C,3,0)-1,4)),6))&lt;&gt;(DOLLAR(VLOOKUP("PCS-OzTL45",[1]ARBOR!$A:$C,3,0),6)),-TRUNC(EZ19/VLOOKUP("PCS-OzTL45",[1]ARBOR!$A:$C,3,0)-1,4)+0.0001,-TRUNC(EZ19/VLOOKUP("PCS-OzTL45",[1]ARBOR!$A:$C,3,0)-1,4)))))</f>
        <v/>
      </c>
      <c r="FB19" s="204" t="str">
        <f>IF(ISERROR(IF(FA19="","",VLOOKUP(($AY19&amp;FA19&amp;"Template desconto FLAT Plano Principal Oi TV nível conta"),[1]BENEFICIOS!$A:$G,5,0))),"Criar",IF(FA19="","",VLOOKUP(($AY19&amp;FA19&amp;"Template desconto FLAT Plano Principal Oi TV nível conta"),[1]BENEFICIOS!$A:$G,5,0)))</f>
        <v/>
      </c>
      <c r="FC19" s="129"/>
      <c r="FD19" s="127" t="str">
        <f>IF(FC19=0,"",IF(FC19=VLOOKUP("PCS-OzTL741",[1]ARBOR!$A:$C,3,0),0.0001,IF(FC19&gt;VLOOKUP("PCS-OzTL741",[1]ARBOR!$A:$C,3,0),"Maior que CAP!",IF((DOLLAR(FC19+(VLOOKUP("PCS-OzTL741",[1]ARBOR!$A:$C,3,0)*-TRUNC(FC19/VLOOKUP("PCS-OzTL741",[1]ARBOR!$A:$C,3,0)-1,4)),6))&lt;&gt;(DOLLAR(VLOOKUP("PCS-OzTL741",[1]ARBOR!$A:$C,3,0),6)),-TRUNC(FC19/VLOOKUP("PCS-OzTL741",[1]ARBOR!$A:$C,3,0)-1,4)+0.0001,-TRUNC(FC19/VLOOKUP("PCS-OzTL741",[1]ARBOR!$A:$C,3,0)-1,4)))))</f>
        <v/>
      </c>
      <c r="FE19" s="204" t="str">
        <f>IF(ISERROR(IF(FD19="","",VLOOKUP(($AY19&amp;FD19&amp;"Template desconto FLAT Plano Principal Oi TV nível conta"),[1]BENEFICIOS!$A:$G,5,0))),"Criar",IF(FD19="","",VLOOKUP(($AY19&amp;FD19&amp;"Template desconto FLAT Plano Principal Oi TV nível conta"),[1]BENEFICIOS!$A:$G,5,0)))</f>
        <v/>
      </c>
      <c r="FF19" s="129"/>
      <c r="FG19" s="127" t="str">
        <f>IF(FF19=0,"",IF(FF19=VLOOKUP("PCS-OzTL744",[1]ARBOR!$A:$C,3,0),0.0001,IF(FF19&gt;VLOOKUP("PCS-OzTL744",[1]ARBOR!$A:$C,3,0),"Maior que CAP!",IF((DOLLAR(FF19+(VLOOKUP("PCS-OzTL744",[1]ARBOR!$A:$C,3,0)*-TRUNC(FF19/VLOOKUP("PCS-OzTL744",[1]ARBOR!$A:$C,3,0)-1,4)),6))&lt;&gt;(DOLLAR(VLOOKUP("PCS-OzTL744",[1]ARBOR!$A:$C,3,0),6)),-TRUNC(FF19/VLOOKUP("PCS-OzTL744",[1]ARBOR!$A:$C,3,0)-1,4)+0.0001,-TRUNC(FF19/VLOOKUP("PCS-OzTL744",[1]ARBOR!$A:$C,3,0)-1,4)))))</f>
        <v/>
      </c>
      <c r="FH19" s="204" t="str">
        <f>IF(ISERROR(IF(FG19="","",VLOOKUP(($AY19&amp;FG19&amp;"Template desconto FLAT Plano Principal Oi TV nível conta"),[1]BENEFICIOS!$A:$G,5,0))),"Criar",IF(FG19="","",VLOOKUP(($AY19&amp;FG19&amp;"Template desconto FLAT Plano Principal Oi TV nível conta"),[1]BENEFICIOS!$A:$G,5,0)))</f>
        <v/>
      </c>
      <c r="FI19" s="129"/>
      <c r="FJ19" s="127" t="str">
        <f>IF(FI19=0,"",IF(FI19=VLOOKUP("PCS-OzTL743",[1]ARBOR!$A:$C,3,0),0.0001,IF(FI19&gt;VLOOKUP("PCS-OzTL743",[1]ARBOR!$A:$C,3,0),"Maior que CAP!",IF((DOLLAR(FI19+(VLOOKUP("PCS-OzTL743",[1]ARBOR!$A:$C,3,0)*-TRUNC(FI19/VLOOKUP("PCS-OzTL743",[1]ARBOR!$A:$C,3,0)-1,4)),6))&lt;&gt;(DOLLAR(VLOOKUP("PCS-OzTL743",[1]ARBOR!$A:$C,3,0),6)),-TRUNC(FI19/VLOOKUP("PCS-OzTL743",[1]ARBOR!$A:$C,3,0)-1,4)+0.0001,-TRUNC(FI19/VLOOKUP("PCS-OzTL743",[1]ARBOR!$A:$C,3,0)-1,4)))))</f>
        <v/>
      </c>
      <c r="FK19" s="204" t="str">
        <f>IF(ISERROR(IF(FJ19="","",VLOOKUP(($AY19&amp;FJ19&amp;"Template desconto FLAT Plano Principal Oi TV nível conta"),[1]BENEFICIOS!$A:$G,5,0))),"Criar",IF(FJ19="","",VLOOKUP(($AY19&amp;FJ19&amp;"Template desconto FLAT Plano Principal Oi TV nível conta"),[1]BENEFICIOS!$A:$G,5,0)))</f>
        <v/>
      </c>
      <c r="FL19" s="129"/>
      <c r="FM19" s="127" t="str">
        <f>IF(FL19=0,"",IF(FL19=VLOOKUP("PCS-OzTL745",[1]ARBOR!$A:$C,3,0),0.0001,IF(FL19&gt;VLOOKUP("PCS-OzTL745",[1]ARBOR!$A:$C,3,0),"Maior que CAP!",IF((DOLLAR(FL19+(VLOOKUP("PCS-OzTL745",[1]ARBOR!$A:$C,3,0)*-TRUNC(FL19/VLOOKUP("PCS-OzTL745",[1]ARBOR!$A:$C,3,0)-1,4)),6))&lt;&gt;(DOLLAR(VLOOKUP("PCS-OzTL745",[1]ARBOR!$A:$C,3,0),6)),-TRUNC(FL19/VLOOKUP("PCS-OzTL745",[1]ARBOR!$A:$C,3,0)-1,4)+0.0001,-TRUNC(FL19/VLOOKUP("PCS-OzTL745",[1]ARBOR!$A:$C,3,0)-1,4)))))</f>
        <v/>
      </c>
      <c r="FN19" s="204" t="str">
        <f>IF(ISERROR(IF(FM19="","",VLOOKUP(($AY19&amp;FM19&amp;"Template desconto FLAT Plano Principal Oi TV nível conta"),[1]BENEFICIOS!$A:$G,5,0))),"Criar",IF(FM19="","",VLOOKUP(($AY19&amp;FM19&amp;"Template desconto FLAT Plano Principal Oi TV nível conta"),[1]BENEFICIOS!$A:$G,5,0)))</f>
        <v/>
      </c>
      <c r="FO19" s="129"/>
      <c r="FP19" s="127" t="str">
        <f>IF(FO19=0,"",IF(FO19=VLOOKUP("PCS-OzTL42",[1]ARBOR!$A:$C,3,0),0.0001,IF(FO19&gt;VLOOKUP("PCS-OzTL42",[1]ARBOR!$A:$C,3,0),"Maior que CAP!",IF((DOLLAR(FO19+(VLOOKUP("PCS-OzTL42",[1]ARBOR!$A:$C,3,0)*-TRUNC(FO19/VLOOKUP("PCS-OzTL42",[1]ARBOR!$A:$C,3,0)-1,4)),6))&lt;&gt;(DOLLAR(VLOOKUP("PCS-OzTL42",[1]ARBOR!$A:$C,3,0),6)),-TRUNC(FO19/VLOOKUP("PCS-OzTL42",[1]ARBOR!$A:$C,3,0)-1,4)+0.0001,-TRUNC(FO19/VLOOKUP("PCS-OzTL42",[1]ARBOR!$A:$C,3,0)-1,4)))))</f>
        <v/>
      </c>
      <c r="FQ19" s="204" t="str">
        <f>IF(ISERROR(IF(FP19="","",VLOOKUP(($AY19&amp;FP19&amp;"Template desconto FLAT Plano Principal Oi TV nível conta"),[1]BENEFICIOS!$A:$G,5,0))),"Criar",IF(FP19="","",VLOOKUP(($AY19&amp;FP19&amp;"Template desconto FLAT Plano Principal Oi TV nível conta"),[1]BENEFICIOS!$A:$G,5,0)))</f>
        <v/>
      </c>
      <c r="FR19" s="129"/>
      <c r="FS19" s="127" t="str">
        <f>IF(FR19=0,"",IF(FR19=VLOOKUP("PCS-OzTL47",[1]ARBOR!$A:$C,3,0),0.0001,IF(FR19&gt;VLOOKUP("PCS-OzTL47",[1]ARBOR!$A:$C,3,0),"Maior que CAP!",IF((DOLLAR(FR19+(VLOOKUP("PCS-OzTL47",[1]ARBOR!$A:$C,3,0)*-TRUNC(FR19/VLOOKUP("PCS-OzTL47",[1]ARBOR!$A:$C,3,0)-1,4)),6))&lt;&gt;(DOLLAR(VLOOKUP("PCS-OzTL47",[1]ARBOR!$A:$C,3,0),6)),-TRUNC(FR19/VLOOKUP("PCS-OzTL47",[1]ARBOR!$A:$C,3,0)-1,4)+0.0001,-TRUNC(FR19/VLOOKUP("PCS-OzTL47",[1]ARBOR!$A:$C,3,0)-1,4)))))</f>
        <v/>
      </c>
      <c r="FT19" s="204" t="str">
        <f>IF(ISERROR(IF(FS19="","",VLOOKUP(($AY19&amp;FS19&amp;"Template desconto FLAT Plano Principal Oi TV nível conta"),[1]BENEFICIOS!$A:$G,5,0))),"Criar",IF(FS19="","",VLOOKUP(($AY19&amp;FS19&amp;"Template desconto FLAT Plano Principal Oi TV nível conta"),[1]BENEFICIOS!$A:$G,5,0)))</f>
        <v/>
      </c>
      <c r="FU19" s="129"/>
      <c r="FV19" s="127" t="str">
        <f>IF(FU19=0,"",IF(FU19=VLOOKUP("PCS-OzTL46",[1]ARBOR!$A:$C,3,0),0.0001,IF(FU19&gt;VLOOKUP("PCS-OzTL46",[1]ARBOR!$A:$C,3,0),"Maior que CAP!",IF((DOLLAR(FU19+(VLOOKUP("PCS-OzTL46",[1]ARBOR!$A:$C,3,0)*-TRUNC(FU19/VLOOKUP("PCS-OzTL46",[1]ARBOR!$A:$C,3,0)-1,4)),6))&lt;&gt;(DOLLAR(VLOOKUP("PCS-OzTL46",[1]ARBOR!$A:$C,3,0),6)),-TRUNC(FU19/VLOOKUP("PCS-OzTL46",[1]ARBOR!$A:$C,3,0)-1,4)+0.0001,-TRUNC(FU19/VLOOKUP("PCS-OzTL46",[1]ARBOR!$A:$C,3,0)-1,4)))))</f>
        <v/>
      </c>
      <c r="FW19" s="204" t="str">
        <f>IF(ISERROR(IF(FV19="","",VLOOKUP(($AY19&amp;FV19&amp;"Template desconto FLAT Plano Principal Oi TV nível conta"),[1]BENEFICIOS!$A:$G,5,0))),"Criar",IF(FV19="","",VLOOKUP(($AY19&amp;FV19&amp;"Template desconto FLAT Plano Principal Oi TV nível conta"),[1]BENEFICIOS!$A:$G,5,0)))</f>
        <v/>
      </c>
      <c r="FX19" s="129"/>
      <c r="FY19" s="127" t="str">
        <f>IF(FX19=0,"",IF(FX19=VLOOKUP("PCS-OzTL48",[1]ARBOR!$A:$C,3,0),0.0001,IF(FX19&gt;VLOOKUP("PCS-OzTL48",[1]ARBOR!$A:$C,3,0),"Maior que CAP!",IF((DOLLAR(FX19+(VLOOKUP("PCS-OzTL48",[1]ARBOR!$A:$C,3,0)*-TRUNC(FX19/VLOOKUP("PCS-OzTL48",[1]ARBOR!$A:$C,3,0)-1,4)),6))&lt;&gt;(DOLLAR(VLOOKUP("PCS-OzTL48",[1]ARBOR!$A:$C,3,0),6)),-TRUNC(FX19/VLOOKUP("PCS-OzTL48",[1]ARBOR!$A:$C,3,0)-1,4)+0.0001,-TRUNC(FX19/VLOOKUP("PCS-OzTL48",[1]ARBOR!$A:$C,3,0)-1,4)))))</f>
        <v/>
      </c>
      <c r="FZ19" s="204" t="str">
        <f>IF(ISERROR(IF(FY19="","",VLOOKUP(($AY19&amp;FY19&amp;"Template desconto FLAT Plano Principal Oi TV nível conta"),[1]BENEFICIOS!$A:$G,5,0))),"Criar",IF(FY19="","",VLOOKUP(($AY19&amp;FY19&amp;"Template desconto FLAT Plano Principal Oi TV nível conta"),[1]BENEFICIOS!$A:$G,5,0)))</f>
        <v/>
      </c>
      <c r="GA19" s="129"/>
      <c r="GB19" s="127" t="str">
        <f>IF(GA19=0,"",IF(GA19=VLOOKUP("PCS-OzTL742",[1]ARBOR!$A:$C,3,0),0.0001,IF(GA19&gt;VLOOKUP("PCS-OzTL742",[1]ARBOR!$A:$C,3,0),"Maior que CAP!",IF((DOLLAR(GA19+(VLOOKUP("PCS-OzTL742",[1]ARBOR!$A:$C,3,0)*-TRUNC(GA19/VLOOKUP("PCS-OzTL742",[1]ARBOR!$A:$C,3,0)-1,4)),6))&lt;&gt;(DOLLAR(VLOOKUP("PCS-OzTL742",[1]ARBOR!$A:$C,3,0),6)),-TRUNC(GA19/VLOOKUP("PCS-OzTL742",[1]ARBOR!$A:$C,3,0)-1,4)+0.0001,-TRUNC(GA19/VLOOKUP("PCS-OzTL742",[1]ARBOR!$A:$C,3,0)-1,4)))))</f>
        <v/>
      </c>
      <c r="GC19" s="204" t="str">
        <f>IF(ISERROR(IF(GB19="","",VLOOKUP(($AY19&amp;GB19&amp;"Template desconto FLAT Plano Principal Oi TV nível conta"),[1]BENEFICIOS!$A:$G,5,0))),"Criar",IF(GB19="","",VLOOKUP(($AY19&amp;GB19&amp;"Template desconto FLAT Plano Principal Oi TV nível conta"),[1]BENEFICIOS!$A:$G,5,0)))</f>
        <v/>
      </c>
      <c r="GD19" s="129"/>
      <c r="GE19" s="127" t="str">
        <f>IF(GD19=0,"",IF(GD19=VLOOKUP("PCS-OzTL747",[1]ARBOR!$A:$C,3,0),0.0001,IF(GD19&gt;VLOOKUP("PCS-OzTL747",[1]ARBOR!$A:$C,3,0),"Maior que CAP!",IF((DOLLAR(GD19+(VLOOKUP("PCS-OzTL747",[1]ARBOR!$A:$C,3,0)*-TRUNC(GD19/VLOOKUP("PCS-OzTL747",[1]ARBOR!$A:$C,3,0)-1,4)),6))&lt;&gt;(DOLLAR(VLOOKUP("PCS-OzTL747",[1]ARBOR!$A:$C,3,0),6)),-TRUNC(GD19/VLOOKUP("PCS-OzTL747",[1]ARBOR!$A:$C,3,0)-1,4)+0.0001,-TRUNC(GD19/VLOOKUP("PCS-OzTL747",[1]ARBOR!$A:$C,3,0)-1,4)))))</f>
        <v/>
      </c>
      <c r="GF19" s="204" t="str">
        <f>IF(ISERROR(IF(GE19="","",VLOOKUP(($AY19&amp;GE19&amp;"Template desconto FLAT Plano Principal Oi TV nível conta"),[1]BENEFICIOS!$A:$G,5,0))),"Criar",IF(GE19="","",VLOOKUP(($AY19&amp;GE19&amp;"Template desconto FLAT Plano Principal Oi TV nível conta"),[1]BENEFICIOS!$A:$G,5,0)))</f>
        <v/>
      </c>
      <c r="GG19" s="129"/>
      <c r="GH19" s="127" t="str">
        <f>IF(GG19=0,"",IF(GG19=VLOOKUP("PCS-OzTL746",[1]ARBOR!$A:$C,3,0),0.0001,IF(GG19&gt;VLOOKUP("PCS-OzTL746",[1]ARBOR!$A:$C,3,0),"Maior que CAP!",IF((DOLLAR(GG19+(VLOOKUP("PCS-OzTL746",[1]ARBOR!$A:$C,3,0)*-TRUNC(GG19/VLOOKUP("PCS-OzTL746",[1]ARBOR!$A:$C,3,0)-1,4)),6))&lt;&gt;(DOLLAR(VLOOKUP("PCS-OzTL746",[1]ARBOR!$A:$C,3,0),6)),-TRUNC(GG19/VLOOKUP("PCS-OzTL746",[1]ARBOR!$A:$C,3,0)-1,4)+0.0001,-TRUNC(GG19/VLOOKUP("PCS-OzTL746",[1]ARBOR!$A:$C,3,0)-1,4)))))</f>
        <v/>
      </c>
      <c r="GI19" s="204" t="str">
        <f>IF(ISERROR(IF(GH19="","",VLOOKUP(($AY19&amp;GH19&amp;"Template desconto FLAT Plano Principal Oi TV nível conta"),[1]BENEFICIOS!$A:$G,5,0))),"Criar",IF(GH19="","",VLOOKUP(($AY19&amp;GH19&amp;"Template desconto FLAT Plano Principal Oi TV nível conta"),[1]BENEFICIOS!$A:$G,5,0)))</f>
        <v/>
      </c>
      <c r="GJ19" s="129">
        <v>189.9</v>
      </c>
      <c r="GK19" s="127">
        <f>IF(GJ19=0,"",IF(GJ19=VLOOKUP("PCS-OzTL748",[1]ARBOR!$A:$C,3,0),0.0001,IF(GJ19&gt;VLOOKUP("PCS-OzTL748",[1]ARBOR!$A:$C,3,0),"Maior que CAP!",IF((DOLLAR(GJ19+(VLOOKUP("PCS-OzTL748",[1]ARBOR!$A:$C,3,0)*-TRUNC(GJ19/VLOOKUP("PCS-OzTL748",[1]ARBOR!$A:$C,3,0)-1,4)),6))&lt;&gt;(DOLLAR(VLOOKUP("PCS-OzTL748",[1]ARBOR!$A:$C,3,0),6)),-TRUNC(GJ19/VLOOKUP("PCS-OzTL748",[1]ARBOR!$A:$C,3,0)-1,4)+0.0001,-TRUNC(GJ19/VLOOKUP("PCS-OzTL748",[1]ARBOR!$A:$C,3,0)-1,4)))))</f>
        <v>0.38400000000000001</v>
      </c>
      <c r="GL19" s="204" t="str">
        <f>IF(ISERROR(IF(GK19="","",VLOOKUP(($AY19&amp;GK19&amp;"Template desconto FLAT Plano Principal Oi TV nível conta"),[1]BENEFICIOS!$A:$G,5,0))),"Criar",IF(GK19="","",VLOOKUP(($AY19&amp;GK19&amp;"Template desconto FLAT Plano Principal Oi TV nível conta"),[1]BENEFICIOS!$A:$G,5,0)))</f>
        <v>MKT-1-9827464097</v>
      </c>
      <c r="GM19" s="129">
        <v>75</v>
      </c>
      <c r="GN19" s="127">
        <f>IF(GM19=0,"",IF(GM19=VLOOKUP("PCS-OzTL34",[1]ARBOR!$A:$C,3,0),0.0001,IF(GM19&gt;VLOOKUP("PCS-OzTL34",[1]ARBOR!$A:$C,3,0),"Maior que CAP!",IF((DOLLAR(GM19+(VLOOKUP("PCS-OzTL34",[1]ARBOR!$A:$C,3,0)*-TRUNC(GM19/VLOOKUP("PCS-OzTL34",[1]ARBOR!$A:$C,3,0)-1,4)),6))&lt;&gt;(DOLLAR(VLOOKUP("PCS-OzTL34",[1]ARBOR!$A:$C,3,0),6)),-TRUNC(GM19/VLOOKUP("PCS-OzTL34",[1]ARBOR!$A:$C,3,0)-1,4)+0.0001,-TRUNC(GM19/VLOOKUP("PCS-OzTL34",[1]ARBOR!$A:$C,3,0)-1,4)))))</f>
        <v>0.31900000000000001</v>
      </c>
      <c r="GO19" s="204" t="s">
        <v>161</v>
      </c>
      <c r="GP19" s="129">
        <v>19.899999999999999</v>
      </c>
      <c r="GQ19" s="127">
        <f>IF(GP19=0,"",IF(GP19=VLOOKUP("PCS-OzTL31",[1]ARBOR!$A:$C,3,0),0.0001,IF(GP19&gt;VLOOKUP("PCS-OzTL31",[1]ARBOR!$A:$C,3,0),"Maior que CAP!",IF((DOLLAR(GP19+(VLOOKUP("PCS-OzTL31",[1]ARBOR!$A:$C,3,0)*-TRUNC(GP19/VLOOKUP("PCS-OzTL31",[1]ARBOR!$A:$C,3,0)-1,4)),6))&lt;&gt;(DOLLAR(VLOOKUP("PCS-OzTL31",[1]ARBOR!$A:$C,3,0),6)),-TRUNC(GP19/VLOOKUP("PCS-OzTL31",[1]ARBOR!$A:$C,3,0)-1,4)+0.0001,-TRUNC(GP19/VLOOKUP("PCS-OzTL31",[1]ARBOR!$A:$C,3,0)-1,4)))))</f>
        <v>9.1800000000000007E-2</v>
      </c>
      <c r="GR19" s="204" t="s">
        <v>162</v>
      </c>
      <c r="GS19" s="129">
        <v>19.899999999999999</v>
      </c>
      <c r="GT19" s="127">
        <f>IF(GS19=0,"",IF(GS19=VLOOKUP("PCS-OzTL32",[1]ARBOR!$A:$C,3,0),0.0001,IF(GS19&gt;VLOOKUP("PCS-OzTL32",[1]ARBOR!$A:$C,3,0),"Maior que CAP!",IF((DOLLAR(GS19+(VLOOKUP("PCS-OzTL32",[1]ARBOR!$A:$C,3,0)*-TRUNC(GS19/VLOOKUP("PCS-OzTL32",[1]ARBOR!$A:$C,3,0)-1,4)),6))&lt;&gt;(DOLLAR(VLOOKUP("PCS-OzTL32",[1]ARBOR!$A:$C,3,0),6)),-TRUNC(GS19/VLOOKUP("PCS-OzTL32",[1]ARBOR!$A:$C,3,0)-1,4)+0.0001,-TRUNC(GS19/VLOOKUP("PCS-OzTL32",[1]ARBOR!$A:$C,3,0)-1,4)))))</f>
        <v>9.1800000000000007E-2</v>
      </c>
      <c r="GU19" s="204" t="s">
        <v>163</v>
      </c>
      <c r="GV19" s="129">
        <v>29.9</v>
      </c>
      <c r="GW19" s="127">
        <f>IF(GV19=0,"",IF(GV19=VLOOKUP("PCS-OzTL33",[1]ARBOR!$A:$C,3,0),0.0001,IF(GV19&gt;VLOOKUP("PCS-OzTL33",[1]ARBOR!$A:$C,3,0),"Maior que CAP!",IF((DOLLAR(GV19+(VLOOKUP("PCS-OzTL33",[1]ARBOR!$A:$C,3,0)*-TRUNC(GV19/VLOOKUP("PCS-OzTL33",[1]ARBOR!$A:$C,3,0)-1,4)),6))&lt;&gt;(DOLLAR(VLOOKUP("PCS-OzTL33",[1]ARBOR!$A:$C,3,0),6)),-TRUNC(GV19/VLOOKUP("PCS-OzTL33",[1]ARBOR!$A:$C,3,0)-1,4)+0.0001,-TRUNC(GV19/VLOOKUP("PCS-OzTL33",[1]ARBOR!$A:$C,3,0)-1,4)))))</f>
        <v>9.1800000000000007E-2</v>
      </c>
      <c r="GX19" s="204" t="s">
        <v>164</v>
      </c>
      <c r="GY19" s="129">
        <v>14.9</v>
      </c>
      <c r="GZ19" s="127">
        <f>IF(GY19=0,"",IF(GY19=VLOOKUP("PCS-OzTL503",[1]ARBOR!$A:$C,3,0),0.0001,IF(GY19&gt;VLOOKUP("PCS-OzTL503",[1]ARBOR!$A:$C,3,0),"Maior que CAP!",IF((DOLLAR(GY19+(VLOOKUP("PCS-OzTL503",[1]ARBOR!$A:$C,3,0)*-TRUNC(GY19/VLOOKUP("PCS-OzTL503",[1]ARBOR!$A:$C,3,0)-1,4)),6))&lt;&gt;(DOLLAR(VLOOKUP("PCS-OzTL503",[1]ARBOR!$A:$C,3,0),6)),-TRUNC(GY19/VLOOKUP("PCS-OzTL503",[1]ARBOR!$A:$C,3,0)-1,4)+0.0001,-TRUNC(GY19/VLOOKUP("PCS-OzTL503",[1]ARBOR!$A:$C,3,0)-1,4)))))</f>
        <v>9.1499999999999998E-2</v>
      </c>
      <c r="HA19" s="204" t="s">
        <v>165</v>
      </c>
      <c r="HB19" s="129">
        <v>10</v>
      </c>
      <c r="HC19" s="127">
        <f>IF(HB19=0,"",IF(HB19=VLOOKUP("PCS-OzTL500",[1]ARBOR!$A:$C,3,0),0.0001,IF(HB19&gt;VLOOKUP("PCS-OzTL500",[1]ARBOR!$A:$C,3,0),"Maior que CAP!",IF((DOLLAR(HB19+(VLOOKUP("PCS-OzTL500",[1]ARBOR!$A:$C,3,0)*-TRUNC(HB19/VLOOKUP("PCS-OzTL500",[1]ARBOR!$A:$C,3,0)-1,4)),6))&lt;&gt;(DOLLAR(VLOOKUP("PCS-OzTL500",[1]ARBOR!$A:$C,3,0),6)),-TRUNC(HB19/VLOOKUP("PCS-OzTL500",[1]ARBOR!$A:$C,3,0)-1,4)+0.0001,-TRUNC(HB19/VLOOKUP("PCS-OzTL500",[1]ARBOR!$A:$C,3,0)-1,4)))))</f>
        <v>9.1800000000000007E-2</v>
      </c>
      <c r="HD19" s="204" t="s">
        <v>166</v>
      </c>
      <c r="HE19" s="129" t="s">
        <v>167</v>
      </c>
      <c r="HF19" s="127"/>
      <c r="HG19" s="204"/>
      <c r="HH19" s="129" t="s">
        <v>168</v>
      </c>
      <c r="HI19" s="127"/>
      <c r="HJ19" s="204"/>
      <c r="HK19" s="129" t="s">
        <v>169</v>
      </c>
      <c r="HL19" s="127"/>
      <c r="HM19" s="204"/>
      <c r="HN19" s="129" t="s">
        <v>170</v>
      </c>
      <c r="HO19" s="127"/>
      <c r="HP19" s="204"/>
      <c r="HQ19" s="129" t="s">
        <v>171</v>
      </c>
      <c r="HR19" s="127"/>
      <c r="HS19" s="204"/>
      <c r="HT19" s="129">
        <v>24.9</v>
      </c>
      <c r="HU19" s="127">
        <f>IF(HT19=0,"",IF(HT19=VLOOKUP("PCS-OzTL99",[1]ARBOR!$A:$C,3,0),0.0001,IF(HT19&gt;VLOOKUP("PCS-OzTL99",[1]ARBOR!$A:$C,3,0),"Maior que CAP!",IF((DOLLAR(HT19+(VLOOKUP("PCS-OzTL99",[1]ARBOR!$A:$C,3,0)*-TRUNC(HT19/VLOOKUP("PCS-OzTL99",[1]ARBOR!$A:$C,3,0)-1,4)),6))&lt;&gt;(DOLLAR(VLOOKUP("PCS-OzTL99",[1]ARBOR!$A:$C,3,0),6)),-TRUNC(HT19/VLOOKUP("PCS-OzTL99",[1]ARBOR!$A:$C,3,0)-1,4)+0.0001,-TRUNC(HT19/VLOOKUP("PCS-OzTL99",[1]ARBOR!$A:$C,3,0)-1,4)))))</f>
        <v>0.16729999999999998</v>
      </c>
      <c r="HV19" s="205" t="s">
        <v>172</v>
      </c>
      <c r="HW19" s="196" t="s">
        <v>149</v>
      </c>
      <c r="HX19" s="204" t="str">
        <f t="shared" si="4"/>
        <v>PCS-34704</v>
      </c>
      <c r="HY19" s="206" t="str">
        <f>IFERROR((IF(AZ19="","",VLOOKUP(AZ19,[1]ARBOR!A:C,3,0))),"")</f>
        <v/>
      </c>
      <c r="HZ19" s="207"/>
      <c r="IA19" s="184" t="str">
        <f>IF(HZ19="","",ROUND(1-(HZ19/VLOOKUP(AZ19&amp;"ASS",[1]ARBOR!A:C,3,0)),4))</f>
        <v/>
      </c>
      <c r="IB19" s="184"/>
      <c r="IC19" s="208"/>
      <c r="ID19" s="209"/>
      <c r="IE19" s="127" t="str">
        <f>IF(ID19="","",ROUND(IF(ID19=0,"",IF(ID19=HY19,0.0001,1-((ID19+(VLOOKUP(AZ19&amp;"ASS",[1]ARBOR!A:C,3,0)-HZ19))/HY19))),4))</f>
        <v/>
      </c>
      <c r="IF19" s="127" t="str">
        <f>IF(ISERROR(IF(IE19="","",VLOOKUP(($AY19&amp;IE19&amp;"Template de desconto percentual FLAT Móvel - Conta Total - Varejo - Ganho Tributário Cross"),[1]BENEFICIOS!$A:$E,5,0))),"Criar",IF(IE19="","",VLOOKUP(($AY19&amp;IE19&amp;"Template de desconto percentual FLAT Móvel - Conta Total - Varejo - Ganho Tributário Cross"),[1]BENEFICIOS!$A:$E,5,0)))</f>
        <v/>
      </c>
      <c r="IG19" s="193"/>
      <c r="IH19" s="127"/>
      <c r="II19" s="210"/>
      <c r="IJ19" s="211"/>
      <c r="IK19" s="127"/>
      <c r="IL19" s="127"/>
      <c r="IM19" s="212"/>
      <c r="IN19" s="212"/>
      <c r="IO19" s="213"/>
      <c r="IP19" s="214" t="str">
        <f>IF(IO19=0,"",IF(IO19=VLOOKUP("PCS-813566",[1]ARBOR!$A:$C,3,0),0.0001,IF(IO19&gt;VLOOKUP("PCS-813566",[1]ARBOR!$A:$C,3,0),"Maior que CAP!",ROUND(-1*(IO19/VLOOKUP("PCS-813566",[1]ARBOR!$A:$C,3,0)-1),4))))</f>
        <v/>
      </c>
      <c r="IQ19" s="215" t="str">
        <f>IF(ISERROR(IF(IP19="","",VLOOKUP(("Oi Internet Pra Celular 300MB"&amp;IP19&amp;"Template Flat Instância Dados"),[1]BENEFICIOS!$A:$E,5,0))),"Criar",IF(IP19="","",VLOOKUP(("Oi Internet Pra Celular 300MB"&amp;IP19&amp;"Template Flat Instância Dados"),[1]BENEFICIOS!$A:$E,5,0)))</f>
        <v/>
      </c>
      <c r="IR19" s="216"/>
      <c r="IS19" s="217" t="str">
        <f>IF(IR19=0,"",IF(IR19=VLOOKUP("sva_bancas",[1]ARBOR!$A:$C,3,0),0.0001,IF(IR19&gt;VLOOKUP("sva_livros",[1]ARBOR!$A:$C,3,0),"Maior que CAP!",ROUND(-1*(IR19/VLOOKUP("sva_bancas",[1]ARBOR!$A:$C,3,0)-1),4))))</f>
        <v/>
      </c>
      <c r="IT19" s="218" t="str">
        <f>IF(ISERROR(IF(IS19="","",VLOOKUP(("Oi Internet Pra Celular 300MB"&amp;IS19&amp;"Template Desconto % SVA DADOS B2C"),[1]BENEFICIOS!$A:$E,5,0))),"Criar",IF(IS19="","",VLOOKUP(("Oi Internet Pra Celular 300MB"&amp;IS19&amp;"Template Desconto % SVA DADOS B2C"),[1]BENEFICIOS!$A:$E,5,0)))</f>
        <v/>
      </c>
      <c r="IU19" s="213"/>
      <c r="IV19" s="214" t="str">
        <f>IF(IU19=0,"",IF(IU19=VLOOKUP("PCS-813564",[1]ARBOR!$A:$C,3,0),0.0001,IF(IU19&gt;VLOOKUP("PCS-813564",[1]ARBOR!$A:$C,3,0),"Maior que CAP!",ROUND(-1*(IU19/VLOOKUP("PCS-813564",[1]ARBOR!$A:$C,3,0)-1),4))))</f>
        <v/>
      </c>
      <c r="IW19" s="215" t="str">
        <f>IF(ISERROR(IF(IV19="","",VLOOKUP(("Oi Internet Pra Celular 500MB"&amp;IV19&amp;"Template Flat Instância Dados"),[1]BENEFICIOS!$A:$E,5,0))),"Criar",IF(IV19="","",VLOOKUP(("Oi Internet Pra Celular 500MB"&amp;IV19&amp;"Template Flat Instância Dados"),[1]BENEFICIOS!$A:$E,5,0)))</f>
        <v/>
      </c>
      <c r="IX19" s="216"/>
      <c r="IY19" s="217" t="str">
        <f>IF(IX19=0,"",IF(IX19=VLOOKUP("sva_livros",[1]ARBOR!$A:$C,3,0),0.0001,IF(IX19&gt;VLOOKUP("sva_livros",[1]ARBOR!$A:$C,3,0),"Maior que CAP!",ROUND(-1*(IX19/VLOOKUP("sva_livros",[1]ARBOR!$A:$C,3,0)-1),4))))</f>
        <v/>
      </c>
      <c r="IZ19" s="218" t="str">
        <f>IF(ISERROR(IF(IY19="","",VLOOKUP(("Oi Internet Pra Celular 500MB"&amp;IY19&amp;"Template Desconto % SVA DADOS B2C"),[1]BENEFICIOS!$A:$E,5,0))),"Criar",IF(IY19="","",VLOOKUP(("Oi Internet Pra Celular 500MB"&amp;IY19&amp;"Template Desconto % SVA DADOS B2C"),[1]BENEFICIOS!$A:$E,5,0)))</f>
        <v/>
      </c>
      <c r="JA19" s="213"/>
      <c r="JB19" s="214" t="str">
        <f>IF(JA19=0,"",IF(JA19=VLOOKUP("PCS-10357",[1]ARBOR!$A:$C,3,0),0.0001,IF(JA19&gt;VLOOKUP("PCS-10357",[1]ARBOR!$A:$C,3,0),"Maior que CAP!",ROUND(-1*(JA19/VLOOKUP("PCS-10357",[1]ARBOR!$A:$C,3,0)-1),4))))</f>
        <v/>
      </c>
      <c r="JC19" s="215" t="str">
        <f>IF(ISERROR(IF(JB19="","",VLOOKUP(("Oi Internet Pra Celular 1GB"&amp;JB19&amp;"Template Flat Instância Dados"),[1]BENEFICIOS!$A:$E,5,0))),"Criar",IF(JB19="","",VLOOKUP(("Oi Internet Pra Celular 1GB"&amp;JB19&amp;"Template Flat Instância Dados"),[1]BENEFICIOS!$A:$E,5,0)))</f>
        <v/>
      </c>
      <c r="JD19" s="216"/>
      <c r="JE19" s="217" t="str">
        <f>IF(JD19=0,"",IF(JD19=VLOOKUP("sva_livros",[1]ARBOR!$A:$C,3,0),0.0001,IF(JD19&gt;VLOOKUP("sva_livros",[1]ARBOR!$A:$C,3,0),"Maior que CAP!",ROUND(-1*(JD19/VLOOKUP("sva_livros",[1]ARBOR!$A:$C,3,0)-1),4))))</f>
        <v/>
      </c>
      <c r="JF19" s="218" t="str">
        <f>IF(ISERROR(IF(JE19="","",VLOOKUP(("Oi Internet Pra Celular 1GB"&amp;JE19&amp;"Template Desconto % SVA DADOS B2C"),[1]BENEFICIOS!$A:$E,5,0))),"Criar",IF(JE19="","",VLOOKUP(("Oi Internet Pra Celular 1GB"&amp;JE19&amp;"Template Desconto % SVA DADOS B2C"),[1]BENEFICIOS!$A:$E,5,0)))</f>
        <v/>
      </c>
      <c r="JG19" s="213"/>
      <c r="JH19" s="214" t="str">
        <f>IF(JG19=0,"",IF(JG19=VLOOKUP("PCS-813565",[1]ARBOR!$A:$C,3,0),0.0001,IF(JG19&gt;VLOOKUP("PCS-813565",[1]ARBOR!$A:$C,3,0),"Maior que CAP!",ROUND(-1*(JG19/VLOOKUP("PCS-813565",[1]ARBOR!$A:$C,3,0)-1),4))))</f>
        <v/>
      </c>
      <c r="JI19" s="215" t="str">
        <f>IF(ISERROR(IF(JH19="","",VLOOKUP(("Oi Internet Pra Celular 2GB"&amp;JH19&amp;"Template Flat Instância Dados"),[1]BENEFICIOS!$A:$E,5,0))),"Criar",IF(JH19="","",VLOOKUP(("Oi Internet Pra Celular 2GB"&amp;JH19&amp;"Template Flat Instância Dados"),[1]BENEFICIOS!$A:$E,5,0)))</f>
        <v/>
      </c>
      <c r="JJ19" s="216"/>
      <c r="JK19" s="217" t="str">
        <f>IF(JJ19=0,"",IF(JJ19=VLOOKUP("sva_livros",[1]ARBOR!$A:$C,3,0),0.0001,IF(JJ19&gt;VLOOKUP("sva_livros",[1]ARBOR!$A:$C,3,0),"Maior que CAP!",ROUND(-1*(JJ19/VLOOKUP("sva_livros",[1]ARBOR!$A:$C,3,0)-1),4))))</f>
        <v/>
      </c>
      <c r="JL19" s="218" t="str">
        <f>IF(ISERROR(IF(JK19="","",VLOOKUP(("Oi Internet Pra Celular 2GB"&amp;JK19&amp;"Template Desconto % SVA DADOS B2C"),[1]BENEFICIOS!$A:$E,5,0))),"Criar",IF(JK19="","",VLOOKUP(("Oi Internet Pra Celular 2GB"&amp;JK19&amp;"Template Desconto % SVA DADOS B2C"),[1]BENEFICIOS!$A:$E,5,0)))</f>
        <v/>
      </c>
      <c r="JM19" s="213"/>
      <c r="JN19" s="214" t="str">
        <f>IF(JM19=0,"",IF(JM19=VLOOKUP("PCS-7171B",[1]ARBOR!$A:$C,3,0),0.0001,IF(JM19&gt;VLOOKUP("PCS-7171B",[1]ARBOR!$A:$C,3,0),"Maior que CAP!",ROUND(-1*(JM19/VLOOKUP("PCS-7171B",[1]ARBOR!$A:$C,3,0)-1),4))))</f>
        <v/>
      </c>
      <c r="JO19" s="215" t="str">
        <f>IF(ISERROR(IF(JN19="","",VLOOKUP(("Oi Internet Pra Celular 3GB"&amp;JN19&amp;"Template Flat Instância Dados"),[1]BENEFICIOS!$A:$E,5,0))),"Criar",IF(JN19="","",VLOOKUP(("Oi Internet Pra Celular 3GB"&amp;JN19&amp;"Template Flat Instância Dados"),[1]BENEFICIOS!$A:$E,5,0)))</f>
        <v/>
      </c>
      <c r="JP19" s="216"/>
      <c r="JQ19" s="217" t="str">
        <f>IF(JP19=0,"",IF(JP19=VLOOKUP("sva_livros",[1]ARBOR!$A:$C,3,0),0.0001,IF(JP19&gt;VLOOKUP("sva_livros",[1]ARBOR!$A:$C,3,0),"Maior que CAP!",ROUND(-1*(JP19/VLOOKUP("sva_livros",[1]ARBOR!$A:$C,3,0)-1),4))))</f>
        <v/>
      </c>
      <c r="JR19" s="218" t="str">
        <f>IF(ISERROR(IF(JQ19="","",VLOOKUP(("Oi Internet Pra Celular 3GB"&amp;JQ19&amp;"Template Desconto % SVA DADOS B2C"),[1]BENEFICIOS!$A:$E,5,0))),"Criar",IF(JQ19="","",VLOOKUP(("Oi Internet Pra Celular 3GB"&amp;JQ19&amp;"Template Desconto % SVA DADOS B2C"),[1]BENEFICIOS!$A:$E,5,0)))</f>
        <v/>
      </c>
      <c r="JS19" s="213"/>
      <c r="JT19" s="214" t="str">
        <f>IF(JS19=0,"",IF(JS19=VLOOKUP("PCS-51793o08",[1]ARBOR!$A:$C,3,0),0.0001,IF(JS19&gt;VLOOKUP("PCS-51793o08",[1]ARBOR!$A:$C,3,0),"Maior que CAP!",ROUND(-1*(JS19/VLOOKUP("PCS-51793o08",[1]ARBOR!$A:$C,3,0)-1),4))))</f>
        <v/>
      </c>
      <c r="JU19" s="215" t="str">
        <f>IF(ISERROR(IF(JT19="","",VLOOKUP(("Oi Internet Pra Celular 5GB"&amp;JT19&amp;"Template Flat Instância Dados"),[1]BENEFICIOS!$A:$E,5,0))),"Criar",IF(JT19="","",VLOOKUP(("Oi Internet Pra Celular 5GB"&amp;JT19&amp;"Template Flat Instância Dados"),[1]BENEFICIOS!$A:$E,5,0)))</f>
        <v/>
      </c>
      <c r="JV19" s="216"/>
      <c r="JW19" s="217" t="str">
        <f>IF(JV19=0,"",IF(JV19=VLOOKUP("sva_curtas",[1]ARBOR!$A:$C,3,0),0.0001,IF(JV19&gt;VLOOKUP("sva_curtas",[1]ARBOR!$A:$C,3,0),"Maior que CAP!",ROUND(-1*(JV19/VLOOKUP("sva_curtas",[1]ARBOR!$A:$C,3,0)-1),4))))</f>
        <v/>
      </c>
      <c r="JX19" s="218" t="str">
        <f>IF(ISERROR(IF(JW19="","",VLOOKUP(("Oi Internet Pra Celular 5GB"&amp;JW19&amp;"Template Desconto % SVA DADOS B2C"),[1]BENEFICIOS!$A:$E,5,0))),"Criar",IF(JW19="","",VLOOKUP(("Oi Internet Pra Celular 5GB"&amp;JW19&amp;"Template Desconto % SVA DADOS B2C"),[1]BENEFICIOS!$A:$E,5,0)))</f>
        <v/>
      </c>
      <c r="JY19" s="213"/>
      <c r="JZ19" s="214" t="str">
        <f>IF(JY19=0,"",IF(JY19=VLOOKUP("PCS-7171A",[1]ARBOR!$A:$C,3,0),0.0001,IF(JY19&gt;VLOOKUP("PCS-7171A",[1]ARBOR!$A:$C,3,0),"Maior que CAP!",ROUND(-1*(JY19/VLOOKUP("PCS-7171A",[1]ARBOR!$A:$C,3,0)-1),4))))</f>
        <v/>
      </c>
      <c r="KA19" s="219" t="str">
        <f>IF(ISERROR(IF(JZ19="","",VLOOKUP(("Oi Internet Pra Celular 10GB"&amp;JZ19&amp;"Template Flat Instância Dados"),[1]BENEFICIOS!$A:$E,5,0))),"Criar",IF(JZ19="","",VLOOKUP(("Oi Internet Pra Celular 10GB"&amp;JZ19&amp;"Template Flat Instância Dados"),[1]BENEFICIOS!$A:$E,5,0)))</f>
        <v/>
      </c>
      <c r="KB19" s="216"/>
      <c r="KC19" s="217" t="str">
        <f>IF(KB19=0,"",IF(KB19=VLOOKUP("sva_curtas",[1]ARBOR!$A:$C,3,0),0.0001,IF(KB19&gt;VLOOKUP("sva_curtas",[1]ARBOR!$A:$C,3,0),"Maior que CAP!",ROUND(-1*(KB19/VLOOKUP("sva_curtas",[1]ARBOR!$A:$C,3,0)-1),4))))</f>
        <v/>
      </c>
      <c r="KD19" s="218" t="str">
        <f>IF(ISERROR(IF(KC19="","",VLOOKUP(("Oi Internet Pra Celular 10GB"&amp;KC19&amp;"Template Desconto % SVA DADOS B2C"),[1]BENEFICIOS!$A:$E,5,0))),"Criar",IF(KC19="","",VLOOKUP(("Oi Internet Pra Celular 10GB"&amp;KC19&amp;"Template Desconto % SVA DADOS B2C"),[1]BENEFICIOS!$A:$E,5,0)))</f>
        <v/>
      </c>
      <c r="KE19" s="220"/>
      <c r="KF19" s="221"/>
      <c r="KG19" s="222" t="s">
        <v>149</v>
      </c>
      <c r="KH19" s="223" t="s">
        <v>173</v>
      </c>
      <c r="KI19" s="224">
        <v>899</v>
      </c>
      <c r="KJ19" s="223">
        <v>12</v>
      </c>
      <c r="KK19" s="225" t="str">
        <f t="shared" si="5"/>
        <v>Oi benefício fidelização Multiprodutos</v>
      </c>
      <c r="KL19" s="226" t="str">
        <f t="shared" si="6"/>
        <v>PCS-Fk83324</v>
      </c>
      <c r="KM19" s="226" t="str">
        <f t="shared" si="7"/>
        <v>PCS-SBL553142</v>
      </c>
      <c r="KN19" s="227" t="s">
        <v>174</v>
      </c>
      <c r="KO19" s="228" t="s">
        <v>175</v>
      </c>
      <c r="KP19" s="228" t="s">
        <v>176</v>
      </c>
      <c r="KQ19" s="227" t="s">
        <v>177</v>
      </c>
      <c r="KR19" s="225" t="s">
        <v>178</v>
      </c>
      <c r="KS19" s="226" t="s">
        <v>179</v>
      </c>
      <c r="KT19" s="229" t="s">
        <v>180</v>
      </c>
      <c r="KU19" s="155" t="s">
        <v>181</v>
      </c>
      <c r="KV19" s="155" t="s">
        <v>181</v>
      </c>
      <c r="KW19" s="155" t="s">
        <v>181</v>
      </c>
      <c r="KX19" s="155" t="s">
        <v>181</v>
      </c>
      <c r="KY19" s="155" t="s">
        <v>181</v>
      </c>
      <c r="KZ19" s="155" t="s">
        <v>181</v>
      </c>
      <c r="LA19" s="155" t="s">
        <v>181</v>
      </c>
      <c r="LB19" s="155" t="s">
        <v>181</v>
      </c>
      <c r="LC19" s="155" t="s">
        <v>181</v>
      </c>
      <c r="LD19" s="155" t="s">
        <v>181</v>
      </c>
      <c r="LE19" s="155" t="s">
        <v>181</v>
      </c>
      <c r="LF19" s="155" t="s">
        <v>181</v>
      </c>
      <c r="LG19" s="155" t="s">
        <v>181</v>
      </c>
      <c r="LH19" s="155" t="s">
        <v>181</v>
      </c>
      <c r="LI19" s="155" t="s">
        <v>181</v>
      </c>
      <c r="LJ19" s="155" t="s">
        <v>181</v>
      </c>
      <c r="LK19" s="230">
        <v>289.90999999999997</v>
      </c>
      <c r="LL19" s="238"/>
      <c r="LM19" s="239"/>
      <c r="LN19" s="239"/>
      <c r="LO19" s="239"/>
      <c r="LP19" s="239"/>
      <c r="LQ19" s="239"/>
      <c r="LR19" s="239"/>
      <c r="LS19" s="239"/>
      <c r="LT19" s="239"/>
      <c r="LU19" s="240"/>
      <c r="LV19" t="s">
        <v>222</v>
      </c>
      <c r="LW19" t="s">
        <v>183</v>
      </c>
    </row>
  </sheetData>
  <mergeCells count="75">
    <mergeCell ref="KQ1:KS1"/>
    <mergeCell ref="KU1:LK1"/>
    <mergeCell ref="LL1:LU1"/>
    <mergeCell ref="JV1:JX1"/>
    <mergeCell ref="JY1:KA1"/>
    <mergeCell ref="KB1:KD1"/>
    <mergeCell ref="KE1:KF1"/>
    <mergeCell ref="KG1:KM1"/>
    <mergeCell ref="KN1:KP1"/>
    <mergeCell ref="JD1:JF1"/>
    <mergeCell ref="JG1:JI1"/>
    <mergeCell ref="JJ1:JL1"/>
    <mergeCell ref="JM1:JO1"/>
    <mergeCell ref="JP1:JR1"/>
    <mergeCell ref="JS1:JU1"/>
    <mergeCell ref="IM1:IN1"/>
    <mergeCell ref="IO1:IQ1"/>
    <mergeCell ref="IR1:IT1"/>
    <mergeCell ref="IU1:IW1"/>
    <mergeCell ref="IX1:IZ1"/>
    <mergeCell ref="JA1:JC1"/>
    <mergeCell ref="HK1:HM1"/>
    <mergeCell ref="HN1:HP1"/>
    <mergeCell ref="HQ1:HS1"/>
    <mergeCell ref="HT1:HX1"/>
    <mergeCell ref="HY1:IF1"/>
    <mergeCell ref="IG1:IL1"/>
    <mergeCell ref="GS1:GU1"/>
    <mergeCell ref="GV1:GX1"/>
    <mergeCell ref="GY1:HA1"/>
    <mergeCell ref="HB1:HD1"/>
    <mergeCell ref="HE1:HG1"/>
    <mergeCell ref="HH1:HJ1"/>
    <mergeCell ref="GA1:GC1"/>
    <mergeCell ref="GD1:GF1"/>
    <mergeCell ref="GG1:GI1"/>
    <mergeCell ref="GJ1:GL1"/>
    <mergeCell ref="GM1:GO1"/>
    <mergeCell ref="GP1:GR1"/>
    <mergeCell ref="FI1:FK1"/>
    <mergeCell ref="FL1:FN1"/>
    <mergeCell ref="FO1:FQ1"/>
    <mergeCell ref="FR1:FT1"/>
    <mergeCell ref="FU1:FW1"/>
    <mergeCell ref="FX1:FZ1"/>
    <mergeCell ref="EQ1:ES1"/>
    <mergeCell ref="ET1:EV1"/>
    <mergeCell ref="EW1:EY1"/>
    <mergeCell ref="EZ1:FB1"/>
    <mergeCell ref="FC1:FE1"/>
    <mergeCell ref="FF1:FH1"/>
    <mergeCell ref="DF1:DM1"/>
    <mergeCell ref="DN1:DU1"/>
    <mergeCell ref="DV1:EC1"/>
    <mergeCell ref="ED1:EF1"/>
    <mergeCell ref="EG1:EM1"/>
    <mergeCell ref="EN1:EP1"/>
    <mergeCell ref="CD1:CG1"/>
    <mergeCell ref="CH1:CK1"/>
    <mergeCell ref="CL1:CO1"/>
    <mergeCell ref="CP1:CS1"/>
    <mergeCell ref="CT1:CW1"/>
    <mergeCell ref="CX1:DE1"/>
    <mergeCell ref="AX1:AZ1"/>
    <mergeCell ref="BA1:BD1"/>
    <mergeCell ref="BE1:BQ1"/>
    <mergeCell ref="BR1:BU1"/>
    <mergeCell ref="BV1:BY1"/>
    <mergeCell ref="BZ1:CC1"/>
    <mergeCell ref="E1:R1"/>
    <mergeCell ref="S1:AH1"/>
    <mergeCell ref="AI1:AK1"/>
    <mergeCell ref="AL1:AM1"/>
    <mergeCell ref="AN1:AT1"/>
    <mergeCell ref="AU1:AW1"/>
  </mergeCells>
  <conditionalFormatting sqref="AX2">
    <cfRule type="cellIs" dxfId="201" priority="202" operator="equal">
      <formula>"Falta(m) Dado(s)"</formula>
    </cfRule>
  </conditionalFormatting>
  <conditionalFormatting sqref="BC3:BD3">
    <cfRule type="expression" dxfId="200" priority="201">
      <formula>$CB3=""</formula>
    </cfRule>
  </conditionalFormatting>
  <conditionalFormatting sqref="BT3:BU3">
    <cfRule type="expression" dxfId="199" priority="200">
      <formula>$BX3=""</formula>
    </cfRule>
  </conditionalFormatting>
  <conditionalFormatting sqref="BV3">
    <cfRule type="cellIs" dxfId="198" priority="199" operator="equal">
      <formula>"Tratamento"</formula>
    </cfRule>
  </conditionalFormatting>
  <conditionalFormatting sqref="BZ3">
    <cfRule type="cellIs" dxfId="197" priority="198" operator="equal">
      <formula>"Tratamento"</formula>
    </cfRule>
  </conditionalFormatting>
  <conditionalFormatting sqref="CD3">
    <cfRule type="cellIs" dxfId="196" priority="197" operator="equal">
      <formula>"Tratamento"</formula>
    </cfRule>
  </conditionalFormatting>
  <conditionalFormatting sqref="CH3">
    <cfRule type="cellIs" dxfId="195" priority="196" operator="equal">
      <formula>"Tratamento"</formula>
    </cfRule>
  </conditionalFormatting>
  <conditionalFormatting sqref="CL3">
    <cfRule type="cellIs" dxfId="194" priority="195" operator="equal">
      <formula>"Tratamento"</formula>
    </cfRule>
  </conditionalFormatting>
  <conditionalFormatting sqref="CP3">
    <cfRule type="cellIs" dxfId="193" priority="194" operator="equal">
      <formula>"Tratamento"</formula>
    </cfRule>
  </conditionalFormatting>
  <conditionalFormatting sqref="CT3">
    <cfRule type="cellIs" dxfId="192" priority="193" operator="equal">
      <formula>"Tratamento"</formula>
    </cfRule>
  </conditionalFormatting>
  <conditionalFormatting sqref="CX3">
    <cfRule type="cellIs" dxfId="191" priority="192" operator="equal">
      <formula>"Tratamento"</formula>
    </cfRule>
  </conditionalFormatting>
  <conditionalFormatting sqref="DF3">
    <cfRule type="cellIs" dxfId="190" priority="191" operator="equal">
      <formula>"Tratamento"</formula>
    </cfRule>
  </conditionalFormatting>
  <conditionalFormatting sqref="DN3">
    <cfRule type="cellIs" dxfId="189" priority="190" operator="equal">
      <formula>"Tratamento"</formula>
    </cfRule>
  </conditionalFormatting>
  <conditionalFormatting sqref="DV3">
    <cfRule type="cellIs" dxfId="188" priority="189" operator="equal">
      <formula>"Tratamento"</formula>
    </cfRule>
  </conditionalFormatting>
  <conditionalFormatting sqref="BC4:BD4">
    <cfRule type="expression" dxfId="187" priority="188">
      <formula>$CB4=""</formula>
    </cfRule>
  </conditionalFormatting>
  <conditionalFormatting sqref="BT4:BU4">
    <cfRule type="expression" dxfId="186" priority="187">
      <formula>$BX4=""</formula>
    </cfRule>
  </conditionalFormatting>
  <conditionalFormatting sqref="BV4">
    <cfRule type="cellIs" dxfId="185" priority="186" operator="equal">
      <formula>"Tratamento"</formula>
    </cfRule>
  </conditionalFormatting>
  <conditionalFormatting sqref="BZ4">
    <cfRule type="cellIs" dxfId="184" priority="185" operator="equal">
      <formula>"Tratamento"</formula>
    </cfRule>
  </conditionalFormatting>
  <conditionalFormatting sqref="CD4">
    <cfRule type="cellIs" dxfId="183" priority="184" operator="equal">
      <formula>"Tratamento"</formula>
    </cfRule>
  </conditionalFormatting>
  <conditionalFormatting sqref="CH4">
    <cfRule type="cellIs" dxfId="182" priority="183" operator="equal">
      <formula>"Tratamento"</formula>
    </cfRule>
  </conditionalFormatting>
  <conditionalFormatting sqref="CL4">
    <cfRule type="cellIs" dxfId="181" priority="182" operator="equal">
      <formula>"Tratamento"</formula>
    </cfRule>
  </conditionalFormatting>
  <conditionalFormatting sqref="CP4">
    <cfRule type="cellIs" dxfId="180" priority="181" operator="equal">
      <formula>"Tratamento"</formula>
    </cfRule>
  </conditionalFormatting>
  <conditionalFormatting sqref="CT4">
    <cfRule type="cellIs" dxfId="179" priority="180" operator="equal">
      <formula>"Tratamento"</formula>
    </cfRule>
  </conditionalFormatting>
  <conditionalFormatting sqref="CX4">
    <cfRule type="cellIs" dxfId="178" priority="179" operator="equal">
      <formula>"Tratamento"</formula>
    </cfRule>
  </conditionalFormatting>
  <conditionalFormatting sqref="DF4">
    <cfRule type="cellIs" dxfId="177" priority="178" operator="equal">
      <formula>"Tratamento"</formula>
    </cfRule>
  </conditionalFormatting>
  <conditionalFormatting sqref="DN4">
    <cfRule type="cellIs" dxfId="176" priority="177" operator="equal">
      <formula>"Tratamento"</formula>
    </cfRule>
  </conditionalFormatting>
  <conditionalFormatting sqref="DV4">
    <cfRule type="cellIs" dxfId="175" priority="176" operator="equal">
      <formula>"Tratamento"</formula>
    </cfRule>
  </conditionalFormatting>
  <conditionalFormatting sqref="BC5:BD5">
    <cfRule type="expression" dxfId="174" priority="175">
      <formula>$CB5=""</formula>
    </cfRule>
  </conditionalFormatting>
  <conditionalFormatting sqref="BT5:BU5">
    <cfRule type="expression" dxfId="173" priority="174">
      <formula>$BX5=""</formula>
    </cfRule>
  </conditionalFormatting>
  <conditionalFormatting sqref="BV5">
    <cfRule type="cellIs" dxfId="172" priority="173" operator="equal">
      <formula>"Tratamento"</formula>
    </cfRule>
  </conditionalFormatting>
  <conditionalFormatting sqref="BZ5">
    <cfRule type="cellIs" dxfId="171" priority="172" operator="equal">
      <formula>"Tratamento"</formula>
    </cfRule>
  </conditionalFormatting>
  <conditionalFormatting sqref="CD5">
    <cfRule type="cellIs" dxfId="170" priority="171" operator="equal">
      <formula>"Tratamento"</formula>
    </cfRule>
  </conditionalFormatting>
  <conditionalFormatting sqref="CH5">
    <cfRule type="cellIs" dxfId="169" priority="170" operator="equal">
      <formula>"Tratamento"</formula>
    </cfRule>
  </conditionalFormatting>
  <conditionalFormatting sqref="CL5">
    <cfRule type="cellIs" dxfId="168" priority="169" operator="equal">
      <formula>"Tratamento"</formula>
    </cfRule>
  </conditionalFormatting>
  <conditionalFormatting sqref="CP5">
    <cfRule type="cellIs" dxfId="167" priority="168" operator="equal">
      <formula>"Tratamento"</formula>
    </cfRule>
  </conditionalFormatting>
  <conditionalFormatting sqref="CT5">
    <cfRule type="cellIs" dxfId="166" priority="167" operator="equal">
      <formula>"Tratamento"</formula>
    </cfRule>
  </conditionalFormatting>
  <conditionalFormatting sqref="CX5">
    <cfRule type="cellIs" dxfId="165" priority="166" operator="equal">
      <formula>"Tratamento"</formula>
    </cfRule>
  </conditionalFormatting>
  <conditionalFormatting sqref="DF5">
    <cfRule type="cellIs" dxfId="164" priority="165" operator="equal">
      <formula>"Tratamento"</formula>
    </cfRule>
  </conditionalFormatting>
  <conditionalFormatting sqref="DN5">
    <cfRule type="cellIs" dxfId="163" priority="164" operator="equal">
      <formula>"Tratamento"</formula>
    </cfRule>
  </conditionalFormatting>
  <conditionalFormatting sqref="DV5">
    <cfRule type="cellIs" dxfId="162" priority="163" operator="equal">
      <formula>"Tratamento"</formula>
    </cfRule>
  </conditionalFormatting>
  <conditionalFormatting sqref="BC6:BD6">
    <cfRule type="expression" dxfId="161" priority="162">
      <formula>$CB6=""</formula>
    </cfRule>
  </conditionalFormatting>
  <conditionalFormatting sqref="BT6:BU6">
    <cfRule type="expression" dxfId="160" priority="161">
      <formula>$BX6=""</formula>
    </cfRule>
  </conditionalFormatting>
  <conditionalFormatting sqref="BV6">
    <cfRule type="cellIs" dxfId="159" priority="160" operator="equal">
      <formula>"Tratamento"</formula>
    </cfRule>
  </conditionalFormatting>
  <conditionalFormatting sqref="BZ6">
    <cfRule type="cellIs" dxfId="158" priority="159" operator="equal">
      <formula>"Tratamento"</formula>
    </cfRule>
  </conditionalFormatting>
  <conditionalFormatting sqref="CD6">
    <cfRule type="cellIs" dxfId="157" priority="158" operator="equal">
      <formula>"Tratamento"</formula>
    </cfRule>
  </conditionalFormatting>
  <conditionalFormatting sqref="CH6">
    <cfRule type="cellIs" dxfId="156" priority="157" operator="equal">
      <formula>"Tratamento"</formula>
    </cfRule>
  </conditionalFormatting>
  <conditionalFormatting sqref="CL6">
    <cfRule type="cellIs" dxfId="155" priority="156" operator="equal">
      <formula>"Tratamento"</formula>
    </cfRule>
  </conditionalFormatting>
  <conditionalFormatting sqref="CP6">
    <cfRule type="cellIs" dxfId="154" priority="155" operator="equal">
      <formula>"Tratamento"</formula>
    </cfRule>
  </conditionalFormatting>
  <conditionalFormatting sqref="CT6">
    <cfRule type="cellIs" dxfId="153" priority="154" operator="equal">
      <formula>"Tratamento"</formula>
    </cfRule>
  </conditionalFormatting>
  <conditionalFormatting sqref="CX6">
    <cfRule type="cellIs" dxfId="152" priority="153" operator="equal">
      <formula>"Tratamento"</formula>
    </cfRule>
  </conditionalFormatting>
  <conditionalFormatting sqref="DF6">
    <cfRule type="cellIs" dxfId="151" priority="152" operator="equal">
      <formula>"Tratamento"</formula>
    </cfRule>
  </conditionalFormatting>
  <conditionalFormatting sqref="DN6">
    <cfRule type="cellIs" dxfId="150" priority="151" operator="equal">
      <formula>"Tratamento"</formula>
    </cfRule>
  </conditionalFormatting>
  <conditionalFormatting sqref="DV6">
    <cfRule type="cellIs" dxfId="149" priority="150" operator="equal">
      <formula>"Tratamento"</formula>
    </cfRule>
  </conditionalFormatting>
  <conditionalFormatting sqref="BC7:BD7">
    <cfRule type="expression" dxfId="148" priority="149">
      <formula>$CB7=""</formula>
    </cfRule>
  </conditionalFormatting>
  <conditionalFormatting sqref="BT7:BU7">
    <cfRule type="expression" dxfId="147" priority="148">
      <formula>$BX7=""</formula>
    </cfRule>
  </conditionalFormatting>
  <conditionalFormatting sqref="BV7">
    <cfRule type="cellIs" dxfId="146" priority="147" operator="equal">
      <formula>"Tratamento"</formula>
    </cfRule>
  </conditionalFormatting>
  <conditionalFormatting sqref="BZ7">
    <cfRule type="cellIs" dxfId="145" priority="146" operator="equal">
      <formula>"Tratamento"</formula>
    </cfRule>
  </conditionalFormatting>
  <conditionalFormatting sqref="CD7">
    <cfRule type="cellIs" dxfId="144" priority="145" operator="equal">
      <formula>"Tratamento"</formula>
    </cfRule>
  </conditionalFormatting>
  <conditionalFormatting sqref="CH7">
    <cfRule type="cellIs" dxfId="143" priority="144" operator="equal">
      <formula>"Tratamento"</formula>
    </cfRule>
  </conditionalFormatting>
  <conditionalFormatting sqref="CL7">
    <cfRule type="cellIs" dxfId="142" priority="143" operator="equal">
      <formula>"Tratamento"</formula>
    </cfRule>
  </conditionalFormatting>
  <conditionalFormatting sqref="CP7">
    <cfRule type="cellIs" dxfId="141" priority="142" operator="equal">
      <formula>"Tratamento"</formula>
    </cfRule>
  </conditionalFormatting>
  <conditionalFormatting sqref="CT7">
    <cfRule type="cellIs" dxfId="140" priority="141" operator="equal">
      <formula>"Tratamento"</formula>
    </cfRule>
  </conditionalFormatting>
  <conditionalFormatting sqref="CX7">
    <cfRule type="cellIs" dxfId="139" priority="140" operator="equal">
      <formula>"Tratamento"</formula>
    </cfRule>
  </conditionalFormatting>
  <conditionalFormatting sqref="DF7">
    <cfRule type="cellIs" dxfId="138" priority="139" operator="equal">
      <formula>"Tratamento"</formula>
    </cfRule>
  </conditionalFormatting>
  <conditionalFormatting sqref="DN7">
    <cfRule type="cellIs" dxfId="137" priority="138" operator="equal">
      <formula>"Tratamento"</formula>
    </cfRule>
  </conditionalFormatting>
  <conditionalFormatting sqref="DV7">
    <cfRule type="cellIs" dxfId="136" priority="137" operator="equal">
      <formula>"Tratamento"</formula>
    </cfRule>
  </conditionalFormatting>
  <conditionalFormatting sqref="BC8:BD8">
    <cfRule type="expression" dxfId="135" priority="136">
      <formula>$CB8=""</formula>
    </cfRule>
  </conditionalFormatting>
  <conditionalFormatting sqref="BT8:BU8">
    <cfRule type="expression" dxfId="134" priority="135">
      <formula>$BX8=""</formula>
    </cfRule>
  </conditionalFormatting>
  <conditionalFormatting sqref="BV8">
    <cfRule type="cellIs" dxfId="133" priority="134" operator="equal">
      <formula>"Tratamento"</formula>
    </cfRule>
  </conditionalFormatting>
  <conditionalFormatting sqref="BZ8">
    <cfRule type="cellIs" dxfId="132" priority="133" operator="equal">
      <formula>"Tratamento"</formula>
    </cfRule>
  </conditionalFormatting>
  <conditionalFormatting sqref="CD8">
    <cfRule type="cellIs" dxfId="131" priority="132" operator="equal">
      <formula>"Tratamento"</formula>
    </cfRule>
  </conditionalFormatting>
  <conditionalFormatting sqref="CH8">
    <cfRule type="cellIs" dxfId="130" priority="131" operator="equal">
      <formula>"Tratamento"</formula>
    </cfRule>
  </conditionalFormatting>
  <conditionalFormatting sqref="CL8">
    <cfRule type="cellIs" dxfId="129" priority="130" operator="equal">
      <formula>"Tratamento"</formula>
    </cfRule>
  </conditionalFormatting>
  <conditionalFormatting sqref="CP8">
    <cfRule type="cellIs" dxfId="128" priority="129" operator="equal">
      <formula>"Tratamento"</formula>
    </cfRule>
  </conditionalFormatting>
  <conditionalFormatting sqref="CT8">
    <cfRule type="cellIs" dxfId="127" priority="128" operator="equal">
      <formula>"Tratamento"</formula>
    </cfRule>
  </conditionalFormatting>
  <conditionalFormatting sqref="CX8">
    <cfRule type="cellIs" dxfId="126" priority="127" operator="equal">
      <formula>"Tratamento"</formula>
    </cfRule>
  </conditionalFormatting>
  <conditionalFormatting sqref="DF8">
    <cfRule type="cellIs" dxfId="125" priority="126" operator="equal">
      <formula>"Tratamento"</formula>
    </cfRule>
  </conditionalFormatting>
  <conditionalFormatting sqref="DN8">
    <cfRule type="cellIs" dxfId="124" priority="125" operator="equal">
      <formula>"Tratamento"</formula>
    </cfRule>
  </conditionalFormatting>
  <conditionalFormatting sqref="DV8">
    <cfRule type="cellIs" dxfId="123" priority="124" operator="equal">
      <formula>"Tratamento"</formula>
    </cfRule>
  </conditionalFormatting>
  <conditionalFormatting sqref="BC9:BD9">
    <cfRule type="expression" dxfId="122" priority="123">
      <formula>$CB9=""</formula>
    </cfRule>
  </conditionalFormatting>
  <conditionalFormatting sqref="BT9:BU9">
    <cfRule type="expression" dxfId="121" priority="122">
      <formula>$BX9=""</formula>
    </cfRule>
  </conditionalFormatting>
  <conditionalFormatting sqref="BV9">
    <cfRule type="cellIs" dxfId="120" priority="121" operator="equal">
      <formula>"Tratamento"</formula>
    </cfRule>
  </conditionalFormatting>
  <conditionalFormatting sqref="BZ9">
    <cfRule type="cellIs" dxfId="119" priority="120" operator="equal">
      <formula>"Tratamento"</formula>
    </cfRule>
  </conditionalFormatting>
  <conditionalFormatting sqref="CD9">
    <cfRule type="cellIs" dxfId="118" priority="119" operator="equal">
      <formula>"Tratamento"</formula>
    </cfRule>
  </conditionalFormatting>
  <conditionalFormatting sqref="CH9">
    <cfRule type="cellIs" dxfId="117" priority="118" operator="equal">
      <formula>"Tratamento"</formula>
    </cfRule>
  </conditionalFormatting>
  <conditionalFormatting sqref="CL9">
    <cfRule type="cellIs" dxfId="116" priority="117" operator="equal">
      <formula>"Tratamento"</formula>
    </cfRule>
  </conditionalFormatting>
  <conditionalFormatting sqref="CP9">
    <cfRule type="cellIs" dxfId="115" priority="116" operator="equal">
      <formula>"Tratamento"</formula>
    </cfRule>
  </conditionalFormatting>
  <conditionalFormatting sqref="CT9">
    <cfRule type="cellIs" dxfId="114" priority="115" operator="equal">
      <formula>"Tratamento"</formula>
    </cfRule>
  </conditionalFormatting>
  <conditionalFormatting sqref="CX9">
    <cfRule type="cellIs" dxfId="113" priority="114" operator="equal">
      <formula>"Tratamento"</formula>
    </cfRule>
  </conditionalFormatting>
  <conditionalFormatting sqref="DF9">
    <cfRule type="cellIs" dxfId="112" priority="113" operator="equal">
      <formula>"Tratamento"</formula>
    </cfRule>
  </conditionalFormatting>
  <conditionalFormatting sqref="DN9">
    <cfRule type="cellIs" dxfId="111" priority="112" operator="equal">
      <formula>"Tratamento"</formula>
    </cfRule>
  </conditionalFormatting>
  <conditionalFormatting sqref="DV9">
    <cfRule type="cellIs" dxfId="110" priority="111" operator="equal">
      <formula>"Tratamento"</formula>
    </cfRule>
  </conditionalFormatting>
  <conditionalFormatting sqref="BC10:BD10">
    <cfRule type="expression" dxfId="109" priority="110">
      <formula>$CB10=""</formula>
    </cfRule>
  </conditionalFormatting>
  <conditionalFormatting sqref="BT10:BU10">
    <cfRule type="expression" dxfId="108" priority="109">
      <formula>$BX10=""</formula>
    </cfRule>
  </conditionalFormatting>
  <conditionalFormatting sqref="BV10">
    <cfRule type="cellIs" dxfId="107" priority="108" operator="equal">
      <formula>"Tratamento"</formula>
    </cfRule>
  </conditionalFormatting>
  <conditionalFormatting sqref="BZ10">
    <cfRule type="cellIs" dxfId="106" priority="107" operator="equal">
      <formula>"Tratamento"</formula>
    </cfRule>
  </conditionalFormatting>
  <conditionalFormatting sqref="CD10">
    <cfRule type="cellIs" dxfId="105" priority="106" operator="equal">
      <formula>"Tratamento"</formula>
    </cfRule>
  </conditionalFormatting>
  <conditionalFormatting sqref="CH10">
    <cfRule type="cellIs" dxfId="104" priority="105" operator="equal">
      <formula>"Tratamento"</formula>
    </cfRule>
  </conditionalFormatting>
  <conditionalFormatting sqref="CL10">
    <cfRule type="cellIs" dxfId="103" priority="104" operator="equal">
      <formula>"Tratamento"</formula>
    </cfRule>
  </conditionalFormatting>
  <conditionalFormatting sqref="CP10">
    <cfRule type="cellIs" dxfId="102" priority="103" operator="equal">
      <formula>"Tratamento"</formula>
    </cfRule>
  </conditionalFormatting>
  <conditionalFormatting sqref="CT10">
    <cfRule type="cellIs" dxfId="101" priority="102" operator="equal">
      <formula>"Tratamento"</formula>
    </cfRule>
  </conditionalFormatting>
  <conditionalFormatting sqref="CX10">
    <cfRule type="cellIs" dxfId="100" priority="101" operator="equal">
      <formula>"Tratamento"</formula>
    </cfRule>
  </conditionalFormatting>
  <conditionalFormatting sqref="DF10">
    <cfRule type="cellIs" dxfId="99" priority="100" operator="equal">
      <formula>"Tratamento"</formula>
    </cfRule>
  </conditionalFormatting>
  <conditionalFormatting sqref="DN10">
    <cfRule type="cellIs" dxfId="98" priority="99" operator="equal">
      <formula>"Tratamento"</formula>
    </cfRule>
  </conditionalFormatting>
  <conditionalFormatting sqref="DV10">
    <cfRule type="cellIs" dxfId="97" priority="98" operator="equal">
      <formula>"Tratamento"</formula>
    </cfRule>
  </conditionalFormatting>
  <conditionalFormatting sqref="BC11:BD11">
    <cfRule type="expression" dxfId="96" priority="97">
      <formula>$CB11=""</formula>
    </cfRule>
  </conditionalFormatting>
  <conditionalFormatting sqref="BT11:BU11">
    <cfRule type="expression" dxfId="95" priority="96">
      <formula>$BX11=""</formula>
    </cfRule>
  </conditionalFormatting>
  <conditionalFormatting sqref="BV11">
    <cfRule type="cellIs" dxfId="94" priority="95" operator="equal">
      <formula>"Tratamento"</formula>
    </cfRule>
  </conditionalFormatting>
  <conditionalFormatting sqref="BZ11">
    <cfRule type="cellIs" dxfId="93" priority="94" operator="equal">
      <formula>"Tratamento"</formula>
    </cfRule>
  </conditionalFormatting>
  <conditionalFormatting sqref="CD11">
    <cfRule type="cellIs" dxfId="92" priority="93" operator="equal">
      <formula>"Tratamento"</formula>
    </cfRule>
  </conditionalFormatting>
  <conditionalFormatting sqref="CH11">
    <cfRule type="cellIs" dxfId="91" priority="92" operator="equal">
      <formula>"Tratamento"</formula>
    </cfRule>
  </conditionalFormatting>
  <conditionalFormatting sqref="CL11">
    <cfRule type="cellIs" dxfId="90" priority="91" operator="equal">
      <formula>"Tratamento"</formula>
    </cfRule>
  </conditionalFormatting>
  <conditionalFormatting sqref="CP11">
    <cfRule type="cellIs" dxfId="89" priority="90" operator="equal">
      <formula>"Tratamento"</formula>
    </cfRule>
  </conditionalFormatting>
  <conditionalFormatting sqref="CT11">
    <cfRule type="cellIs" dxfId="88" priority="89" operator="equal">
      <formula>"Tratamento"</formula>
    </cfRule>
  </conditionalFormatting>
  <conditionalFormatting sqref="CX11">
    <cfRule type="cellIs" dxfId="87" priority="88" operator="equal">
      <formula>"Tratamento"</formula>
    </cfRule>
  </conditionalFormatting>
  <conditionalFormatting sqref="DF11">
    <cfRule type="cellIs" dxfId="86" priority="87" operator="equal">
      <formula>"Tratamento"</formula>
    </cfRule>
  </conditionalFormatting>
  <conditionalFormatting sqref="DN11">
    <cfRule type="cellIs" dxfId="85" priority="86" operator="equal">
      <formula>"Tratamento"</formula>
    </cfRule>
  </conditionalFormatting>
  <conditionalFormatting sqref="DV11">
    <cfRule type="cellIs" dxfId="84" priority="85" operator="equal">
      <formula>"Tratamento"</formula>
    </cfRule>
  </conditionalFormatting>
  <conditionalFormatting sqref="BC12:BD12">
    <cfRule type="expression" dxfId="83" priority="84">
      <formula>$CB12=""</formula>
    </cfRule>
  </conditionalFormatting>
  <conditionalFormatting sqref="BT12:BU12">
    <cfRule type="expression" dxfId="82" priority="83">
      <formula>$BX12=""</formula>
    </cfRule>
  </conditionalFormatting>
  <conditionalFormatting sqref="BV12">
    <cfRule type="cellIs" dxfId="81" priority="82" operator="equal">
      <formula>"Tratamento"</formula>
    </cfRule>
  </conditionalFormatting>
  <conditionalFormatting sqref="BZ12">
    <cfRule type="cellIs" dxfId="80" priority="81" operator="equal">
      <formula>"Tratamento"</formula>
    </cfRule>
  </conditionalFormatting>
  <conditionalFormatting sqref="CD12">
    <cfRule type="cellIs" dxfId="79" priority="80" operator="equal">
      <formula>"Tratamento"</formula>
    </cfRule>
  </conditionalFormatting>
  <conditionalFormatting sqref="CH12">
    <cfRule type="cellIs" dxfId="78" priority="79" operator="equal">
      <formula>"Tratamento"</formula>
    </cfRule>
  </conditionalFormatting>
  <conditionalFormatting sqref="CL12">
    <cfRule type="cellIs" dxfId="77" priority="78" operator="equal">
      <formula>"Tratamento"</formula>
    </cfRule>
  </conditionalFormatting>
  <conditionalFormatting sqref="CP12">
    <cfRule type="cellIs" dxfId="76" priority="77" operator="equal">
      <formula>"Tratamento"</formula>
    </cfRule>
  </conditionalFormatting>
  <conditionalFormatting sqref="CT12">
    <cfRule type="cellIs" dxfId="75" priority="76" operator="equal">
      <formula>"Tratamento"</formula>
    </cfRule>
  </conditionalFormatting>
  <conditionalFormatting sqref="CX12">
    <cfRule type="cellIs" dxfId="74" priority="75" operator="equal">
      <formula>"Tratamento"</formula>
    </cfRule>
  </conditionalFormatting>
  <conditionalFormatting sqref="DF12">
    <cfRule type="cellIs" dxfId="73" priority="74" operator="equal">
      <formula>"Tratamento"</formula>
    </cfRule>
  </conditionalFormatting>
  <conditionalFormatting sqref="DN12">
    <cfRule type="cellIs" dxfId="72" priority="73" operator="equal">
      <formula>"Tratamento"</formula>
    </cfRule>
  </conditionalFormatting>
  <conditionalFormatting sqref="DV12">
    <cfRule type="cellIs" dxfId="71" priority="72" operator="equal">
      <formula>"Tratamento"</formula>
    </cfRule>
  </conditionalFormatting>
  <conditionalFormatting sqref="BC13:BD13">
    <cfRule type="expression" dxfId="70" priority="71">
      <formula>$CB13=""</formula>
    </cfRule>
  </conditionalFormatting>
  <conditionalFormatting sqref="BT13:BU13">
    <cfRule type="expression" dxfId="69" priority="70">
      <formula>$BX13=""</formula>
    </cfRule>
  </conditionalFormatting>
  <conditionalFormatting sqref="BV13">
    <cfRule type="cellIs" dxfId="68" priority="69" operator="equal">
      <formula>"Tratamento"</formula>
    </cfRule>
  </conditionalFormatting>
  <conditionalFormatting sqref="BZ13">
    <cfRule type="cellIs" dxfId="67" priority="68" operator="equal">
      <formula>"Tratamento"</formula>
    </cfRule>
  </conditionalFormatting>
  <conditionalFormatting sqref="CD13">
    <cfRule type="cellIs" dxfId="66" priority="67" operator="equal">
      <formula>"Tratamento"</formula>
    </cfRule>
  </conditionalFormatting>
  <conditionalFormatting sqref="CH13">
    <cfRule type="cellIs" dxfId="65" priority="66" operator="equal">
      <formula>"Tratamento"</formula>
    </cfRule>
  </conditionalFormatting>
  <conditionalFormatting sqref="CL13">
    <cfRule type="cellIs" dxfId="64" priority="65" operator="equal">
      <formula>"Tratamento"</formula>
    </cfRule>
  </conditionalFormatting>
  <conditionalFormatting sqref="CP13">
    <cfRule type="cellIs" dxfId="63" priority="64" operator="equal">
      <formula>"Tratamento"</formula>
    </cfRule>
  </conditionalFormatting>
  <conditionalFormatting sqref="CT13">
    <cfRule type="cellIs" dxfId="62" priority="63" operator="equal">
      <formula>"Tratamento"</formula>
    </cfRule>
  </conditionalFormatting>
  <conditionalFormatting sqref="CX13">
    <cfRule type="cellIs" dxfId="61" priority="62" operator="equal">
      <formula>"Tratamento"</formula>
    </cfRule>
  </conditionalFormatting>
  <conditionalFormatting sqref="DF13">
    <cfRule type="cellIs" dxfId="60" priority="61" operator="equal">
      <formula>"Tratamento"</formula>
    </cfRule>
  </conditionalFormatting>
  <conditionalFormatting sqref="DN13">
    <cfRule type="cellIs" dxfId="59" priority="60" operator="equal">
      <formula>"Tratamento"</formula>
    </cfRule>
  </conditionalFormatting>
  <conditionalFormatting sqref="DV13">
    <cfRule type="cellIs" dxfId="58" priority="59" operator="equal">
      <formula>"Tratamento"</formula>
    </cfRule>
  </conditionalFormatting>
  <conditionalFormatting sqref="BC14:BD14">
    <cfRule type="expression" dxfId="57" priority="58">
      <formula>$CB14=""</formula>
    </cfRule>
  </conditionalFormatting>
  <conditionalFormatting sqref="BT14:BU14">
    <cfRule type="expression" dxfId="56" priority="57">
      <formula>$BX14=""</formula>
    </cfRule>
  </conditionalFormatting>
  <conditionalFormatting sqref="BV14">
    <cfRule type="cellIs" dxfId="55" priority="56" operator="equal">
      <formula>"Tratamento"</formula>
    </cfRule>
  </conditionalFormatting>
  <conditionalFormatting sqref="BZ14">
    <cfRule type="cellIs" dxfId="54" priority="55" operator="equal">
      <formula>"Tratamento"</formula>
    </cfRule>
  </conditionalFormatting>
  <conditionalFormatting sqref="CD14">
    <cfRule type="cellIs" dxfId="53" priority="54" operator="equal">
      <formula>"Tratamento"</formula>
    </cfRule>
  </conditionalFormatting>
  <conditionalFormatting sqref="CH14">
    <cfRule type="cellIs" dxfId="52" priority="53" operator="equal">
      <formula>"Tratamento"</formula>
    </cfRule>
  </conditionalFormatting>
  <conditionalFormatting sqref="CL14">
    <cfRule type="cellIs" dxfId="51" priority="52" operator="equal">
      <formula>"Tratamento"</formula>
    </cfRule>
  </conditionalFormatting>
  <conditionalFormatting sqref="CP14">
    <cfRule type="cellIs" dxfId="50" priority="51" operator="equal">
      <formula>"Tratamento"</formula>
    </cfRule>
  </conditionalFormatting>
  <conditionalFormatting sqref="CT14">
    <cfRule type="cellIs" dxfId="49" priority="50" operator="equal">
      <formula>"Tratamento"</formula>
    </cfRule>
  </conditionalFormatting>
  <conditionalFormatting sqref="CX14">
    <cfRule type="cellIs" dxfId="48" priority="49" operator="equal">
      <formula>"Tratamento"</formula>
    </cfRule>
  </conditionalFormatting>
  <conditionalFormatting sqref="DF14">
    <cfRule type="cellIs" dxfId="47" priority="48" operator="equal">
      <formula>"Tratamento"</formula>
    </cfRule>
  </conditionalFormatting>
  <conditionalFormatting sqref="DN14">
    <cfRule type="cellIs" dxfId="46" priority="47" operator="equal">
      <formula>"Tratamento"</formula>
    </cfRule>
  </conditionalFormatting>
  <conditionalFormatting sqref="DV14">
    <cfRule type="cellIs" dxfId="45" priority="46" operator="equal">
      <formula>"Tratamento"</formula>
    </cfRule>
  </conditionalFormatting>
  <conditionalFormatting sqref="BC15:BD15">
    <cfRule type="expression" dxfId="44" priority="45">
      <formula>$CB15=""</formula>
    </cfRule>
  </conditionalFormatting>
  <conditionalFormatting sqref="BT15:BU15">
    <cfRule type="expression" dxfId="43" priority="44">
      <formula>$BX15=""</formula>
    </cfRule>
  </conditionalFormatting>
  <conditionalFormatting sqref="BV15 BZ15 CD15 CH15 CL15 CP15 CT15 CX15 DF15 DN15 DV15">
    <cfRule type="cellIs" dxfId="42" priority="43" operator="equal">
      <formula>"Tratamento"</formula>
    </cfRule>
  </conditionalFormatting>
  <conditionalFormatting sqref="BC16:BD16">
    <cfRule type="expression" dxfId="41" priority="42">
      <formula>$CB16=""</formula>
    </cfRule>
  </conditionalFormatting>
  <conditionalFormatting sqref="BT16:BU16">
    <cfRule type="expression" dxfId="40" priority="41">
      <formula>$BX16=""</formula>
    </cfRule>
  </conditionalFormatting>
  <conditionalFormatting sqref="BV16 BZ16 CD16 CH16 CL16 CP16 CT16 CX16 DF16 DN16 DV16">
    <cfRule type="cellIs" dxfId="39" priority="40" operator="equal">
      <formula>"Tratamento"</formula>
    </cfRule>
  </conditionalFormatting>
  <conditionalFormatting sqref="BC17:BD17">
    <cfRule type="expression" dxfId="38" priority="39">
      <formula>$CB17=""</formula>
    </cfRule>
  </conditionalFormatting>
  <conditionalFormatting sqref="BT17:BU17">
    <cfRule type="expression" dxfId="37" priority="38">
      <formula>$BX17=""</formula>
    </cfRule>
  </conditionalFormatting>
  <conditionalFormatting sqref="BV17">
    <cfRule type="cellIs" dxfId="36" priority="37" operator="equal">
      <formula>"Tratamento"</formula>
    </cfRule>
  </conditionalFormatting>
  <conditionalFormatting sqref="BZ17">
    <cfRule type="cellIs" dxfId="35" priority="36" operator="equal">
      <formula>"Tratamento"</formula>
    </cfRule>
  </conditionalFormatting>
  <conditionalFormatting sqref="CD17">
    <cfRule type="cellIs" dxfId="34" priority="35" operator="equal">
      <formula>"Tratamento"</formula>
    </cfRule>
  </conditionalFormatting>
  <conditionalFormatting sqref="CH17">
    <cfRule type="cellIs" dxfId="33" priority="34" operator="equal">
      <formula>"Tratamento"</formula>
    </cfRule>
  </conditionalFormatting>
  <conditionalFormatting sqref="CL17">
    <cfRule type="cellIs" dxfId="32" priority="33" operator="equal">
      <formula>"Tratamento"</formula>
    </cfRule>
  </conditionalFormatting>
  <conditionalFormatting sqref="CP17">
    <cfRule type="cellIs" dxfId="31" priority="32" operator="equal">
      <formula>"Tratamento"</formula>
    </cfRule>
  </conditionalFormatting>
  <conditionalFormatting sqref="CT17">
    <cfRule type="cellIs" dxfId="30" priority="31" operator="equal">
      <formula>"Tratamento"</formula>
    </cfRule>
  </conditionalFormatting>
  <conditionalFormatting sqref="CX17">
    <cfRule type="cellIs" dxfId="29" priority="30" operator="equal">
      <formula>"Tratamento"</formula>
    </cfRule>
  </conditionalFormatting>
  <conditionalFormatting sqref="DF17">
    <cfRule type="cellIs" dxfId="28" priority="29" operator="equal">
      <formula>"Tratamento"</formula>
    </cfRule>
  </conditionalFormatting>
  <conditionalFormatting sqref="DN17">
    <cfRule type="cellIs" dxfId="27" priority="28" operator="equal">
      <formula>"Tratamento"</formula>
    </cfRule>
  </conditionalFormatting>
  <conditionalFormatting sqref="DV17">
    <cfRule type="cellIs" dxfId="26" priority="27" operator="equal">
      <formula>"Tratamento"</formula>
    </cfRule>
  </conditionalFormatting>
  <conditionalFormatting sqref="BC18:BD18">
    <cfRule type="expression" dxfId="25" priority="26">
      <formula>$CB18=""</formula>
    </cfRule>
  </conditionalFormatting>
  <conditionalFormatting sqref="BT18:BU18">
    <cfRule type="expression" dxfId="24" priority="25">
      <formula>$BX18=""</formula>
    </cfRule>
  </conditionalFormatting>
  <conditionalFormatting sqref="BV18">
    <cfRule type="cellIs" dxfId="23" priority="24" operator="equal">
      <formula>"Tratamento"</formula>
    </cfRule>
  </conditionalFormatting>
  <conditionalFormatting sqref="BZ18">
    <cfRule type="cellIs" dxfId="22" priority="23" operator="equal">
      <formula>"Tratamento"</formula>
    </cfRule>
  </conditionalFormatting>
  <conditionalFormatting sqref="CD18">
    <cfRule type="cellIs" dxfId="21" priority="22" operator="equal">
      <formula>"Tratamento"</formula>
    </cfRule>
  </conditionalFormatting>
  <conditionalFormatting sqref="CH18">
    <cfRule type="cellIs" dxfId="20" priority="21" operator="equal">
      <formula>"Tratamento"</formula>
    </cfRule>
  </conditionalFormatting>
  <conditionalFormatting sqref="CL18">
    <cfRule type="cellIs" dxfId="19" priority="20" operator="equal">
      <formula>"Tratamento"</formula>
    </cfRule>
  </conditionalFormatting>
  <conditionalFormatting sqref="CP18">
    <cfRule type="cellIs" dxfId="18" priority="19" operator="equal">
      <formula>"Tratamento"</formula>
    </cfRule>
  </conditionalFormatting>
  <conditionalFormatting sqref="CT18">
    <cfRule type="cellIs" dxfId="17" priority="18" operator="equal">
      <formula>"Tratamento"</formula>
    </cfRule>
  </conditionalFormatting>
  <conditionalFormatting sqref="CX18">
    <cfRule type="cellIs" dxfId="16" priority="17" operator="equal">
      <formula>"Tratamento"</formula>
    </cfRule>
  </conditionalFormatting>
  <conditionalFormatting sqref="DF18">
    <cfRule type="cellIs" dxfId="15" priority="16" operator="equal">
      <formula>"Tratamento"</formula>
    </cfRule>
  </conditionalFormatting>
  <conditionalFormatting sqref="DN18">
    <cfRule type="cellIs" dxfId="14" priority="15" operator="equal">
      <formula>"Tratamento"</formula>
    </cfRule>
  </conditionalFormatting>
  <conditionalFormatting sqref="DV18">
    <cfRule type="cellIs" dxfId="13" priority="14" operator="equal">
      <formula>"Tratamento"</formula>
    </cfRule>
  </conditionalFormatting>
  <conditionalFormatting sqref="BC19:BD19">
    <cfRule type="expression" dxfId="12" priority="13">
      <formula>$CB19=""</formula>
    </cfRule>
  </conditionalFormatting>
  <conditionalFormatting sqref="BT19:BU19">
    <cfRule type="expression" dxfId="11" priority="12">
      <formula>$BX19=""</formula>
    </cfRule>
  </conditionalFormatting>
  <conditionalFormatting sqref="BV19">
    <cfRule type="cellIs" dxfId="10" priority="11" operator="equal">
      <formula>"Tratamento"</formula>
    </cfRule>
  </conditionalFormatting>
  <conditionalFormatting sqref="BZ19">
    <cfRule type="cellIs" dxfId="9" priority="10" operator="equal">
      <formula>"Tratamento"</formula>
    </cfRule>
  </conditionalFormatting>
  <conditionalFormatting sqref="CD19">
    <cfRule type="cellIs" dxfId="8" priority="9" operator="equal">
      <formula>"Tratamento"</formula>
    </cfRule>
  </conditionalFormatting>
  <conditionalFormatting sqref="CH19">
    <cfRule type="cellIs" dxfId="7" priority="8" operator="equal">
      <formula>"Tratamento"</formula>
    </cfRule>
  </conditionalFormatting>
  <conditionalFormatting sqref="CL19">
    <cfRule type="cellIs" dxfId="6" priority="7" operator="equal">
      <formula>"Tratamento"</formula>
    </cfRule>
  </conditionalFormatting>
  <conditionalFormatting sqref="CP19">
    <cfRule type="cellIs" dxfId="5" priority="6" operator="equal">
      <formula>"Tratamento"</formula>
    </cfRule>
  </conditionalFormatting>
  <conditionalFormatting sqref="CT19">
    <cfRule type="cellIs" dxfId="4" priority="5" operator="equal">
      <formula>"Tratamento"</formula>
    </cfRule>
  </conditionalFormatting>
  <conditionalFormatting sqref="CX19">
    <cfRule type="cellIs" dxfId="3" priority="4" operator="equal">
      <formula>"Tratamento"</formula>
    </cfRule>
  </conditionalFormatting>
  <conditionalFormatting sqref="DF19">
    <cfRule type="cellIs" dxfId="2" priority="3" operator="equal">
      <formula>"Tratamento"</formula>
    </cfRule>
  </conditionalFormatting>
  <conditionalFormatting sqref="DN19">
    <cfRule type="cellIs" dxfId="1" priority="2" operator="equal">
      <formula>"Tratamento"</formula>
    </cfRule>
  </conditionalFormatting>
  <conditionalFormatting sqref="DV19">
    <cfRule type="cellIs" dxfId="0" priority="1" operator="equal">
      <formula>"Tratamento"</formula>
    </cfRule>
  </conditionalFormatting>
  <dataValidations count="15">
    <dataValidation type="list" allowBlank="1" showInputMessage="1" showErrorMessage="1" sqref="KE3:KE19 D3:D19 HW3:HW19 BR3:BR19 BA3:BA19 AU3:AW19 KG3:KG19">
      <formula1>"Sim,Não"</formula1>
    </dataValidation>
    <dataValidation type="list" allowBlank="1" showInputMessage="1" showErrorMessage="1" sqref="KH3:KH19">
      <formula1>"Benefício,Aparelho,Oi Pontos"</formula1>
    </dataValidation>
    <dataValidation type="whole" allowBlank="1" showInputMessage="1" showErrorMessage="1" sqref="KJ3:KJ19">
      <formula1>1</formula1>
      <formula2>24</formula2>
    </dataValidation>
    <dataValidation type="list" errorStyle="warning" allowBlank="1" showInputMessage="1" showErrorMessage="1" sqref="B3:B19">
      <formula1>"Aquisição,Retenção,Migração,Oi Pontos"</formula1>
    </dataValidation>
    <dataValidation type="list" allowBlank="1" showInputMessage="1" showErrorMessage="1" sqref="C3:C19">
      <formula1>"Novos e Atuais,Novos,Atuais"</formula1>
    </dataValidation>
    <dataValidation type="list" allowBlank="1" showInputMessage="1" showErrorMessage="1" sqref="KT3:KT19">
      <formula1>"PCS-SBL11111"</formula1>
    </dataValidation>
    <dataValidation type="list" allowBlank="1" showInputMessage="1" showErrorMessage="1" sqref="IJ3:IJ19 IG3:IG19 BA3:BA19">
      <formula1>"Sim"</formula1>
    </dataValidation>
    <dataValidation type="list" allowBlank="1" showInputMessage="1" showErrorMessage="1" sqref="BV3:BV19 BZ3:BZ19 DN3:DN19 CD3:CD19 CH3:CH19 CL3:CL19 CP3:CP19 CT3:CT19 CX3:CX19 DF3:DF19 DV3:DV19">
      <formula1>"Comercial,Tratamento"</formula1>
    </dataValidation>
    <dataValidation type="list" allowBlank="1" showInputMessage="1" showErrorMessage="1" sqref="KQ3:KQ19">
      <formula1>"SMS"</formula1>
    </dataValidation>
    <dataValidation type="list" allowBlank="1" showInputMessage="1" showErrorMessage="1" sqref="E3:AH19">
      <formula1>"X,x"</formula1>
    </dataValidation>
    <dataValidation type="list" allowBlank="1" showInputMessage="1" showErrorMessage="1" sqref="A3:A19">
      <formula1>"Oi Total"</formula1>
    </dataValidation>
    <dataValidation type="list" allowBlank="1" showInputMessage="1" showErrorMessage="1" sqref="EJ3:EJ19">
      <formula1>"Grátis"</formula1>
    </dataValidation>
    <dataValidation type="list" allowBlank="1" showInputMessage="1" showErrorMessage="1" sqref="IN3:IN19">
      <formula1>"300MB,500MB,1GB,2GB,3GB,5GB,10GB"</formula1>
    </dataValidation>
    <dataValidation type="list" allowBlank="1" showInputMessage="1" showErrorMessage="1" sqref="IM3:IM19">
      <formula1>"Exige pelo menos um Pacote de dados,Exige Pacote de dados em todas as linhas"</formula1>
    </dataValidation>
    <dataValidation type="list" allowBlank="1" showInputMessage="1" showErrorMessage="1" sqref="KN3:KN19">
      <formula1>"VC Oi,LD + VC Oi,LD qualquer operadora,LD fixo para qualquer fixo Brasil,Ilimitado"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'C:\TMP\RETOT\3PRes\Origens\[BCM_Oi Total 3P Res_Natal-17_v2.xlsx]PLANOS'!#REF!</xm:f>
          </x14:formula1>
          <xm:sqref>AY3:AY19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Lucas, Victor Motta d.</cp:lastModifiedBy>
  <dcterms:created xsi:type="dcterms:W3CDTF">2018-05-24T12:22:29Z</dcterms:created>
  <dcterms:modified xsi:type="dcterms:W3CDTF">2018-05-24T12:22:38Z</dcterms:modified>
</cp:coreProperties>
</file>