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raj\Desktop\src\stocks\stockexcel\"/>
    </mc:Choice>
  </mc:AlternateContent>
  <xr:revisionPtr revIDLastSave="0" documentId="13_ncr:1_{E66F9833-32F8-46E2-AB8A-C8247E504C4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 Sheet" sheetId="1" r:id="rId1"/>
    <sheet name="Profit &amp; Loss" sheetId="2" r:id="rId2"/>
    <sheet name="Quarters" sheetId="3" r:id="rId3"/>
    <sheet name="Balance Sheet" sheetId="4" r:id="rId4"/>
    <sheet name="Cash Flow" sheetId="5" r:id="rId5"/>
  </sheets>
  <definedNames>
    <definedName name="UPDATE">'Data Sheet'!$E$1</definedName>
  </definedNames>
  <calcPr calcId="191029"/>
</workbook>
</file>

<file path=xl/calcChain.xml><?xml version="1.0" encoding="utf-8"?>
<calcChain xmlns="http://schemas.openxmlformats.org/spreadsheetml/2006/main">
  <c r="K7" i="5" l="1"/>
  <c r="J7" i="5"/>
  <c r="I7" i="5"/>
  <c r="H7" i="5"/>
  <c r="G7" i="5"/>
  <c r="F7" i="5"/>
  <c r="E7" i="5"/>
  <c r="D7" i="5"/>
  <c r="C7" i="5"/>
  <c r="B7" i="5"/>
  <c r="K6" i="5"/>
  <c r="J6" i="5"/>
  <c r="I6" i="5"/>
  <c r="H6" i="5"/>
  <c r="G6" i="5"/>
  <c r="F6" i="5"/>
  <c r="E6" i="5"/>
  <c r="D6" i="5"/>
  <c r="C6" i="5"/>
  <c r="B6" i="5"/>
  <c r="K5" i="5"/>
  <c r="J5" i="5"/>
  <c r="I5" i="5"/>
  <c r="H5" i="5"/>
  <c r="G5" i="5"/>
  <c r="F5" i="5"/>
  <c r="E5" i="5"/>
  <c r="D5" i="5"/>
  <c r="C5" i="5"/>
  <c r="B5" i="5"/>
  <c r="K4" i="5"/>
  <c r="J4" i="5"/>
  <c r="I4" i="5"/>
  <c r="H4" i="5"/>
  <c r="G4" i="5"/>
  <c r="F4" i="5"/>
  <c r="E4" i="5"/>
  <c r="D4" i="5"/>
  <c r="C4" i="5"/>
  <c r="B4" i="5"/>
  <c r="K3" i="5"/>
  <c r="J3" i="5"/>
  <c r="I3" i="5"/>
  <c r="H3" i="5"/>
  <c r="G3" i="5"/>
  <c r="F3" i="5"/>
  <c r="E3" i="5"/>
  <c r="D3" i="5"/>
  <c r="C3" i="5"/>
  <c r="B3" i="5"/>
  <c r="A1" i="5"/>
  <c r="K21" i="4"/>
  <c r="D21" i="4"/>
  <c r="C21" i="4"/>
  <c r="E20" i="4"/>
  <c r="K18" i="4"/>
  <c r="J18" i="4"/>
  <c r="J21" i="4" s="1"/>
  <c r="I18" i="4"/>
  <c r="I21" i="4" s="1"/>
  <c r="H18" i="4"/>
  <c r="H21" i="4" s="1"/>
  <c r="G18" i="4"/>
  <c r="G21" i="4" s="1"/>
  <c r="F18" i="4"/>
  <c r="F21" i="4" s="1"/>
  <c r="E18" i="4"/>
  <c r="D18" i="4"/>
  <c r="C18" i="4"/>
  <c r="B18" i="4"/>
  <c r="B21" i="4" s="1"/>
  <c r="K17" i="4"/>
  <c r="J17" i="4"/>
  <c r="I17" i="4"/>
  <c r="H17" i="4"/>
  <c r="G17" i="4"/>
  <c r="F17" i="4"/>
  <c r="E17" i="4"/>
  <c r="D17" i="4"/>
  <c r="C17" i="4"/>
  <c r="B17" i="4"/>
  <c r="K16" i="4"/>
  <c r="D16" i="4"/>
  <c r="C16" i="4"/>
  <c r="K14" i="4"/>
  <c r="J14" i="4"/>
  <c r="I14" i="4"/>
  <c r="H14" i="4"/>
  <c r="G14" i="4"/>
  <c r="F14" i="4"/>
  <c r="E14" i="4"/>
  <c r="D14" i="4"/>
  <c r="C14" i="4"/>
  <c r="B14" i="4"/>
  <c r="K13" i="4"/>
  <c r="J13" i="4"/>
  <c r="J16" i="4" s="1"/>
  <c r="I13" i="4"/>
  <c r="I16" i="4" s="1"/>
  <c r="H13" i="4"/>
  <c r="H16" i="4" s="1"/>
  <c r="G13" i="4"/>
  <c r="G16" i="4" s="1"/>
  <c r="F13" i="4"/>
  <c r="F16" i="4" s="1"/>
  <c r="E13" i="4"/>
  <c r="D13" i="4"/>
  <c r="C13" i="4"/>
  <c r="B13" i="4"/>
  <c r="B16" i="4" s="1"/>
  <c r="K12" i="4"/>
  <c r="J12" i="4"/>
  <c r="I12" i="4"/>
  <c r="H12" i="4"/>
  <c r="G12" i="4"/>
  <c r="F12" i="4"/>
  <c r="E12" i="4"/>
  <c r="D12" i="4"/>
  <c r="C12" i="4"/>
  <c r="B12" i="4"/>
  <c r="K11" i="4"/>
  <c r="J11" i="4"/>
  <c r="I11" i="4"/>
  <c r="H11" i="4"/>
  <c r="G11" i="4"/>
  <c r="F11" i="4"/>
  <c r="E11" i="4"/>
  <c r="D11" i="4"/>
  <c r="C11" i="4"/>
  <c r="B11" i="4"/>
  <c r="K10" i="4"/>
  <c r="J10" i="4"/>
  <c r="I10" i="4"/>
  <c r="H10" i="4"/>
  <c r="G10" i="4"/>
  <c r="F10" i="4"/>
  <c r="E10" i="4"/>
  <c r="D10" i="4"/>
  <c r="C10" i="4"/>
  <c r="B10" i="4"/>
  <c r="K8" i="4"/>
  <c r="J8" i="4"/>
  <c r="I8" i="4"/>
  <c r="H8" i="4"/>
  <c r="G8" i="4"/>
  <c r="F8" i="4"/>
  <c r="E8" i="4"/>
  <c r="D8" i="4"/>
  <c r="C8" i="4"/>
  <c r="B8" i="4"/>
  <c r="K7" i="4"/>
  <c r="J7" i="4"/>
  <c r="I7" i="4"/>
  <c r="H7" i="4"/>
  <c r="G7" i="4"/>
  <c r="F7" i="4"/>
  <c r="E7" i="4"/>
  <c r="E16" i="4" s="1"/>
  <c r="D7" i="4"/>
  <c r="C7" i="4"/>
  <c r="B7" i="4"/>
  <c r="K6" i="4"/>
  <c r="J6" i="4"/>
  <c r="I6" i="4"/>
  <c r="H6" i="4"/>
  <c r="G6" i="4"/>
  <c r="F6" i="4"/>
  <c r="E6" i="4"/>
  <c r="D6" i="4"/>
  <c r="C6" i="4"/>
  <c r="B6" i="4"/>
  <c r="K5" i="4"/>
  <c r="J5" i="4"/>
  <c r="I5" i="4"/>
  <c r="H5" i="4"/>
  <c r="G5" i="4"/>
  <c r="F5" i="4"/>
  <c r="E5" i="4"/>
  <c r="E23" i="4" s="1"/>
  <c r="D5" i="4"/>
  <c r="C5" i="4"/>
  <c r="B5" i="4"/>
  <c r="K4" i="4"/>
  <c r="K23" i="4" s="1"/>
  <c r="J4" i="4"/>
  <c r="K24" i="4" s="1"/>
  <c r="I4" i="4"/>
  <c r="J24" i="4" s="1"/>
  <c r="H4" i="4"/>
  <c r="H23" i="4" s="1"/>
  <c r="G4" i="4"/>
  <c r="G23" i="4" s="1"/>
  <c r="F4" i="4"/>
  <c r="G24" i="4" s="1"/>
  <c r="E4" i="4"/>
  <c r="F24" i="4" s="1"/>
  <c r="D4" i="4"/>
  <c r="E24" i="4" s="1"/>
  <c r="C4" i="4"/>
  <c r="D24" i="4" s="1"/>
  <c r="B4" i="4"/>
  <c r="C24" i="4" s="1"/>
  <c r="K3" i="4"/>
  <c r="J3" i="4"/>
  <c r="I3" i="4"/>
  <c r="H3" i="4"/>
  <c r="G3" i="4"/>
  <c r="F3" i="4"/>
  <c r="E3" i="4"/>
  <c r="D3" i="4"/>
  <c r="C3" i="4"/>
  <c r="B3" i="4"/>
  <c r="E1" i="4"/>
  <c r="A1" i="4"/>
  <c r="F14" i="3"/>
  <c r="E14" i="3"/>
  <c r="K12" i="3"/>
  <c r="J12" i="3"/>
  <c r="I12" i="3"/>
  <c r="H12" i="3"/>
  <c r="L12" i="2" s="1"/>
  <c r="G12" i="3"/>
  <c r="F12" i="3"/>
  <c r="E12" i="3"/>
  <c r="D12" i="3"/>
  <c r="C12" i="3"/>
  <c r="B12" i="3"/>
  <c r="K11" i="3"/>
  <c r="J11" i="3"/>
  <c r="I11" i="3"/>
  <c r="L11" i="2" s="1"/>
  <c r="H11" i="3"/>
  <c r="G11" i="3"/>
  <c r="F11" i="3"/>
  <c r="E11" i="3"/>
  <c r="D11" i="3"/>
  <c r="C11" i="3"/>
  <c r="B11" i="3"/>
  <c r="K10" i="3"/>
  <c r="L10" i="2" s="1"/>
  <c r="J10" i="3"/>
  <c r="I10" i="3"/>
  <c r="H10" i="3"/>
  <c r="G10" i="3"/>
  <c r="F10" i="3"/>
  <c r="E10" i="3"/>
  <c r="D10" i="3"/>
  <c r="C10" i="3"/>
  <c r="B10" i="3"/>
  <c r="K9" i="3"/>
  <c r="J9" i="3"/>
  <c r="I9" i="3"/>
  <c r="H9" i="3"/>
  <c r="G9" i="3"/>
  <c r="F9" i="3"/>
  <c r="E9" i="3"/>
  <c r="D9" i="3"/>
  <c r="C9" i="3"/>
  <c r="B9" i="3"/>
  <c r="K8" i="3"/>
  <c r="J8" i="3"/>
  <c r="I8" i="3"/>
  <c r="H8" i="3"/>
  <c r="G8" i="3"/>
  <c r="F8" i="3"/>
  <c r="E8" i="3"/>
  <c r="D8" i="3"/>
  <c r="C8" i="3"/>
  <c r="B8" i="3"/>
  <c r="K7" i="3"/>
  <c r="J7" i="3"/>
  <c r="I7" i="3"/>
  <c r="L7" i="2" s="1"/>
  <c r="H7" i="3"/>
  <c r="G7" i="3"/>
  <c r="F7" i="3"/>
  <c r="E7" i="3"/>
  <c r="D7" i="3"/>
  <c r="C7" i="3"/>
  <c r="B7" i="3"/>
  <c r="K6" i="3"/>
  <c r="J6" i="3"/>
  <c r="I6" i="3"/>
  <c r="H6" i="3"/>
  <c r="G6" i="3"/>
  <c r="F6" i="3"/>
  <c r="E6" i="3"/>
  <c r="D6" i="3"/>
  <c r="C6" i="3"/>
  <c r="B6" i="3"/>
  <c r="K5" i="3"/>
  <c r="J5" i="3"/>
  <c r="I5" i="3"/>
  <c r="H5" i="3"/>
  <c r="G5" i="3"/>
  <c r="F5" i="3"/>
  <c r="E5" i="3"/>
  <c r="D5" i="3"/>
  <c r="C5" i="3"/>
  <c r="B5" i="3"/>
  <c r="K4" i="3"/>
  <c r="K14" i="3" s="1"/>
  <c r="J4" i="3"/>
  <c r="J14" i="3" s="1"/>
  <c r="I4" i="3"/>
  <c r="I14" i="3" s="1"/>
  <c r="H4" i="3"/>
  <c r="L4" i="2" s="1"/>
  <c r="G4" i="3"/>
  <c r="G14" i="3" s="1"/>
  <c r="F4" i="3"/>
  <c r="E4" i="3"/>
  <c r="D4" i="3"/>
  <c r="D14" i="3" s="1"/>
  <c r="C4" i="3"/>
  <c r="C14" i="3" s="1"/>
  <c r="B4" i="3"/>
  <c r="B14" i="3" s="1"/>
  <c r="K3" i="3"/>
  <c r="J3" i="3"/>
  <c r="I3" i="3"/>
  <c r="H3" i="3"/>
  <c r="G3" i="3"/>
  <c r="F3" i="3"/>
  <c r="E3" i="3"/>
  <c r="D3" i="3"/>
  <c r="C3" i="3"/>
  <c r="B3" i="3"/>
  <c r="E1" i="3"/>
  <c r="A1" i="3"/>
  <c r="I23" i="2"/>
  <c r="H23" i="2"/>
  <c r="K18" i="2"/>
  <c r="J18" i="2"/>
  <c r="I18" i="2"/>
  <c r="H18" i="2"/>
  <c r="G18" i="2"/>
  <c r="F18" i="2"/>
  <c r="E18" i="2"/>
  <c r="D18" i="2"/>
  <c r="C18" i="2"/>
  <c r="B18" i="2"/>
  <c r="L15" i="2"/>
  <c r="K15" i="2"/>
  <c r="K14" i="2" s="1"/>
  <c r="J15" i="2"/>
  <c r="I15" i="2"/>
  <c r="H15" i="2"/>
  <c r="G15" i="2"/>
  <c r="F15" i="2"/>
  <c r="E15" i="2"/>
  <c r="E14" i="2" s="1"/>
  <c r="D15" i="2"/>
  <c r="D14" i="2" s="1"/>
  <c r="C15" i="2"/>
  <c r="C14" i="2" s="1"/>
  <c r="B15" i="2"/>
  <c r="G14" i="2"/>
  <c r="F14" i="2"/>
  <c r="K13" i="2"/>
  <c r="G13" i="2"/>
  <c r="F13" i="2"/>
  <c r="E13" i="2"/>
  <c r="D13" i="2"/>
  <c r="C13" i="2"/>
  <c r="K12" i="2"/>
  <c r="J12" i="2"/>
  <c r="J13" i="2" s="1"/>
  <c r="I12" i="2"/>
  <c r="I13" i="2" s="1"/>
  <c r="H12" i="2"/>
  <c r="H13" i="2" s="1"/>
  <c r="H14" i="2" s="1"/>
  <c r="G12" i="2"/>
  <c r="F12" i="2"/>
  <c r="E12" i="2"/>
  <c r="D12" i="2"/>
  <c r="C12" i="2"/>
  <c r="B12" i="2"/>
  <c r="B13" i="2" s="1"/>
  <c r="K11" i="2"/>
  <c r="J11" i="2"/>
  <c r="I11" i="2"/>
  <c r="H11" i="2"/>
  <c r="G11" i="2"/>
  <c r="F11" i="2"/>
  <c r="E11" i="2"/>
  <c r="D11" i="2"/>
  <c r="C11" i="2"/>
  <c r="B11" i="2"/>
  <c r="K10" i="2"/>
  <c r="J10" i="2"/>
  <c r="I10" i="2"/>
  <c r="H10" i="2"/>
  <c r="G10" i="2"/>
  <c r="F10" i="2"/>
  <c r="E10" i="2"/>
  <c r="D10" i="2"/>
  <c r="C10" i="2"/>
  <c r="B10" i="2"/>
  <c r="N9" i="2"/>
  <c r="L9" i="2"/>
  <c r="M9" i="2" s="1"/>
  <c r="K9" i="2"/>
  <c r="J9" i="2"/>
  <c r="I9" i="2"/>
  <c r="H9" i="2"/>
  <c r="G9" i="2"/>
  <c r="F9" i="2"/>
  <c r="E9" i="2"/>
  <c r="D9" i="2"/>
  <c r="C9" i="2"/>
  <c r="B9" i="2"/>
  <c r="L8" i="2"/>
  <c r="N8" i="2" s="1"/>
  <c r="K8" i="2"/>
  <c r="J8" i="2"/>
  <c r="I8" i="2"/>
  <c r="H8" i="2"/>
  <c r="G8" i="2"/>
  <c r="F8" i="2"/>
  <c r="E8" i="2"/>
  <c r="D8" i="2"/>
  <c r="C8" i="2"/>
  <c r="B8" i="2"/>
  <c r="K7" i="2"/>
  <c r="J7" i="2"/>
  <c r="I7" i="2"/>
  <c r="H7" i="2"/>
  <c r="G7" i="2"/>
  <c r="F7" i="2"/>
  <c r="E7" i="2"/>
  <c r="D7" i="2"/>
  <c r="C7" i="2"/>
  <c r="B7" i="2"/>
  <c r="L6" i="2"/>
  <c r="L19" i="2" s="1"/>
  <c r="L24" i="2" s="1"/>
  <c r="E6" i="2"/>
  <c r="E19" i="2" s="1"/>
  <c r="D6" i="2"/>
  <c r="D19" i="2" s="1"/>
  <c r="L5" i="2"/>
  <c r="K5" i="2"/>
  <c r="K6" i="2" s="1"/>
  <c r="K19" i="2" s="1"/>
  <c r="J5" i="2"/>
  <c r="I5" i="2"/>
  <c r="H5" i="2"/>
  <c r="G5" i="2"/>
  <c r="F5" i="2"/>
  <c r="E5" i="2"/>
  <c r="D5" i="2"/>
  <c r="C5" i="2"/>
  <c r="C6" i="2" s="1"/>
  <c r="C19" i="2" s="1"/>
  <c r="B5" i="2"/>
  <c r="K4" i="2"/>
  <c r="K20" i="4" s="1"/>
  <c r="J4" i="2"/>
  <c r="L23" i="2" s="1"/>
  <c r="I4" i="2"/>
  <c r="I20" i="4" s="1"/>
  <c r="H4" i="2"/>
  <c r="K23" i="2" s="1"/>
  <c r="M23" i="2" s="1"/>
  <c r="M4" i="2" s="1"/>
  <c r="G4" i="2"/>
  <c r="F4" i="2"/>
  <c r="E4" i="2"/>
  <c r="E21" i="4" s="1"/>
  <c r="D4" i="2"/>
  <c r="D20" i="4" s="1"/>
  <c r="C4" i="2"/>
  <c r="C20" i="4" s="1"/>
  <c r="B4" i="2"/>
  <c r="B20" i="4" s="1"/>
  <c r="K3" i="2"/>
  <c r="J3" i="2"/>
  <c r="I3" i="2"/>
  <c r="H3" i="2"/>
  <c r="G3" i="2"/>
  <c r="F3" i="2"/>
  <c r="E3" i="2"/>
  <c r="D3" i="2"/>
  <c r="C3" i="2"/>
  <c r="B3" i="2"/>
  <c r="H1" i="2"/>
  <c r="B6" i="1"/>
  <c r="E1" i="1"/>
  <c r="E1" i="5" s="1"/>
  <c r="I14" i="2" l="1"/>
  <c r="I25" i="2" s="1"/>
  <c r="J14" i="2"/>
  <c r="N11" i="2"/>
  <c r="M11" i="2"/>
  <c r="J24" i="2"/>
  <c r="B14" i="2"/>
  <c r="G20" i="4"/>
  <c r="C23" i="4"/>
  <c r="H14" i="3"/>
  <c r="H20" i="4"/>
  <c r="D23" i="4"/>
  <c r="M8" i="2"/>
  <c r="L13" i="2"/>
  <c r="L14" i="2" s="1"/>
  <c r="L25" i="2" s="1"/>
  <c r="G6" i="2"/>
  <c r="G19" i="2" s="1"/>
  <c r="H6" i="2"/>
  <c r="H19" i="2" s="1"/>
  <c r="I6" i="2"/>
  <c r="I19" i="2" s="1"/>
  <c r="J23" i="2"/>
  <c r="N23" i="2" s="1"/>
  <c r="N4" i="2" s="1"/>
  <c r="K24" i="2"/>
  <c r="M24" i="2" s="1"/>
  <c r="M6" i="2" s="1"/>
  <c r="I23" i="4"/>
  <c r="H24" i="4"/>
  <c r="F6" i="2"/>
  <c r="F19" i="2" s="1"/>
  <c r="I24" i="2" s="1"/>
  <c r="F20" i="4"/>
  <c r="B23" i="4"/>
  <c r="I24" i="4"/>
  <c r="B6" i="2"/>
  <c r="B19" i="2" s="1"/>
  <c r="H24" i="2" s="1"/>
  <c r="J6" i="2"/>
  <c r="J19" i="2" s="1"/>
  <c r="J20" i="4"/>
  <c r="F23" i="4"/>
  <c r="J23" i="4"/>
  <c r="M10" i="2" l="1"/>
  <c r="M12" i="2" s="1"/>
  <c r="M13" i="2" s="1"/>
  <c r="M5" i="2"/>
  <c r="N24" i="2"/>
  <c r="K25" i="2"/>
  <c r="M25" i="2" s="1"/>
  <c r="M14" i="2" s="1"/>
  <c r="N6" i="2"/>
  <c r="N10" i="2" s="1"/>
  <c r="N12" i="2" s="1"/>
  <c r="N13" i="2" s="1"/>
  <c r="H25" i="2"/>
  <c r="J25" i="2"/>
  <c r="N25" i="2" l="1"/>
  <c r="N14" i="2" s="1"/>
  <c r="N15" i="2"/>
  <c r="N5" i="2"/>
  <c r="M15" i="2"/>
</calcChain>
</file>

<file path=xl/sharedStrings.xml><?xml version="1.0" encoding="utf-8"?>
<sst xmlns="http://schemas.openxmlformats.org/spreadsheetml/2006/main" count="132" uniqueCount="82">
  <si>
    <t>COMPANY NAME</t>
  </si>
  <si>
    <t>3M INDIA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</si>
  <si>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</si>
  <si>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</si>
  <si>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</si>
  <si>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</si>
  <si>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</si>
  <si>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</si>
  <si>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</si>
  <si>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</si>
  <si>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</si>
  <si>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</si>
  <si>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Sales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</si>
  <si>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</si>
  <si>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</si>
  <si>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</si>
  <si>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</si>
  <si>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</si>
  <si>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</si>
  <si>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</si>
  <si>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</si>
  <si>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</si>
  <si>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</si>
  <si>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</si>
  <si>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</si>
  <si>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</si>
  <si>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</si>
  <si>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Quarters</t>
  </si>
  <si>
    <t>Expenses</t>
  </si>
  <si>
    <t>Operating Profit</t>
  </si>
  <si>
    <t>BALANCE SHEET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</si>
  <si>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</si>
  <si>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</si>
  <si>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</si>
  <si>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</si>
  <si>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</si>
  <si>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</si>
  <si>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</si>
  <si>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</si>
  <si>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</si>
  <si>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</si>
  <si>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</si>
  <si>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</si>
  <si>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</si>
  <si>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</si>
  <si>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</si>
  <si>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</si>
  <si>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</si>
  <si>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</si>
  <si>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</si>
  <si>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</si>
  <si>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</si>
  <si>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</si>
  <si>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</si>
  <si>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>Date</t>
  </si>
  <si>
    <t>Trailing</t>
  </si>
  <si>
    <t>Best Case</t>
  </si>
  <si>
    <t>Worst Case</t>
  </si>
  <si>
    <t>EPS</t>
  </si>
  <si>
    <t>Price to earning</t>
  </si>
  <si>
    <t>Price</t>
  </si>
  <si>
    <t>RATIOS:</t>
  </si>
  <si>
    <t>Dividend Payout</t>
  </si>
  <si>
    <t>OPM</t>
  </si>
  <si>
    <t>TRENDS:</t>
  </si>
  <si>
    <t>10 YEARS</t>
  </si>
  <si>
    <t>7 YEARS</t>
  </si>
  <si>
    <t>5 YEARS</t>
  </si>
  <si>
    <t>3 YEARS</t>
  </si>
  <si>
    <t>RECENT</t>
  </si>
  <si>
    <t>BEST</t>
  </si>
  <si>
    <t>WORST</t>
  </si>
  <si>
    <t>Sales Growth</t>
  </si>
  <si>
    <t>Price to Earning</t>
  </si>
  <si>
    <t>SCREENER.IN</t>
  </si>
  <si>
    <t>Narration</t>
  </si>
  <si>
    <t>Working Capital</t>
  </si>
  <si>
    <t>Debtors</t>
  </si>
  <si>
    <t>Debtor Days</t>
  </si>
  <si>
    <t>Inventory Turnover</t>
  </si>
  <si>
    <t>Return on Equity</t>
  </si>
  <si>
    <t>Return on Capital 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</si>
</sst>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/>
    <xf numFmtId="0" fontId="4" fillId="0" borderId="0">
      <alignment vertical="top"/>
      <protection locked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25">
    <xf numFmtId="0" fontId="0" fillId="0" borderId="0" xfId="0"/>
    <xf numFmtId="164" fontId="1" fillId="0" borderId="0" xfId="1" applyFont="1"/>
    <xf numFmtId="0" fontId="1" fillId="0" borderId="0" xfId="0" applyFont="1"/>
    <xf numFmtId="0" fontId="6" fillId="0" borderId="0" xfId="0" applyFont="1"/>
    <xf numFmtId="164" fontId="0" fillId="0" borderId="0" xfId="1" applyFont="1"/>
    <xf numFmtId="10" fontId="0" fillId="0" borderId="0" xfId="0" applyNumberFormat="1"/>
    <xf numFmtId="164" fontId="3" fillId="0" borderId="0" xfId="1"/>
    <xf numFmtId="9" fontId="3" fillId="0" borderId="0" xfId="1" applyNumberFormat="1"/>
    <xf numFmtId="164" fontId="2" fillId="2" borderId="0" xfId="3" applyNumberFormat="1" applyFont="1"/>
    <xf numFmtId="164" fontId="2" fillId="3" borderId="0" xfId="4" applyNumberFormat="1" applyFont="1"/>
    <xf numFmtId="9" fontId="1" fillId="0" borderId="0" xfId="6" applyFont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1" applyFont="1" applyAlignment="1">
      <alignment horizontal="center"/>
    </xf>
    <xf numFmtId="164" fontId="1" fillId="0" borderId="0" xfId="1" applyFont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/>
    <xf numFmtId="165" fontId="7" fillId="0" borderId="0" xfId="1" applyNumberFormat="1" applyFont="1"/>
    <xf numFmtId="0" fontId="7" fillId="0" borderId="0" xfId="0" applyFont="1"/>
    <xf numFmtId="43" fontId="0" fillId="0" borderId="0" xfId="1" applyNumberFormat="1" applyFont="1"/>
    <xf numFmtId="164" fontId="2" fillId="4" borderId="0" xfId="5" applyNumberFormat="1" applyFont="1" applyAlignment="1">
      <alignment horizontal="center"/>
    </xf>
    <xf numFmtId="164" fontId="0" fillId="0" borderId="0" xfId="1" applyFont="1"/>
    <xf numFmtId="164" fontId="4" fillId="0" borderId="0" xfId="2" applyNumberFormat="1" applyAlignment="1" applyProtection="1">
      <alignment horizontal="center"/>
    </xf>
    <xf numFmtId="164" fontId="1" fillId="0" borderId="0" xfId="1" applyFont="1"/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color theme="0"/>
      </font>
      <fill>
        <patternFill>
          <bgColor theme="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zoomScale="85" zoomScaleNormal="85" zoomScalePageLayoutView="120" workbookViewId="0">
      <pane xSplit="1" ySplit="1" topLeftCell="B2" activePane="bottomRight" state="frozen"/>
      <selection activeCell="R24" sqref="R24"/>
      <selection pane="topRight" activeCell="R24" sqref="R24"/>
      <selection pane="bottomLeft" activeCell="R24" sqref="R24"/>
      <selection pane="bottomRight" activeCell="E13" sqref="E13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3" width="8.77734375" style="4" customWidth="1"/>
    <col min="14" max="16384" width="8.77734375" style="4"/>
  </cols>
  <sheetData>
    <row r="1" spans="1:11" s="1" customFormat="1" x14ac:dyDescent="0.3">
      <c r="A1" s="1" t="s">
        <v>0</v>
      </c>
      <c r="B1" s="1" t="s">
        <v>1</v>
      </c>
      <c r="E1" s="23" t="str">
        <f>IF(B2&lt;&gt;B3, "A NEW VERSION OF THE WORKSHEET IS AVAILABLE", "")</f>
        <v/>
      </c>
      <c r="F1" s="24"/>
      <c r="G1" s="24"/>
      <c r="H1" s="24"/>
      <c r="I1" s="24"/>
      <c r="J1" s="24"/>
      <c r="K1" s="24"/>
    </row>
    <row r="2" spans="1:11" x14ac:dyDescent="0.3">
      <c r="A2" s="1" t="s">
        <v>2</v>
      </c>
      <c r="B2" s="4">
        <v>2.1</v>
      </c>
      <c r="E2" s="21" t="s">
        <v>3</v>
      </c>
      <c r="F2" s="22"/>
      <c r="G2" s="22"/>
      <c r="H2" s="22"/>
      <c r="I2" s="22"/>
      <c r="J2" s="22"/>
      <c r="K2" s="22"/>
    </row>
    <row r="3" spans="1:11" x14ac:dyDescent="0.3">
      <c r="A3" s="1" t="s">
        <v>4</v>
      </c>
      <c r="B3" s="4">
        <v>2.1</v>
      </c>
    </row>
    <row r="4" spans="1:11" x14ac:dyDescent="0.3">
      <c r="A4" s="1"/>
    </row>
    <row r="5" spans="1:11" x14ac:dyDescent="0.3">
      <c r="A5" s="1" t="s">
        <v>5</v>
      </c>
    </row>
    <row r="6" spans="1:11" x14ac:dyDescent="0.3">
      <c r="A6" s="4" t="s">
        <v>6</v>
      </c>
      <c r="B6" s="4">
        <f>IF(B9&gt;0, B9/B8, 0)</f>
        <v>1.1261510023530716</v>
      </c>
    </row>
    <row r="7" spans="1:11" x14ac:dyDescent="0.3">
      <c r="A7" s="4" t="s">
        <v>7</v>
      </c>
      <c r="B7">
        <v>10</v>
      </c>
    </row>
    <row r="8" spans="1:11" x14ac:dyDescent="0.3">
      <c r="A8" s="4" t="s">
        <v>8</v>
      </c>
      <c r="B8">
        <v>28834.65</v>
      </c>
    </row>
    <row r="9" spans="1:11" x14ac:dyDescent="0.3">
      <c r="A9" s="4" t="s">
        <v>9</v>
      </c>
      <c r="B9">
        <v>32472.17</v>
      </c>
    </row>
    <row r="15" spans="1:11" x14ac:dyDescent="0.3">
      <c r="A15" s="1" t="s">
        <v>10</v>
      </c>
    </row>
    <row r="16" spans="1:11" s="18" customFormat="1" x14ac:dyDescent="0.3">
      <c r="A16" s="17" t="s">
        <v>11</v>
      </c>
      <c r="B16" s="12">
        <v>41729</v>
      </c>
      <c r="C16" s="12">
        <v>42094</v>
      </c>
      <c r="D16" s="12">
        <v>42460</v>
      </c>
      <c r="E16" s="12">
        <v>42825</v>
      </c>
      <c r="F16" s="12">
        <v>43190</v>
      </c>
      <c r="G16" s="12">
        <v>43555</v>
      </c>
      <c r="H16" s="12">
        <v>43921</v>
      </c>
      <c r="I16" s="12">
        <v>44286</v>
      </c>
      <c r="J16" s="12">
        <v>44651</v>
      </c>
      <c r="K16" s="12">
        <v>45016</v>
      </c>
    </row>
    <row r="17" spans="1:11" s="6" customFormat="1" x14ac:dyDescent="0.3">
      <c r="A17" s="6" t="s">
        <v>12</v>
      </c>
      <c r="B17">
        <v>1742.34</v>
      </c>
      <c r="C17">
        <v>1840.3</v>
      </c>
      <c r="D17">
        <v>2139.6</v>
      </c>
      <c r="E17">
        <v>2362.98</v>
      </c>
      <c r="F17">
        <v>2556.14</v>
      </c>
      <c r="G17">
        <v>2808.76</v>
      </c>
      <c r="H17">
        <v>2764.88</v>
      </c>
      <c r="I17">
        <v>2420.36</v>
      </c>
      <c r="J17">
        <v>3078.3</v>
      </c>
      <c r="K17">
        <v>3733.44</v>
      </c>
    </row>
    <row r="18" spans="1:11" s="6" customFormat="1" x14ac:dyDescent="0.3">
      <c r="A18" s="4" t="s">
        <v>13</v>
      </c>
      <c r="B18">
        <v>1068.57</v>
      </c>
      <c r="C18">
        <v>1101.08</v>
      </c>
      <c r="D18">
        <v>1212.23</v>
      </c>
      <c r="E18">
        <v>1326.63</v>
      </c>
      <c r="F18">
        <v>1351.34</v>
      </c>
      <c r="G18">
        <v>1500.57</v>
      </c>
      <c r="H18">
        <v>1620.14</v>
      </c>
      <c r="I18">
        <v>1473.56</v>
      </c>
      <c r="J18">
        <v>1922.78</v>
      </c>
      <c r="K18">
        <v>2378.91</v>
      </c>
    </row>
    <row r="19" spans="1:11" s="6" customFormat="1" x14ac:dyDescent="0.3">
      <c r="A19" s="4" t="s">
        <v>14</v>
      </c>
      <c r="B19">
        <v>5.0599999999999996</v>
      </c>
      <c r="C19">
        <v>31.87</v>
      </c>
      <c r="D19">
        <v>10.42</v>
      </c>
      <c r="E19">
        <v>8.7200000000000006</v>
      </c>
      <c r="F19">
        <v>19.989999999999998</v>
      </c>
      <c r="G19">
        <v>13.88</v>
      </c>
      <c r="H19">
        <v>8.2200000000000006</v>
      </c>
      <c r="I19">
        <v>-20.87</v>
      </c>
      <c r="J19">
        <v>8.5299999999999994</v>
      </c>
      <c r="K19">
        <v>39.14</v>
      </c>
    </row>
    <row r="20" spans="1:11" s="6" customFormat="1" x14ac:dyDescent="0.3">
      <c r="A20" s="4" t="s">
        <v>15</v>
      </c>
      <c r="B20">
        <v>12.22</v>
      </c>
      <c r="C20">
        <v>11.76</v>
      </c>
      <c r="D20">
        <v>13.51</v>
      </c>
      <c r="E20">
        <v>13.06</v>
      </c>
      <c r="F20">
        <v>15.09</v>
      </c>
      <c r="G20">
        <v>16.79</v>
      </c>
      <c r="H20">
        <v>16.04</v>
      </c>
      <c r="I20">
        <v>12.59</v>
      </c>
      <c r="J20">
        <v>14</v>
      </c>
      <c r="K20">
        <v>20.399999999999999</v>
      </c>
    </row>
    <row r="21" spans="1:11" s="6" customFormat="1" x14ac:dyDescent="0.3">
      <c r="A21" s="4" t="s">
        <v>16</v>
      </c>
      <c r="B21">
        <v>46.62</v>
      </c>
      <c r="C21">
        <v>47.46</v>
      </c>
      <c r="D21">
        <v>17.45</v>
      </c>
      <c r="E21">
        <v>17.739999999999998</v>
      </c>
      <c r="F21">
        <v>19.47</v>
      </c>
      <c r="G21">
        <v>20.43</v>
      </c>
      <c r="H21">
        <v>18.489999999999998</v>
      </c>
      <c r="I21">
        <v>19.190000000000001</v>
      </c>
      <c r="J21">
        <v>20.350000000000001</v>
      </c>
      <c r="K21">
        <v>19.37</v>
      </c>
    </row>
    <row r="22" spans="1:11" s="6" customFormat="1" x14ac:dyDescent="0.3">
      <c r="A22" s="4" t="s">
        <v>17</v>
      </c>
      <c r="B22">
        <v>247.65</v>
      </c>
      <c r="C22">
        <v>246.23</v>
      </c>
      <c r="D22">
        <v>250.46</v>
      </c>
      <c r="E22">
        <v>280.11</v>
      </c>
      <c r="F22">
        <v>324.08</v>
      </c>
      <c r="G22">
        <v>301.14999999999998</v>
      </c>
      <c r="H22">
        <v>297.92</v>
      </c>
      <c r="I22">
        <v>337.41</v>
      </c>
      <c r="J22">
        <v>350.25</v>
      </c>
      <c r="K22">
        <v>366.37</v>
      </c>
    </row>
    <row r="23" spans="1:11" s="6" customFormat="1" x14ac:dyDescent="0.3">
      <c r="A23" s="4" t="s">
        <v>18</v>
      </c>
      <c r="B23">
        <v>207.23</v>
      </c>
      <c r="C23">
        <v>220.74</v>
      </c>
      <c r="D23">
        <v>264.16000000000003</v>
      </c>
      <c r="E23">
        <v>326.72000000000003</v>
      </c>
      <c r="F23">
        <v>333.69</v>
      </c>
      <c r="G23">
        <v>402.7</v>
      </c>
      <c r="H23">
        <v>326.37</v>
      </c>
      <c r="I23">
        <v>266.49</v>
      </c>
      <c r="J23">
        <v>332.53</v>
      </c>
      <c r="K23">
        <v>352.63</v>
      </c>
    </row>
    <row r="24" spans="1:11" s="6" customFormat="1" x14ac:dyDescent="0.3">
      <c r="A24" s="4" t="s">
        <v>19</v>
      </c>
      <c r="B24">
        <v>53.05</v>
      </c>
      <c r="C24">
        <v>40.799999999999997</v>
      </c>
      <c r="D24">
        <v>55.55</v>
      </c>
      <c r="E24">
        <v>38.6</v>
      </c>
      <c r="F24">
        <v>52.56</v>
      </c>
      <c r="G24">
        <v>73.39</v>
      </c>
      <c r="H24">
        <v>154.31</v>
      </c>
      <c r="I24">
        <v>52.57</v>
      </c>
      <c r="J24">
        <v>65.03</v>
      </c>
      <c r="K24">
        <v>75.11</v>
      </c>
    </row>
    <row r="25" spans="1:11" s="6" customFormat="1" x14ac:dyDescent="0.3">
      <c r="A25" s="6" t="s">
        <v>20</v>
      </c>
      <c r="B25">
        <v>19.36</v>
      </c>
      <c r="C25">
        <v>14.09</v>
      </c>
      <c r="D25">
        <v>17.62</v>
      </c>
      <c r="E25">
        <v>49.4</v>
      </c>
      <c r="F25">
        <v>43.53</v>
      </c>
      <c r="G25">
        <v>32.82</v>
      </c>
      <c r="H25">
        <v>41.56</v>
      </c>
      <c r="I25">
        <v>26.87</v>
      </c>
      <c r="J25">
        <v>34.72</v>
      </c>
      <c r="K25">
        <v>64.22</v>
      </c>
    </row>
    <row r="26" spans="1:11" s="6" customFormat="1" x14ac:dyDescent="0.3">
      <c r="A26" s="6" t="s">
        <v>21</v>
      </c>
      <c r="B26">
        <v>47.6</v>
      </c>
      <c r="C26">
        <v>49.6</v>
      </c>
      <c r="D26">
        <v>48.93</v>
      </c>
      <c r="E26">
        <v>46.75</v>
      </c>
      <c r="F26">
        <v>41.8</v>
      </c>
      <c r="G26">
        <v>41.88</v>
      </c>
      <c r="H26">
        <v>57.38</v>
      </c>
      <c r="I26">
        <v>59.68</v>
      </c>
      <c r="J26">
        <v>53.28</v>
      </c>
      <c r="K26">
        <v>56.12</v>
      </c>
    </row>
    <row r="27" spans="1:11" s="6" customFormat="1" x14ac:dyDescent="0.3">
      <c r="A27" s="6" t="s">
        <v>22</v>
      </c>
      <c r="B27">
        <v>14.75</v>
      </c>
      <c r="C27">
        <v>4.0199999999999996</v>
      </c>
      <c r="D27">
        <v>2.25</v>
      </c>
      <c r="E27">
        <v>2.27</v>
      </c>
      <c r="F27">
        <v>1.94</v>
      </c>
      <c r="G27">
        <v>1.0900000000000001</v>
      </c>
      <c r="H27">
        <v>3.61</v>
      </c>
      <c r="I27">
        <v>2.4300000000000002</v>
      </c>
      <c r="J27">
        <v>3.64</v>
      </c>
      <c r="K27">
        <v>7.1</v>
      </c>
    </row>
    <row r="28" spans="1:11" s="6" customFormat="1" x14ac:dyDescent="0.3">
      <c r="A28" s="6" t="s">
        <v>23</v>
      </c>
      <c r="B28">
        <v>69.069999999999993</v>
      </c>
      <c r="C28">
        <v>164.57</v>
      </c>
      <c r="D28">
        <v>303.10000000000002</v>
      </c>
      <c r="E28">
        <v>369.22</v>
      </c>
      <c r="F28">
        <v>479.69</v>
      </c>
      <c r="G28">
        <v>497.46</v>
      </c>
      <c r="H28">
        <v>320.39999999999998</v>
      </c>
      <c r="I28">
        <v>202.44</v>
      </c>
      <c r="J28">
        <v>359.69</v>
      </c>
      <c r="K28">
        <v>560.79</v>
      </c>
    </row>
    <row r="29" spans="1:11" s="6" customFormat="1" x14ac:dyDescent="0.3">
      <c r="A29" s="6" t="s">
        <v>24</v>
      </c>
      <c r="B29">
        <v>26.08</v>
      </c>
      <c r="C29">
        <v>56.22</v>
      </c>
      <c r="D29">
        <v>108.34</v>
      </c>
      <c r="E29">
        <v>128.47</v>
      </c>
      <c r="F29">
        <v>169.15</v>
      </c>
      <c r="G29">
        <v>174.47</v>
      </c>
      <c r="H29">
        <v>101.43</v>
      </c>
      <c r="I29">
        <v>53.14</v>
      </c>
      <c r="J29">
        <v>93.52</v>
      </c>
      <c r="K29">
        <v>144.66</v>
      </c>
    </row>
    <row r="30" spans="1:11" s="6" customFormat="1" x14ac:dyDescent="0.3">
      <c r="A30" s="6" t="s">
        <v>25</v>
      </c>
      <c r="B30">
        <v>42.99</v>
      </c>
      <c r="C30">
        <v>108.34</v>
      </c>
      <c r="D30">
        <v>194.76</v>
      </c>
      <c r="E30">
        <v>240.76</v>
      </c>
      <c r="F30">
        <v>310.54000000000002</v>
      </c>
      <c r="G30">
        <v>322.99</v>
      </c>
      <c r="H30">
        <v>218.97</v>
      </c>
      <c r="I30">
        <v>149.30000000000001</v>
      </c>
      <c r="J30">
        <v>266.18</v>
      </c>
      <c r="K30">
        <v>416.14</v>
      </c>
    </row>
    <row r="31" spans="1:11" s="6" customFormat="1" x14ac:dyDescent="0.3">
      <c r="A31" s="6" t="s">
        <v>26</v>
      </c>
      <c r="K31">
        <v>957.95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27</v>
      </c>
    </row>
    <row r="41" spans="1:11" s="18" customFormat="1" x14ac:dyDescent="0.3">
      <c r="A41" s="17" t="s">
        <v>11</v>
      </c>
      <c r="B41" s="12">
        <v>44469</v>
      </c>
      <c r="C41" s="12">
        <v>44561</v>
      </c>
      <c r="D41" s="12">
        <v>44651</v>
      </c>
      <c r="E41" s="12">
        <v>44742</v>
      </c>
      <c r="F41" s="12">
        <v>44834</v>
      </c>
      <c r="G41" s="12">
        <v>44926</v>
      </c>
      <c r="H41" s="12">
        <v>45016</v>
      </c>
      <c r="I41" s="12">
        <v>45107</v>
      </c>
      <c r="J41" s="12">
        <v>45199</v>
      </c>
      <c r="K41" s="12">
        <v>45291</v>
      </c>
    </row>
    <row r="42" spans="1:11" s="6" customFormat="1" x14ac:dyDescent="0.3">
      <c r="A42" s="6" t="s">
        <v>12</v>
      </c>
      <c r="B42">
        <v>776.89</v>
      </c>
      <c r="C42">
        <v>763.69</v>
      </c>
      <c r="D42">
        <v>849.18</v>
      </c>
      <c r="E42">
        <v>889.77</v>
      </c>
      <c r="F42">
        <v>924.98</v>
      </c>
      <c r="G42">
        <v>932.22</v>
      </c>
      <c r="H42">
        <v>986.47</v>
      </c>
      <c r="I42">
        <v>976.85</v>
      </c>
      <c r="J42">
        <v>975.42</v>
      </c>
      <c r="K42">
        <v>941.77</v>
      </c>
    </row>
    <row r="43" spans="1:11" s="6" customFormat="1" x14ac:dyDescent="0.3">
      <c r="A43" s="6" t="s">
        <v>28</v>
      </c>
      <c r="B43">
        <v>684.21</v>
      </c>
      <c r="C43">
        <v>664.84</v>
      </c>
      <c r="D43">
        <v>699.73</v>
      </c>
      <c r="E43">
        <v>778.61</v>
      </c>
      <c r="F43">
        <v>810.35</v>
      </c>
      <c r="G43">
        <v>777.74</v>
      </c>
      <c r="H43">
        <v>806.96</v>
      </c>
      <c r="I43">
        <v>818.53</v>
      </c>
      <c r="J43">
        <v>797.3</v>
      </c>
      <c r="K43">
        <v>775.04</v>
      </c>
    </row>
    <row r="44" spans="1:11" s="6" customFormat="1" x14ac:dyDescent="0.3">
      <c r="A44" s="6" t="s">
        <v>20</v>
      </c>
      <c r="B44">
        <v>8.33</v>
      </c>
      <c r="C44">
        <v>6.06</v>
      </c>
      <c r="D44">
        <v>8.75</v>
      </c>
      <c r="E44">
        <v>10.97</v>
      </c>
      <c r="F44">
        <v>34.020000000000003</v>
      </c>
      <c r="G44">
        <v>11.19</v>
      </c>
      <c r="H44">
        <v>8.0399999999999991</v>
      </c>
      <c r="I44">
        <v>12.84</v>
      </c>
      <c r="J44">
        <v>14.73</v>
      </c>
      <c r="K44">
        <v>13.91</v>
      </c>
    </row>
    <row r="45" spans="1:11" s="6" customFormat="1" x14ac:dyDescent="0.3">
      <c r="A45" s="6" t="s">
        <v>21</v>
      </c>
      <c r="B45">
        <v>12.84</v>
      </c>
      <c r="C45">
        <v>13.22</v>
      </c>
      <c r="D45">
        <v>12.94</v>
      </c>
      <c r="E45">
        <v>13.88</v>
      </c>
      <c r="F45">
        <v>14.25</v>
      </c>
      <c r="G45">
        <v>13.88</v>
      </c>
      <c r="H45">
        <v>14.1</v>
      </c>
      <c r="I45">
        <v>13.66</v>
      </c>
      <c r="J45">
        <v>12.61</v>
      </c>
      <c r="K45">
        <v>12.85</v>
      </c>
    </row>
    <row r="46" spans="1:11" s="6" customFormat="1" x14ac:dyDescent="0.3">
      <c r="A46" s="6" t="s">
        <v>22</v>
      </c>
      <c r="B46">
        <v>0.69</v>
      </c>
      <c r="C46">
        <v>0.49</v>
      </c>
      <c r="D46">
        <v>1.88</v>
      </c>
      <c r="E46">
        <v>0.53</v>
      </c>
      <c r="F46">
        <v>0.38</v>
      </c>
      <c r="G46">
        <v>0.56000000000000005</v>
      </c>
      <c r="H46">
        <v>5.63</v>
      </c>
      <c r="I46">
        <v>0.96</v>
      </c>
      <c r="J46">
        <v>0.74</v>
      </c>
      <c r="K46">
        <v>0.76</v>
      </c>
    </row>
    <row r="47" spans="1:11" s="6" customFormat="1" x14ac:dyDescent="0.3">
      <c r="A47" s="6" t="s">
        <v>23</v>
      </c>
      <c r="B47">
        <v>87.48</v>
      </c>
      <c r="C47">
        <v>91.2</v>
      </c>
      <c r="D47">
        <v>143.38</v>
      </c>
      <c r="E47">
        <v>107.72</v>
      </c>
      <c r="F47">
        <v>134.02000000000001</v>
      </c>
      <c r="G47">
        <v>151.22999999999999</v>
      </c>
      <c r="H47">
        <v>167.82</v>
      </c>
      <c r="I47">
        <v>156.54</v>
      </c>
      <c r="J47">
        <v>179.5</v>
      </c>
      <c r="K47">
        <v>167.03</v>
      </c>
    </row>
    <row r="48" spans="1:11" s="6" customFormat="1" x14ac:dyDescent="0.3">
      <c r="A48" s="6" t="s">
        <v>24</v>
      </c>
      <c r="B48">
        <v>22.59</v>
      </c>
      <c r="C48">
        <v>23.46</v>
      </c>
      <c r="D48">
        <v>37.799999999999997</v>
      </c>
      <c r="E48">
        <v>27.47</v>
      </c>
      <c r="F48">
        <v>34.17</v>
      </c>
      <c r="G48">
        <v>38.46</v>
      </c>
      <c r="H48">
        <v>44.55</v>
      </c>
      <c r="I48">
        <v>39.869999999999997</v>
      </c>
      <c r="J48">
        <v>45.7</v>
      </c>
      <c r="K48">
        <v>42.46</v>
      </c>
    </row>
    <row r="49" spans="1:11" s="6" customFormat="1" x14ac:dyDescent="0.3">
      <c r="A49" s="6" t="s">
        <v>25</v>
      </c>
      <c r="B49">
        <v>64.88</v>
      </c>
      <c r="C49">
        <v>67.739999999999995</v>
      </c>
      <c r="D49">
        <v>105.59</v>
      </c>
      <c r="E49">
        <v>80.25</v>
      </c>
      <c r="F49">
        <v>99.86</v>
      </c>
      <c r="G49">
        <v>112.77</v>
      </c>
      <c r="H49">
        <v>123.27</v>
      </c>
      <c r="I49">
        <v>116.67</v>
      </c>
      <c r="J49">
        <v>133.80000000000001</v>
      </c>
      <c r="K49">
        <v>124.57</v>
      </c>
    </row>
    <row r="50" spans="1:11" x14ac:dyDescent="0.3">
      <c r="A50" s="6" t="s">
        <v>29</v>
      </c>
      <c r="B50">
        <v>92.68</v>
      </c>
      <c r="C50">
        <v>98.85</v>
      </c>
      <c r="D50">
        <v>149.44999999999999</v>
      </c>
      <c r="E50">
        <v>111.16</v>
      </c>
      <c r="F50">
        <v>114.63</v>
      </c>
      <c r="G50">
        <v>154.47999999999999</v>
      </c>
      <c r="H50">
        <v>179.51</v>
      </c>
      <c r="I50">
        <v>158.32</v>
      </c>
      <c r="J50">
        <v>178.12</v>
      </c>
      <c r="K50">
        <v>166.73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30</v>
      </c>
    </row>
    <row r="56" spans="1:11" s="18" customFormat="1" x14ac:dyDescent="0.3">
      <c r="A56" s="17" t="s">
        <v>11</v>
      </c>
      <c r="B56" s="12">
        <v>41729</v>
      </c>
      <c r="C56" s="12">
        <v>42094</v>
      </c>
      <c r="D56" s="12">
        <v>42460</v>
      </c>
      <c r="E56" s="12">
        <v>42825</v>
      </c>
      <c r="F56" s="12">
        <v>43190</v>
      </c>
      <c r="G56" s="12">
        <v>43555</v>
      </c>
      <c r="H56" s="12">
        <v>43921</v>
      </c>
      <c r="I56" s="12">
        <v>44286</v>
      </c>
      <c r="J56" s="12">
        <v>44651</v>
      </c>
      <c r="K56" s="12">
        <v>45016</v>
      </c>
    </row>
    <row r="57" spans="1:11" x14ac:dyDescent="0.3">
      <c r="A57" s="6" t="s">
        <v>31</v>
      </c>
      <c r="B57">
        <v>11.27</v>
      </c>
      <c r="C57">
        <v>11.27</v>
      </c>
      <c r="D57">
        <v>11.27</v>
      </c>
      <c r="E57">
        <v>11.27</v>
      </c>
      <c r="F57">
        <v>11.27</v>
      </c>
      <c r="G57">
        <v>11.27</v>
      </c>
      <c r="H57">
        <v>11.27</v>
      </c>
      <c r="I57">
        <v>11.27</v>
      </c>
      <c r="J57">
        <v>11.27</v>
      </c>
      <c r="K57">
        <v>11.27</v>
      </c>
    </row>
    <row r="58" spans="1:11" x14ac:dyDescent="0.3">
      <c r="A58" s="6" t="s">
        <v>32</v>
      </c>
      <c r="B58">
        <v>688.16</v>
      </c>
      <c r="C58">
        <v>796.45</v>
      </c>
      <c r="D58">
        <v>976.81</v>
      </c>
      <c r="E58">
        <v>1215.1300000000001</v>
      </c>
      <c r="F58">
        <v>1525.4</v>
      </c>
      <c r="G58">
        <v>1848.27</v>
      </c>
      <c r="H58">
        <v>2063.5</v>
      </c>
      <c r="I58">
        <v>2210.2399999999998</v>
      </c>
      <c r="J58">
        <v>2477.52</v>
      </c>
      <c r="K58">
        <v>1936.57</v>
      </c>
    </row>
    <row r="59" spans="1:11" x14ac:dyDescent="0.3">
      <c r="A59" s="6" t="s">
        <v>33</v>
      </c>
      <c r="B59">
        <v>120.94</v>
      </c>
      <c r="C59">
        <v>14.31</v>
      </c>
      <c r="D59">
        <v>11.16</v>
      </c>
      <c r="E59">
        <v>9.7799999999999994</v>
      </c>
      <c r="F59">
        <v>9.4600000000000009</v>
      </c>
      <c r="G59">
        <v>13.5</v>
      </c>
      <c r="H59">
        <v>41.77</v>
      </c>
      <c r="I59">
        <v>22.88</v>
      </c>
      <c r="J59">
        <v>24.44</v>
      </c>
      <c r="K59">
        <v>26.73</v>
      </c>
    </row>
    <row r="60" spans="1:11" x14ac:dyDescent="0.3">
      <c r="A60" s="6" t="s">
        <v>34</v>
      </c>
      <c r="B60">
        <v>267.37</v>
      </c>
      <c r="C60">
        <v>306.07</v>
      </c>
      <c r="D60">
        <v>429.56</v>
      </c>
      <c r="E60">
        <v>695.35</v>
      </c>
      <c r="F60">
        <v>589.22</v>
      </c>
      <c r="G60">
        <v>620.64</v>
      </c>
      <c r="H60">
        <v>536.70000000000005</v>
      </c>
      <c r="I60">
        <v>672.24</v>
      </c>
      <c r="J60">
        <v>744.15</v>
      </c>
      <c r="K60">
        <v>939.85</v>
      </c>
    </row>
    <row r="61" spans="1:11" s="1" customFormat="1" x14ac:dyDescent="0.3">
      <c r="A61" s="1" t="s">
        <v>35</v>
      </c>
      <c r="B61">
        <v>1087.74</v>
      </c>
      <c r="C61">
        <v>1128.0999999999999</v>
      </c>
      <c r="D61">
        <v>1428.8</v>
      </c>
      <c r="E61">
        <v>1931.53</v>
      </c>
      <c r="F61">
        <v>2135.35</v>
      </c>
      <c r="G61">
        <v>2493.6799999999998</v>
      </c>
      <c r="H61">
        <v>2653.24</v>
      </c>
      <c r="I61">
        <v>2916.63</v>
      </c>
      <c r="J61">
        <v>3257.38</v>
      </c>
      <c r="K61">
        <v>2914.42</v>
      </c>
    </row>
    <row r="62" spans="1:11" x14ac:dyDescent="0.3">
      <c r="A62" s="6" t="s">
        <v>36</v>
      </c>
      <c r="B62">
        <v>418.28</v>
      </c>
      <c r="C62">
        <v>387.75</v>
      </c>
      <c r="D62">
        <v>349.22</v>
      </c>
      <c r="E62">
        <v>315.16000000000003</v>
      </c>
      <c r="F62">
        <v>285.22000000000003</v>
      </c>
      <c r="G62">
        <v>269.48</v>
      </c>
      <c r="H62">
        <v>286.64999999999998</v>
      </c>
      <c r="I62">
        <v>248.23</v>
      </c>
      <c r="J62">
        <v>290.79000000000002</v>
      </c>
      <c r="K62">
        <v>322.42</v>
      </c>
    </row>
    <row r="63" spans="1:11" x14ac:dyDescent="0.3">
      <c r="A63" s="6" t="s">
        <v>37</v>
      </c>
      <c r="B63">
        <v>7.02</v>
      </c>
      <c r="C63">
        <v>1.3</v>
      </c>
      <c r="D63">
        <v>1.21</v>
      </c>
      <c r="E63">
        <v>2.4300000000000002</v>
      </c>
      <c r="F63">
        <v>5.75</v>
      </c>
      <c r="G63">
        <v>10.19</v>
      </c>
      <c r="H63">
        <v>6.64</v>
      </c>
      <c r="I63">
        <v>23.5</v>
      </c>
      <c r="J63">
        <v>22.6</v>
      </c>
      <c r="K63">
        <v>24.57</v>
      </c>
    </row>
    <row r="64" spans="1:11" x14ac:dyDescent="0.3">
      <c r="A64" s="6" t="s">
        <v>38</v>
      </c>
      <c r="G64">
        <v>584.70000000000005</v>
      </c>
      <c r="H64">
        <v>504.8</v>
      </c>
      <c r="I64">
        <v>504.8</v>
      </c>
      <c r="J64">
        <v>504.8</v>
      </c>
      <c r="K64">
        <v>504.8</v>
      </c>
    </row>
    <row r="65" spans="1:11" x14ac:dyDescent="0.3">
      <c r="A65" s="6" t="s">
        <v>39</v>
      </c>
      <c r="B65">
        <v>662.44</v>
      </c>
      <c r="C65">
        <v>739.05</v>
      </c>
      <c r="D65">
        <v>1078.3699999999999</v>
      </c>
      <c r="E65">
        <v>1613.94</v>
      </c>
      <c r="F65">
        <v>1844.38</v>
      </c>
      <c r="G65">
        <v>1629.31</v>
      </c>
      <c r="H65">
        <v>1855.15</v>
      </c>
      <c r="I65">
        <v>2140.1</v>
      </c>
      <c r="J65">
        <v>2439.19</v>
      </c>
      <c r="K65">
        <v>2062.63</v>
      </c>
    </row>
    <row r="66" spans="1:11" s="1" customFormat="1" x14ac:dyDescent="0.3">
      <c r="A66" s="1" t="s">
        <v>35</v>
      </c>
      <c r="B66">
        <v>1087.74</v>
      </c>
      <c r="C66">
        <v>1128.0999999999999</v>
      </c>
      <c r="D66">
        <v>1428.8</v>
      </c>
      <c r="E66">
        <v>1931.53</v>
      </c>
      <c r="F66">
        <v>2135.35</v>
      </c>
      <c r="G66">
        <v>2493.6799999999998</v>
      </c>
      <c r="H66">
        <v>2653.24</v>
      </c>
      <c r="I66">
        <v>2916.63</v>
      </c>
      <c r="J66">
        <v>3257.38</v>
      </c>
      <c r="K66">
        <v>2914.42</v>
      </c>
    </row>
    <row r="67" spans="1:11" s="6" customFormat="1" x14ac:dyDescent="0.3">
      <c r="A67" s="6" t="s">
        <v>40</v>
      </c>
      <c r="B67">
        <v>265.18</v>
      </c>
      <c r="C67">
        <v>249.12</v>
      </c>
      <c r="D67">
        <v>317.14999999999998</v>
      </c>
      <c r="E67">
        <v>407.92</v>
      </c>
      <c r="F67">
        <v>529.64</v>
      </c>
      <c r="G67">
        <v>546.14</v>
      </c>
      <c r="H67">
        <v>506.59</v>
      </c>
      <c r="I67">
        <v>460.51</v>
      </c>
      <c r="J67">
        <v>488.58</v>
      </c>
      <c r="K67">
        <v>595.1</v>
      </c>
    </row>
    <row r="68" spans="1:11" x14ac:dyDescent="0.3">
      <c r="A68" s="6" t="s">
        <v>41</v>
      </c>
      <c r="B68">
        <v>258.24</v>
      </c>
      <c r="C68">
        <v>295.57</v>
      </c>
      <c r="D68">
        <v>292.38</v>
      </c>
      <c r="E68">
        <v>331.78</v>
      </c>
      <c r="F68">
        <v>347.29</v>
      </c>
      <c r="G68">
        <v>379.18</v>
      </c>
      <c r="H68">
        <v>411.04</v>
      </c>
      <c r="I68">
        <v>430.27</v>
      </c>
      <c r="J68">
        <v>453.48</v>
      </c>
      <c r="K68">
        <v>567.6</v>
      </c>
    </row>
    <row r="69" spans="1:11" x14ac:dyDescent="0.3">
      <c r="A69" s="4" t="s">
        <v>42</v>
      </c>
      <c r="B69">
        <v>59.7</v>
      </c>
      <c r="C69">
        <v>113.91</v>
      </c>
      <c r="D69">
        <v>370.88</v>
      </c>
      <c r="E69">
        <v>744.16</v>
      </c>
      <c r="F69">
        <v>789.31</v>
      </c>
      <c r="G69">
        <v>470.39</v>
      </c>
      <c r="H69">
        <v>665.77</v>
      </c>
      <c r="I69">
        <v>937.15</v>
      </c>
      <c r="J69">
        <v>1206.54</v>
      </c>
      <c r="K69">
        <v>634.42999999999995</v>
      </c>
    </row>
    <row r="70" spans="1:11" x14ac:dyDescent="0.3">
      <c r="A70" s="4" t="s">
        <v>43</v>
      </c>
      <c r="B70">
        <v>11265070</v>
      </c>
      <c r="C70">
        <v>11265070</v>
      </c>
      <c r="D70">
        <v>11265070</v>
      </c>
      <c r="E70">
        <v>11265070</v>
      </c>
      <c r="F70">
        <v>11265070</v>
      </c>
      <c r="G70">
        <v>11265070</v>
      </c>
      <c r="H70">
        <v>11265070</v>
      </c>
      <c r="I70">
        <v>11265070</v>
      </c>
      <c r="J70">
        <v>11265070</v>
      </c>
      <c r="K70">
        <v>11265070</v>
      </c>
    </row>
    <row r="71" spans="1:11" x14ac:dyDescent="0.3">
      <c r="A71" s="4" t="s">
        <v>44</v>
      </c>
    </row>
    <row r="72" spans="1:11" x14ac:dyDescent="0.3">
      <c r="A72" s="4" t="s">
        <v>45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10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46</v>
      </c>
    </row>
    <row r="81" spans="1:11" s="18" customFormat="1" x14ac:dyDescent="0.3">
      <c r="A81" s="17" t="s">
        <v>11</v>
      </c>
      <c r="B81" s="12">
        <v>41729</v>
      </c>
      <c r="C81" s="12">
        <v>42094</v>
      </c>
      <c r="D81" s="12">
        <v>42460</v>
      </c>
      <c r="E81" s="12">
        <v>42825</v>
      </c>
      <c r="F81" s="12">
        <v>43190</v>
      </c>
      <c r="G81" s="12">
        <v>43555</v>
      </c>
      <c r="H81" s="12">
        <v>43921</v>
      </c>
      <c r="I81" s="12">
        <v>44286</v>
      </c>
      <c r="J81" s="12">
        <v>44651</v>
      </c>
      <c r="K81" s="12">
        <v>45016</v>
      </c>
    </row>
    <row r="82" spans="1:11" s="1" customFormat="1" x14ac:dyDescent="0.3">
      <c r="A82" s="6" t="s">
        <v>47</v>
      </c>
      <c r="B82">
        <v>120.38</v>
      </c>
      <c r="C82">
        <v>177.37</v>
      </c>
      <c r="D82">
        <v>260.89999999999998</v>
      </c>
      <c r="E82">
        <v>364.93</v>
      </c>
      <c r="F82">
        <v>29.42</v>
      </c>
      <c r="G82">
        <v>267.32</v>
      </c>
      <c r="H82">
        <v>218.33</v>
      </c>
      <c r="I82">
        <v>312.05</v>
      </c>
      <c r="J82">
        <v>333.65</v>
      </c>
      <c r="K82">
        <v>424.65</v>
      </c>
    </row>
    <row r="83" spans="1:11" s="6" customFormat="1" x14ac:dyDescent="0.3">
      <c r="A83" s="6" t="s">
        <v>48</v>
      </c>
      <c r="B83">
        <v>-47.22</v>
      </c>
      <c r="C83">
        <v>-4.3099999999999996</v>
      </c>
      <c r="D83">
        <v>1.39</v>
      </c>
      <c r="E83">
        <v>12.01</v>
      </c>
      <c r="F83">
        <v>17.989999999999998</v>
      </c>
      <c r="G83">
        <v>-589.83000000000004</v>
      </c>
      <c r="H83">
        <v>1.42</v>
      </c>
      <c r="I83">
        <v>-15.9</v>
      </c>
      <c r="J83">
        <v>-43.2</v>
      </c>
      <c r="K83">
        <v>-19.68</v>
      </c>
    </row>
    <row r="84" spans="1:11" s="6" customFormat="1" x14ac:dyDescent="0.3">
      <c r="A84" s="6" t="s">
        <v>49</v>
      </c>
      <c r="B84">
        <v>-73.05</v>
      </c>
      <c r="C84">
        <v>-118.85</v>
      </c>
      <c r="D84">
        <v>-5.33</v>
      </c>
      <c r="E84">
        <v>-3.65</v>
      </c>
      <c r="F84">
        <v>-2.2599999999999998</v>
      </c>
      <c r="G84">
        <v>3.59</v>
      </c>
      <c r="H84">
        <v>-24.37</v>
      </c>
      <c r="I84">
        <v>-24.77</v>
      </c>
      <c r="J84">
        <v>-21.06</v>
      </c>
      <c r="K84">
        <v>-979.52</v>
      </c>
    </row>
    <row r="85" spans="1:11" s="1" customFormat="1" x14ac:dyDescent="0.3">
      <c r="A85" s="6" t="s">
        <v>50</v>
      </c>
      <c r="B85">
        <v>0.11</v>
      </c>
      <c r="C85">
        <v>54.21</v>
      </c>
      <c r="D85">
        <v>256.97000000000003</v>
      </c>
      <c r="E85">
        <v>373.28</v>
      </c>
      <c r="F85">
        <v>45.15</v>
      </c>
      <c r="G85">
        <v>-318.92</v>
      </c>
      <c r="H85">
        <v>195.38</v>
      </c>
      <c r="I85">
        <v>271.39</v>
      </c>
      <c r="J85">
        <v>269.39</v>
      </c>
      <c r="K85">
        <v>-574.55999999999995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51</v>
      </c>
      <c r="B90">
        <v>3527.55</v>
      </c>
      <c r="C90">
        <v>7935.3</v>
      </c>
      <c r="D90">
        <v>10724.95</v>
      </c>
      <c r="E90">
        <v>11567.55</v>
      </c>
      <c r="F90">
        <v>19412.849999999999</v>
      </c>
      <c r="G90">
        <v>24260.85</v>
      </c>
      <c r="H90">
        <v>18827.95</v>
      </c>
      <c r="I90">
        <v>30436.65</v>
      </c>
      <c r="J90">
        <v>19697.3</v>
      </c>
      <c r="K90">
        <v>22963.85</v>
      </c>
    </row>
    <row r="92" spans="1:11" s="1" customFormat="1" x14ac:dyDescent="0.3">
      <c r="A92" s="1" t="s">
        <v>52</v>
      </c>
    </row>
    <row r="93" spans="1:11" x14ac:dyDescent="0.3">
      <c r="A93" s="4" t="s">
        <v>53</v>
      </c>
      <c r="B93" s="20">
        <v>1.1299999999999999</v>
      </c>
      <c r="C93" s="20">
        <v>1.1299999999999999</v>
      </c>
      <c r="D93" s="20">
        <v>1.1299999999999999</v>
      </c>
      <c r="E93" s="20">
        <v>1.1299999999999999</v>
      </c>
      <c r="F93" s="20">
        <v>1.1299999999999999</v>
      </c>
      <c r="G93" s="20">
        <v>1.1299999999999999</v>
      </c>
      <c r="H93" s="20">
        <v>1.1299999999999999</v>
      </c>
      <c r="I93" s="20">
        <v>1.1299999999999999</v>
      </c>
      <c r="J93" s="20">
        <v>1.1299999999999999</v>
      </c>
      <c r="K93" s="20">
        <v>1.1299999999999999</v>
      </c>
    </row>
  </sheetData>
  <mergeCells count="2">
    <mergeCell ref="E2:K2"/>
    <mergeCell ref="E1:K1"/>
  </mergeCells>
  <conditionalFormatting sqref="E1:K1">
    <cfRule type="cellIs" dxfId="0" priority="1" operator="notEqual">
      <formula>""</formula>
    </cfRule>
  </conditionalFormatting>
  <hyperlinks>
    <hyperlink ref="E1" r:id="rId1" display="https://www.screener.in/excel/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N25"/>
  <sheetViews>
    <sheetView tabSelected="1" zoomScale="70" zoomScaleNormal="70" zoomScaleSheetLayoutView="100" zoomScalePageLayoutView="120" workbookViewId="0">
      <pane xSplit="1" ySplit="4" topLeftCell="B5" activePane="bottomRight" state="frozen"/>
      <selection activeCell="R24" sqref="R24"/>
      <selection pane="topRight" activeCell="R24" sqref="R24"/>
      <selection pane="bottomLeft" activeCell="R24" sqref="R24"/>
      <selection pane="bottomRight" activeCell="A3" sqref="A3:N2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  <col min="15" max="15" width="8.77734375" customWidth="1"/>
  </cols>
  <sheetData>
    <row r="1" spans="1:14" s="2" customFormat="1" x14ac:dyDescent="0.3">
      <c r="H1" t="str">
        <f>UPDATE</f>
        <v/>
      </c>
      <c r="J1" s="3"/>
      <c r="K1" s="3"/>
    </row>
    <row r="3" spans="1:14" s="2" customFormat="1" x14ac:dyDescent="0.3">
      <c r="A3" s="11" t="s">
        <v>54</v>
      </c>
      <c r="B3" s="12">
        <f>'Data Sheet'!B16</f>
        <v>41729</v>
      </c>
      <c r="C3" s="12">
        <f>'Data Sheet'!C16</f>
        <v>42094</v>
      </c>
      <c r="D3" s="12">
        <f>'Data Sheet'!D16</f>
        <v>42460</v>
      </c>
      <c r="E3" s="12">
        <f>'Data Sheet'!E16</f>
        <v>42825</v>
      </c>
      <c r="F3" s="12">
        <f>'Data Sheet'!F16</f>
        <v>43190</v>
      </c>
      <c r="G3" s="12">
        <f>'Data Sheet'!G16</f>
        <v>43555</v>
      </c>
      <c r="H3" s="12">
        <f>'Data Sheet'!H16</f>
        <v>43921</v>
      </c>
      <c r="I3" s="12">
        <f>'Data Sheet'!I16</f>
        <v>44286</v>
      </c>
      <c r="J3" s="12">
        <f>'Data Sheet'!J16</f>
        <v>44651</v>
      </c>
      <c r="K3" s="12">
        <f>'Data Sheet'!K16</f>
        <v>45016</v>
      </c>
      <c r="L3" s="13" t="s">
        <v>55</v>
      </c>
      <c r="M3" s="13" t="s">
        <v>56</v>
      </c>
      <c r="N3" s="13" t="s">
        <v>57</v>
      </c>
    </row>
    <row r="4" spans="1:14" s="2" customFormat="1" x14ac:dyDescent="0.3">
      <c r="A4" s="2" t="s">
        <v>12</v>
      </c>
      <c r="B4" s="1">
        <f>'Data Sheet'!B17</f>
        <v>1742.34</v>
      </c>
      <c r="C4" s="1">
        <f>'Data Sheet'!C17</f>
        <v>1840.3</v>
      </c>
      <c r="D4" s="1">
        <f>'Data Sheet'!D17</f>
        <v>2139.6</v>
      </c>
      <c r="E4" s="1">
        <f>'Data Sheet'!E17</f>
        <v>2362.98</v>
      </c>
      <c r="F4" s="1">
        <f>'Data Sheet'!F17</f>
        <v>2556.14</v>
      </c>
      <c r="G4" s="1">
        <f>'Data Sheet'!G17</f>
        <v>2808.76</v>
      </c>
      <c r="H4" s="1">
        <f>'Data Sheet'!H17</f>
        <v>2764.88</v>
      </c>
      <c r="I4" s="1">
        <f>'Data Sheet'!I17</f>
        <v>2420.36</v>
      </c>
      <c r="J4" s="1">
        <f>'Data Sheet'!J17</f>
        <v>3078.3</v>
      </c>
      <c r="K4" s="1">
        <f>'Data Sheet'!K17</f>
        <v>3733.44</v>
      </c>
      <c r="L4" s="1">
        <f>SUM(Quarters!H4:K4)</f>
        <v>3880.51</v>
      </c>
      <c r="M4" s="1">
        <f>$K4+M23*K4</f>
        <v>4528.0103412922717</v>
      </c>
      <c r="N4" s="1">
        <f>$K4+N23*L4</f>
        <v>4038.876900020326</v>
      </c>
    </row>
    <row r="5" spans="1:14" x14ac:dyDescent="0.3">
      <c r="A5" t="s">
        <v>28</v>
      </c>
      <c r="B5" s="6">
        <f>SUM('Data Sheet'!B18,'Data Sheet'!B20:B24, -1*'Data Sheet'!B19)</f>
        <v>1630.28</v>
      </c>
      <c r="C5" s="6">
        <f>SUM('Data Sheet'!C18,'Data Sheet'!C20:C24, -1*'Data Sheet'!C19)</f>
        <v>1636.2</v>
      </c>
      <c r="D5" s="6">
        <f>SUM('Data Sheet'!D18,'Data Sheet'!D20:D24, -1*'Data Sheet'!D19)</f>
        <v>1802.94</v>
      </c>
      <c r="E5" s="6">
        <f>SUM('Data Sheet'!E18,'Data Sheet'!E20:E24, -1*'Data Sheet'!E19)</f>
        <v>1994.1399999999999</v>
      </c>
      <c r="F5" s="6">
        <f>SUM('Data Sheet'!F18,'Data Sheet'!F20:F24, -1*'Data Sheet'!F19)</f>
        <v>2076.2400000000002</v>
      </c>
      <c r="G5" s="6">
        <f>SUM('Data Sheet'!G18,'Data Sheet'!G20:G24, -1*'Data Sheet'!G19)</f>
        <v>2301.1499999999996</v>
      </c>
      <c r="H5" s="6">
        <f>SUM('Data Sheet'!H18,'Data Sheet'!H20:H24, -1*'Data Sheet'!H19)</f>
        <v>2425.0500000000002</v>
      </c>
      <c r="I5" s="6">
        <f>SUM('Data Sheet'!I18,'Data Sheet'!I20:I24, -1*'Data Sheet'!I19)</f>
        <v>2182.6799999999998</v>
      </c>
      <c r="J5" s="6">
        <f>SUM('Data Sheet'!J18,'Data Sheet'!J20:J24, -1*'Data Sheet'!J19)</f>
        <v>2696.41</v>
      </c>
      <c r="K5" s="6">
        <f>SUM('Data Sheet'!K18,'Data Sheet'!K20:K24, -1*'Data Sheet'!K19)</f>
        <v>3173.65</v>
      </c>
      <c r="L5" s="6">
        <f>SUM(Quarters!H5:K5)</f>
        <v>3197.83</v>
      </c>
      <c r="M5" s="6">
        <f>M4-M6</f>
        <v>3731.4186304621467</v>
      </c>
      <c r="N5" s="6">
        <f>N4-N6</f>
        <v>3522.9282143683104</v>
      </c>
    </row>
    <row r="6" spans="1:14" s="2" customFormat="1" x14ac:dyDescent="0.3">
      <c r="A6" s="2" t="s">
        <v>29</v>
      </c>
      <c r="B6" s="1">
        <f t="shared" ref="B6:K6" si="0">B4-B5</f>
        <v>112.05999999999995</v>
      </c>
      <c r="C6" s="1">
        <f t="shared" si="0"/>
        <v>204.09999999999991</v>
      </c>
      <c r="D6" s="1">
        <f t="shared" si="0"/>
        <v>336.65999999999985</v>
      </c>
      <c r="E6" s="1">
        <f t="shared" si="0"/>
        <v>368.84000000000015</v>
      </c>
      <c r="F6" s="1">
        <f t="shared" si="0"/>
        <v>479.89999999999964</v>
      </c>
      <c r="G6" s="1">
        <f t="shared" si="0"/>
        <v>507.61000000000058</v>
      </c>
      <c r="H6" s="1">
        <f t="shared" si="0"/>
        <v>339.82999999999993</v>
      </c>
      <c r="I6" s="1">
        <f t="shared" si="0"/>
        <v>237.68000000000029</v>
      </c>
      <c r="J6" s="1">
        <f t="shared" si="0"/>
        <v>381.89000000000033</v>
      </c>
      <c r="K6" s="1">
        <f t="shared" si="0"/>
        <v>559.79</v>
      </c>
      <c r="L6" s="1">
        <f>SUM(Quarters!H6:K6)</f>
        <v>682.68000000000006</v>
      </c>
      <c r="M6" s="1">
        <f>M4*M24</f>
        <v>796.59171083012495</v>
      </c>
      <c r="N6" s="1">
        <f>N4*N24</f>
        <v>515.94868565201568</v>
      </c>
    </row>
    <row r="7" spans="1:14" x14ac:dyDescent="0.3">
      <c r="A7" t="s">
        <v>20</v>
      </c>
      <c r="B7" s="6">
        <f>'Data Sheet'!B25</f>
        <v>19.36</v>
      </c>
      <c r="C7" s="6">
        <f>'Data Sheet'!C25</f>
        <v>14.09</v>
      </c>
      <c r="D7" s="6">
        <f>'Data Sheet'!D25</f>
        <v>17.62</v>
      </c>
      <c r="E7" s="6">
        <f>'Data Sheet'!E25</f>
        <v>49.4</v>
      </c>
      <c r="F7" s="6">
        <f>'Data Sheet'!F25</f>
        <v>43.53</v>
      </c>
      <c r="G7" s="6">
        <f>'Data Sheet'!G25</f>
        <v>32.82</v>
      </c>
      <c r="H7" s="6">
        <f>'Data Sheet'!H25</f>
        <v>41.56</v>
      </c>
      <c r="I7" s="6">
        <f>'Data Sheet'!I25</f>
        <v>26.87</v>
      </c>
      <c r="J7" s="6">
        <f>'Data Sheet'!J25</f>
        <v>34.72</v>
      </c>
      <c r="K7" s="6">
        <f>'Data Sheet'!K25</f>
        <v>64.22</v>
      </c>
      <c r="L7" s="6">
        <f>SUM(Quarters!H7:K7)</f>
        <v>49.519999999999996</v>
      </c>
      <c r="M7" s="6">
        <v>0</v>
      </c>
      <c r="N7" s="6">
        <v>0</v>
      </c>
    </row>
    <row r="8" spans="1:14" x14ac:dyDescent="0.3">
      <c r="A8" t="s">
        <v>21</v>
      </c>
      <c r="B8" s="6">
        <f>'Data Sheet'!B26</f>
        <v>47.6</v>
      </c>
      <c r="C8" s="6">
        <f>'Data Sheet'!C26</f>
        <v>49.6</v>
      </c>
      <c r="D8" s="6">
        <f>'Data Sheet'!D26</f>
        <v>48.93</v>
      </c>
      <c r="E8" s="6">
        <f>'Data Sheet'!E26</f>
        <v>46.75</v>
      </c>
      <c r="F8" s="6">
        <f>'Data Sheet'!F26</f>
        <v>41.8</v>
      </c>
      <c r="G8" s="6">
        <f>'Data Sheet'!G26</f>
        <v>41.88</v>
      </c>
      <c r="H8" s="6">
        <f>'Data Sheet'!H26</f>
        <v>57.38</v>
      </c>
      <c r="I8" s="6">
        <f>'Data Sheet'!I26</f>
        <v>59.68</v>
      </c>
      <c r="J8" s="6">
        <f>'Data Sheet'!J26</f>
        <v>53.28</v>
      </c>
      <c r="K8" s="6">
        <f>'Data Sheet'!K26</f>
        <v>56.12</v>
      </c>
      <c r="L8" s="6">
        <f>SUM(Quarters!H8:K8)</f>
        <v>53.22</v>
      </c>
      <c r="M8" s="6">
        <f>+$L8</f>
        <v>53.22</v>
      </c>
      <c r="N8" s="6">
        <f>+$L8</f>
        <v>53.22</v>
      </c>
    </row>
    <row r="9" spans="1:14" x14ac:dyDescent="0.3">
      <c r="A9" t="s">
        <v>22</v>
      </c>
      <c r="B9" s="6">
        <f>'Data Sheet'!B27</f>
        <v>14.75</v>
      </c>
      <c r="C9" s="6">
        <f>'Data Sheet'!C27</f>
        <v>4.0199999999999996</v>
      </c>
      <c r="D9" s="6">
        <f>'Data Sheet'!D27</f>
        <v>2.25</v>
      </c>
      <c r="E9" s="6">
        <f>'Data Sheet'!E27</f>
        <v>2.27</v>
      </c>
      <c r="F9" s="6">
        <f>'Data Sheet'!F27</f>
        <v>1.94</v>
      </c>
      <c r="G9" s="6">
        <f>'Data Sheet'!G27</f>
        <v>1.0900000000000001</v>
      </c>
      <c r="H9" s="6">
        <f>'Data Sheet'!H27</f>
        <v>3.61</v>
      </c>
      <c r="I9" s="6">
        <f>'Data Sheet'!I27</f>
        <v>2.4300000000000002</v>
      </c>
      <c r="J9" s="6">
        <f>'Data Sheet'!J27</f>
        <v>3.64</v>
      </c>
      <c r="K9" s="6">
        <f>'Data Sheet'!K27</f>
        <v>7.1</v>
      </c>
      <c r="L9" s="6">
        <f>SUM(Quarters!H9:K9)</f>
        <v>8.09</v>
      </c>
      <c r="M9" s="6">
        <f>+$L9</f>
        <v>8.09</v>
      </c>
      <c r="N9" s="6">
        <f>+$L9</f>
        <v>8.09</v>
      </c>
    </row>
    <row r="10" spans="1:14" x14ac:dyDescent="0.3">
      <c r="A10" t="s">
        <v>23</v>
      </c>
      <c r="B10" s="6">
        <f>'Data Sheet'!B28</f>
        <v>69.069999999999993</v>
      </c>
      <c r="C10" s="6">
        <f>'Data Sheet'!C28</f>
        <v>164.57</v>
      </c>
      <c r="D10" s="6">
        <f>'Data Sheet'!D28</f>
        <v>303.10000000000002</v>
      </c>
      <c r="E10" s="6">
        <f>'Data Sheet'!E28</f>
        <v>369.22</v>
      </c>
      <c r="F10" s="6">
        <f>'Data Sheet'!F28</f>
        <v>479.69</v>
      </c>
      <c r="G10" s="6">
        <f>'Data Sheet'!G28</f>
        <v>497.46</v>
      </c>
      <c r="H10" s="6">
        <f>'Data Sheet'!H28</f>
        <v>320.39999999999998</v>
      </c>
      <c r="I10" s="6">
        <f>'Data Sheet'!I28</f>
        <v>202.44</v>
      </c>
      <c r="J10" s="6">
        <f>'Data Sheet'!J28</f>
        <v>359.69</v>
      </c>
      <c r="K10" s="6">
        <f>'Data Sheet'!K28</f>
        <v>560.79</v>
      </c>
      <c r="L10" s="6">
        <f>SUM(Quarters!H10:K10)</f>
        <v>670.89</v>
      </c>
      <c r="M10" s="6">
        <f>M6+M7-SUM(M8:M9)</f>
        <v>735.28171083012489</v>
      </c>
      <c r="N10" s="6">
        <f>N6+N7-SUM(N8:N9)</f>
        <v>454.63868565201568</v>
      </c>
    </row>
    <row r="11" spans="1:14" x14ac:dyDescent="0.3">
      <c r="A11" t="s">
        <v>24</v>
      </c>
      <c r="B11" s="6">
        <f>'Data Sheet'!B29</f>
        <v>26.08</v>
      </c>
      <c r="C11" s="6">
        <f>'Data Sheet'!C29</f>
        <v>56.22</v>
      </c>
      <c r="D11" s="6">
        <f>'Data Sheet'!D29</f>
        <v>108.34</v>
      </c>
      <c r="E11" s="6">
        <f>'Data Sheet'!E29</f>
        <v>128.47</v>
      </c>
      <c r="F11" s="6">
        <f>'Data Sheet'!F29</f>
        <v>169.15</v>
      </c>
      <c r="G11" s="6">
        <f>'Data Sheet'!G29</f>
        <v>174.47</v>
      </c>
      <c r="H11" s="6">
        <f>'Data Sheet'!H29</f>
        <v>101.43</v>
      </c>
      <c r="I11" s="6">
        <f>'Data Sheet'!I29</f>
        <v>53.14</v>
      </c>
      <c r="J11" s="6">
        <f>'Data Sheet'!J29</f>
        <v>93.52</v>
      </c>
      <c r="K11" s="6">
        <f>'Data Sheet'!K29</f>
        <v>144.66</v>
      </c>
      <c r="L11" s="6">
        <f>SUM(Quarters!H11:K11)</f>
        <v>172.58</v>
      </c>
      <c r="M11" s="7">
        <f>IF($L10&gt;0,$L11/$L10,0)</f>
        <v>0.25724038217889672</v>
      </c>
      <c r="N11" s="7">
        <f>IF($L10&gt;0,$L11/$L10,0)</f>
        <v>0.25724038217889672</v>
      </c>
    </row>
    <row r="12" spans="1:14" s="2" customFormat="1" x14ac:dyDescent="0.3">
      <c r="A12" s="2" t="s">
        <v>25</v>
      </c>
      <c r="B12" s="1">
        <f>'Data Sheet'!B30</f>
        <v>42.99</v>
      </c>
      <c r="C12" s="1">
        <f>'Data Sheet'!C30</f>
        <v>108.34</v>
      </c>
      <c r="D12" s="1">
        <f>'Data Sheet'!D30</f>
        <v>194.76</v>
      </c>
      <c r="E12" s="1">
        <f>'Data Sheet'!E30</f>
        <v>240.76</v>
      </c>
      <c r="F12" s="1">
        <f>'Data Sheet'!F30</f>
        <v>310.54000000000002</v>
      </c>
      <c r="G12" s="1">
        <f>'Data Sheet'!G30</f>
        <v>322.99</v>
      </c>
      <c r="H12" s="1">
        <f>'Data Sheet'!H30</f>
        <v>218.97</v>
      </c>
      <c r="I12" s="1">
        <f>'Data Sheet'!I30</f>
        <v>149.30000000000001</v>
      </c>
      <c r="J12" s="1">
        <f>'Data Sheet'!J30</f>
        <v>266.18</v>
      </c>
      <c r="K12" s="1">
        <f>'Data Sheet'!K30</f>
        <v>416.14</v>
      </c>
      <c r="L12" s="1">
        <f>SUM(Quarters!H12:K12)</f>
        <v>498.31</v>
      </c>
      <c r="M12" s="1">
        <f>M10-M11*M10</f>
        <v>546.13756252703058</v>
      </c>
      <c r="N12" s="1">
        <f>N10-N11*N10</f>
        <v>337.68725640157987</v>
      </c>
    </row>
    <row r="13" spans="1:14" x14ac:dyDescent="0.3">
      <c r="A13" t="s">
        <v>58</v>
      </c>
      <c r="B13" s="6">
        <f>IF('Data Sheet'!B93&gt;0,B12/'Data Sheet'!B93,0)</f>
        <v>38.044247787610622</v>
      </c>
      <c r="C13" s="6">
        <f>IF('Data Sheet'!C93&gt;0,C12/'Data Sheet'!C93,0)</f>
        <v>95.87610619469028</v>
      </c>
      <c r="D13" s="6">
        <f>IF('Data Sheet'!D93&gt;0,D12/'Data Sheet'!D93,0)</f>
        <v>172.35398230088495</v>
      </c>
      <c r="E13" s="6">
        <f>IF('Data Sheet'!E93&gt;0,E12/'Data Sheet'!E93,0)</f>
        <v>213.06194690265488</v>
      </c>
      <c r="F13" s="6">
        <f>IF('Data Sheet'!F93&gt;0,F12/'Data Sheet'!F93,0)</f>
        <v>274.81415929203547</v>
      </c>
      <c r="G13" s="6">
        <f>IF('Data Sheet'!G93&gt;0,G12/'Data Sheet'!G93,0)</f>
        <v>285.83185840707966</v>
      </c>
      <c r="H13" s="6">
        <f>IF('Data Sheet'!H93&gt;0,H12/'Data Sheet'!H93,0)</f>
        <v>193.77876106194691</v>
      </c>
      <c r="I13" s="6">
        <f>IF('Data Sheet'!I93&gt;0,I12/'Data Sheet'!I93,0)</f>
        <v>132.12389380530976</v>
      </c>
      <c r="J13" s="6">
        <f>IF('Data Sheet'!J93&gt;0,J12/'Data Sheet'!J93,0)</f>
        <v>235.55752212389385</v>
      </c>
      <c r="K13" s="6">
        <f>IF('Data Sheet'!K93&gt;0,K12/'Data Sheet'!K93,0)</f>
        <v>368.26548672566372</v>
      </c>
      <c r="L13" s="6">
        <f>IF('Data Sheet'!$B6&gt;0,'Profit &amp; Loss'!L12/'Data Sheet'!$B6,0)</f>
        <v>442.48950536721139</v>
      </c>
      <c r="M13" s="6">
        <f>IF('Data Sheet'!$B6&gt;0,'Profit &amp; Loss'!M12/'Data Sheet'!$B6,0)</f>
        <v>484.95944272649609</v>
      </c>
      <c r="N13" s="6">
        <f>IF('Data Sheet'!$B6&gt;0,'Profit &amp; Loss'!N12/'Data Sheet'!$B6,0)</f>
        <v>299.85965975787315</v>
      </c>
    </row>
    <row r="14" spans="1:14" x14ac:dyDescent="0.3">
      <c r="A14" t="s">
        <v>59</v>
      </c>
      <c r="B14" s="6">
        <f t="shared" ref="B14:K14" si="1">IF(B15&gt;0,B15/B13,"")</f>
        <v>92.722295882763433</v>
      </c>
      <c r="C14" s="6">
        <f t="shared" si="1"/>
        <v>82.766189772937039</v>
      </c>
      <c r="D14" s="6">
        <f t="shared" si="1"/>
        <v>62.226296467447121</v>
      </c>
      <c r="E14" s="6">
        <f t="shared" si="1"/>
        <v>54.291956720385436</v>
      </c>
      <c r="F14" s="6">
        <f t="shared" si="1"/>
        <v>70.639919173053372</v>
      </c>
      <c r="G14" s="6">
        <f t="shared" si="1"/>
        <v>84.878047307966185</v>
      </c>
      <c r="H14" s="6">
        <f t="shared" si="1"/>
        <v>97.162092980773622</v>
      </c>
      <c r="I14" s="6">
        <f t="shared" si="1"/>
        <v>230.36446416610846</v>
      </c>
      <c r="J14" s="6">
        <f t="shared" si="1"/>
        <v>83.619915095048441</v>
      </c>
      <c r="K14" s="6">
        <f t="shared" si="1"/>
        <v>62.356780170135046</v>
      </c>
      <c r="L14" s="6">
        <f>IF(L13&gt;0,L15/L13,0)</f>
        <v>65.164596335614377</v>
      </c>
      <c r="M14" s="6">
        <f>M25</f>
        <v>110.37643894172658</v>
      </c>
      <c r="N14" s="6">
        <f>N25</f>
        <v>65.164596335614377</v>
      </c>
    </row>
    <row r="15" spans="1:14" s="2" customFormat="1" x14ac:dyDescent="0.3">
      <c r="A15" s="2" t="s">
        <v>60</v>
      </c>
      <c r="B15" s="1">
        <f>'Data Sheet'!B90</f>
        <v>3527.55</v>
      </c>
      <c r="C15" s="1">
        <f>'Data Sheet'!C90</f>
        <v>7935.3</v>
      </c>
      <c r="D15" s="1">
        <f>'Data Sheet'!D90</f>
        <v>10724.95</v>
      </c>
      <c r="E15" s="1">
        <f>'Data Sheet'!E90</f>
        <v>11567.55</v>
      </c>
      <c r="F15" s="1">
        <f>'Data Sheet'!F90</f>
        <v>19412.849999999999</v>
      </c>
      <c r="G15" s="1">
        <f>'Data Sheet'!G90</f>
        <v>24260.85</v>
      </c>
      <c r="H15" s="1">
        <f>'Data Sheet'!H90</f>
        <v>18827.95</v>
      </c>
      <c r="I15" s="1">
        <f>'Data Sheet'!I90</f>
        <v>30436.65</v>
      </c>
      <c r="J15" s="1">
        <f>'Data Sheet'!J90</f>
        <v>19697.3</v>
      </c>
      <c r="K15" s="1">
        <f>'Data Sheet'!K90</f>
        <v>22963.85</v>
      </c>
      <c r="L15" s="1">
        <f>'Data Sheet'!B8</f>
        <v>28834.65</v>
      </c>
      <c r="M15" s="8">
        <f>M13*M14</f>
        <v>53528.096319314842</v>
      </c>
      <c r="N15" s="9">
        <f>N13*N14</f>
        <v>19540.233685456475</v>
      </c>
    </row>
    <row r="17" spans="1:14" s="2" customFormat="1" x14ac:dyDescent="0.3">
      <c r="A17" s="2" t="s">
        <v>61</v>
      </c>
    </row>
    <row r="18" spans="1:14" x14ac:dyDescent="0.3">
      <c r="A18" t="s">
        <v>62</v>
      </c>
      <c r="B18" s="5">
        <f>IF('Data Sheet'!B30&gt;0, 'Data Sheet'!B31/'Data Sheet'!B30, 0)</f>
        <v>0</v>
      </c>
      <c r="C18" s="5">
        <f>IF('Data Sheet'!C30&gt;0, 'Data Sheet'!C31/'Data Sheet'!C30, 0)</f>
        <v>0</v>
      </c>
      <c r="D18" s="5">
        <f>IF('Data Sheet'!D30&gt;0, 'Data Sheet'!D31/'Data Sheet'!D30, 0)</f>
        <v>0</v>
      </c>
      <c r="E18" s="5">
        <f>IF('Data Sheet'!E30&gt;0, 'Data Sheet'!E31/'Data Sheet'!E30, 0)</f>
        <v>0</v>
      </c>
      <c r="F18" s="5">
        <f>IF('Data Sheet'!F30&gt;0, 'Data Sheet'!F31/'Data Sheet'!F30, 0)</f>
        <v>0</v>
      </c>
      <c r="G18" s="5">
        <f>IF('Data Sheet'!G30&gt;0, 'Data Sheet'!G31/'Data Sheet'!G30, 0)</f>
        <v>0</v>
      </c>
      <c r="H18" s="5">
        <f>IF('Data Sheet'!H30&gt;0, 'Data Sheet'!H31/'Data Sheet'!H30, 0)</f>
        <v>0</v>
      </c>
      <c r="I18" s="5">
        <f>IF('Data Sheet'!I30&gt;0, 'Data Sheet'!I31/'Data Sheet'!I30, 0)</f>
        <v>0</v>
      </c>
      <c r="J18" s="5">
        <f>IF('Data Sheet'!J30&gt;0, 'Data Sheet'!J31/'Data Sheet'!J30, 0)</f>
        <v>0</v>
      </c>
      <c r="K18" s="5">
        <f>IF('Data Sheet'!K30&gt;0, 'Data Sheet'!K31/'Data Sheet'!K30, 0)</f>
        <v>2.3019897149997597</v>
      </c>
    </row>
    <row r="19" spans="1:14" x14ac:dyDescent="0.3">
      <c r="A19" t="s">
        <v>63</v>
      </c>
      <c r="B19" s="5">
        <f t="shared" ref="B19:L19" si="2">IF(B6&gt;0,B6/B4,0)</f>
        <v>6.4315805181537442E-2</v>
      </c>
      <c r="C19" s="5">
        <f t="shared" si="2"/>
        <v>0.1109058305711025</v>
      </c>
      <c r="D19" s="5">
        <f t="shared" si="2"/>
        <v>0.15734716769489618</v>
      </c>
      <c r="E19" s="5">
        <f t="shared" si="2"/>
        <v>0.15609103758813031</v>
      </c>
      <c r="F19" s="5">
        <f t="shared" si="2"/>
        <v>0.18774402028057918</v>
      </c>
      <c r="G19" s="5">
        <f t="shared" si="2"/>
        <v>0.18072387815263694</v>
      </c>
      <c r="H19" s="5">
        <f t="shared" si="2"/>
        <v>0.12290949335956711</v>
      </c>
      <c r="I19" s="5">
        <f t="shared" si="2"/>
        <v>9.8200267728767734E-2</v>
      </c>
      <c r="J19" s="5">
        <f t="shared" si="2"/>
        <v>0.12405873371666189</v>
      </c>
      <c r="K19" s="5">
        <f t="shared" si="2"/>
        <v>0.14993946601525671</v>
      </c>
      <c r="L19" s="5">
        <f t="shared" si="2"/>
        <v>0.17592532940257855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64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70</v>
      </c>
      <c r="N22" s="13" t="s">
        <v>71</v>
      </c>
    </row>
    <row r="23" spans="1:14" s="2" customFormat="1" x14ac:dyDescent="0.3">
      <c r="G23" t="s">
        <v>72</v>
      </c>
      <c r="H23" s="5">
        <f>IF(B4=0,"",POWER($K4/B4,1/9)-1)</f>
        <v>8.8366438127563507E-2</v>
      </c>
      <c r="I23" s="5">
        <f>IF(D4=0,"",POWER($K4/D4,1/7)-1)</f>
        <v>8.2778222585341288E-2</v>
      </c>
      <c r="J23" s="5">
        <f>IF(F4=0,"",POWER($K4/F4,1/5)-1)</f>
        <v>7.8710504552320648E-2</v>
      </c>
      <c r="K23" s="5">
        <f>IF(H4=0,"",POWER($K4/H4, 1/3)-1)</f>
        <v>0.10529353484467618</v>
      </c>
      <c r="L23" s="5">
        <f>IF(ISERROR(MAX(IF(J4=0,"",(K4-J4)/J4),IF(K4=0,"",(L4-K4)/K4))),"",MAX(IF(J4=0,"",(K4-J4)/J4),IF(K4=0,"",(L4-K4)/K4)))</f>
        <v>0.21282526069583857</v>
      </c>
      <c r="M23" s="16">
        <f>MAX(K23:L23)</f>
        <v>0.21282526069583857</v>
      </c>
      <c r="N23" s="16">
        <f>MIN(H23:L23)</f>
        <v>7.8710504552320648E-2</v>
      </c>
    </row>
    <row r="24" spans="1:14" x14ac:dyDescent="0.3">
      <c r="G24" t="s">
        <v>63</v>
      </c>
      <c r="H24" s="5">
        <f>IF(SUM(B4:$K$4)=0,"",SUMPRODUCT(B19:$K$19,B4:$K$4)/SUM(B4:$K$4))</f>
        <v>0.13865469935670471</v>
      </c>
      <c r="I24" s="5">
        <f>IF(SUM(E4:$K$4)=0,"",SUMPRODUCT(E19:$K$19,E4:$K$4)/SUM(E4:$K$4))</f>
        <v>0.14578253026890942</v>
      </c>
      <c r="J24" s="5">
        <f>IF(SUM(G4:$K$4)=0,"",SUMPRODUCT(G19:$K$19,G4:$K$4)/SUM(G4:$K$4))</f>
        <v>0.13689285371754475</v>
      </c>
      <c r="K24" s="5">
        <f>IF(SUM(I4:$K$4)=0, "", SUMPRODUCT(I19:$K$19,I4:$K$4)/SUM(I4:$K$4))</f>
        <v>0.1277455833450678</v>
      </c>
      <c r="L24" s="5">
        <f>L19</f>
        <v>0.17592532940257855</v>
      </c>
      <c r="M24" s="16">
        <f>MAX(K24:L24)</f>
        <v>0.17592532940257855</v>
      </c>
      <c r="N24" s="16">
        <f>MIN(H24:L24)</f>
        <v>0.1277455833450678</v>
      </c>
    </row>
    <row r="25" spans="1:14" x14ac:dyDescent="0.3">
      <c r="G25" t="s">
        <v>73</v>
      </c>
      <c r="H25" s="6">
        <f>IF(ISERROR(AVERAGEIF(B14:$L14,"&gt;0")),"",AVERAGEIF(B14:$L14,"&gt;0"))</f>
        <v>89.653868552021152</v>
      </c>
      <c r="I25" s="6">
        <f>IF(ISERROR(AVERAGEIF(E14:$L14,"&gt;0")),"",AVERAGEIF(E14:$L14,"&gt;0"))</f>
        <v>93.559721493635621</v>
      </c>
      <c r="J25" s="6">
        <f>IF(ISERROR(AVERAGEIF(G14:$L14,"&gt;0")),"",AVERAGEIF(G14:$L14,"&gt;0"))</f>
        <v>103.92431600927436</v>
      </c>
      <c r="K25" s="6">
        <f>IF(ISERROR(AVERAGEIF(I14:$L14,"&gt;0")),"",AVERAGEIF(I14:$L14,"&gt;0"))</f>
        <v>110.37643894172658</v>
      </c>
      <c r="L25" s="6">
        <f>L14</f>
        <v>65.164596335614377</v>
      </c>
      <c r="M25" s="1">
        <f>MAX(K25:L25)</f>
        <v>110.37643894172658</v>
      </c>
      <c r="N25" s="1">
        <f>MIN(H25:L25)</f>
        <v>65.164596335614377</v>
      </c>
    </row>
  </sheetData>
  <printOptions gridLines="1"/>
  <pageMargins left="0.7" right="0.7" top="0.75" bottom="0.75" header="0.3" footer="0.3"/>
  <pageSetup paperSize="9" orientation="landscape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K22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" sqref="A3:K14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  <col min="12" max="12" width="8.77734375" customWidth="1"/>
  </cols>
  <sheetData>
    <row r="1" spans="1:11" s="2" customFormat="1" x14ac:dyDescent="0.3">
      <c r="A1" s="2">
        <f>'Profit &amp; Loss'!A1</f>
        <v>0</v>
      </c>
      <c r="E1" t="str">
        <f>UPDATE</f>
        <v/>
      </c>
      <c r="J1" s="2" t="s">
        <v>74</v>
      </c>
    </row>
    <row r="3" spans="1:11" s="2" customFormat="1" x14ac:dyDescent="0.3">
      <c r="A3" s="11" t="s">
        <v>75</v>
      </c>
      <c r="B3" s="12">
        <f>'Data Sheet'!B41</f>
        <v>44469</v>
      </c>
      <c r="C3" s="12">
        <f>'Data Sheet'!C41</f>
        <v>44561</v>
      </c>
      <c r="D3" s="12">
        <f>'Data Sheet'!D41</f>
        <v>44651</v>
      </c>
      <c r="E3" s="12">
        <f>'Data Sheet'!E41</f>
        <v>44742</v>
      </c>
      <c r="F3" s="12">
        <f>'Data Sheet'!F41</f>
        <v>44834</v>
      </c>
      <c r="G3" s="12">
        <f>'Data Sheet'!G41</f>
        <v>44926</v>
      </c>
      <c r="H3" s="12">
        <f>'Data Sheet'!H41</f>
        <v>45016</v>
      </c>
      <c r="I3" s="12">
        <f>'Data Sheet'!I41</f>
        <v>45107</v>
      </c>
      <c r="J3" s="12">
        <f>'Data Sheet'!J41</f>
        <v>45199</v>
      </c>
      <c r="K3" s="12">
        <f>'Data Sheet'!K41</f>
        <v>45291</v>
      </c>
    </row>
    <row r="4" spans="1:11" s="2" customFormat="1" x14ac:dyDescent="0.3">
      <c r="A4" s="2" t="s">
        <v>12</v>
      </c>
      <c r="B4" s="1">
        <f>'Data Sheet'!B42</f>
        <v>776.89</v>
      </c>
      <c r="C4" s="1">
        <f>'Data Sheet'!C42</f>
        <v>763.69</v>
      </c>
      <c r="D4" s="1">
        <f>'Data Sheet'!D42</f>
        <v>849.18</v>
      </c>
      <c r="E4" s="1">
        <f>'Data Sheet'!E42</f>
        <v>889.77</v>
      </c>
      <c r="F4" s="1">
        <f>'Data Sheet'!F42</f>
        <v>924.98</v>
      </c>
      <c r="G4" s="1">
        <f>'Data Sheet'!G42</f>
        <v>932.22</v>
      </c>
      <c r="H4" s="1">
        <f>'Data Sheet'!H42</f>
        <v>986.47</v>
      </c>
      <c r="I4" s="1">
        <f>'Data Sheet'!I42</f>
        <v>976.85</v>
      </c>
      <c r="J4" s="1">
        <f>'Data Sheet'!J42</f>
        <v>975.42</v>
      </c>
      <c r="K4" s="1">
        <f>'Data Sheet'!K42</f>
        <v>941.77</v>
      </c>
    </row>
    <row r="5" spans="1:11" x14ac:dyDescent="0.3">
      <c r="A5" t="s">
        <v>28</v>
      </c>
      <c r="B5" s="6">
        <f>'Data Sheet'!B43</f>
        <v>684.21</v>
      </c>
      <c r="C5" s="6">
        <f>'Data Sheet'!C43</f>
        <v>664.84</v>
      </c>
      <c r="D5" s="6">
        <f>'Data Sheet'!D43</f>
        <v>699.73</v>
      </c>
      <c r="E5" s="6">
        <f>'Data Sheet'!E43</f>
        <v>778.61</v>
      </c>
      <c r="F5" s="6">
        <f>'Data Sheet'!F43</f>
        <v>810.35</v>
      </c>
      <c r="G5" s="6">
        <f>'Data Sheet'!G43</f>
        <v>777.74</v>
      </c>
      <c r="H5" s="6">
        <f>'Data Sheet'!H43</f>
        <v>806.96</v>
      </c>
      <c r="I5" s="6">
        <f>'Data Sheet'!I43</f>
        <v>818.53</v>
      </c>
      <c r="J5" s="6">
        <f>'Data Sheet'!J43</f>
        <v>797.3</v>
      </c>
      <c r="K5" s="6">
        <f>'Data Sheet'!K43</f>
        <v>775.04</v>
      </c>
    </row>
    <row r="6" spans="1:11" s="2" customFormat="1" x14ac:dyDescent="0.3">
      <c r="A6" s="2" t="s">
        <v>29</v>
      </c>
      <c r="B6" s="1">
        <f>'Data Sheet'!B50</f>
        <v>92.68</v>
      </c>
      <c r="C6" s="1">
        <f>'Data Sheet'!C50</f>
        <v>98.85</v>
      </c>
      <c r="D6" s="1">
        <f>'Data Sheet'!D50</f>
        <v>149.44999999999999</v>
      </c>
      <c r="E6" s="1">
        <f>'Data Sheet'!E50</f>
        <v>111.16</v>
      </c>
      <c r="F6" s="1">
        <f>'Data Sheet'!F50</f>
        <v>114.63</v>
      </c>
      <c r="G6" s="1">
        <f>'Data Sheet'!G50</f>
        <v>154.47999999999999</v>
      </c>
      <c r="H6" s="1">
        <f>'Data Sheet'!H50</f>
        <v>179.51</v>
      </c>
      <c r="I6" s="1">
        <f>'Data Sheet'!I50</f>
        <v>158.32</v>
      </c>
      <c r="J6" s="1">
        <f>'Data Sheet'!J50</f>
        <v>178.12</v>
      </c>
      <c r="K6" s="1">
        <f>'Data Sheet'!K50</f>
        <v>166.73</v>
      </c>
    </row>
    <row r="7" spans="1:11" x14ac:dyDescent="0.3">
      <c r="A7" t="s">
        <v>20</v>
      </c>
      <c r="B7" s="6">
        <f>'Data Sheet'!B44</f>
        <v>8.33</v>
      </c>
      <c r="C7" s="6">
        <f>'Data Sheet'!C44</f>
        <v>6.06</v>
      </c>
      <c r="D7" s="6">
        <f>'Data Sheet'!D44</f>
        <v>8.75</v>
      </c>
      <c r="E7" s="6">
        <f>'Data Sheet'!E44</f>
        <v>10.97</v>
      </c>
      <c r="F7" s="6">
        <f>'Data Sheet'!F44</f>
        <v>34.020000000000003</v>
      </c>
      <c r="G7" s="6">
        <f>'Data Sheet'!G44</f>
        <v>11.19</v>
      </c>
      <c r="H7" s="6">
        <f>'Data Sheet'!H44</f>
        <v>8.0399999999999991</v>
      </c>
      <c r="I7" s="6">
        <f>'Data Sheet'!I44</f>
        <v>12.84</v>
      </c>
      <c r="J7" s="6">
        <f>'Data Sheet'!J44</f>
        <v>14.73</v>
      </c>
      <c r="K7" s="6">
        <f>'Data Sheet'!K44</f>
        <v>13.91</v>
      </c>
    </row>
    <row r="8" spans="1:11" x14ac:dyDescent="0.3">
      <c r="A8" t="s">
        <v>21</v>
      </c>
      <c r="B8" s="6">
        <f>'Data Sheet'!B45</f>
        <v>12.84</v>
      </c>
      <c r="C8" s="6">
        <f>'Data Sheet'!C45</f>
        <v>13.22</v>
      </c>
      <c r="D8" s="6">
        <f>'Data Sheet'!D45</f>
        <v>12.94</v>
      </c>
      <c r="E8" s="6">
        <f>'Data Sheet'!E45</f>
        <v>13.88</v>
      </c>
      <c r="F8" s="6">
        <f>'Data Sheet'!F45</f>
        <v>14.25</v>
      </c>
      <c r="G8" s="6">
        <f>'Data Sheet'!G45</f>
        <v>13.88</v>
      </c>
      <c r="H8" s="6">
        <f>'Data Sheet'!H45</f>
        <v>14.1</v>
      </c>
      <c r="I8" s="6">
        <f>'Data Sheet'!I45</f>
        <v>13.66</v>
      </c>
      <c r="J8" s="6">
        <f>'Data Sheet'!J45</f>
        <v>12.61</v>
      </c>
      <c r="K8" s="6">
        <f>'Data Sheet'!K45</f>
        <v>12.85</v>
      </c>
    </row>
    <row r="9" spans="1:11" x14ac:dyDescent="0.3">
      <c r="A9" t="s">
        <v>22</v>
      </c>
      <c r="B9" s="6">
        <f>'Data Sheet'!B46</f>
        <v>0.69</v>
      </c>
      <c r="C9" s="6">
        <f>'Data Sheet'!C46</f>
        <v>0.49</v>
      </c>
      <c r="D9" s="6">
        <f>'Data Sheet'!D46</f>
        <v>1.88</v>
      </c>
      <c r="E9" s="6">
        <f>'Data Sheet'!E46</f>
        <v>0.53</v>
      </c>
      <c r="F9" s="6">
        <f>'Data Sheet'!F46</f>
        <v>0.38</v>
      </c>
      <c r="G9" s="6">
        <f>'Data Sheet'!G46</f>
        <v>0.56000000000000005</v>
      </c>
      <c r="H9" s="6">
        <f>'Data Sheet'!H46</f>
        <v>5.63</v>
      </c>
      <c r="I9" s="6">
        <f>'Data Sheet'!I46</f>
        <v>0.96</v>
      </c>
      <c r="J9" s="6">
        <f>'Data Sheet'!J46</f>
        <v>0.74</v>
      </c>
      <c r="K9" s="6">
        <f>'Data Sheet'!K46</f>
        <v>0.76</v>
      </c>
    </row>
    <row r="10" spans="1:11" x14ac:dyDescent="0.3">
      <c r="A10" t="s">
        <v>23</v>
      </c>
      <c r="B10" s="6">
        <f>'Data Sheet'!B47</f>
        <v>87.48</v>
      </c>
      <c r="C10" s="6">
        <f>'Data Sheet'!C47</f>
        <v>91.2</v>
      </c>
      <c r="D10" s="6">
        <f>'Data Sheet'!D47</f>
        <v>143.38</v>
      </c>
      <c r="E10" s="6">
        <f>'Data Sheet'!E47</f>
        <v>107.72</v>
      </c>
      <c r="F10" s="6">
        <f>'Data Sheet'!F47</f>
        <v>134.02000000000001</v>
      </c>
      <c r="G10" s="6">
        <f>'Data Sheet'!G47</f>
        <v>151.22999999999999</v>
      </c>
      <c r="H10" s="6">
        <f>'Data Sheet'!H47</f>
        <v>167.82</v>
      </c>
      <c r="I10" s="6">
        <f>'Data Sheet'!I47</f>
        <v>156.54</v>
      </c>
      <c r="J10" s="6">
        <f>'Data Sheet'!J47</f>
        <v>179.5</v>
      </c>
      <c r="K10" s="6">
        <f>'Data Sheet'!K47</f>
        <v>167.03</v>
      </c>
    </row>
    <row r="11" spans="1:11" x14ac:dyDescent="0.3">
      <c r="A11" t="s">
        <v>24</v>
      </c>
      <c r="B11" s="6">
        <f>'Data Sheet'!B48</f>
        <v>22.59</v>
      </c>
      <c r="C11" s="6">
        <f>'Data Sheet'!C48</f>
        <v>23.46</v>
      </c>
      <c r="D11" s="6">
        <f>'Data Sheet'!D48</f>
        <v>37.799999999999997</v>
      </c>
      <c r="E11" s="6">
        <f>'Data Sheet'!E48</f>
        <v>27.47</v>
      </c>
      <c r="F11" s="6">
        <f>'Data Sheet'!F48</f>
        <v>34.17</v>
      </c>
      <c r="G11" s="6">
        <f>'Data Sheet'!G48</f>
        <v>38.46</v>
      </c>
      <c r="H11" s="6">
        <f>'Data Sheet'!H48</f>
        <v>44.55</v>
      </c>
      <c r="I11" s="6">
        <f>'Data Sheet'!I48</f>
        <v>39.869999999999997</v>
      </c>
      <c r="J11" s="6">
        <f>'Data Sheet'!J48</f>
        <v>45.7</v>
      </c>
      <c r="K11" s="6">
        <f>'Data Sheet'!K48</f>
        <v>42.46</v>
      </c>
    </row>
    <row r="12" spans="1:11" s="2" customFormat="1" x14ac:dyDescent="0.3">
      <c r="A12" s="2" t="s">
        <v>25</v>
      </c>
      <c r="B12" s="1">
        <f>'Data Sheet'!B49</f>
        <v>64.88</v>
      </c>
      <c r="C12" s="1">
        <f>'Data Sheet'!C49</f>
        <v>67.739999999999995</v>
      </c>
      <c r="D12" s="1">
        <f>'Data Sheet'!D49</f>
        <v>105.59</v>
      </c>
      <c r="E12" s="1">
        <f>'Data Sheet'!E49</f>
        <v>80.25</v>
      </c>
      <c r="F12" s="1">
        <f>'Data Sheet'!F49</f>
        <v>99.86</v>
      </c>
      <c r="G12" s="1">
        <f>'Data Sheet'!G49</f>
        <v>112.77</v>
      </c>
      <c r="H12" s="1">
        <f>'Data Sheet'!H49</f>
        <v>123.27</v>
      </c>
      <c r="I12" s="1">
        <f>'Data Sheet'!I49</f>
        <v>116.67</v>
      </c>
      <c r="J12" s="1">
        <f>'Data Sheet'!J49</f>
        <v>133.80000000000001</v>
      </c>
      <c r="K12" s="1">
        <f>'Data Sheet'!K49</f>
        <v>124.57</v>
      </c>
    </row>
    <row r="14" spans="1:11" s="2" customFormat="1" x14ac:dyDescent="0.3">
      <c r="A14" s="2" t="s">
        <v>63</v>
      </c>
      <c r="B14" s="10">
        <f t="shared" ref="B14:K14" si="0">IF(B4&gt;0,B6/B4,"")</f>
        <v>0.11929616805467956</v>
      </c>
      <c r="C14" s="10">
        <f t="shared" si="0"/>
        <v>0.12943733713941519</v>
      </c>
      <c r="D14" s="10">
        <f t="shared" si="0"/>
        <v>0.17599331119432865</v>
      </c>
      <c r="E14" s="10">
        <f t="shared" si="0"/>
        <v>0.12493116198568169</v>
      </c>
      <c r="F14" s="10">
        <f t="shared" si="0"/>
        <v>0.12392700382710976</v>
      </c>
      <c r="G14" s="10">
        <f t="shared" si="0"/>
        <v>0.16571195640514041</v>
      </c>
      <c r="H14" s="10">
        <f t="shared" si="0"/>
        <v>0.18197208227315578</v>
      </c>
      <c r="I14" s="10">
        <f t="shared" si="0"/>
        <v>0.1620719660132057</v>
      </c>
      <c r="J14" s="10">
        <f t="shared" si="0"/>
        <v>0.18260851735662587</v>
      </c>
      <c r="K14" s="10">
        <f t="shared" si="0"/>
        <v>0.1770389797933678</v>
      </c>
    </row>
    <row r="22" s="19" customFormat="1" x14ac:dyDescent="0.3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scale="83" orientation="landscape" horizontalDpi="300" verticalDpi="300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K24"/>
  <sheetViews>
    <sheetView zoomScale="85" zoomScaleNormal="85" workbookViewId="0">
      <pane xSplit="1" ySplit="3" topLeftCell="B4" activePane="bottomRight" state="frozen"/>
      <selection activeCell="C4" sqref="C4"/>
      <selection pane="topRight" activeCell="C4" sqref="C4"/>
      <selection pane="bottomLeft" activeCell="C4" sqref="C4"/>
      <selection pane="bottomRight" activeCell="A3" sqref="A3: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  <col min="12" max="12" width="8.77734375" customWidth="1"/>
  </cols>
  <sheetData>
    <row r="1" spans="1:11" s="2" customFormat="1" x14ac:dyDescent="0.3">
      <c r="A1" s="2">
        <f>'Profit &amp; Loss'!A1</f>
        <v>0</v>
      </c>
      <c r="E1" t="str">
        <f>UPDATE</f>
        <v/>
      </c>
      <c r="J1" s="2" t="s">
        <v>74</v>
      </c>
    </row>
    <row r="2" spans="1:11" x14ac:dyDescent="0.3">
      <c r="G2" s="2"/>
      <c r="H2" s="2"/>
    </row>
    <row r="3" spans="1:11" x14ac:dyDescent="0.3">
      <c r="A3" s="11" t="s">
        <v>75</v>
      </c>
      <c r="B3" s="12">
        <f>'Data Sheet'!B56</f>
        <v>41729</v>
      </c>
      <c r="C3" s="12">
        <f>'Data Sheet'!C56</f>
        <v>42094</v>
      </c>
      <c r="D3" s="12">
        <f>'Data Sheet'!D56</f>
        <v>42460</v>
      </c>
      <c r="E3" s="12">
        <f>'Data Sheet'!E56</f>
        <v>42825</v>
      </c>
      <c r="F3" s="12">
        <f>'Data Sheet'!F56</f>
        <v>43190</v>
      </c>
      <c r="G3" s="12">
        <f>'Data Sheet'!G56</f>
        <v>43555</v>
      </c>
      <c r="H3" s="12">
        <f>'Data Sheet'!H56</f>
        <v>43921</v>
      </c>
      <c r="I3" s="12">
        <f>'Data Sheet'!I56</f>
        <v>44286</v>
      </c>
      <c r="J3" s="12">
        <f>'Data Sheet'!J56</f>
        <v>44651</v>
      </c>
      <c r="K3" s="12">
        <f>'Data Sheet'!K56</f>
        <v>45016</v>
      </c>
    </row>
    <row r="4" spans="1:11" x14ac:dyDescent="0.3">
      <c r="A4" t="s">
        <v>31</v>
      </c>
      <c r="B4" s="14">
        <f>'Data Sheet'!B57</f>
        <v>11.27</v>
      </c>
      <c r="C4" s="14">
        <f>'Data Sheet'!C57</f>
        <v>11.27</v>
      </c>
      <c r="D4" s="14">
        <f>'Data Sheet'!D57</f>
        <v>11.27</v>
      </c>
      <c r="E4" s="14">
        <f>'Data Sheet'!E57</f>
        <v>11.27</v>
      </c>
      <c r="F4" s="14">
        <f>'Data Sheet'!F57</f>
        <v>11.27</v>
      </c>
      <c r="G4" s="14">
        <f>'Data Sheet'!G57</f>
        <v>11.27</v>
      </c>
      <c r="H4" s="14">
        <f>'Data Sheet'!H57</f>
        <v>11.27</v>
      </c>
      <c r="I4" s="14">
        <f>'Data Sheet'!I57</f>
        <v>11.27</v>
      </c>
      <c r="J4" s="14">
        <f>'Data Sheet'!J57</f>
        <v>11.27</v>
      </c>
      <c r="K4" s="14">
        <f>'Data Sheet'!K57</f>
        <v>11.27</v>
      </c>
    </row>
    <row r="5" spans="1:11" x14ac:dyDescent="0.3">
      <c r="A5" t="s">
        <v>32</v>
      </c>
      <c r="B5" s="14">
        <f>'Data Sheet'!B58</f>
        <v>688.16</v>
      </c>
      <c r="C5" s="14">
        <f>'Data Sheet'!C58</f>
        <v>796.45</v>
      </c>
      <c r="D5" s="14">
        <f>'Data Sheet'!D58</f>
        <v>976.81</v>
      </c>
      <c r="E5" s="14">
        <f>'Data Sheet'!E58</f>
        <v>1215.1300000000001</v>
      </c>
      <c r="F5" s="14">
        <f>'Data Sheet'!F58</f>
        <v>1525.4</v>
      </c>
      <c r="G5" s="14">
        <f>'Data Sheet'!G58</f>
        <v>1848.27</v>
      </c>
      <c r="H5" s="14">
        <f>'Data Sheet'!H58</f>
        <v>2063.5</v>
      </c>
      <c r="I5" s="14">
        <f>'Data Sheet'!I58</f>
        <v>2210.2399999999998</v>
      </c>
      <c r="J5" s="14">
        <f>'Data Sheet'!J58</f>
        <v>2477.52</v>
      </c>
      <c r="K5" s="14">
        <f>'Data Sheet'!K58</f>
        <v>1936.57</v>
      </c>
    </row>
    <row r="6" spans="1:11" x14ac:dyDescent="0.3">
      <c r="A6" t="s">
        <v>33</v>
      </c>
      <c r="B6" s="14">
        <f>'Data Sheet'!B59</f>
        <v>120.94</v>
      </c>
      <c r="C6" s="14">
        <f>'Data Sheet'!C59</f>
        <v>14.31</v>
      </c>
      <c r="D6" s="14">
        <f>'Data Sheet'!D59</f>
        <v>11.16</v>
      </c>
      <c r="E6" s="14">
        <f>'Data Sheet'!E59</f>
        <v>9.7799999999999994</v>
      </c>
      <c r="F6" s="14">
        <f>'Data Sheet'!F59</f>
        <v>9.4600000000000009</v>
      </c>
      <c r="G6" s="14">
        <f>'Data Sheet'!G59</f>
        <v>13.5</v>
      </c>
      <c r="H6" s="14">
        <f>'Data Sheet'!H59</f>
        <v>41.77</v>
      </c>
      <c r="I6" s="14">
        <f>'Data Sheet'!I59</f>
        <v>22.88</v>
      </c>
      <c r="J6" s="14">
        <f>'Data Sheet'!J59</f>
        <v>24.44</v>
      </c>
      <c r="K6" s="14">
        <f>'Data Sheet'!K59</f>
        <v>26.73</v>
      </c>
    </row>
    <row r="7" spans="1:11" x14ac:dyDescent="0.3">
      <c r="A7" t="s">
        <v>34</v>
      </c>
      <c r="B7" s="14">
        <f>'Data Sheet'!B60</f>
        <v>267.37</v>
      </c>
      <c r="C7" s="14">
        <f>'Data Sheet'!C60</f>
        <v>306.07</v>
      </c>
      <c r="D7" s="14">
        <f>'Data Sheet'!D60</f>
        <v>429.56</v>
      </c>
      <c r="E7" s="14">
        <f>'Data Sheet'!E60</f>
        <v>695.35</v>
      </c>
      <c r="F7" s="14">
        <f>'Data Sheet'!F60</f>
        <v>589.22</v>
      </c>
      <c r="G7" s="14">
        <f>'Data Sheet'!G60</f>
        <v>620.64</v>
      </c>
      <c r="H7" s="14">
        <f>'Data Sheet'!H60</f>
        <v>536.70000000000005</v>
      </c>
      <c r="I7" s="14">
        <f>'Data Sheet'!I60</f>
        <v>672.24</v>
      </c>
      <c r="J7" s="14">
        <f>'Data Sheet'!J60</f>
        <v>744.15</v>
      </c>
      <c r="K7" s="14">
        <f>'Data Sheet'!K60</f>
        <v>939.85</v>
      </c>
    </row>
    <row r="8" spans="1:11" s="2" customFormat="1" x14ac:dyDescent="0.3">
      <c r="A8" s="2" t="s">
        <v>35</v>
      </c>
      <c r="B8" s="15">
        <f>'Data Sheet'!B61</f>
        <v>1087.74</v>
      </c>
      <c r="C8" s="15">
        <f>'Data Sheet'!C61</f>
        <v>1128.0999999999999</v>
      </c>
      <c r="D8" s="15">
        <f>'Data Sheet'!D61</f>
        <v>1428.8</v>
      </c>
      <c r="E8" s="15">
        <f>'Data Sheet'!E61</f>
        <v>1931.53</v>
      </c>
      <c r="F8" s="15">
        <f>'Data Sheet'!F61</f>
        <v>2135.35</v>
      </c>
      <c r="G8" s="15">
        <f>'Data Sheet'!G61</f>
        <v>2493.6799999999998</v>
      </c>
      <c r="H8" s="15">
        <f>'Data Sheet'!H61</f>
        <v>2653.24</v>
      </c>
      <c r="I8" s="15">
        <f>'Data Sheet'!I61</f>
        <v>2916.63</v>
      </c>
      <c r="J8" s="15">
        <f>'Data Sheet'!J61</f>
        <v>3257.38</v>
      </c>
      <c r="K8" s="15">
        <f>'Data Sheet'!K61</f>
        <v>2914.42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36</v>
      </c>
      <c r="B10" s="14">
        <f>'Data Sheet'!B62</f>
        <v>418.28</v>
      </c>
      <c r="C10" s="14">
        <f>'Data Sheet'!C62</f>
        <v>387.75</v>
      </c>
      <c r="D10" s="14">
        <f>'Data Sheet'!D62</f>
        <v>349.22</v>
      </c>
      <c r="E10" s="14">
        <f>'Data Sheet'!E62</f>
        <v>315.16000000000003</v>
      </c>
      <c r="F10" s="14">
        <f>'Data Sheet'!F62</f>
        <v>285.22000000000003</v>
      </c>
      <c r="G10" s="14">
        <f>'Data Sheet'!G62</f>
        <v>269.48</v>
      </c>
      <c r="H10" s="14">
        <f>'Data Sheet'!H62</f>
        <v>286.64999999999998</v>
      </c>
      <c r="I10" s="14">
        <f>'Data Sheet'!I62</f>
        <v>248.23</v>
      </c>
      <c r="J10" s="14">
        <f>'Data Sheet'!J62</f>
        <v>290.79000000000002</v>
      </c>
      <c r="K10" s="14">
        <f>'Data Sheet'!K62</f>
        <v>322.42</v>
      </c>
    </row>
    <row r="11" spans="1:11" x14ac:dyDescent="0.3">
      <c r="A11" t="s">
        <v>37</v>
      </c>
      <c r="B11" s="14">
        <f>'Data Sheet'!B63</f>
        <v>7.02</v>
      </c>
      <c r="C11" s="14">
        <f>'Data Sheet'!C63</f>
        <v>1.3</v>
      </c>
      <c r="D11" s="14">
        <f>'Data Sheet'!D63</f>
        <v>1.21</v>
      </c>
      <c r="E11" s="14">
        <f>'Data Sheet'!E63</f>
        <v>2.4300000000000002</v>
      </c>
      <c r="F11" s="14">
        <f>'Data Sheet'!F63</f>
        <v>5.75</v>
      </c>
      <c r="G11" s="14">
        <f>'Data Sheet'!G63</f>
        <v>10.19</v>
      </c>
      <c r="H11" s="14">
        <f>'Data Sheet'!H63</f>
        <v>6.64</v>
      </c>
      <c r="I11" s="14">
        <f>'Data Sheet'!I63</f>
        <v>23.5</v>
      </c>
      <c r="J11" s="14">
        <f>'Data Sheet'!J63</f>
        <v>22.6</v>
      </c>
      <c r="K11" s="14">
        <f>'Data Sheet'!K63</f>
        <v>24.57</v>
      </c>
    </row>
    <row r="12" spans="1:11" x14ac:dyDescent="0.3">
      <c r="A12" t="s">
        <v>38</v>
      </c>
      <c r="B12" s="14">
        <f>'Data Sheet'!B64</f>
        <v>0</v>
      </c>
      <c r="C12" s="14">
        <f>'Data Sheet'!C64</f>
        <v>0</v>
      </c>
      <c r="D12" s="14">
        <f>'Data Sheet'!D64</f>
        <v>0</v>
      </c>
      <c r="E12" s="14">
        <f>'Data Sheet'!E64</f>
        <v>0</v>
      </c>
      <c r="F12" s="14">
        <f>'Data Sheet'!F64</f>
        <v>0</v>
      </c>
      <c r="G12" s="14">
        <f>'Data Sheet'!G64</f>
        <v>584.70000000000005</v>
      </c>
      <c r="H12" s="14">
        <f>'Data Sheet'!H64</f>
        <v>504.8</v>
      </c>
      <c r="I12" s="14">
        <f>'Data Sheet'!I64</f>
        <v>504.8</v>
      </c>
      <c r="J12" s="14">
        <f>'Data Sheet'!J64</f>
        <v>504.8</v>
      </c>
      <c r="K12" s="14">
        <f>'Data Sheet'!K64</f>
        <v>504.8</v>
      </c>
    </row>
    <row r="13" spans="1:11" x14ac:dyDescent="0.3">
      <c r="A13" t="s">
        <v>39</v>
      </c>
      <c r="B13" s="14">
        <f>'Data Sheet'!B65</f>
        <v>662.44</v>
      </c>
      <c r="C13" s="14">
        <f>'Data Sheet'!C65</f>
        <v>739.05</v>
      </c>
      <c r="D13" s="14">
        <f>'Data Sheet'!D65</f>
        <v>1078.3699999999999</v>
      </c>
      <c r="E13" s="14">
        <f>'Data Sheet'!E65</f>
        <v>1613.94</v>
      </c>
      <c r="F13" s="14">
        <f>'Data Sheet'!F65</f>
        <v>1844.38</v>
      </c>
      <c r="G13" s="14">
        <f>'Data Sheet'!G65</f>
        <v>1629.31</v>
      </c>
      <c r="H13" s="14">
        <f>'Data Sheet'!H65</f>
        <v>1855.15</v>
      </c>
      <c r="I13" s="14">
        <f>'Data Sheet'!I65</f>
        <v>2140.1</v>
      </c>
      <c r="J13" s="14">
        <f>'Data Sheet'!J65</f>
        <v>2439.19</v>
      </c>
      <c r="K13" s="14">
        <f>'Data Sheet'!K65</f>
        <v>2062.63</v>
      </c>
    </row>
    <row r="14" spans="1:11" s="2" customFormat="1" x14ac:dyDescent="0.3">
      <c r="A14" s="2" t="s">
        <v>35</v>
      </c>
      <c r="B14" s="14">
        <f>'Data Sheet'!B66</f>
        <v>1087.74</v>
      </c>
      <c r="C14" s="14">
        <f>'Data Sheet'!C66</f>
        <v>1128.0999999999999</v>
      </c>
      <c r="D14" s="14">
        <f>'Data Sheet'!D66</f>
        <v>1428.8</v>
      </c>
      <c r="E14" s="14">
        <f>'Data Sheet'!E66</f>
        <v>1931.53</v>
      </c>
      <c r="F14" s="14">
        <f>'Data Sheet'!F66</f>
        <v>2135.35</v>
      </c>
      <c r="G14" s="14">
        <f>'Data Sheet'!G66</f>
        <v>2493.6799999999998</v>
      </c>
      <c r="H14" s="14">
        <f>'Data Sheet'!H66</f>
        <v>2653.24</v>
      </c>
      <c r="I14" s="14">
        <f>'Data Sheet'!I66</f>
        <v>2916.63</v>
      </c>
      <c r="J14" s="14">
        <f>'Data Sheet'!J66</f>
        <v>3257.38</v>
      </c>
      <c r="K14" s="14">
        <f>'Data Sheet'!K66</f>
        <v>2914.42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76</v>
      </c>
      <c r="B16" s="4">
        <f t="shared" ref="B16:K16" si="0">B13-B7</f>
        <v>395.07000000000005</v>
      </c>
      <c r="C16" s="4">
        <f t="shared" si="0"/>
        <v>432.97999999999996</v>
      </c>
      <c r="D16" s="4">
        <f t="shared" si="0"/>
        <v>648.80999999999995</v>
      </c>
      <c r="E16" s="4">
        <f t="shared" si="0"/>
        <v>918.59</v>
      </c>
      <c r="F16" s="4">
        <f t="shared" si="0"/>
        <v>1255.1600000000001</v>
      </c>
      <c r="G16" s="4">
        <f t="shared" si="0"/>
        <v>1008.67</v>
      </c>
      <c r="H16" s="4">
        <f t="shared" si="0"/>
        <v>1318.45</v>
      </c>
      <c r="I16" s="4">
        <f t="shared" si="0"/>
        <v>1467.86</v>
      </c>
      <c r="J16" s="4">
        <f t="shared" si="0"/>
        <v>1695.04</v>
      </c>
      <c r="K16" s="4">
        <f t="shared" si="0"/>
        <v>1122.7800000000002</v>
      </c>
    </row>
    <row r="17" spans="1:11" x14ac:dyDescent="0.3">
      <c r="A17" t="s">
        <v>77</v>
      </c>
      <c r="B17" s="4">
        <f>'Data Sheet'!B67</f>
        <v>265.18</v>
      </c>
      <c r="C17" s="4">
        <f>'Data Sheet'!C67</f>
        <v>249.12</v>
      </c>
      <c r="D17" s="4">
        <f>'Data Sheet'!D67</f>
        <v>317.14999999999998</v>
      </c>
      <c r="E17" s="4">
        <f>'Data Sheet'!E67</f>
        <v>407.92</v>
      </c>
      <c r="F17" s="4">
        <f>'Data Sheet'!F67</f>
        <v>529.64</v>
      </c>
      <c r="G17" s="4">
        <f>'Data Sheet'!G67</f>
        <v>546.14</v>
      </c>
      <c r="H17" s="4">
        <f>'Data Sheet'!H67</f>
        <v>506.59</v>
      </c>
      <c r="I17" s="4">
        <f>'Data Sheet'!I67</f>
        <v>460.51</v>
      </c>
      <c r="J17" s="4">
        <f>'Data Sheet'!J67</f>
        <v>488.58</v>
      </c>
      <c r="K17" s="4">
        <f>'Data Sheet'!K67</f>
        <v>595.1</v>
      </c>
    </row>
    <row r="18" spans="1:11" x14ac:dyDescent="0.3">
      <c r="A18" t="s">
        <v>41</v>
      </c>
      <c r="B18" s="4">
        <f>'Data Sheet'!B68</f>
        <v>258.24</v>
      </c>
      <c r="C18" s="4">
        <f>'Data Sheet'!C68</f>
        <v>295.57</v>
      </c>
      <c r="D18" s="4">
        <f>'Data Sheet'!D68</f>
        <v>292.38</v>
      </c>
      <c r="E18" s="4">
        <f>'Data Sheet'!E68</f>
        <v>331.78</v>
      </c>
      <c r="F18" s="4">
        <f>'Data Sheet'!F68</f>
        <v>347.29</v>
      </c>
      <c r="G18" s="4">
        <f>'Data Sheet'!G68</f>
        <v>379.18</v>
      </c>
      <c r="H18" s="4">
        <f>'Data Sheet'!H68</f>
        <v>411.04</v>
      </c>
      <c r="I18" s="4">
        <f>'Data Sheet'!I68</f>
        <v>430.27</v>
      </c>
      <c r="J18" s="4">
        <f>'Data Sheet'!J68</f>
        <v>453.48</v>
      </c>
      <c r="K18" s="4">
        <f>'Data Sheet'!K68</f>
        <v>567.6</v>
      </c>
    </row>
    <row r="20" spans="1:11" x14ac:dyDescent="0.3">
      <c r="A20" t="s">
        <v>78</v>
      </c>
      <c r="B20" s="4">
        <f>IF('Profit &amp; Loss'!B4&gt;0,'Balance Sheet'!B17/('Profit &amp; Loss'!B4/365),0)</f>
        <v>55.552131042161697</v>
      </c>
      <c r="C20" s="4">
        <f>IF('Profit &amp; Loss'!C4&gt;0,'Balance Sheet'!C17/('Profit &amp; Loss'!C4/365),0)</f>
        <v>49.409770146171823</v>
      </c>
      <c r="D20" s="4">
        <f>IF('Profit &amp; Loss'!D4&gt;0,'Balance Sheet'!D17/('Profit &amp; Loss'!D4/365),0)</f>
        <v>54.103453916619927</v>
      </c>
      <c r="E20" s="4">
        <f>IF('Profit &amp; Loss'!E4&gt;0,'Balance Sheet'!E17/('Profit &amp; Loss'!E4/365),0)</f>
        <v>63.009758863807569</v>
      </c>
      <c r="F20" s="4">
        <f>IF('Profit &amp; Loss'!F4&gt;0,'Balance Sheet'!F17/('Profit &amp; Loss'!F4/365),0)</f>
        <v>75.629112646412167</v>
      </c>
      <c r="G20" s="4">
        <f>IF('Profit &amp; Loss'!G4&gt;0,'Balance Sheet'!G17/('Profit &amp; Loss'!G4/365),0)</f>
        <v>70.971211495464189</v>
      </c>
      <c r="H20" s="4">
        <f>IF('Profit &amp; Loss'!H4&gt;0,'Balance Sheet'!H17/('Profit &amp; Loss'!H4/365),0)</f>
        <v>66.876446717398224</v>
      </c>
      <c r="I20" s="4">
        <f>IF('Profit &amp; Loss'!I4&gt;0,'Balance Sheet'!I17/('Profit &amp; Loss'!I4/365),0)</f>
        <v>69.446755854500978</v>
      </c>
      <c r="J20" s="4">
        <f>IF('Profit &amp; Loss'!J4&gt;0,'Balance Sheet'!J17/('Profit &amp; Loss'!J4/365),0)</f>
        <v>57.931877984601883</v>
      </c>
      <c r="K20" s="4">
        <f>IF('Profit &amp; Loss'!K4&gt;0,'Balance Sheet'!K17/('Profit &amp; Loss'!K4/365),0)</f>
        <v>58.179989500299989</v>
      </c>
    </row>
    <row r="21" spans="1:11" x14ac:dyDescent="0.3">
      <c r="A21" t="s">
        <v>79</v>
      </c>
      <c r="B21" s="4">
        <f>IF('Balance Sheet'!B18&gt;0,'Profit &amp; Loss'!B4/'Balance Sheet'!B18,0)</f>
        <v>6.746979553903345</v>
      </c>
      <c r="C21" s="4">
        <f>IF('Balance Sheet'!C18&gt;0,'Profit &amp; Loss'!C4/'Balance Sheet'!C18,0)</f>
        <v>6.2262746557499069</v>
      </c>
      <c r="D21" s="4">
        <f>IF('Balance Sheet'!D18&gt;0,'Profit &amp; Loss'!D4/'Balance Sheet'!D18,0)</f>
        <v>7.3178739995895752</v>
      </c>
      <c r="E21" s="4">
        <f>IF('Balance Sheet'!E18&gt;0,'Profit &amp; Loss'!E4/'Balance Sheet'!E18,0)</f>
        <v>7.1221291217071556</v>
      </c>
      <c r="F21" s="4">
        <f>IF('Balance Sheet'!F18&gt;0,'Profit &amp; Loss'!F4/'Balance Sheet'!F18,0)</f>
        <v>7.3602464798871257</v>
      </c>
      <c r="G21" s="4">
        <f>IF('Balance Sheet'!G18&gt;0,'Profit &amp; Loss'!G4/'Balance Sheet'!G18,0)</f>
        <v>7.4074581992721136</v>
      </c>
      <c r="H21" s="4">
        <f>IF('Balance Sheet'!H18&gt;0,'Profit &amp; Loss'!H4/'Balance Sheet'!H18,0)</f>
        <v>6.7265472946671858</v>
      </c>
      <c r="I21" s="4">
        <f>IF('Balance Sheet'!I18&gt;0,'Profit &amp; Loss'!I4/'Balance Sheet'!I18,0)</f>
        <v>5.6252120761382391</v>
      </c>
      <c r="J21" s="4">
        <f>IF('Balance Sheet'!J18&gt;0,'Profit &amp; Loss'!J4/'Balance Sheet'!J18,0)</f>
        <v>6.7881714739349039</v>
      </c>
      <c r="K21" s="4">
        <f>IF('Balance Sheet'!K18&gt;0,'Profit &amp; Loss'!K4/'Balance Sheet'!K18,0)</f>
        <v>6.5775898520084564</v>
      </c>
    </row>
    <row r="23" spans="1:11" s="2" customFormat="1" x14ac:dyDescent="0.3">
      <c r="A23" s="2" t="s">
        <v>80</v>
      </c>
      <c r="B23" s="10">
        <f>IF(SUM('Balance Sheet'!B4:B5)&gt;0,'Profit &amp; Loss'!B12/SUM('Balance Sheet'!B4:B5),"")</f>
        <v>6.1464335244413318E-2</v>
      </c>
      <c r="C23" s="10">
        <f>IF(SUM('Balance Sheet'!C4:C5)&gt;0,'Profit &amp; Loss'!C12/SUM('Balance Sheet'!C4:C5),"")</f>
        <v>0.13413063933046104</v>
      </c>
      <c r="D23" s="10">
        <f>IF(SUM('Balance Sheet'!D4:D5)&gt;0,'Profit &amp; Loss'!D12/SUM('Balance Sheet'!D4:D5),"")</f>
        <v>0.19710954578576634</v>
      </c>
      <c r="E23" s="10">
        <f>IF(SUM('Balance Sheet'!E4:E5)&gt;0,'Profit &amp; Loss'!E12/SUM('Balance Sheet'!E4:E5),"")</f>
        <v>0.19631441617742987</v>
      </c>
      <c r="F23" s="10">
        <f>IF(SUM('Balance Sheet'!F4:F5)&gt;0,'Profit &amp; Loss'!F12/SUM('Balance Sheet'!F4:F5),"")</f>
        <v>0.20208632953073855</v>
      </c>
      <c r="G23" s="10">
        <f>IF(SUM('Balance Sheet'!G4:G5)&gt;0,'Profit &amp; Loss'!G12/SUM('Balance Sheet'!G4:G5),"")</f>
        <v>0.17369349408993623</v>
      </c>
      <c r="H23" s="10">
        <f>IF(SUM('Balance Sheet'!H4:H5)&gt;0,'Profit &amp; Loss'!H12/SUM('Balance Sheet'!H4:H5),"")</f>
        <v>0.1055394091875244</v>
      </c>
      <c r="I23" s="10">
        <f>IF(SUM('Balance Sheet'!I4:I5)&gt;0,'Profit &amp; Loss'!I12/SUM('Balance Sheet'!I4:I5),"")</f>
        <v>6.7206539695972567E-2</v>
      </c>
      <c r="J23" s="10">
        <f>IF(SUM('Balance Sheet'!J4:J5)&gt;0,'Profit &amp; Loss'!J12/SUM('Balance Sheet'!J4:J5),"")</f>
        <v>0.10695157084366298</v>
      </c>
      <c r="K23" s="10">
        <f>IF(SUM('Balance Sheet'!K4:K5)&gt;0,'Profit &amp; Loss'!K12/SUM('Balance Sheet'!K4:K5),"")</f>
        <v>0.21364177755873173</v>
      </c>
    </row>
    <row r="24" spans="1:11" s="2" customFormat="1" x14ac:dyDescent="0.3">
      <c r="A24" s="2" t="s">
        <v>81</v>
      </c>
      <c r="B24" s="10"/>
      <c r="C24" s="10">
        <f>IF((B4+B5+B6+C4+C5+C6)&gt;0,('Profit &amp; Loss'!C10+'Profit &amp; Loss'!C9)*2/(B4+B5+B6+C4+C5+C6),"")</f>
        <v>0.20529712615684367</v>
      </c>
      <c r="D24" s="10">
        <f>IF((C4+C5+C6+D4+D5+D6)&gt;0,('Profit &amp; Loss'!D10+'Profit &amp; Loss'!D9)*2/(C4+C5+C6+D4+D5+D6),"")</f>
        <v>0.3353154666798443</v>
      </c>
      <c r="E24" s="10">
        <f>IF((D4+D5+D6+E4+E5+E6)&gt;0,('Profit &amp; Loss'!E10+'Profit &amp; Loss'!E9)*2/(D4+D5+D6+E4+E5+E6),"")</f>
        <v>0.33236707195963172</v>
      </c>
      <c r="F24" s="10">
        <f>IF((E4+E5+E6+F4+F5+F6)&gt;0,('Profit &amp; Loss'!F10+'Profit &amp; Loss'!F9)*2/(E4+E5+E6+F4+F5+F6),"")</f>
        <v>0.34620872584291462</v>
      </c>
      <c r="G24" s="10">
        <f>IF((F4+F5+F6+G4+G5+G6)&gt;0,('Profit &amp; Loss'!G10+'Profit &amp; Loss'!G9)*2/(F4+F5+F6+G4+G5+G6),"")</f>
        <v>0.2916204809939254</v>
      </c>
      <c r="H24" s="10">
        <f>IF((G4+G5+G6+H4+H5+H6)&gt;0,('Profit &amp; Loss'!H10+'Profit &amp; Loss'!H9)*2/(G4+G5+G6+H4+H5+H6),"")</f>
        <v>0.16242812526631875</v>
      </c>
      <c r="I24" s="10">
        <f>IF((H4+H5+H6+I4+I5+I6)&gt;0,('Profit &amp; Loss'!I10+'Profit &amp; Loss'!I9)*2/(H4+H5+H6+I4+I5+I6),"")</f>
        <v>9.3957022928595521E-2</v>
      </c>
      <c r="J24" s="10">
        <f>IF((I4+I5+I6+J4+J5+J6)&gt;0,('Profit &amp; Loss'!J10+'Profit &amp; Loss'!J9)*2/(I4+I5+I6+J4+J5+J6),"")</f>
        <v>0.15273603188148696</v>
      </c>
      <c r="K24" s="10">
        <f>IF((J4+J5+J6+K4+K5+K6)&gt;0,('Profit &amp; Loss'!K10+'Profit &amp; Loss'!K9)*2/(J4+J5+J6+K4+K5+K6),"")</f>
        <v>0.25308168813226972</v>
      </c>
    </row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K8"/>
  <sheetViews>
    <sheetView zoomScale="85" zoomScaleNormal="85" zoomScalePageLayoutView="15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24" sqref="J24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  <col min="12" max="12" width="8.77734375" customWidth="1"/>
  </cols>
  <sheetData>
    <row r="1" spans="1:11" s="2" customFormat="1" x14ac:dyDescent="0.3">
      <c r="A1" s="2">
        <f>'Balance Sheet'!A1</f>
        <v>0</v>
      </c>
      <c r="E1" t="str">
        <f>UPDATE</f>
        <v/>
      </c>
      <c r="J1" s="2" t="s">
        <v>74</v>
      </c>
    </row>
    <row r="3" spans="1:11" s="2" customFormat="1" x14ac:dyDescent="0.3">
      <c r="A3" s="11" t="s">
        <v>75</v>
      </c>
      <c r="B3" s="12">
        <f>'Data Sheet'!B81</f>
        <v>41729</v>
      </c>
      <c r="C3" s="12">
        <f>'Data Sheet'!C81</f>
        <v>42094</v>
      </c>
      <c r="D3" s="12">
        <f>'Data Sheet'!D81</f>
        <v>42460</v>
      </c>
      <c r="E3" s="12">
        <f>'Data Sheet'!E81</f>
        <v>42825</v>
      </c>
      <c r="F3" s="12">
        <f>'Data Sheet'!F81</f>
        <v>43190</v>
      </c>
      <c r="G3" s="12">
        <f>'Data Sheet'!G81</f>
        <v>43555</v>
      </c>
      <c r="H3" s="12">
        <f>'Data Sheet'!H81</f>
        <v>43921</v>
      </c>
      <c r="I3" s="12">
        <f>'Data Sheet'!I81</f>
        <v>44286</v>
      </c>
      <c r="J3" s="12">
        <f>'Data Sheet'!J81</f>
        <v>44651</v>
      </c>
      <c r="K3" s="12">
        <f>'Data Sheet'!K81</f>
        <v>45016</v>
      </c>
    </row>
    <row r="4" spans="1:11" s="2" customFormat="1" x14ac:dyDescent="0.3">
      <c r="A4" s="2" t="s">
        <v>47</v>
      </c>
      <c r="B4" s="1">
        <f>'Data Sheet'!B82</f>
        <v>120.38</v>
      </c>
      <c r="C4" s="1">
        <f>'Data Sheet'!C82</f>
        <v>177.37</v>
      </c>
      <c r="D4" s="1">
        <f>'Data Sheet'!D82</f>
        <v>260.89999999999998</v>
      </c>
      <c r="E4" s="1">
        <f>'Data Sheet'!E82</f>
        <v>364.93</v>
      </c>
      <c r="F4" s="1">
        <f>'Data Sheet'!F82</f>
        <v>29.42</v>
      </c>
      <c r="G4" s="1">
        <f>'Data Sheet'!G82</f>
        <v>267.32</v>
      </c>
      <c r="H4" s="1">
        <f>'Data Sheet'!H82</f>
        <v>218.33</v>
      </c>
      <c r="I4" s="1">
        <f>'Data Sheet'!I82</f>
        <v>312.05</v>
      </c>
      <c r="J4" s="1">
        <f>'Data Sheet'!J82</f>
        <v>333.65</v>
      </c>
      <c r="K4" s="1">
        <f>'Data Sheet'!K82</f>
        <v>424.65</v>
      </c>
    </row>
    <row r="5" spans="1:11" x14ac:dyDescent="0.3">
      <c r="A5" t="s">
        <v>48</v>
      </c>
      <c r="B5" s="6">
        <f>'Data Sheet'!B83</f>
        <v>-47.22</v>
      </c>
      <c r="C5" s="6">
        <f>'Data Sheet'!C83</f>
        <v>-4.3099999999999996</v>
      </c>
      <c r="D5" s="6">
        <f>'Data Sheet'!D83</f>
        <v>1.39</v>
      </c>
      <c r="E5" s="6">
        <f>'Data Sheet'!E83</f>
        <v>12.01</v>
      </c>
      <c r="F5" s="6">
        <f>'Data Sheet'!F83</f>
        <v>17.989999999999998</v>
      </c>
      <c r="G5" s="6">
        <f>'Data Sheet'!G83</f>
        <v>-589.83000000000004</v>
      </c>
      <c r="H5" s="6">
        <f>'Data Sheet'!H83</f>
        <v>1.42</v>
      </c>
      <c r="I5" s="6">
        <f>'Data Sheet'!I83</f>
        <v>-15.9</v>
      </c>
      <c r="J5" s="6">
        <f>'Data Sheet'!J83</f>
        <v>-43.2</v>
      </c>
      <c r="K5" s="6">
        <f>'Data Sheet'!K83</f>
        <v>-19.68</v>
      </c>
    </row>
    <row r="6" spans="1:11" x14ac:dyDescent="0.3">
      <c r="A6" t="s">
        <v>49</v>
      </c>
      <c r="B6" s="6">
        <f>'Data Sheet'!B84</f>
        <v>-73.05</v>
      </c>
      <c r="C6" s="6">
        <f>'Data Sheet'!C84</f>
        <v>-118.85</v>
      </c>
      <c r="D6" s="6">
        <f>'Data Sheet'!D84</f>
        <v>-5.33</v>
      </c>
      <c r="E6" s="6">
        <f>'Data Sheet'!E84</f>
        <v>-3.65</v>
      </c>
      <c r="F6" s="6">
        <f>'Data Sheet'!F84</f>
        <v>-2.2599999999999998</v>
      </c>
      <c r="G6" s="6">
        <f>'Data Sheet'!G84</f>
        <v>3.59</v>
      </c>
      <c r="H6" s="6">
        <f>'Data Sheet'!H84</f>
        <v>-24.37</v>
      </c>
      <c r="I6" s="6">
        <f>'Data Sheet'!I84</f>
        <v>-24.77</v>
      </c>
      <c r="J6" s="6">
        <f>'Data Sheet'!J84</f>
        <v>-21.06</v>
      </c>
      <c r="K6" s="6">
        <f>'Data Sheet'!K84</f>
        <v>-979.52</v>
      </c>
    </row>
    <row r="7" spans="1:11" s="2" customFormat="1" x14ac:dyDescent="0.3">
      <c r="A7" s="2" t="s">
        <v>50</v>
      </c>
      <c r="B7" s="1">
        <f>'Data Sheet'!B85</f>
        <v>0.11</v>
      </c>
      <c r="C7" s="1">
        <f>'Data Sheet'!C85</f>
        <v>54.21</v>
      </c>
      <c r="D7" s="1">
        <f>'Data Sheet'!D85</f>
        <v>256.97000000000003</v>
      </c>
      <c r="E7" s="1">
        <f>'Data Sheet'!E85</f>
        <v>373.28</v>
      </c>
      <c r="F7" s="1">
        <f>'Data Sheet'!F85</f>
        <v>45.15</v>
      </c>
      <c r="G7" s="1">
        <f>'Data Sheet'!G85</f>
        <v>-318.92</v>
      </c>
      <c r="H7" s="1">
        <f>'Data Sheet'!H85</f>
        <v>195.38</v>
      </c>
      <c r="I7" s="1">
        <f>'Data Sheet'!I85</f>
        <v>271.39</v>
      </c>
      <c r="J7" s="1">
        <f>'Data Sheet'!J85</f>
        <v>269.39</v>
      </c>
      <c r="K7" s="1">
        <f>'Data Sheet'!K85</f>
        <v>-574.55999999999995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</sheetData>
  <hyperlinks>
    <hyperlink ref="J1" r:id="rId1" xr:uid="{00000000-0004-0000-0400-000000000000}"/>
  </hyperlinks>
  <printOptions gridLines="1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 Sheet</vt:lpstr>
      <vt:lpstr>Profit &amp; Loss</vt:lpstr>
      <vt:lpstr>Quarters</vt:lpstr>
      <vt:lpstr>Balance Sheet</vt:lpstr>
      <vt:lpstr>Cash Flow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Viraj M Suthar</cp:lastModifiedBy>
  <cp:lastPrinted>2012-12-06T18:14:13Z</cp:lastPrinted>
  <dcterms:created xsi:type="dcterms:W3CDTF">2012-08-17T09:55:37Z</dcterms:created>
  <dcterms:modified xsi:type="dcterms:W3CDTF">2024-05-12T10:14:24Z</dcterms:modified>
</cp:coreProperties>
</file>