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Users/savanraisoni/Desktop/"/>
    </mc:Choice>
  </mc:AlternateContent>
  <bookViews>
    <workbookView xWindow="740" yWindow="880" windowWidth="23460" windowHeight="17120" activeTab="3"/>
  </bookViews>
  <sheets>
    <sheet name="Overheads" sheetId="3" r:id="rId1"/>
    <sheet name="Staff Salary" sheetId="4" r:id="rId2"/>
    <sheet name="Utility" sheetId="5" r:id="rId3"/>
    <sheet name="BOQ" sheetId="1" r:id="rId4"/>
    <sheet name="Rate Analysis" sheetId="2" r:id="rId5"/>
  </sheets>
  <externalReferences>
    <externalReference r:id="rId6"/>
    <externalReference r:id="rId7"/>
    <externalReference r:id="rId8"/>
  </externalReferences>
  <definedNames>
    <definedName name="_xlnm._FilterDatabase" localSheetId="3" hidden="1">BOQ!$A$4:$L$282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4" l="1"/>
  <c r="C15" i="4"/>
  <c r="F15" i="4"/>
  <c r="F20" i="4"/>
  <c r="C21" i="4"/>
  <c r="F21" i="4"/>
  <c r="F27" i="4"/>
  <c r="H39" i="1"/>
  <c r="I39" i="1"/>
  <c r="H46" i="1"/>
  <c r="I46" i="1"/>
  <c r="H51" i="1"/>
  <c r="I51" i="1"/>
  <c r="H53" i="1"/>
  <c r="I53" i="1"/>
  <c r="H54" i="1"/>
  <c r="I54" i="1"/>
  <c r="H55" i="1"/>
  <c r="I55" i="1"/>
  <c r="H61" i="1"/>
  <c r="I61" i="1"/>
  <c r="H62" i="1"/>
  <c r="I62"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2" i="1"/>
  <c r="I102" i="1"/>
  <c r="H103" i="1"/>
  <c r="I103" i="1"/>
  <c r="H104" i="1"/>
  <c r="I104" i="1"/>
  <c r="H105" i="1"/>
  <c r="I105" i="1"/>
  <c r="H106" i="1"/>
  <c r="I106" i="1"/>
  <c r="H107" i="1"/>
  <c r="I107" i="1"/>
  <c r="H108" i="1"/>
  <c r="I108" i="1"/>
  <c r="H109" i="1"/>
  <c r="I109" i="1"/>
  <c r="H110" i="1"/>
  <c r="I110" i="1"/>
  <c r="H112" i="1"/>
  <c r="I112" i="1"/>
  <c r="H115" i="1"/>
  <c r="I115" i="1"/>
  <c r="H116" i="1"/>
  <c r="I116" i="1"/>
  <c r="H117" i="1"/>
  <c r="I117" i="1"/>
  <c r="H118" i="1"/>
  <c r="I118" i="1"/>
  <c r="H119" i="1"/>
  <c r="I119" i="1"/>
  <c r="H120" i="1"/>
  <c r="I120" i="1"/>
  <c r="H121" i="1"/>
  <c r="I121" i="1"/>
  <c r="H122" i="1"/>
  <c r="I122" i="1"/>
  <c r="H123" i="1"/>
  <c r="I123" i="1"/>
  <c r="H124" i="1"/>
  <c r="I124" i="1"/>
  <c r="H125" i="1"/>
  <c r="I125" i="1"/>
  <c r="H126" i="1"/>
  <c r="I126" i="1"/>
  <c r="H129" i="1"/>
  <c r="I129" i="1"/>
  <c r="H130" i="1"/>
  <c r="I130" i="1"/>
  <c r="H131" i="1"/>
  <c r="I131" i="1"/>
  <c r="H132" i="1"/>
  <c r="I132" i="1"/>
  <c r="H133" i="1"/>
  <c r="I133" i="1"/>
  <c r="H134" i="1"/>
  <c r="I134" i="1"/>
  <c r="H135" i="1"/>
  <c r="I135" i="1"/>
  <c r="H184" i="1"/>
  <c r="I184" i="1"/>
  <c r="H270" i="1"/>
  <c r="I270" i="1"/>
  <c r="I6" i="1"/>
  <c r="I7" i="1"/>
  <c r="I8" i="1"/>
  <c r="I9" i="1"/>
  <c r="I10" i="1"/>
  <c r="I11" i="1"/>
  <c r="I12" i="1"/>
  <c r="I13" i="1"/>
  <c r="I14" i="1"/>
  <c r="I15" i="1"/>
  <c r="I16" i="1"/>
  <c r="I17" i="1"/>
  <c r="I18" i="1"/>
  <c r="I19" i="1"/>
  <c r="I20" i="1"/>
  <c r="I21" i="1"/>
  <c r="I22" i="1"/>
  <c r="I23" i="1"/>
  <c r="I25" i="1"/>
  <c r="I26" i="1"/>
  <c r="I27" i="1"/>
  <c r="I28" i="1"/>
  <c r="I29" i="1"/>
  <c r="I30" i="1"/>
  <c r="I31" i="1"/>
  <c r="I32" i="1"/>
  <c r="I33" i="1"/>
  <c r="I34" i="1"/>
  <c r="I35" i="1"/>
  <c r="I36" i="1"/>
  <c r="I37" i="1"/>
  <c r="I38" i="1"/>
  <c r="I40" i="1"/>
  <c r="I41" i="1"/>
  <c r="I42" i="1"/>
  <c r="I43" i="1"/>
  <c r="I44" i="1"/>
  <c r="I45" i="1"/>
  <c r="I47" i="1"/>
  <c r="I48" i="1"/>
  <c r="I49" i="1"/>
  <c r="I50" i="1"/>
  <c r="I52" i="1"/>
  <c r="I57" i="1"/>
  <c r="I58" i="1"/>
  <c r="I59" i="1"/>
  <c r="I60" i="1"/>
  <c r="I63" i="1"/>
  <c r="I101" i="1"/>
  <c r="I111" i="1"/>
  <c r="I113" i="1"/>
  <c r="I114" i="1"/>
  <c r="I127" i="1"/>
  <c r="I128" i="1"/>
  <c r="I136" i="1"/>
  <c r="I137" i="1"/>
  <c r="I138" i="1"/>
  <c r="I139" i="1"/>
  <c r="I140" i="1"/>
  <c r="I141" i="1"/>
  <c r="I142"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1" i="1"/>
  <c r="I272" i="1"/>
  <c r="I273" i="1"/>
  <c r="I274" i="1"/>
  <c r="I275" i="1"/>
  <c r="I276" i="1"/>
  <c r="I277" i="1"/>
  <c r="I278" i="1"/>
  <c r="I279" i="1"/>
  <c r="I280" i="1"/>
  <c r="I281" i="1"/>
  <c r="I282" i="1"/>
  <c r="C32" i="4"/>
  <c r="F28" i="4"/>
  <c r="C2" i="3"/>
  <c r="H6" i="4"/>
  <c r="H20" i="4"/>
  <c r="H27" i="4"/>
  <c r="H28" i="4"/>
  <c r="H32" i="4"/>
  <c r="C12" i="3"/>
  <c r="F32" i="4"/>
  <c r="C3" i="3"/>
  <c r="C18" i="3"/>
  <c r="C19" i="3"/>
  <c r="F23" i="3"/>
  <c r="F24" i="3"/>
  <c r="C27" i="3"/>
  <c r="F25" i="3"/>
  <c r="F26" i="3"/>
  <c r="F27" i="3"/>
  <c r="F28" i="3"/>
  <c r="N3"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N262" i="1"/>
  <c r="M263" i="1"/>
  <c r="N263" i="1"/>
  <c r="M264" i="1"/>
  <c r="N264" i="1"/>
  <c r="M265" i="1"/>
  <c r="N265" i="1"/>
  <c r="M266" i="1"/>
  <c r="N266" i="1"/>
  <c r="M267" i="1"/>
  <c r="N267" i="1"/>
  <c r="M268" i="1"/>
  <c r="N268" i="1"/>
  <c r="M269" i="1"/>
  <c r="N269" i="1"/>
  <c r="M270" i="1"/>
  <c r="N270" i="1"/>
  <c r="M271" i="1"/>
  <c r="N271" i="1"/>
  <c r="M272" i="1"/>
  <c r="N272" i="1"/>
  <c r="M273" i="1"/>
  <c r="N273" i="1"/>
  <c r="M274" i="1"/>
  <c r="N274" i="1"/>
  <c r="M275" i="1"/>
  <c r="N275" i="1"/>
  <c r="M276" i="1"/>
  <c r="N276" i="1"/>
  <c r="M277" i="1"/>
  <c r="N277" i="1"/>
  <c r="M278" i="1"/>
  <c r="N278" i="1"/>
  <c r="M279" i="1"/>
  <c r="N279" i="1"/>
  <c r="M280" i="1"/>
  <c r="N280" i="1"/>
  <c r="M281" i="1"/>
  <c r="N281" i="1"/>
  <c r="N282" i="1"/>
  <c r="N285" i="1"/>
  <c r="N286" i="1"/>
  <c r="F7" i="1"/>
  <c r="L7" i="1"/>
  <c r="F8" i="1"/>
  <c r="L8" i="1"/>
  <c r="F9" i="1"/>
  <c r="L9" i="1"/>
  <c r="F10" i="1"/>
  <c r="L10" i="1"/>
  <c r="F11" i="1"/>
  <c r="L11" i="1"/>
  <c r="F12" i="1"/>
  <c r="L12" i="1"/>
  <c r="F13" i="1"/>
  <c r="L13" i="1"/>
  <c r="F14" i="1"/>
  <c r="L14" i="1"/>
  <c r="F15" i="1"/>
  <c r="L15" i="1"/>
  <c r="F16" i="1"/>
  <c r="L16" i="1"/>
  <c r="F17" i="1"/>
  <c r="L17" i="1"/>
  <c r="F18" i="1"/>
  <c r="L18" i="1"/>
  <c r="F19" i="1"/>
  <c r="L19" i="1"/>
  <c r="F20" i="1"/>
  <c r="L20" i="1"/>
  <c r="F21" i="1"/>
  <c r="L21" i="1"/>
  <c r="F22" i="1"/>
  <c r="L22" i="1"/>
  <c r="F23" i="1"/>
  <c r="L23" i="1"/>
  <c r="L24" i="1"/>
  <c r="F25" i="1"/>
  <c r="L25" i="1"/>
  <c r="F26" i="1"/>
  <c r="L26" i="1"/>
  <c r="F27" i="1"/>
  <c r="L27" i="1"/>
  <c r="F28" i="1"/>
  <c r="L28" i="1"/>
  <c r="F29" i="1"/>
  <c r="L29" i="1"/>
  <c r="F30" i="1"/>
  <c r="L30" i="1"/>
  <c r="F31" i="1"/>
  <c r="L31" i="1"/>
  <c r="F32" i="1"/>
  <c r="L32" i="1"/>
  <c r="F33" i="1"/>
  <c r="L33" i="1"/>
  <c r="F34" i="1"/>
  <c r="L34" i="1"/>
  <c r="F35" i="1"/>
  <c r="L35" i="1"/>
  <c r="F36" i="1"/>
  <c r="L36" i="1"/>
  <c r="F37" i="1"/>
  <c r="L37" i="1"/>
  <c r="F38" i="1"/>
  <c r="L38" i="1"/>
  <c r="L39" i="1"/>
  <c r="F40" i="1"/>
  <c r="L40" i="1"/>
  <c r="F41" i="1"/>
  <c r="L41" i="1"/>
  <c r="F42" i="1"/>
  <c r="L42" i="1"/>
  <c r="F43" i="1"/>
  <c r="L43" i="1"/>
  <c r="F44" i="1"/>
  <c r="L44" i="1"/>
  <c r="F45" i="1"/>
  <c r="L45" i="1"/>
  <c r="F46" i="1"/>
  <c r="L46" i="1"/>
  <c r="F47" i="1"/>
  <c r="L47" i="1"/>
  <c r="F48" i="1"/>
  <c r="L48" i="1"/>
  <c r="F49" i="1"/>
  <c r="L49" i="1"/>
  <c r="F50" i="1"/>
  <c r="L50" i="1"/>
  <c r="F51" i="1"/>
  <c r="L51" i="1"/>
  <c r="F52" i="1"/>
  <c r="L52" i="1"/>
  <c r="F53" i="1"/>
  <c r="L53" i="1"/>
  <c r="F54" i="1"/>
  <c r="L54" i="1"/>
  <c r="F55" i="1"/>
  <c r="L55" i="1"/>
  <c r="L56" i="1"/>
  <c r="F57" i="1"/>
  <c r="L57" i="1"/>
  <c r="F58" i="1"/>
  <c r="L58" i="1"/>
  <c r="F59" i="1"/>
  <c r="L59" i="1"/>
  <c r="F60" i="1"/>
  <c r="L60" i="1"/>
  <c r="F61" i="1"/>
  <c r="L61" i="1"/>
  <c r="F62" i="1"/>
  <c r="L62" i="1"/>
  <c r="F63" i="1"/>
  <c r="L63" i="1"/>
  <c r="F64" i="1"/>
  <c r="L64" i="1"/>
  <c r="F65" i="1"/>
  <c r="L65" i="1"/>
  <c r="F66" i="1"/>
  <c r="L66" i="1"/>
  <c r="F67" i="1"/>
  <c r="L67" i="1"/>
  <c r="F68" i="1"/>
  <c r="L68" i="1"/>
  <c r="F69" i="1"/>
  <c r="L69" i="1"/>
  <c r="F70" i="1"/>
  <c r="L70" i="1"/>
  <c r="F71" i="1"/>
  <c r="L71" i="1"/>
  <c r="F72" i="1"/>
  <c r="L72" i="1"/>
  <c r="F73" i="1"/>
  <c r="L73" i="1"/>
  <c r="F74" i="1"/>
  <c r="L74" i="1"/>
  <c r="F75" i="1"/>
  <c r="L75" i="1"/>
  <c r="F76" i="1"/>
  <c r="L76" i="1"/>
  <c r="F77" i="1"/>
  <c r="L77" i="1"/>
  <c r="F78" i="1"/>
  <c r="L78" i="1"/>
  <c r="F79" i="1"/>
  <c r="L79" i="1"/>
  <c r="F80" i="1"/>
  <c r="L80" i="1"/>
  <c r="F81" i="1"/>
  <c r="L81" i="1"/>
  <c r="F82" i="1"/>
  <c r="L82" i="1"/>
  <c r="F83" i="1"/>
  <c r="L83" i="1"/>
  <c r="F84" i="1"/>
  <c r="L84" i="1"/>
  <c r="F85" i="1"/>
  <c r="L85" i="1"/>
  <c r="F86" i="1"/>
  <c r="L86" i="1"/>
  <c r="F87" i="1"/>
  <c r="L87" i="1"/>
  <c r="F88" i="1"/>
  <c r="L88" i="1"/>
  <c r="F89" i="1"/>
  <c r="L89" i="1"/>
  <c r="F90" i="1"/>
  <c r="L90" i="1"/>
  <c r="F91" i="1"/>
  <c r="L91" i="1"/>
  <c r="F92" i="1"/>
  <c r="L92" i="1"/>
  <c r="F93" i="1"/>
  <c r="L93" i="1"/>
  <c r="F94" i="1"/>
  <c r="L94" i="1"/>
  <c r="F95" i="1"/>
  <c r="L95" i="1"/>
  <c r="F96" i="1"/>
  <c r="L96" i="1"/>
  <c r="F97" i="1"/>
  <c r="L97" i="1"/>
  <c r="F98" i="1"/>
  <c r="L98" i="1"/>
  <c r="F99" i="1"/>
  <c r="L99" i="1"/>
  <c r="F100" i="1"/>
  <c r="L100" i="1"/>
  <c r="F101" i="1"/>
  <c r="L101" i="1"/>
  <c r="F102" i="1"/>
  <c r="L102" i="1"/>
  <c r="F103" i="1"/>
  <c r="L103" i="1"/>
  <c r="F104" i="1"/>
  <c r="L104" i="1"/>
  <c r="F105" i="1"/>
  <c r="L105" i="1"/>
  <c r="F106" i="1"/>
  <c r="L106" i="1"/>
  <c r="F107" i="1"/>
  <c r="L107" i="1"/>
  <c r="F108" i="1"/>
  <c r="L108" i="1"/>
  <c r="F109" i="1"/>
  <c r="L109" i="1"/>
  <c r="F110" i="1"/>
  <c r="L110" i="1"/>
  <c r="F111" i="1"/>
  <c r="L111" i="1"/>
  <c r="F112" i="1"/>
  <c r="L112" i="1"/>
  <c r="F113" i="1"/>
  <c r="L113" i="1"/>
  <c r="F114" i="1"/>
  <c r="L114" i="1"/>
  <c r="F115" i="1"/>
  <c r="L115" i="1"/>
  <c r="F116" i="1"/>
  <c r="L116" i="1"/>
  <c r="F117" i="1"/>
  <c r="L117" i="1"/>
  <c r="F118" i="1"/>
  <c r="L118" i="1"/>
  <c r="F119" i="1"/>
  <c r="L119" i="1"/>
  <c r="F120" i="1"/>
  <c r="L120" i="1"/>
  <c r="F121" i="1"/>
  <c r="L121" i="1"/>
  <c r="F122" i="1"/>
  <c r="L122" i="1"/>
  <c r="F123" i="1"/>
  <c r="L123" i="1"/>
  <c r="F124" i="1"/>
  <c r="L124" i="1"/>
  <c r="F125" i="1"/>
  <c r="L125" i="1"/>
  <c r="F126" i="1"/>
  <c r="L126" i="1"/>
  <c r="F127" i="1"/>
  <c r="L127" i="1"/>
  <c r="F128" i="1"/>
  <c r="L128" i="1"/>
  <c r="F129" i="1"/>
  <c r="L129" i="1"/>
  <c r="F130" i="1"/>
  <c r="L130" i="1"/>
  <c r="L131" i="1"/>
  <c r="F132" i="1"/>
  <c r="L132" i="1"/>
  <c r="F133" i="1"/>
  <c r="L133" i="1"/>
  <c r="F134" i="1"/>
  <c r="L134" i="1"/>
  <c r="L135" i="1"/>
  <c r="F136" i="1"/>
  <c r="L136" i="1"/>
  <c r="F137" i="1"/>
  <c r="L137" i="1"/>
  <c r="F138" i="1"/>
  <c r="L138" i="1"/>
  <c r="F139" i="1"/>
  <c r="L139" i="1"/>
  <c r="F140" i="1"/>
  <c r="L140" i="1"/>
  <c r="F141" i="1"/>
  <c r="L141" i="1"/>
  <c r="F142" i="1"/>
  <c r="L142" i="1"/>
  <c r="L143" i="1"/>
  <c r="F144" i="1"/>
  <c r="L144" i="1"/>
  <c r="F145" i="1"/>
  <c r="L145" i="1"/>
  <c r="L146" i="1"/>
  <c r="F147" i="1"/>
  <c r="L147" i="1"/>
  <c r="F148" i="1"/>
  <c r="L148" i="1"/>
  <c r="F149" i="1"/>
  <c r="L149" i="1"/>
  <c r="F150" i="1"/>
  <c r="L150" i="1"/>
  <c r="F151" i="1"/>
  <c r="L151" i="1"/>
  <c r="L152" i="1"/>
  <c r="F153" i="1"/>
  <c r="L153" i="1"/>
  <c r="F154" i="1"/>
  <c r="L154" i="1"/>
  <c r="F155" i="1"/>
  <c r="L155" i="1"/>
  <c r="F156" i="1"/>
  <c r="L156" i="1"/>
  <c r="F157" i="1"/>
  <c r="L157" i="1"/>
  <c r="F158" i="1"/>
  <c r="L158" i="1"/>
  <c r="L159" i="1"/>
  <c r="F160" i="1"/>
  <c r="L160" i="1"/>
  <c r="F161" i="1"/>
  <c r="L161" i="1"/>
  <c r="F162" i="1"/>
  <c r="L162" i="1"/>
  <c r="F163" i="1"/>
  <c r="L163" i="1"/>
  <c r="F164" i="1"/>
  <c r="L164" i="1"/>
  <c r="F165" i="1"/>
  <c r="L165" i="1"/>
  <c r="F166" i="1"/>
  <c r="L166" i="1"/>
  <c r="F167" i="1"/>
  <c r="L167" i="1"/>
  <c r="F168" i="1"/>
  <c r="L168" i="1"/>
  <c r="F169" i="1"/>
  <c r="L169" i="1"/>
  <c r="F170" i="1"/>
  <c r="L170" i="1"/>
  <c r="F171" i="1"/>
  <c r="L171" i="1"/>
  <c r="F172" i="1"/>
  <c r="L172" i="1"/>
  <c r="F173" i="1"/>
  <c r="L173" i="1"/>
  <c r="F174" i="1"/>
  <c r="L174" i="1"/>
  <c r="F175" i="1"/>
  <c r="L175" i="1"/>
  <c r="F176" i="1"/>
  <c r="L176" i="1"/>
  <c r="F177" i="1"/>
  <c r="L177" i="1"/>
  <c r="L178" i="1"/>
  <c r="F179" i="1"/>
  <c r="L179" i="1"/>
  <c r="F180" i="1"/>
  <c r="L180" i="1"/>
  <c r="F181" i="1"/>
  <c r="L181" i="1"/>
  <c r="F182" i="1"/>
  <c r="L182" i="1"/>
  <c r="F183" i="1"/>
  <c r="L183" i="1"/>
  <c r="L184" i="1"/>
  <c r="F185" i="1"/>
  <c r="L185" i="1"/>
  <c r="F186" i="1"/>
  <c r="L186" i="1"/>
  <c r="F187" i="1"/>
  <c r="L187" i="1"/>
  <c r="F188" i="1"/>
  <c r="L188" i="1"/>
  <c r="F189" i="1"/>
  <c r="L189" i="1"/>
  <c r="F190" i="1"/>
  <c r="L190" i="1"/>
  <c r="F191" i="1"/>
  <c r="L191" i="1"/>
  <c r="F192" i="1"/>
  <c r="L192" i="1"/>
  <c r="F193" i="1"/>
  <c r="L193" i="1"/>
  <c r="F194" i="1"/>
  <c r="L194" i="1"/>
  <c r="F195" i="1"/>
  <c r="L195" i="1"/>
  <c r="F196" i="1"/>
  <c r="L196" i="1"/>
  <c r="F197" i="1"/>
  <c r="L197" i="1"/>
  <c r="F198" i="1"/>
  <c r="L198" i="1"/>
  <c r="F199" i="1"/>
  <c r="L199" i="1"/>
  <c r="F200" i="1"/>
  <c r="L200" i="1"/>
  <c r="L201" i="1"/>
  <c r="F202" i="1"/>
  <c r="L202" i="1"/>
  <c r="F203" i="1"/>
  <c r="L203" i="1"/>
  <c r="F204" i="1"/>
  <c r="L204" i="1"/>
  <c r="F205" i="1"/>
  <c r="L205" i="1"/>
  <c r="F206" i="1"/>
  <c r="L206" i="1"/>
  <c r="F207" i="1"/>
  <c r="L207" i="1"/>
  <c r="F208" i="1"/>
  <c r="L208" i="1"/>
  <c r="L209" i="1"/>
  <c r="F210" i="1"/>
  <c r="L210" i="1"/>
  <c r="F211" i="1"/>
  <c r="L211" i="1"/>
  <c r="F212" i="1"/>
  <c r="L212" i="1"/>
  <c r="L213" i="1"/>
  <c r="F214" i="1"/>
  <c r="L214" i="1"/>
  <c r="F215" i="1"/>
  <c r="L215" i="1"/>
  <c r="F216" i="1"/>
  <c r="L216" i="1"/>
  <c r="F217" i="1"/>
  <c r="L217" i="1"/>
  <c r="F218" i="1"/>
  <c r="L218" i="1"/>
  <c r="F219" i="1"/>
  <c r="L219" i="1"/>
  <c r="F220" i="1"/>
  <c r="L220" i="1"/>
  <c r="F221" i="1"/>
  <c r="L221" i="1"/>
  <c r="L222" i="1"/>
  <c r="F223" i="1"/>
  <c r="L223" i="1"/>
  <c r="F224" i="1"/>
  <c r="L224" i="1"/>
  <c r="F225" i="1"/>
  <c r="L225" i="1"/>
  <c r="F226" i="1"/>
  <c r="L226" i="1"/>
  <c r="L227" i="1"/>
  <c r="F228" i="1"/>
  <c r="L228" i="1"/>
  <c r="F229" i="1"/>
  <c r="L229" i="1"/>
  <c r="L230" i="1"/>
  <c r="F231" i="1"/>
  <c r="L231" i="1"/>
  <c r="F232" i="1"/>
  <c r="L232" i="1"/>
  <c r="F233" i="1"/>
  <c r="L233" i="1"/>
  <c r="L234" i="1"/>
  <c r="F235" i="1"/>
  <c r="L235" i="1"/>
  <c r="F236" i="1"/>
  <c r="L236" i="1"/>
  <c r="F237" i="1"/>
  <c r="L237" i="1"/>
  <c r="F238" i="1"/>
  <c r="L238" i="1"/>
  <c r="F239" i="1"/>
  <c r="L239" i="1"/>
  <c r="F240" i="1"/>
  <c r="L240" i="1"/>
  <c r="F241" i="1"/>
  <c r="L241" i="1"/>
  <c r="F242" i="1"/>
  <c r="L242" i="1"/>
  <c r="F243" i="1"/>
  <c r="L243" i="1"/>
  <c r="F244" i="1"/>
  <c r="L244" i="1"/>
  <c r="F245" i="1"/>
  <c r="L245" i="1"/>
  <c r="F246" i="1"/>
  <c r="L246" i="1"/>
  <c r="F247" i="1"/>
  <c r="L247" i="1"/>
  <c r="F248" i="1"/>
  <c r="L248" i="1"/>
  <c r="F249" i="1"/>
  <c r="L249" i="1"/>
  <c r="F250" i="1"/>
  <c r="L250" i="1"/>
  <c r="F251" i="1"/>
  <c r="L251" i="1"/>
  <c r="F252" i="1"/>
  <c r="L252" i="1"/>
  <c r="F253" i="1"/>
  <c r="L253" i="1"/>
  <c r="F254" i="1"/>
  <c r="L254" i="1"/>
  <c r="F255" i="1"/>
  <c r="L255" i="1"/>
  <c r="F256" i="1"/>
  <c r="L256" i="1"/>
  <c r="F257" i="1"/>
  <c r="L257" i="1"/>
  <c r="F258" i="1"/>
  <c r="L258" i="1"/>
  <c r="F259" i="1"/>
  <c r="L259" i="1"/>
  <c r="F260" i="1"/>
  <c r="L260" i="1"/>
  <c r="F261" i="1"/>
  <c r="L261" i="1"/>
  <c r="F262" i="1"/>
  <c r="L262" i="1"/>
  <c r="F263" i="1"/>
  <c r="L263" i="1"/>
  <c r="F264" i="1"/>
  <c r="L264" i="1"/>
  <c r="F265" i="1"/>
  <c r="L265" i="1"/>
  <c r="F266" i="1"/>
  <c r="L266" i="1"/>
  <c r="F267" i="1"/>
  <c r="L267" i="1"/>
  <c r="F268" i="1"/>
  <c r="L268" i="1"/>
  <c r="F269" i="1"/>
  <c r="L269" i="1"/>
  <c r="F270" i="1"/>
  <c r="L270" i="1"/>
  <c r="F271" i="1"/>
  <c r="L271" i="1"/>
  <c r="F272" i="1"/>
  <c r="L272" i="1"/>
  <c r="F273" i="1"/>
  <c r="L273" i="1"/>
  <c r="F274" i="1"/>
  <c r="L274" i="1"/>
  <c r="F275" i="1"/>
  <c r="L275" i="1"/>
  <c r="F276" i="1"/>
  <c r="L276" i="1"/>
  <c r="F277" i="1"/>
  <c r="L277" i="1"/>
  <c r="F278" i="1"/>
  <c r="L278" i="1"/>
  <c r="F279" i="1"/>
  <c r="L279" i="1"/>
  <c r="F280" i="1"/>
  <c r="L280" i="1"/>
  <c r="F281" i="1"/>
  <c r="L281" i="1"/>
  <c r="F6" i="1"/>
  <c r="L6" i="1"/>
  <c r="B32" i="5"/>
  <c r="E11" i="5"/>
  <c r="E8" i="5"/>
  <c r="F27" i="5"/>
  <c r="C4" i="3"/>
  <c r="G22" i="3"/>
  <c r="G23" i="3"/>
  <c r="G24" i="3"/>
  <c r="G25" i="3"/>
  <c r="G26" i="3"/>
  <c r="G27" i="3"/>
  <c r="C38" i="3"/>
  <c r="C37" i="3"/>
  <c r="C36" i="3"/>
  <c r="C35" i="3"/>
  <c r="C32" i="3"/>
  <c r="D10" i="5"/>
  <c r="E10" i="5"/>
  <c r="E30" i="4"/>
  <c r="C3" i="5"/>
  <c r="D30" i="4"/>
  <c r="H30" i="4"/>
  <c r="H31" i="4"/>
  <c r="F30" i="4"/>
  <c r="F31" i="4"/>
  <c r="H4" i="4"/>
  <c r="D5" i="4"/>
  <c r="H5" i="4"/>
  <c r="D6" i="4"/>
  <c r="D7" i="4"/>
  <c r="H7" i="4"/>
  <c r="D8" i="4"/>
  <c r="H8" i="4"/>
  <c r="D9" i="4"/>
  <c r="H9" i="4"/>
  <c r="D10" i="4"/>
  <c r="H10" i="4"/>
  <c r="D19" i="4"/>
  <c r="H19" i="4"/>
  <c r="D20" i="4"/>
  <c r="D24" i="4"/>
  <c r="H24" i="4"/>
  <c r="H25" i="4"/>
  <c r="F4" i="4"/>
  <c r="F5" i="4"/>
  <c r="F7" i="4"/>
  <c r="F8" i="4"/>
  <c r="F9" i="4"/>
  <c r="F10" i="4"/>
  <c r="D11" i="4"/>
  <c r="F11" i="4"/>
  <c r="D12" i="4"/>
  <c r="F12" i="4"/>
  <c r="D13" i="4"/>
  <c r="F13" i="4"/>
  <c r="D14" i="4"/>
  <c r="F14" i="4"/>
  <c r="D15" i="4"/>
  <c r="F16" i="4"/>
  <c r="F19" i="4"/>
  <c r="D21" i="4"/>
  <c r="E21" i="4"/>
  <c r="F24" i="4"/>
  <c r="F25" i="4"/>
  <c r="C26" i="4"/>
  <c r="D26" i="4"/>
  <c r="F26" i="4"/>
  <c r="A20" i="4"/>
  <c r="A21" i="4"/>
  <c r="A4" i="4"/>
  <c r="A5" i="4"/>
  <c r="A6" i="4"/>
  <c r="A7" i="4"/>
  <c r="A8" i="4"/>
  <c r="A9" i="4"/>
  <c r="A10" i="4"/>
  <c r="A11" i="4"/>
  <c r="A12" i="4"/>
  <c r="A13" i="4"/>
  <c r="A15" i="4"/>
  <c r="F30" i="5"/>
  <c r="C4" i="5"/>
  <c r="E4" i="5"/>
  <c r="C5" i="5"/>
  <c r="E5" i="5"/>
  <c r="E7" i="5"/>
  <c r="F17" i="5"/>
  <c r="F18" i="5"/>
  <c r="F19" i="5"/>
  <c r="F20" i="5"/>
  <c r="F21" i="5"/>
  <c r="F23" i="5"/>
  <c r="F24" i="5"/>
  <c r="F26" i="5"/>
  <c r="F22" i="5"/>
  <c r="C10" i="5"/>
  <c r="F66" i="2"/>
  <c r="F69" i="2"/>
  <c r="B65" i="2"/>
  <c r="E61" i="2"/>
  <c r="F61" i="2"/>
  <c r="F62" i="2"/>
  <c r="F64" i="2"/>
  <c r="B60" i="2"/>
  <c r="F56" i="2"/>
  <c r="F59" i="2"/>
  <c r="B55" i="2"/>
  <c r="F51" i="2"/>
  <c r="F54" i="2"/>
  <c r="B50" i="2"/>
  <c r="F46" i="2"/>
  <c r="F49" i="2"/>
  <c r="B45" i="2"/>
  <c r="D41" i="2"/>
  <c r="E41" i="2"/>
  <c r="F41" i="2"/>
  <c r="E42" i="2"/>
  <c r="F42" i="2"/>
  <c r="F43" i="2"/>
  <c r="F44" i="2"/>
  <c r="D36" i="2"/>
  <c r="F36" i="2"/>
  <c r="E37" i="2"/>
  <c r="F37" i="2"/>
  <c r="F38" i="2"/>
  <c r="F39" i="2"/>
  <c r="L37" i="2"/>
  <c r="J37" i="2"/>
  <c r="K37" i="2"/>
  <c r="B34" i="2"/>
  <c r="F30" i="2"/>
  <c r="F32" i="2"/>
  <c r="F33" i="2"/>
  <c r="I30" i="2"/>
  <c r="B28" i="2"/>
  <c r="E22" i="2"/>
  <c r="F22" i="2"/>
  <c r="H22" i="2"/>
  <c r="I22" i="2"/>
  <c r="J22" i="2"/>
  <c r="L22" i="2"/>
  <c r="D23" i="2"/>
  <c r="F23" i="2"/>
  <c r="F24" i="2"/>
  <c r="E25" i="2"/>
  <c r="F25" i="2"/>
  <c r="F27" i="2"/>
  <c r="J23" i="2"/>
  <c r="B20" i="2"/>
  <c r="F17" i="2"/>
  <c r="F18" i="2"/>
  <c r="F19" i="2"/>
  <c r="B16" i="2"/>
  <c r="A11" i="2"/>
  <c r="A16" i="2"/>
  <c r="F12" i="2"/>
  <c r="F13" i="2"/>
  <c r="F14" i="2"/>
  <c r="F15" i="2"/>
  <c r="B11" i="2"/>
  <c r="E7" i="2"/>
  <c r="F7" i="2"/>
  <c r="F8" i="2"/>
  <c r="F9" i="2"/>
  <c r="F10" i="2"/>
  <c r="B6" i="2"/>
  <c r="K7" i="1"/>
  <c r="K8" i="1"/>
  <c r="K9" i="1"/>
  <c r="K10" i="1"/>
  <c r="K11" i="1"/>
  <c r="K12" i="1"/>
  <c r="K13" i="1"/>
  <c r="K14" i="1"/>
  <c r="K15" i="1"/>
  <c r="K16" i="1"/>
  <c r="K17" i="1"/>
  <c r="K18" i="1"/>
  <c r="K19" i="1"/>
  <c r="K20" i="1"/>
  <c r="K21" i="1"/>
  <c r="K22" i="1"/>
  <c r="K23" i="1"/>
  <c r="K25" i="1"/>
  <c r="K26" i="1"/>
  <c r="K27" i="1"/>
  <c r="K28" i="1"/>
  <c r="K29" i="1"/>
  <c r="K30" i="1"/>
  <c r="K31" i="1"/>
  <c r="K32" i="1"/>
  <c r="K33" i="1"/>
  <c r="K34" i="1"/>
  <c r="K35" i="1"/>
  <c r="K36" i="1"/>
  <c r="K37" i="1"/>
  <c r="K38"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6" i="1"/>
  <c r="F3" i="1"/>
  <c r="F282" i="1"/>
  <c r="I3" i="1"/>
</calcChain>
</file>

<file path=xl/sharedStrings.xml><?xml version="1.0" encoding="utf-8"?>
<sst xmlns="http://schemas.openxmlformats.org/spreadsheetml/2006/main" count="758" uniqueCount="436">
  <si>
    <t>Item Description</t>
  </si>
  <si>
    <t>Quantity</t>
  </si>
  <si>
    <t>Units</t>
  </si>
  <si>
    <t>Cum</t>
  </si>
  <si>
    <t>Sqm</t>
  </si>
  <si>
    <t>Deduct for not using 20 mm thick cement mortar 1:4 (1 cement : 4 coarse sand) bedding in laying of floor tiles and jointing with grey cement slurry @ 3.3 kg/ sqm</t>
  </si>
  <si>
    <t>Name of Work- Re-configuration of Existing Terminal Building at Surat Airport.</t>
  </si>
  <si>
    <t>Providing and laying in position cement concrete of specified grade excluding the cost of centering and shuttering - All work up to plinth level 1:2:4 (1 cement : 2 coarse sand (zone-III) derived from natural sources : 4 graded stone aggregate 20 mm nominal size derived from natural sources)</t>
  </si>
  <si>
    <t>kg</t>
  </si>
  <si>
    <t>Kg</t>
  </si>
  <si>
    <t>Fixing glazed/ Ceramic/ Vitrified floor tiles with cement based high polymer modified quick-set tile adhesive (Water based) conforming to IS: 15477, in average 3mm thickness.</t>
  </si>
  <si>
    <t>TOTAL AMOUNT</t>
  </si>
  <si>
    <t xml:space="preserve">                  Sr. No.
</t>
  </si>
  <si>
    <t>Providing and laying Vitrified tiles in different sizes (thickness to be specified by the manufacturer), with water absorption less than 0.08% and conforming to IS: 15622, of approved brand &amp; manufacturer,  in all colours and shade, in shining, riser of steps, laid with cement based high polymer  modified quick  set tile adhesive (water based) conforming to IS: 15477, in average 6 mm thickness, induding grouting of joints (Payment for grouting of joints to be made separately). Size of Tile 600x600 mm</t>
  </si>
  <si>
    <t>Dismantling steel work manually/ by mechanical means in built up sections without dismembering and stacking within 50 metres lead as per direction of Engineer-in-charge.</t>
  </si>
  <si>
    <t>Dismantling tile work in floors and roofs laid in cement mortar including stacking material within 50 metres lead. For thickness of tiles 10 mm to 25 mm</t>
  </si>
  <si>
    <t>(a) For fixed ponion .Anodised aluminium (anodised transparent or dyed to required shade according to IS: 1868, Minimum anodic coating of grade AC 15)</t>
  </si>
  <si>
    <t>Applying  and  Providing  50mm  wide  X  1.40mm  Thick  carbon  fibre  laminate  system  -sika  carbodure  S514  alongwith  suitable  adhesive  like  Sikadur  30LP  including  cost  of grinding.levelling at required surfaces,materiaI,Iabour,tools &amp; tackles etc. including necessary dismentaling works like masonary,pIaster &amp; wooden/ Aluminium panions etc.</t>
  </si>
  <si>
    <t>(a) Local art like Lipan art or silimar etc.</t>
  </si>
  <si>
    <t>(b) Local art like varli art etc</t>
  </si>
  <si>
    <t>SQM</t>
  </si>
  <si>
    <t>(c)  Local an like pithora art etc</t>
  </si>
  <si>
    <t>(d) Local Furniture (decorative chairs, table, teapoy etc) shankheda Furniture or equivalent.  One set of Furniture includes  10 Two seater sofa, 30 One seater, 10 Center Tables</t>
  </si>
  <si>
    <t>Set</t>
  </si>
  <si>
    <t>(e ) Provision on 3d murals defeating local an projection at different places inTerminal Building as per requirement and directions of Engineer In Charge.</t>
  </si>
  <si>
    <t>Wiring for light point/ fan point/ exhaust fan point/ call bell point with 1.5 sq.mm FRLS PVC insulated copper conductor  single core cable in surface / recessed steel conduit, with modular switch, modular plate, suitable GI box and earthing the point with 1.5 sq.mm FRLS PVC insulated copper conductor single core cable etc. as required</t>
  </si>
  <si>
    <t>Group C</t>
  </si>
  <si>
    <t>Point</t>
  </si>
  <si>
    <t>Wiring for group controlled (looped) light point/fan point/exhaust fan point/ call bell point (without independent  switch etc.) with 1.5 sq. mm FRLS PVC insulated copper conductor single core cable in surface/ recessed steel conduit, and eanhing the point with 1.5 sq. mm FRLS PVC insulated copper conductor single core cable etc. as required. Group C</t>
  </si>
  <si>
    <t>Each</t>
  </si>
  <si>
    <t>4 way (4+12), Double door</t>
  </si>
  <si>
    <t>8 way (4+24), Double door</t>
  </si>
  <si>
    <t>8 way (2+4), Double door</t>
  </si>
  <si>
    <t>40 A</t>
  </si>
  <si>
    <t>63 A</t>
  </si>
  <si>
    <t>For 4 way, Double door TPN MCBDB</t>
  </si>
  <si>
    <t>For 8 way, Double door TPN MCBDB</t>
  </si>
  <si>
    <t>For 8 way, Double door SPN MCBDB</t>
  </si>
  <si>
    <t>Supplying and fixing following modular switch/ socket on the existing modular plate &amp; switch box including connections but excluding modular plate etc. as required.</t>
  </si>
  <si>
    <t>5/6 amps switch</t>
  </si>
  <si>
    <t>3 pin 5/6 amp socket outlet</t>
  </si>
  <si>
    <t>15/16 amp switch</t>
  </si>
  <si>
    <t>6 pin 15/16 amp socket outlet</t>
  </si>
  <si>
    <t>Laying of one number PVC insulated and PVC sheathed / XLPE power cable of 1.1 kV grade of following size in the existing RCC/ HUME/ METAL pipe as required.</t>
  </si>
  <si>
    <t>Laying of one number PVC insulated and PVC sheathed / XLPE power cable of 1.1 kV grade of following size in the existing masonry open duct as required.</t>
  </si>
  <si>
    <t>Laying and fixing of one number PVC insulated and PVC sheathed / XLPE power cable of 1.1 kV grade of following size on cable tray as required.</t>
  </si>
  <si>
    <t>Upto 35 sq. mm (clamped with 1mm thick saddle)</t>
  </si>
  <si>
    <t>Supply of 450 mm hi-speed  Wall fan with other accessories, etc as required.</t>
  </si>
  <si>
    <t>3.5 X 25 sq. mm (28 mm)</t>
  </si>
  <si>
    <t>4x10 sq. mm (25 mm)</t>
  </si>
  <si>
    <t>Laying of3Cx 1.5 sqmm  PVC insulated 1.1 KV Copper Conductor (flexible) industrial cable in existing conduit complete as required.</t>
  </si>
  <si>
    <t>Supply of 20 W LED (4 ft.) Baton integrated light fitting complete as required.Make &amp; model equivalent to Philips SP780 H LED25S-6500  PSD W5L112 OD WH</t>
  </si>
  <si>
    <t>Width up to 2.00 mtrs x Height up to 3.00 mtrs</t>
  </si>
  <si>
    <t>Job</t>
  </si>
  <si>
    <t>Message 1</t>
  </si>
  <si>
    <t>Message 2</t>
  </si>
  <si>
    <t>Message 3</t>
  </si>
  <si>
    <t>Message 4</t>
  </si>
  <si>
    <t>Message 5</t>
  </si>
  <si>
    <t>Message S</t>
  </si>
  <si>
    <t>Wall  Projected  Facility  Announcer  2.2b-S,  2.2b-G  -:  Providing   and   fixing   illuminated   signs   induding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Airport contractor at the site. The actual structural design of the sign for its stability shall be responsibility of the EPC contactor. Accessories: Providing  and  fixing  all  accessories  such as thimbles, end connectors, nut-inserts, screws , rivets,  bolts, washers, nuts, etc. complete as per drawing.</t>
  </si>
  <si>
    <t>Wall  Projected  (Double  Side  -  Sign  face  in acrylic)</t>
  </si>
  <si>
    <t>Wall mounted (Single side content - Sign Face: acrylic, and Back: 3mm ACP)</t>
  </si>
  <si>
    <t>Ceiling  mount  (Double  Side  -  Sign  face  in acrylic)</t>
  </si>
  <si>
    <t>AHU-01 (17500 CFM)</t>
  </si>
  <si>
    <t>Nos</t>
  </si>
  <si>
    <t>AHU-02 (23500 CFM)</t>
  </si>
  <si>
    <t>AHU-04 ( 10000 CFM)</t>
  </si>
  <si>
    <t>AHU-05 (18000 CFM)</t>
  </si>
  <si>
    <t>AHU-06 (22500 CFM)</t>
  </si>
  <si>
    <t>AHU-08 (13700 CFM)</t>
  </si>
  <si>
    <t>Treated Fresh Units</t>
  </si>
  <si>
    <t>EXHAUST FAN - 1000 CFM</t>
  </si>
  <si>
    <t>EXHAUST FAN - 1500 CFM</t>
  </si>
  <si>
    <t>1- 400 mm (24G)</t>
  </si>
  <si>
    <t>401-900 mm (22G)</t>
  </si>
  <si>
    <t>901-1200 mm (20G)</t>
  </si>
  <si>
    <t>1201-2100 mm (18 G)</t>
  </si>
  <si>
    <t>Supply Air Grilles</t>
  </si>
  <si>
    <t>Exhaust Air Grilles</t>
  </si>
  <si>
    <t>SITC of Jet Nozzle of different CFM</t>
  </si>
  <si>
    <t>Supply, installation, testing and commissioning of Actuators 15Nm Torque with control wiring.</t>
  </si>
  <si>
    <t>Nitrile Rubber - 19 mm thick for Supply air duct  (Conditioned areaj</t>
  </si>
  <si>
    <t>Nitrile Rubber - 25 mm thick for Supply air duct - Non conditioned area</t>
  </si>
  <si>
    <t>Liters</t>
  </si>
  <si>
    <t>100 MM  DIA. (32 mm Nitrile Rubber GC insulation)</t>
  </si>
  <si>
    <t>Rmt</t>
  </si>
  <si>
    <t>80 MM DIA. (25 mm Nitrile Rubber GS insulation)</t>
  </si>
  <si>
    <t>100 MM DIA.</t>
  </si>
  <si>
    <t>80 MM DIA.</t>
  </si>
  <si>
    <t>Nos.</t>
  </si>
  <si>
    <t>Providing  &amp; Fixing in position of Globe type 2 Way Pressure Independent Dynamic Balancing Valves, self balancing, pressure independent, 2-way control valve with 100°/  authority on the control valve. For 15 to 32 mm Brass body Diff Pressure (P1-P3) -16 To 400 kPa, For 40 to 150 mm Grey iron body Diff Pressure (P1-P3)- 30 To 400 kPa .Ihe valve should be equipped with an electronic modulating actuator which can accept  either 4(0)-20 mA / 2(0)-10 V DC signals. Operating voltage for actuator shall be 24V  AC/ 50Hz. The actuator shall be able to close against maximum differential pressure of 6 Bar. Actuator body shall be of non-corrosive and shall be rated with IP42 or Higher. System shall be complete in accordance with AAI technical specifications.</t>
  </si>
  <si>
    <t>100 MM  DIA.</t>
  </si>
  <si>
    <t>40 mm Dia.</t>
  </si>
  <si>
    <t>25mm Dia.</t>
  </si>
  <si>
    <t>Providing and fixing in position Test Points to facilitate on-line pressure &amp; temperature measurement on pipes for chilled water line as per AAI technical specifications.</t>
  </si>
  <si>
    <t>Dismentling of Round AC Ducting from existing terminal Building and shifiting of dismentled material to the AAI specified location/ store at airport (upto 500 mtrs)</t>
  </si>
  <si>
    <t>25 mm dia</t>
  </si>
  <si>
    <t>Meter</t>
  </si>
  <si>
    <t>32 mm dia</t>
  </si>
  <si>
    <t>40 mm dia</t>
  </si>
  <si>
    <t>50mmdia</t>
  </si>
  <si>
    <t>65 mm dia</t>
  </si>
  <si>
    <t>80mmdia</t>
  </si>
  <si>
    <t>100 mm dia</t>
  </si>
  <si>
    <t>150mmdia</t>
  </si>
  <si>
    <t>200 mm dia (Wall thickness 6.3 mm)</t>
  </si>
  <si>
    <t>250 mm dia (Wall thickness 6.3 mm)</t>
  </si>
  <si>
    <t>300 mm dia (Wall thickness 7.1mm)</t>
  </si>
  <si>
    <t>Providing &amp; fixing of MS Hose cabinet outdoor type of size 0.90 M x 0.60 M x 0.50 M made of 2mm thick Ms sheet with 6mm thick glazed glass doors i/c necessary locking arrangement suitable to accomodate 2nos 15m long hose pipes, one no branch pipe, etc. and mounted on wall or with raised brick platform. The cabinet shall be painted with post office red colour shade No. 536 of IS: 5 externally &amp; white internally with synthetic enamel paint complete in all respects for external hydrant as required and as per enclosed specifications.</t>
  </si>
  <si>
    <t>150 mm dia</t>
  </si>
  <si>
    <t>200 mm dia</t>
  </si>
  <si>
    <t>250 mm dia</t>
  </si>
  <si>
    <t>300 mm dia</t>
  </si>
  <si>
    <t>Providing, installation, testing and commissioning of non-return valve of following sizes confirming to IS:5312 complete with rubber gasket, GI bolts, nuts, washers etc as required :</t>
  </si>
  <si>
    <t>80 mm dia</t>
  </si>
  <si>
    <t>Providing, fixing, testing &amp; commissioning of 15 mm dia quartzoid bulb type sprinklers of rating 68 degree centigrade with required accessories:</t>
  </si>
  <si>
    <t>Pendent Sprinkler</t>
  </si>
  <si>
    <t>Upright Sprinkler</t>
  </si>
  <si>
    <t>Horizontal side wall sprinkler</t>
  </si>
  <si>
    <t>Providing and fixing of pressure switch in M.S. pipe line including connection etc. as  required.</t>
  </si>
  <si>
    <t>Providing and fixing flow switch in following sizes M.S. pipe including connection etc. as required.</t>
  </si>
  <si>
    <t>700 mm</t>
  </si>
  <si>
    <t>1000 mm</t>
  </si>
  <si>
    <t>1200 mm</t>
  </si>
  <si>
    <t>1500 mm</t>
  </si>
  <si>
    <t>Providing, Installation, testing &amp; commissioning of adjustable rosette plate for 15mm dia in white finish UL Listed or FM approved complete as required.</t>
  </si>
  <si>
    <t>Supplying, installation, testing &amp; commissioning of central graphical fire alarm management system to centrally monitor and operate the fire alarm system complete as required.</t>
  </si>
  <si>
    <t>Supplying, installation, testing &amp; commissioning of intelligent analog addressable photothermal detector complete with mounting base complete as required.</t>
  </si>
  <si>
    <t>Supplying, installation, testing &amp; commissioning of Smoke Detector with Build-in LED and mounting base complete with all connections etc as required.</t>
  </si>
  <si>
    <t>Supplying, installation, testing &amp; commissioning of response indicator on surface / recessed MS Box having two LED, metalic cover complete with all connections etc as required.</t>
  </si>
  <si>
    <t>Supplying, installation, testing &amp; commissioning of intelligent addressable programmable  sounder complete as required.</t>
  </si>
  <si>
    <t>Supplying, installation, testing &amp; commissioning of fault isolator complete with base as required.</t>
  </si>
  <si>
    <t>Supplying, installation, testing &amp; commissioning of intelligent aspiration detector for area coverage of minimum 5000 sq.ft. complete as required.</t>
  </si>
  <si>
    <t>Supplying, installation, testing &amp; commissioning of addressable fire control module complete as required.</t>
  </si>
  <si>
    <t>Supplying, installation, testing &amp; commissioning of intelligent addressable duct detector induding suitable Photo detector complete with base as required.</t>
  </si>
  <si>
    <t>Supplying, installation, testing &amp; commissioning of addressable manual call point complete as required.</t>
  </si>
  <si>
    <t>Supplying, installation, testing &amp; commissioning of addressable horn cum strobe complete as required.</t>
  </si>
  <si>
    <t>Supplying, installation, testing &amp; commissioning of fire fighter telephone handset complete as required.</t>
  </si>
  <si>
    <t>Supplying, installation, testing &amp; commissioning of  fire fighter phone jack complete as required.</t>
  </si>
  <si>
    <t>Supplying, installation, testing &amp; commissioning of  1.5/3/6W ceiling speaker complete as required.</t>
  </si>
  <si>
    <t>Supplying, installation, testing &amp; commissioning of  1.5/3/6W metal box ceiling / wall speakers  complete as required.</t>
  </si>
  <si>
    <t>Supplying, installation, testing &amp; commissioning of  ceiling / wall mounted loud speaker, 3/1.5 watt in ABS enclosure   complete as required.</t>
  </si>
  <si>
    <t>Supplying, installation, testing &amp; commissioning of  6 inches dia, 2 watts,70/100 volts ceiling speaker complete as required.</t>
  </si>
  <si>
    <t>Supplying, installation, testing &amp; commissioning of digital audio amplifier 50 watt, 25V rms operating at 240 volt AC supply complete as required.</t>
  </si>
  <si>
    <t>Supplying, installation, testing &amp; commissioning of digital audio amplifier 75 watt, 25V rms operating at 240 volt AC supply complete as required.</t>
  </si>
  <si>
    <t>Supplying, installation, testing &amp; commissioning of voice command keypad 6 zone, with microphone assembly complete as required.</t>
  </si>
  <si>
    <t>Speaker cable single pair, 2-core, 1.5 sqmm</t>
  </si>
  <si>
    <t>Speaker cable Two pair, 2-core, 1.5 sqmm</t>
  </si>
  <si>
    <t>Speaker cable Three pair, 2-core, 1.5 sqmm</t>
  </si>
  <si>
    <t>Speaker cable Four pair, 2-core, 1.5 sqmm</t>
  </si>
  <si>
    <t>Supplying &amp; laying of 25mm dia MS flexible pipe with PVC coating along with all accessories like coupler etc. as required.</t>
  </si>
  <si>
    <t>Providing and Laying of width 500 mm Steel Perforated Cable Tray , 7mm thickness complete as per Direction of Engineer In-charge</t>
  </si>
  <si>
    <t>Providing and installation of Junction box (400”400mm) complete as per Direction of Engineer In-charge</t>
  </si>
  <si>
    <t>Providing and laying of PVC pipe in cable tray(2.5 inch) Complete as per Direction of Engineer In-charge</t>
  </si>
  <si>
    <t>Removing of existing flooring  and Refixing of Granite by new granite stone with cement mortar complete as per Direction of Engineer In-charge</t>
  </si>
  <si>
    <r>
      <rPr>
        <sz val="12"/>
        <rFont val="Calibri"/>
        <family val="2"/>
        <scheme val="minor"/>
      </rPr>
      <t>Providing and fixing on wall face unplasticised Rigid PVC rain water pipes conforming to IS : 13592 Type A, including jointing with seal ring conforming to IS : 5382, leaving 10 mm
gap for thermal expansion, (i) Single socketed pipes.
a) 110 mm diameter</t>
    </r>
  </si>
  <si>
    <r>
      <rPr>
        <sz val="12"/>
        <rFont val="Calibri"/>
        <family val="2"/>
        <scheme val="minor"/>
      </rPr>
      <t>Demolishing cement concrete manually/ by mechanical means including disposal of material within 50 metres lead as per direction of Engineer - in - charge
a) Nominal concrete 1:3:6 or richer mix (including equivalent design mix)</t>
    </r>
  </si>
  <si>
    <r>
      <rPr>
        <sz val="12"/>
        <rFont val="Calibri"/>
        <family val="2"/>
        <scheme val="minor"/>
      </rPr>
      <t>Providing  and fixing aluminium  work for doors, windows,  ventilators and partitions  with extruded built up standard tubular  sections/  appropriate  Z sections  and other  sections  of approved make conforming to IS: 733 and IS: 1285, fixing with dash fasteners of required dia and size, induding
necessary filling up the gaps at junctions, i.e. at top, bottom and sides with required EPDM rubber/ neoprene gasket etc. Aluminium sections shall be smooth, rust free, straight, mitred and jointed mechanically  wherever required including deat angle, Aluminium snap beading for glazing / panelling, C.P. brass / stainless steel screws, all complete as per architectural drawings and the directions of Engineer-in-charge. (Glazing, paneling and dash fasteners  to be paid for separately)</t>
    </r>
  </si>
  <si>
    <r>
      <rPr>
        <sz val="12"/>
        <rFont val="Calibri"/>
        <family val="2"/>
        <scheme val="minor"/>
      </rPr>
      <t>Providing  and fixing  12mm Thick  Toughen Glass Partition  with all screws,  accessories  as per  direction  of Engineer-in-charge. The cost of  SS  support  members  shall  be paid
seperately.</t>
    </r>
  </si>
  <si>
    <r>
      <rPr>
        <sz val="12"/>
        <rFont val="Calibri"/>
        <family val="2"/>
        <scheme val="minor"/>
      </rPr>
      <t>Supply  and  apply  a  carbon  fiber  wrapping  work  stitched  one  directionaI,high  strength  CFRP  fabric  as  per  specification  product  sikewrap-230c  or  equiv.  along  with  solvent free,thixotropic  epoxy  based impregnating  resin/adhesive for low  density   fabric  for base  and  top  coat.sikadur-330.induding  grinding  &amp; rounding  of  concrete  surface  including
application of adhesive &amp; fabric,labour,tools &amp;tackIes with material.</t>
    </r>
  </si>
  <si>
    <r>
      <rPr>
        <sz val="12"/>
        <rFont val="Calibri"/>
        <family val="2"/>
        <scheme val="minor"/>
      </rPr>
      <t>Supplying and fixing 20 A, 240 V, SPN Industrial type socket outlet, with 2 pole and earth, metal enclosed plug top alongwith 20 A, “C” curve, SP, MCB, in sheet steel enclosure, on
surface or in recess, with chained metal cover for the socket out let and complete with connections, testing and commissioning etc. as required.</t>
    </r>
  </si>
  <si>
    <r>
      <rPr>
        <sz val="12"/>
        <rFont val="Calibri"/>
        <family val="2"/>
        <scheme val="minor"/>
      </rPr>
      <t xml:space="preserve">Upto 35 sq. </t>
    </r>
    <r>
      <rPr>
        <i/>
        <sz val="12"/>
        <rFont val="Calibri"/>
        <family val="2"/>
        <scheme val="minor"/>
      </rPr>
      <t>mm</t>
    </r>
  </si>
  <si>
    <r>
      <rPr>
        <sz val="12"/>
        <rFont val="Calibri"/>
        <family val="2"/>
        <scheme val="minor"/>
      </rPr>
      <t>Supply &amp; Fixing of stainless steel  wall mounting fully automatic Hand Dryer  having air speed of 95 Mls 25000 RPM, less then 20 sec. dry time, SSOW suitable for 230V, 50Hz, less
then 80DB noise level complete as required .</t>
    </r>
  </si>
  <si>
    <r>
      <rPr>
        <sz val="12"/>
        <rFont val="Calibri"/>
        <family val="2"/>
        <scheme val="minor"/>
      </rPr>
      <t>Supply  of sizes 3 core 1.5 sqmm of PVC insulated  and PVC  Round Sheathed,  Copper Conductor (flexible)  industrial cable, 1100 Volts, conforming  to IS: 694 etc complete as
required.</t>
    </r>
  </si>
  <si>
    <r>
      <rPr>
        <sz val="12"/>
        <rFont val="Calibri"/>
        <family val="2"/>
        <scheme val="minor"/>
      </rPr>
      <t>Supply of 15 watt LED downlighter  fixture complete  with electronic driver,  lockable holders and including connection etc. as required.Make  &amp; model equivalent to Philips DN296B
LED15S-6500 PSU WH.</t>
    </r>
  </si>
  <si>
    <r>
      <rPr>
        <sz val="12"/>
        <rFont val="Calibri"/>
        <family val="2"/>
        <scheme val="minor"/>
      </rPr>
      <t>Utility  Signs -  Washroom  / Drinking  Water  / Baby  care -2.4a-S,  2.4a-G: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Airpon contractor at the site.</t>
    </r>
  </si>
  <si>
    <r>
      <rPr>
        <b/>
        <sz val="12"/>
        <rFont val="Calibri"/>
        <family val="2"/>
        <scheme val="minor"/>
      </rPr>
      <t xml:space="preserve">B.) VENTILATION SYSTEM
</t>
    </r>
    <r>
      <rPr>
        <sz val="12"/>
        <rFont val="Calibri"/>
        <family val="2"/>
        <scheme val="minor"/>
      </rPr>
      <t>PROPELLER FAN
Supply, installation, testing and commissioning  of Insulated Cabinet Inline Fan shall be of high efficiency forward curved DIDW type. The cabinet of the fan shall be of double skin construction with 20 gauge GI outer skin with 25 mm glass wool wrapped tissue paper and covered with 20 gauge perforated GI sheet from inside and complete with inlet and outlet spigots. The scroll of the fans should be fabricated with galvanized sheet steel. The motor of the fans shall be Squirrel cage induction type with bearings swealed for life. The motor shall be energy efficient  suitable for single phase electrical  supply. The Mounting brackets and access panel should be fitted. All fans shall be selected for the lowest operating noise level. Unit shall be complete and comply as per AAI technical specifications.</t>
    </r>
  </si>
  <si>
    <r>
      <rPr>
        <sz val="12"/>
        <rFont val="Calibri"/>
        <family val="2"/>
        <scheme val="minor"/>
      </rPr>
      <t>CANVASS CONNECTION
Supply, fabrication, installation and testing of fire retarding flexible heavy canvas sleeve at least 10cm long securely bonded and bolted on both sides for AHUs, CAHUs,Fans etc. Quoted  rates  shall  indude  the necessary  mounting  arrangement,  flanges,  nuts  and bolts  and  treated-for-fire  requisite  length  of  canvass  cloth.  System  shall  be  complete  in</t>
    </r>
  </si>
  <si>
    <r>
      <rPr>
        <sz val="12"/>
        <rFont val="Calibri"/>
        <family val="2"/>
        <scheme val="minor"/>
      </rPr>
      <t>SITC of Supply and Exhaust Air grilles
Supply, installation, testing and balancing of powder coated Extruded Aluminium construction Supply Air Grilles with removable key operated volume control dampers shall be of double deflection type. The outer frame shall be made of aluminium. All grilles shall have a soft, continuous rubber gasket beMeen the periphery of the grille and the surface on which it has to be mounted. Grille shall be given a rust inhibiting prime coat and factory applied powder coated finish of approved colour. System shall be in compliance  with AAI technical specifications.</t>
    </r>
  </si>
  <si>
    <r>
      <rPr>
        <sz val="12"/>
        <rFont val="Calibri"/>
        <family val="2"/>
        <scheme val="minor"/>
      </rPr>
      <t xml:space="preserve">MOTORIZED FIRE &amp; SMOKE </t>
    </r>
    <r>
      <rPr>
        <b/>
        <sz val="12"/>
        <rFont val="Calibri"/>
        <family val="2"/>
        <scheme val="minor"/>
      </rPr>
      <t xml:space="preserve">DAMPER (ON </t>
    </r>
    <r>
      <rPr>
        <sz val="12"/>
        <rFont val="Calibri"/>
        <family val="2"/>
        <scheme val="minor"/>
      </rPr>
      <t>/OFF TYPE)
Supply, installation, testing and commissioning  of Motorized fire &amp; Smoke Damper shall have fire rating of 1.5 Hrs in accordance with latest edition of UL555 and shall be dassified as Leakage Class 1 smoke damper in accordance with latest edition of ULSSSS. Each fire/smoke  damper  shall be AMCA licensed and bear the AMCA seal for air Performance. Actuators used shall be UL listed. Damper  shall be of multi-leaf  type and provided  with Spring Return electrical  actuator having its own thermal trip for ambient air temperature outside the duct and air temperature inside the duct. Actuator  shall have Form fit type of mounting,  metal endosure  and guaranteed long life span. The dampers shall meet the requirements  of  NFPA90A,  92A and 92B.  Bigger  size  Dampers  shall  be  supplied  in Multiple  modules  of  sizes not  exceeding  in dimensions  of  certified  module,  jack  shafted together. Multiple actuators shall be provided for large dampers with higher torque requirements  as prescribed in UL. Electric Actuator of suitable Torque and as approved by UL shall be factory mounted  and tested. The actuator shall be suitable for 230V AC supply. In addition actuator shall have elevated temperature  rating of 350 deg.F. Fire retardant cables wherever required for satisfactory  operation and control of the Damper. Fire/smoke  damper  shall be provided with factory fitted sleeves; however, access doors shall be provided  in the  ducts  within  AHU room.  The  necessary  additional  spare  actuators   and  temperature  sensor  (a  minimum  of  5%  of  the  total  number  installed)  at  the  time  of commissioning of the installation. Dampers shall be spring return, motorized &amp; failsafe type with indication for open/ close position.
Damper  operation  shall  be interlocked  with the signal  from fire alarm panel. Fire dampers  shall be compatible  with the fire detection  system of building &amp; shall be capable  of operating automatically through an electric motor on receiving signal from fire alarm panel. (v) Access door will be provided in the duct before each set of fire dampers.
(vi) Potential free contact shall be provided by the vendor for closing of fire &amp; smoke damper. On expiry of fire signal, fire &amp; smoke dampers shall be opened manually through reset button.System shall be complete in accordance with AAI technical specifications.</t>
    </r>
  </si>
  <si>
    <r>
      <rPr>
        <sz val="12"/>
        <rFont val="Calibri"/>
        <family val="2"/>
        <scheme val="minor"/>
      </rPr>
      <t xml:space="preserve">VOLUME CONTROL DAMPERS
Supply, installation, testing and balancing of opposed blade volume control dampers shall be of Galvanised iron construction with louver dampers of robust construction and tightly fitted. The sheet thickness of blade shall be 0.8 mm and of the frame shall be 1.0 </t>
    </r>
    <r>
      <rPr>
        <i/>
        <sz val="12"/>
        <rFont val="Calibri"/>
        <family val="2"/>
        <scheme val="minor"/>
      </rPr>
      <t xml:space="preserve">mm. </t>
    </r>
    <r>
      <rPr>
        <sz val="12"/>
        <rFont val="Calibri"/>
        <family val="2"/>
        <scheme val="minor"/>
      </rPr>
      <t>Dampers shall be provided with suitable links, levers and quadrants  as required for their proper operation; control or setting devices shall be made robust, easily operable and accessible  through suitable access doors in the ducts. Volume control Damper  (opposed bladed type with min. 18 gauge blades and 18 gauge casing of GSS) in the main branches. System shall be complete in accordance with AAI technical specifications.</t>
    </r>
  </si>
  <si>
    <r>
      <rPr>
        <sz val="12"/>
        <rFont val="Calibri"/>
        <family val="2"/>
        <scheme val="minor"/>
      </rPr>
      <t>Duct Thermal Insulation as per specification
Supply and installation of Closed Cell Nitrite rubber for duct thermal insulation of Supply &amp; Return air duct. Nitrite rubber shall be Factory laminated black fiberglass cloth closed cell Elastomeric UV resistant. Thermal conductivity for the insulation material shall not exceed 0.034 W/mK at an average temperature of 25-30 Deg. C. Nitrile rubber shall be 40- 60 Kg/m3.  The material  should comply to CIass'O' fire rating. The insulation material shall be non-combustible as per National Building Code 2016, Clause: 3.4.8.3.5 Part 4 Fire and Life Safety and should comply latest ECBC norms, fire rated for BS 476 Part 4 (Non —Combustible), BS 476 Pan S (Ignitibility Test), Class 0 as per BS 476 Part 6: 1989 for fire propagation test and for Class 1 as per BS476 Part 7, 1987 for surface spread of flame test. The Material shall comply to BS 6853 / ISO 5659  / BS 6853 / ABD 0031 for smoke density and toxicity values.  The thermal conductivity  of foam insulation material shall not be affected by aging as per DIN 52616 standard. Line item shall be in compliance  with AAI technical specifications.</t>
    </r>
  </si>
  <si>
    <r>
      <rPr>
        <sz val="12"/>
        <rFont val="Calibri"/>
        <family val="2"/>
        <scheme val="minor"/>
      </rPr>
      <t>Duct Accoustic Insulation as per specification
Supply and installation of 15mm thick Open cell Nitrile rubber foam insulation duct acoustic lining of supply/ventilation air duct up to a distance of 5 m from AHU and Ventilation fan outlet with density 140-180 kg/m3 and material thermal conductivity not exceeding 0.047 W/mK. The material should confirm to class 1 rating for surface spread of flame. Insulation should have antimicrobial product protection, and should pass Fungi Resistance and Bacterial Resistance. The insulation should pass Air Erosion Resistance Test in accordance to
ASTM Standard as specified and comliance to AAI technical specification.</t>
    </r>
  </si>
  <si>
    <r>
      <rPr>
        <sz val="12"/>
        <rFont val="Calibri"/>
        <family val="2"/>
        <scheme val="minor"/>
      </rPr>
      <t>Room Acoustic Insulation as per specification :
Supply and Installation of AHU room acoustic lining of walls and ceiling with 15mm thick open cell nitrile rubber foam insulation with density of  140-180 kg/m3 and material thermal conductivity not exceeding 0.05 W/mK. The material should confirm to class 1 rating for surface spread of flame. Insulating material have anti microbial and anti fungal properties as specified in technical specifications.</t>
    </r>
  </si>
  <si>
    <r>
      <rPr>
        <b/>
        <sz val="12"/>
        <rFont val="Calibri"/>
        <family val="2"/>
        <scheme val="minor"/>
      </rPr>
      <t xml:space="preserve">FIRE SEALENT </t>
    </r>
    <r>
      <rPr>
        <sz val="12"/>
        <rFont val="Calibri"/>
        <family val="2"/>
        <scheme val="minor"/>
      </rPr>
      <t xml:space="preserve">AND </t>
    </r>
    <r>
      <rPr>
        <b/>
        <sz val="12"/>
        <rFont val="Calibri"/>
        <family val="2"/>
        <scheme val="minor"/>
      </rPr>
      <t xml:space="preserve">FIRE BARRIER
</t>
    </r>
    <r>
      <rPr>
        <sz val="12"/>
        <rFont val="Calibri"/>
        <family val="2"/>
        <scheme val="minor"/>
      </rPr>
      <t>Supply  &amp; Providing minimum  2 hours fire rating FIRE BARRIER  wherever  services like piping,ducting and cabiling are passing through slabs,  shafts or fire zone wall, opening around  services  shall be closed  with fire retardent  material  Fire compound  shall be in form of powder and shall be mixed  with water  in proponion  suggested  by  OEM. Mixed compound shall be poured in shuttering and grid of 30 x 30 x 1.2mm angles placed as 150mm center to center. Minimum thickness of pour shall be 100mm and shall be for fire integrity of 120minutes. Angles shall be securely welded to building re-bars (if left during construction) or fastened to concrete floor. Fire barrier shall be in form of high density rock wool slabs with surface treated for fire retardation. System shall be compliance in accordance with AAI technical specifications.</t>
    </r>
  </si>
  <si>
    <r>
      <rPr>
        <sz val="12"/>
        <rFont val="Calibri"/>
        <family val="2"/>
        <scheme val="minor"/>
      </rPr>
      <t>PIPING &amp; ACCESSORIES
CHILLED WATER PIPING WITH INSULATION &amp; AL CLADDING IN PLANT ROOM PIPING
Supply  ,Installation ,Testing and commissioning  of heavy  duty C Class MS tube pipes as per IS-1239 upto 6" dia cut to required size in accordance  with relevant  BIS Codes and installed  with screwed/welded/unions/slip-on flanges  joints,  complete  with necessary  pipe  hot  dip  galvanized  MS  supports,  GI  hangers  with  rubber  lined  universal  clamps and hangers, fittings like bends, elbows,  tees, reducers,  matching  flanges,  neoprene  6 mm  thick  gaskets,  hot  dipped  galvanized  nut  &amp; blots  &amp; washers  ,PUF  gutti  with U clamp, &amp; sockets for BMS, socket and fittings for instruments  and sensors connections etc. MS tubes pipes shall be with one primer  coat of red-oxide paint and one coat of Zinc Chromate paint for anti-rust and then shall be finally painted with 3 mils approved colour induding all fittings like valves, flanges and unions, etc.Quoted rates shall be indusive of the cost of piping  with fire  rated  dosed  cell nitrile  rubber  thermal  insulation.  Mechanical  Protection  shall  be  applied  on insulation  surface  and exposed  piping  shall  have  provision  of UV protection also. Insulation shall be CFC free and insulation R value (m2. K/W) shall be 0.5 for pipe &lt; 40 mm dia &amp; 0.9 for &gt;=40 mm dia. Green building compliance adhesive shall be used. System shall be complete in accordance  with AAI technical specifications.</t>
    </r>
  </si>
  <si>
    <r>
      <rPr>
        <sz val="12"/>
        <rFont val="Calibri"/>
        <family val="2"/>
        <scheme val="minor"/>
      </rPr>
      <t>Providing  &amp; fixing  of Carbon  steel body  with Manual  Butterfly  Valve of  pressure rating  of PN16  conforming  to  BS:5155,  MSS  SP  67 &amp;  API  609. Handle  operated  BFV shall  be applicable  upto 150mm dia. and Gear Operated valve shall be applicable  to 200mm and above sizes. Valve shall be with one coats of Zinc Chromate paint for anti-rust  and then shall be finally painted 3 mils of approved colour including all fittings like valves, flanges and unions, etc. in position conforming to technical specifications:necessary ancillaries like hot dipped galvanized nut &amp; blots &amp; washers,rubber gaskets,  washers, matching flanges,sockets, coupling etc.shall  be inclusive in cost and shall be complete in accordance  with AAI technical specifications. Quoted rates shall be inclusive of the cost of  thermal insulations (as mentioned for chilled water piping).</t>
    </r>
  </si>
  <si>
    <r>
      <rPr>
        <sz val="12"/>
        <rFont val="Calibri"/>
        <family val="2"/>
        <scheme val="minor"/>
      </rPr>
      <t>Providing  &amp; Fixing  in postion Strainers  shall be ‘Y’ type suitable for PN16 rating. ‘Y'  Strainer shall be fabricated out of MS ‘C’ class pipe two sizes higher than that of Strainer pipe size. Flanges  as  per ANSI B16.5 shall be provided  at inlet and outlet  connectors.  The body  shall be hot  dip galvanized.  Permanent  magnet  shall be provided in the body  of  the Strainer to arrest MS panicles.  Filter element  shall be of non-magnetic  20 gage  SS  sheet with 3 mm perforation.  Cartridge having  five different  type of filters made  out of SS   304 with different  mesh sizes shall be provided.  necessary  ancillaries like hot dipped  galvanized  nut  &amp;  blots  &amp; washers,rubber gaskets,  washers,  matching  flanges,sockets, coupling etc.shall be inclusive in cost and shall be complete in accordance with AAI technical  specifications. Quoted rates shall be inclusive of the cost of thermal insulations  (as  mentioned
for chilled water piping).</t>
    </r>
  </si>
  <si>
    <r>
      <rPr>
        <sz val="12"/>
        <rFont val="Calibri"/>
        <family val="2"/>
        <scheme val="minor"/>
      </rPr>
      <t>Supplying,  fixing, testing and commissioning  of following  sizes of  GI 'B' Class  drain  piping  duly  insulated   with  25  mm  Expanded   Polystyrene  covered  with polythene  and
aluminium sheet as per specifications.
40 mm dia</t>
    </r>
  </si>
  <si>
    <r>
      <rPr>
        <sz val="12"/>
        <rFont val="Calibri"/>
        <family val="2"/>
        <scheme val="minor"/>
      </rPr>
      <t>BALL VALVES FOR DRAIN
Providing &amp; fixing Forged brass body Ball valves (PN-16) complete with threaded connections and handle of stainless steel constructions with chrome plated brass ball shall be as per AAI technical specifications.</t>
    </r>
  </si>
  <si>
    <r>
      <rPr>
        <sz val="12"/>
        <rFont val="Calibri"/>
        <family val="2"/>
        <scheme val="minor"/>
      </rPr>
      <t>Dismantling of Existing AHU  of different CFM capacities from Existing terminal Building and shifiting of dismentled material to the AAI specified location/ store at airport (upto 500 mtrs) AHU having
CFM 35000 CFM-01 no, 23500 CFM- 02 nos. , 22500 CFM-01 nos, 18000 CFM-02 Nos, 13500 CFM-02 nos, 10000 CFM-01 no .</t>
    </r>
  </si>
  <si>
    <r>
      <rPr>
        <sz val="12"/>
        <rFont val="Calibri"/>
        <family val="2"/>
        <scheme val="minor"/>
      </rPr>
      <t>Providing and fixing First-Aid Hose Reel  20mm (Nominal Internal) dia. x 30m long (minimum length) (Thermoplastic Type-2 as per I.S. 12585) complete with drum, bracket, 25mm dia. shut-off valve
and Smm Gun-Metal nozzle  conforming to IS-:884, connection with riser with MS C- class pipe, painting the MS works complete as required &amp; as per enclosed specifications.</t>
    </r>
  </si>
  <si>
    <r>
      <rPr>
        <sz val="12"/>
        <rFont val="Calibri"/>
        <family val="2"/>
        <scheme val="minor"/>
      </rPr>
      <t>Providing, fixing, testing &amp; commissioning of installation control valve of cast iron body, brass/bronze working parts comprising of water motor alarm, bronze seat clapped, clapper arm and hydraulically driven mechanical gong bell to sound continuous alarm when the wet riser/sprinkler system activates, pressure gauges, emergency release, strainer, pressure switch, cock valve complete with drain valve and bypass, test control box, ball valves, MS pipe of required size, flanges, orifice plate, gasket etc of following sizes as required.</t>
    </r>
  </si>
  <si>
    <r>
      <rPr>
        <sz val="12"/>
        <rFont val="Calibri"/>
        <family val="2"/>
        <scheme val="minor"/>
      </rPr>
      <t>Supplying, Installation, testing &amp; commissioning of sprinkler flexible pipe (UL Listed) of stainless steel complete with 15 NPT on reducer thread with maximum working pressure of 175 PSI test pressure of 875 PSI (Brust) with branch line (Inlet) 25 mm NPT male thread to sprinkler head (Outlet) 15 mm NPT female thread with reducer, nipple, 2 side brackets, center bracket, stockbar of
following sizes complete as required.</t>
    </r>
  </si>
  <si>
    <r>
      <rPr>
        <b/>
        <sz val="12"/>
        <rFont val="Calibri"/>
        <family val="2"/>
        <scheme val="minor"/>
      </rPr>
      <t xml:space="preserve">ASPIRATION DETECTOR </t>
    </r>
    <r>
      <rPr>
        <sz val="12"/>
        <rFont val="Calibri"/>
        <family val="2"/>
        <scheme val="minor"/>
      </rPr>
      <t>ACCESSORIES
Supplying, installation, testing &amp; commissioning 25 mm Outer dia CPVC PIPE with end caps including making air sampling opening of appropriate dia on appropriate interval and all accessories as required. (rate for area protected in sqm).</t>
    </r>
  </si>
  <si>
    <r>
      <rPr>
        <sz val="12"/>
        <rFont val="Calibri"/>
        <family val="2"/>
        <scheme val="minor"/>
      </rPr>
      <t xml:space="preserve">PUBLIC </t>
    </r>
    <r>
      <rPr>
        <b/>
        <sz val="12"/>
        <rFont val="Calibri"/>
        <family val="2"/>
        <scheme val="minor"/>
      </rPr>
      <t xml:space="preserve">ADDRESS </t>
    </r>
    <r>
      <rPr>
        <sz val="12"/>
        <rFont val="Calibri"/>
        <family val="2"/>
        <scheme val="minor"/>
      </rPr>
      <t>SYSTEM
Supplying, installation, testing &amp; commissioning of  6 zone, voice alarm controller with USB, MP3 player (Including 6 Zone button paging station) with seamless integration facility with main fire alarm panel for voice evacuation complete as required.</t>
    </r>
  </si>
  <si>
    <r>
      <rPr>
        <sz val="12"/>
        <rFont val="Calibri"/>
        <family val="2"/>
        <scheme val="minor"/>
      </rPr>
      <t xml:space="preserve">CABLING </t>
    </r>
    <r>
      <rPr>
        <b/>
        <sz val="12"/>
        <rFont val="Calibri"/>
        <family val="2"/>
        <scheme val="minor"/>
      </rPr>
      <t xml:space="preserve">&amp; WIRING
</t>
    </r>
    <r>
      <rPr>
        <sz val="12"/>
        <rFont val="Calibri"/>
        <family val="2"/>
        <scheme val="minor"/>
      </rPr>
      <t>Supplying &amp; laying of 2x1.5 sqmm fire survival armoured cable, 600/1000V rated with annealed copper conductor having glass mica fire barrier tape covered by an extruded layer of cross linkable ethylene propylene rubber (EPR) insulation and LSZH inner bedding, steel wire armouring &amp; LSZH outer sheath complete as required.</t>
    </r>
  </si>
  <si>
    <r>
      <rPr>
        <sz val="12"/>
        <rFont val="Calibri"/>
        <family val="2"/>
        <scheme val="minor"/>
      </rPr>
      <t>CNS Works :
Providing and Laying of 25 mm dia, 16 SWG MS Conduit (on wall/ surface/ tray/raceway/by opeing wall panels )   as per technical specifications of the tender document. At locations to be
decided by Engineer In-charge (Payment will be done on actual laying)</t>
    </r>
  </si>
  <si>
    <r>
      <t xml:space="preserve">Providing and Laying of width 300 mm Steel Perforated Cable Tray </t>
    </r>
    <r>
      <rPr>
        <sz val="12"/>
        <color rgb="FF1F1F1F"/>
        <rFont val="Calibri"/>
        <family val="2"/>
        <scheme val="minor"/>
      </rPr>
      <t xml:space="preserve">, </t>
    </r>
    <r>
      <rPr>
        <sz val="12"/>
        <rFont val="Calibri"/>
        <family val="2"/>
        <scheme val="minor"/>
      </rPr>
      <t>7mm thickness complete as per Direction of Engineer In-charge</t>
    </r>
  </si>
  <si>
    <t>Providing and laying Gypsum panel panitions 100 mm thick with water proof Gypsum panels of size 666x500x100 mm, made of calcite phosphor Gypsum fixed with tongue and groove, jointed with bonding plaster as per manufacturer’s specifications in superstructure above plinth level up to floor V level. Gypsum blocks will have a minimum compressive strength of 9.3 kg/cm2</t>
  </si>
  <si>
    <t>Providing and fixing 18 mm thick gang saw cut, mirror polished, premoulded and prepolished, machine cut for kitchen platforms, vanity counters, window sills, facias and similar locations of required size, approved shade, colour and texture laid over 20 mm thick base cement mortar 1:4 (1 cement : 4 coarse sand), joints treated with white cement,mixed with matching pigment, epoxy touch ups, including rubbing, curing, moulding and polishing to edges to give high gloss finish etc. complete at all levels.Area of slab over 0.50 sqm</t>
  </si>
  <si>
    <t>Providing &amp; Fixing decorative high pressure laminated sheet of plain /wood grain in gloss / matt/ suede finish with high density protective surface layer and reverse side of adhesive bonding quality conforming to IS : 2046 Type S, induding cost of adhesive of approved quality. 1.0 mm thick</t>
  </si>
  <si>
    <t>Providing and fixing frame work for partitions/ wall lining etc. made of 50x50x1.6 mm hollow MS tube, placed along the walls, ceiling and floor in a grid pattern with spacing @ 60cm centre to centre both ways (venically  &amp; horizontally)  or at required spacing near opening, with necessary welding at junctions and fixing the frame to wall/ ceiling/ floors with steel dash fasteners of 8 mm dia, 75 mm long bolt, including making provision for opening for doors, windows, electrical conduits, switch boards etc., including providing with Mo coats of approved steel primer etc. complete, all as per direction of Engineer-in-charge</t>
  </si>
  <si>
    <t>Providing and fixing stainless steel ( Grade 304) railing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(for payment purpose only weight of stainless steel members shall be considered excluding fixing accessories such as nuts, bolts, fasteners etc.).</t>
  </si>
  <si>
    <t>Applying priming coats with primer of approved brand and manufacture, having low VOC (Volatile Organic Compound ) content. With water thinnable cement primer on wall surface having VOC content less than 50 gramsJitre</t>
  </si>
  <si>
    <t>Wall painting  with acrylic emulsion  paint, having  VOC  (Volatile  Organic  Compound  ) content less than  50 grams/ litre, of  approved  brand and manufacture,  including  applying additional coats wherever required, to achieve even shade and colour.Two coats</t>
  </si>
  <si>
    <t>Demolishing R.C.C. work manually/ by mechanical means including stacking of steel bars and disposal of unserviceable material within 50 metres lead as per direction of Engineer- in- charge.</t>
  </si>
  <si>
    <t>Demolishing brick work manually/ by mechanical means induding stacking of serviceable material and disposal of unserviceable material within 50 metres lead as per direction of Engineer-in-charge In cement mortar</t>
  </si>
  <si>
    <t>Dismantling aluminium/ Gypsum partitions, doors, windows, fixed glazing and false ceiling including disposal of unserviceable material and stacking of serviceable material with in 50 meters lead as directed by Engineerin-charge.</t>
  </si>
  <si>
    <t>Providing and fixing 12 mm thick prelaminated panicle board flat pressed three layer or graded wood particle board conforming to IS: 12823 Grade I Type II, in panelling fixed in aluminum doors, windows shutters and panition frames with C.P. brass / stainless steel screws etc. complete as per architectural drawings and directions of engineer-in-charge. Pre-laminated panicle board with decorative lamination on both sides</t>
  </si>
  <si>
    <t>(b) For shutters of doors, windows &amp; ventilators including providing and fixing hinges/ pivots and making provision for fixing of fittings wherever required induding the cost of EPDM rubber / neoprene  gasket required (Fittings  shall be paid for separately).  Anodised aluminium  (anodised transparent  or dyed to required  shade according  to IS: 1868, Minimum anodic coating of grade AC 15)</t>
  </si>
  <si>
    <t>Providing and fixing glazing in aluminium door, window, ventilator shutters and partitions etc. with EPDM rubber / neoprene gasket etc. complete as per the architectural  drawings and the directions of engineer-in-charge . (Cost of aluminium  snap beading  shall be paid in basic item): With float glass panes of 5 mm thickness  (weight  not less than 12.50 kg/sql)</t>
  </si>
  <si>
    <t>Providing and fixing glazing in aluminium door, window, ventilator shutters and partitions etc. with EPDM rubber / neoprene gasket etc. complete as per the architectural  drawings and the directions of engineer-in-charge . (Cost of aluminium snap beading shall be paid in basic item): With float glass panes of 8 mm thickness (weight not less than 20 kg/sqm)</t>
  </si>
  <si>
    <t>Providing and fixing Pigeon/Bird net to prevent bird sitting on pipes, cable tray and where required i/c necessary scaffolding and arrangement  of opening with zip for maintenance purpose of ligh etc complete as per the direction and satisfaction of the Engineer-lncharge. etc complete.</t>
  </si>
  <si>
    <t>Dismantling  existing  panels  of  aluminium  composite  panel  cladding  made out  of 4mm  thick  aluminium  composite  panel  material  in all shape  from main porch of  the terminal building, bull nose in city side and air side of the terminal building including transponation and stacking up to 0.50 Km from site. The cost includes all kinds of manpower, tools and machines for removing of ACP panels up to all heights complete as per directions of the Engineer-in-charge.</t>
  </si>
  <si>
    <t>Providing  and fixing  solid  acrylic  polymer  of approved make  in orange  colour  with necessary   adhesive,  screws,  nails and nuts  etc. wherever  necessary  including  bending  in desired shape if required as per drawing  complete as per direction of Engineer-in-charge.</t>
  </si>
  <si>
    <t>Providing and fixing ISI Marked Commercial plywood of approved brand like kitply, greenply or equivelent with necessary screws, nails and nuts wherever necessary etc. complete as per direction of Engineer-in-charge.(c) 18 mm thick ISI Marked commercial plywood</t>
  </si>
  <si>
    <t>Providing  and fixing local  art/mural  etc. in terminal  building all complete  as per  directions  of Engineer-in-charge.NOTE: The type of  art indicated in the sub items below may change as per the reqirement of the Competent Authority / Engineer In Charge. Hence Bidders may quoate rates accordingly.</t>
  </si>
  <si>
    <t>Providing &amp; Applying PU coating of approved brand and manufacture of required colour to give an even shade primer and all complete as per direction of Engineer in charge. On steel work</t>
  </si>
  <si>
    <r>
      <rPr>
        <sz val="12"/>
        <rFont val="Calibri"/>
        <family val="2"/>
        <scheme val="minor"/>
      </rPr>
      <t xml:space="preserve">Repairing  of water leakage from Sun-roof  glass edges on existing  roof of old Terminal  Building by removing of existing flashing covering  and supplying and fixing of 2mm thick aluminium  grade 1100/1200 Hindalco / Jindal / Balco or equivalent flashing material (Girth up to 610mm)  with  Tungsten Inert Gas (TIG) welding </t>
    </r>
    <r>
      <rPr>
        <sz val="12"/>
        <color rgb="FF0F0F0F"/>
        <rFont val="Calibri"/>
        <family val="2"/>
        <scheme val="minor"/>
      </rPr>
      <t xml:space="preserve">, </t>
    </r>
    <r>
      <rPr>
        <sz val="12"/>
        <rFont val="Calibri"/>
        <family val="2"/>
        <scheme val="minor"/>
      </rPr>
      <t>complete as per  directions of Engineer-in-charge.</t>
    </r>
  </si>
  <si>
    <t>Providing of detailed working drawings (up to three revisions)  for old Terminal Building having area approximate 8500 sqm for fixing of false ceiling,  Aluminium Composite Panel (ACP) cladding work on columns wall, lifts &amp; facade etc. wherever  applicable matching  with the pattern of both sides extended portion of new Terminal  Building. The successful contractor will also provide three sets of colour working drawing for electrical fittings &amp; all wiring and conducting work to be carried out isnside / outside of the ACP work and &amp; false ceiling work, for approval by Engineer-in-charge before commecement of particular job of ACP Cladding, False ceiling, conduiting, and wiring etc. complete as per the directions of the Engineer in Charge.</t>
  </si>
  <si>
    <r>
      <rPr>
        <b/>
        <sz val="12"/>
        <rFont val="Calibri"/>
        <family val="2"/>
        <scheme val="minor"/>
      </rPr>
      <t>Electrical Works:</t>
    </r>
    <r>
      <rPr>
        <sz val="12"/>
        <rFont val="Calibri"/>
        <family val="2"/>
        <scheme val="minor"/>
      </rPr>
      <t xml:space="preserve">
SH I:- Internal &amp; External Electrical Work
Suppy of 3.5 X 25 sq. mm XLPE insulated, PVC innersheathed and armoured Copper conductor cable of 1.1KV grade confirming to IS:7098 with up to date amendments etc as requied.</t>
    </r>
  </si>
  <si>
    <t>Wiring for circuit/ submain wiring alongwith earth wire with the 2 X 4 sq. mm + 1 X 4 sq. mm earth wire sizes of FRLS PVC insulated copper conductor, single core cable in surface/ recessed steel conduit as required.</t>
  </si>
  <si>
    <t>Wiring for circuit/ submain wiring alongwith earth wire with the 2 X 1.5 sq. mm + 1 X 1.5 sq. mm earth wire of FRLS PVC insulated copper conductor, single core cable in surface/recessed steel conduit as required.</t>
  </si>
  <si>
    <t>Wiring for circuit/ submain wiring alongwith eanh wire with the 2 X 2.5 sq. mm + 1 X 2.5 sq. mm earth wire of FRLS PVC insulated copper conductor, single core cable in surface/recessed steel conduit as required.</t>
  </si>
  <si>
    <t>Providing and fixing 4mm thick Aluminium Composite Panels (ACP)/ Aluminium Composite Material (ACM) of grade 5005 alloy 8t fire retardant (FR) grade mineral filled inorganic core of compliance to A2-sI,d0 for cladding of columns, walls, jambs, sills, projected area/ fascia, ceiling, decorative cladding on any surface to any profile and shape (pan shape) using stainless steel screws, nuts, bolts, washers, cleats, weather silicone sealant, backer rods etc. at horizontally/ venically/ sloped/ curved/ circular etc. for all heights and levels as per drawings and specifications. Base frame work for ACP I ACM cladding is payable under the relevant aluminium items.</t>
  </si>
  <si>
    <r>
      <rPr>
        <sz val="12"/>
        <rFont val="Calibri"/>
        <family val="2"/>
        <scheme val="minor"/>
      </rPr>
      <t xml:space="preserve">Suppy of 4 X 10 sq. </t>
    </r>
    <r>
      <rPr>
        <i/>
        <sz val="12"/>
        <rFont val="Calibri"/>
        <family val="2"/>
        <scheme val="minor"/>
      </rPr>
      <t xml:space="preserve">mm </t>
    </r>
    <r>
      <rPr>
        <sz val="12"/>
        <rFont val="Calibri"/>
        <family val="2"/>
        <scheme val="minor"/>
      </rPr>
      <t>XLPE insulated, PVC innersheathed  and armoured Copper conductor  cable  of 1.1KV grade confirming  to IS:7098  with up to date amendments  etc as requied.</t>
    </r>
  </si>
  <si>
    <t>Supplying and fixing suitable size GI box with modular plate and cover in front on surface or in recess, including providing and fixing 3 pin 5/6 A modular socket outlet and 5/6 A modular switch, connections etc. as required.</t>
  </si>
  <si>
    <t>Supplying and fixing suitable size GI box with modular plate and cover in front on surface or in recess, including providing and fixing 6 pin 5/6 A &amp; 15/16 A modular socket outlet and 15/16 A modular switch, connections etc. as required.</t>
  </si>
  <si>
    <t>Supplying and fixing following way, horizontal type three pole and neutral, sheet steel, MCB double door distribution board, 415 V, on surface/ recess, complete with tinned copper bus bar, neutral bus bar, earth bar, din bar, interconnections, powder painted  induding earthing etc. as required. (But without MCB/RCCB/ Isolator)</t>
  </si>
  <si>
    <t>Supplying and fixing following  way, single pole and neutral, sheet steel, MCB distribution board, 240 V, on surface/ recess, complete with tinned copper bus bar,neutraI bus bar, eanh bar, din bar, interconnections, powder painted induding eanhing etc. as required. (But without MCBIRCCB/Isolator)</t>
  </si>
  <si>
    <t>Supplying and fixing 6 A to 32  A rating,  240/415  V, 10 kA, ”C" curve, miniature  circuit breaker  suitable for inductive  load of Single  pole in the existing  MCB DB complete  with connections, testing and commissioning etc. as required.</t>
  </si>
  <si>
    <t>Supplying and fixing following rating, four pole, (three phase and neutral), 415 V, residual current circuit breaker (RCCB), having a sensitivity current 300 mA in the existing MCB DB complete with connections, testing and commissioning etc. as required.</t>
  </si>
  <si>
    <t>Supplying and fixing Cable End Box (Loose wire box) (IP 43) suitable for For 8 way, Double door TPN MCBDB triple pole and neutral, sheet steel, MCB distribution board, 415 V,on surface/ recess, complete with testing and commissioning etc. as required.</t>
  </si>
  <si>
    <t>Supplying  and fixing  Cable  End  Box  (Loose  Wire  Box)  (IP  43)  suitable  for following  single  pole  and  neutral,  sheet  steel,  MCB  distribution  board,  240  V, on surface/  recess,complete with testing and commissioning etc. as required</t>
  </si>
  <si>
    <t>Supplying  and fixing  25  Amp  rating,  Double  pole,  230  V, residual  current  circuit  breaker  (RCCB),  having  a sensitivity  current  300 mA in the existing  MCB  DB  complete  with connections, testing and commissioning etc. as required.</t>
  </si>
  <si>
    <t>Supplying and fixing of 25 mm sizes of steel conduit along with accessories in surface/recess including painting in case of surface conduit, or cutting the wall and making good the same in case of recessed conduit as required.</t>
  </si>
  <si>
    <t>Supplying and fixing 20 A, 415 V, TPN Industrial type socket outlet, with 4 pole and earth, metal enclosed plug top alongwith 20 A, “C” curve, TPMCB, in sheet steel enclosure, on surface or in recess, with chained metal cover for the socket out let and complete with connections, testing and commissioning etc. as required.</t>
  </si>
  <si>
    <t>Supply of 1200mm sweep, white colour 5 star rating  energy saving ceiling fans suitable for 230 volt, with 30 cm down rod and other accessories, canopies, with out regulator etc as required.</t>
  </si>
  <si>
    <t>Providing and fixing hexagonal recess type fan box 130 mm size beMeen two oposite faces made of 16 SWG MS sheet with suitalbe size MS rod hook welded on both sides of box for hanging of ceiling fan and medium bay light fixtures with hylam sheet cover at bottom complete as required.</t>
  </si>
  <si>
    <t>Installation, testing and commissioning of ceiling fan, induding supply of step type modular fan regulator (100W) and wiring the down rods of standard length (upto 30 cm) with 1.5 sq. mm FRLS PVC insulated, copper conductor, single core cable, including providing and fixing phenolic laminated sheet cover on the fan box etc. as required.</t>
  </si>
  <si>
    <t>Supply &amp; installation of 10 KVA Online UPS - 3 Phase Input &amp; 3 Phase Output — Double Conversion with built-in Isolation Transformer, IGBT Based Technology Battery Back-up 30 minutes (approx.) of total 10000 VAH (12V x Battery Ah x No. of battery) .</t>
  </si>
  <si>
    <t>Supplying and making end termination with brass compression gland and aluminium lugs for following size of PVC insulated and PVC sheathed I XLPE aluminium conductor cable of 1.1 kV grade as required</t>
  </si>
  <si>
    <t>Installation,  testing and commissioning  of pre-wired,  LED fitting (2 x 2 feet) of recessed  / surface mounted  complete  with all accessories  etc. directly on ceiling/  wall, including connections with 1.5 sq. mm FRLS PVC insulated, copper conductor, single core cable and earthing etc. as required.</t>
  </si>
  <si>
    <t>Installation, testing and commissioning of 15 W LED fitting on recessed / surface mounted complete with all accessories etc. directly on ceiling/ wall, including connections with 1.5 sq. mm FRLS PVC insulated, copper conductor, single core cable and eanhing etc. as required.</t>
  </si>
  <si>
    <t>Installation, testing and commissioning  of pre-wired, 135 W LED highbay luminaire light fitting mounted complete with all accessories etc. directly on cannopy of terminal building with suitable GI clamp, induding connections with 1.5 sq. mm FRLS PVC insulated, copper conductor, single core cable and earthing etc. as required.</t>
  </si>
  <si>
    <t>Wall Projected Directional Sign Refer design drawing-2.1c-S, 2.1c-G:Providing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Tension Rod: Providing  and fixing tension rod in brush finished  S.S. with the turn buckle system. Tension rod shall be fixed to the sign structure and the sign frame with S.S. gusset plates.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Airpon contractor at the site.</t>
  </si>
  <si>
    <t>Total Amount</t>
  </si>
  <si>
    <t>Wall  Mounted  Facility  Announcer  -2.2c-S,  2.2c-G: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Airport contractor at the site. The actual structural design of the sign for its stability shall be responsibility of the EPC contactor. Accessories: Providing  and  fixing  all  accessories  such as thimbles, end connectors, nut-inserts, screws , rivets,  bolts, washers, nuts, etc. complete as per drawing.</t>
  </si>
  <si>
    <t>Supplying and drawing of cable fire retardant PVC insulated copper conductor cable in the existing surface / recessed steel conduit of following pairs, cores and size including connections and interconnections etc. as required.</t>
  </si>
  <si>
    <t>Supplying &amp; laying of 2x1.5 sqmm fire alarm armoured cable, 600/1OOOV rated with annealed copper conductor having XLPE insulation, steel wire armouring &amp; FRLS outer sheath complete as required.</t>
  </si>
  <si>
    <t>Supplying, installation,  testing &amp; commissioning  of exit point  directional  sound speaker  with voice and integral audio amplifier  with selectable  sound pulse patterns complete as required.</t>
  </si>
  <si>
    <t>Supplying, installation, testing &amp; commissioning of intelligent interface unit BACnet / modbus protocol i.e. supplying communication links between building management system and fire alarm control panel complete as required.</t>
  </si>
  <si>
    <t>Supplying,  installation,  testing  &amp;  commissioning  of  addressable  beam  detector  with  shon  circuit  isolator  (inbuilt  or  separate)  complete  with  emitter  and  receiver  including connections with remote test features etc complete as required.</t>
  </si>
  <si>
    <t>Supplying, installation, testing &amp; commissioning of repeater panel with 320 character / touch screen LCD display with inbuilt reset, acknowledge and silence switches complete as required.</t>
  </si>
  <si>
    <t>Supply, installation, testing and commissioning of 6kg ABC (Powder Type) Fire Extinguisher. Mild Steel Cylinders ISI marked fitted with pressure indicating gauge, internal tube, squeeze lever  type  valve  fully  charged  with  ABC  90 powder  (Mono  Ammonium  Phosphate)  pressured  by  Nitrogen  complete in all respects  including  wall  suspension bracket complete and conforming to IS:15683 as required and as per specifications.</t>
  </si>
  <si>
    <t>Supplying and Fixing of fire brigade connection of cast iron body with gun metal male instantaneous inlet couplings complete with cap and chain as required. For suitable dia MS Pipe connection conforming to IS 904 as required.
II. 4 way- 150 mm dia M.S. Pipe</t>
  </si>
  <si>
    <t>Supplying and fixing first-aid Hose Reel with MS Construction spray painted in post office red, conforming to IS 884 complete with the following as required.
20 mm nominal internal dia water hose thermoplastic (Textile reinforced ) type- 2 as per IS: 12585 20 mm nominal internal dia gun metal globe valve &amp; nozzle.
Drum and brackets for Fixing the equipments on wall. Connections from riser with 25 mm dia stop gun metal valve &amp; M.S. Pipe and socket.(30 Mtr)</t>
  </si>
  <si>
    <t>Providing, installation,  testing and commissioning  of stainless steel Y-strainer fabricated out of 1.6 mm thick stainless steel, Grade 340, sheet with 3 mm dia holes with stainless steel flange.</t>
  </si>
  <si>
    <t>Supplying and fixing orifice plate made out of 6 mm thick stainless steel (Grade 304) with orifice of required size to be fitted between flange &amp; landing valve of external and internal hydrants to reduce pressure at the outlet to the level of 305 kg/cm2 complete as required.</t>
  </si>
  <si>
    <t>Supplying, fixing, testing and commissioning of double flanged sluice valve of rating PN 1.6 with non rising spindle, bronze / gun metal seat,  ISI marked complete with nuts, bolts, washers, gaskets conforming to IS 780 of following sizes as required : 150 mm dia</t>
  </si>
  <si>
    <t>Supplying, fixing, testing and commissioning of butterfly valve of PN 1.6 rating with bronze / gunmetal seat duly ISI marked complete with nuts, bolts, washers, gaskets conforming to IS 13095 offollowing sizes as required :</t>
  </si>
  <si>
    <t>Providing and fixing aluminium work for ACP Caldding on Walls, Colums, Duct Covering etc. using Aluminium Tubular, L, T etc. sections as per the approved design and drawings at all heights and levels.</t>
  </si>
  <si>
    <t>Removal of Top Glass glazing and Refixing the same after new flashing Installation. Including necessary Sealants / Tapes, Cleaning etc. Qty for Opening Size 43.000 mtr X 1.750 mtr X 8 nos.Note: If Any Glass Broken during removal and refixing. New Glass material to be provided by AAI, Or will be procured by vendour  on approval of additional cost for it's material only.As Directed By The Engineer-In-Charge</t>
  </si>
  <si>
    <t>Supply of 34/36 watt LED recessed mounted type (2 x 2 feet) powder coated CRCA housing luminaire  with heat sink installed back side, high quality diffuser fix in front frame total system wattage less than 36W with LED , complete with electronic driver, lockable holders and induding connection etc. as required.Make  &amp; model equivalent to Philips RC380B
LED36S-6500 G6 L60W60 PSU OD</t>
  </si>
  <si>
    <r>
      <rPr>
        <sz val="12"/>
        <rFont val="Calibri"/>
        <family val="2"/>
        <scheme val="minor"/>
      </rPr>
      <t xml:space="preserve">Supply of 42/44 watt LED Recess  mounted type (Approx.  1130 x 50 x 75mm) powder coated CRCA housing luminaire with heat sink installed back side, high quality diffuser fix in front frame total system wattage less than 43W with LED </t>
    </r>
    <r>
      <rPr>
        <sz val="12"/>
        <color rgb="FF0F0F0F"/>
        <rFont val="Calibri"/>
        <family val="2"/>
        <scheme val="minor"/>
      </rPr>
      <t xml:space="preserve">, </t>
    </r>
    <r>
      <rPr>
        <sz val="12"/>
        <rFont val="Calibri"/>
        <family val="2"/>
        <scheme val="minor"/>
      </rPr>
      <t>complete with electronic driver,  lockable holders and induding connection etc. as required.Make  &amp; model equivalent to Philips BN170C LED 40S-6500 PSU L 120</t>
    </r>
  </si>
  <si>
    <t>Supply of 135 watt LED  highbay luminaire powder coated high pressured diecast aluminium housing luminaire  with extruted aluminium  heat sink installed back  side, secondary optics lens, high quality  diffuser  fix  in front  frame  total  system  wattage  less  than  135  W  with LED  ( Highbay  luminaire),  complete  with electronic  driver, provided  eyebolt  for suspension mounting including connection etc. as required.BY515P LED200S 5700 NB S1 PSU GR</t>
  </si>
  <si>
    <t>Installation, testing and commissioning of 42/44 W LED fitting on recessed / surface mounted complete with all accessories etc. directly on ceiling/ wall, induding connections  with 1.5 sq. mm FRLS PVC insulated, copper conductor, single core cable and earthing etc. as required.</t>
  </si>
  <si>
    <t>Installation, testing and commissioning of20 W LED (4 ft.) Baton integrated light fitting  complete with all accessories etc. directly on ceiling/ wall, including connections with 1.5 sq. mm FRLS PVC insulated, copper conductor, single core cable and earthing etc. as required.</t>
  </si>
  <si>
    <t>Supply,  replacement/installation , testing  &amp; commissioning  of    automatic motorized double leaf sliding glass door  opener  suitable  to operate  on single  ph, 230V, 50Hz power supply  for  following  opening  sizes consisting  of all fitting accessories  and automation  system as per tender specifications  comprising  of double leaf sliding door  actuator  with photocells,  a pair of microwave  radar  , microprocessor controller  with adjustable  parameters for opening , dosing speed, hold open time, reversing when obstrucle  arrived and other accessories i.e. Electromechanical lock with manual/remote  release device, Central rabbet seal etc for sliding glass panels complete in all respect.   There shall be provision for auto operation of air curtain for automatic On / Off control i.e  Air curtain shall be activated when door is opened, turned off when door is closed. The sliding door opener shall be suitable for  existing 12mm thick frame toughened glass.</t>
  </si>
  <si>
    <t>Supply ,replacement/installation ,testing &amp; commissioning of 1200mm size(minimum) air cunain suitable to operate on single phase,230V,50Hz power supply and conforming to the tender specifications:- 1.Type:Horizontal
2. Body Material:GI /AIuminium
3.Body Coating:Powder coated with white colour. 4.Impeller:Aluminium
5.Average outlet velocity:-9-10m/s(minimum) 6.Air Discharge Angle:VenicaI Down 7.Noise</t>
  </si>
  <si>
    <r>
      <rPr>
        <sz val="12"/>
        <rFont val="Calibri"/>
        <family val="2"/>
        <scheme val="minor"/>
      </rPr>
      <t xml:space="preserve">Ceiling Hung Facility Announcer -2.1c-S, 2.1c-G,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t>
    </r>
    <r>
      <rPr>
        <i/>
        <sz val="12"/>
        <rFont val="Calibri"/>
        <family val="2"/>
        <scheme val="minor"/>
      </rPr>
      <t xml:space="preserve">as </t>
    </r>
    <r>
      <rPr>
        <sz val="12"/>
        <rFont val="Calibri"/>
        <family val="2"/>
        <scheme val="minor"/>
      </rPr>
      <t>per graphics  and  of  specified  make  duly  approved  by  the Engineer-in- Charge. Sign Frame: Providing  and  fixing  sign  frame  50mm  wide Powder coated,  colour  RAL  9006  aluminium  extrusion  with inbuilt  frame  to  receive  the  sign  face.  The  back  face shall be3mm thick ACP fixed to sign frame with VHB tape in  one  side  and  signage  sheet  shall  be  fixed  with Hook &amp; Loop tape so as the panel be easily openable for maintenance.   Suspender: Providing  and  fixing  Stainless  steel 35  x  35  x  2  mm Hollow  sections  (assuming  typical  length  of  1  meter) mounted on slabs/beams/walls.  Lighting: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Airport  contractor  at  the  site. The actual  structural  design  of  the  sign for  its stability  shall  be responsibility of  the  EPC  contactor. Accessories:  Providing  and  fixing  all  accessories  such as thimbles, end connectors, nut-inserts, screws , rivets,  bolts, washers, nuts, etc. complete as per drawing.</t>
    </r>
  </si>
  <si>
    <t>Belt  No.  sign -2.2h-S,  2.2h-G:   Providing   and  fixing   illuminated   signs  including   all  operations  from  fabrication  to  installation  all  complete  as   per       drawings,   technical specifications,  signage schedule  and  to  the  satisfaction  of  the  Engineer-in- Charge Sign Box: Providing  and  fixing  sign  box  with  laser  cut  Bent Fabrication  in  Smm  thick 040  acrylic    with    pantone  yellow C  Vinyl pasted over acrylic. Block out  vinyl for text Pantone  Black 6C.  Complete box excluding bottom side  is  lighted  with  internal  LED lighting.   Acrylic fabrication  shall have transparent  structural  supports  for obstruction  free lighting. Box to be directly  mounted  on the sign structure.  Bottom panel: Bottom  MS Panel  powder  coated  in  colour  to  match Vinyl Black of Pantone Black 6C. Sign Structure: Type 2 All structural members in SS square post 75 x 75 x 2.5 mm  (assuming  typical length  of  2.7  meter),  brush finished.  base  plate  fixed to existing floor. All hardware used  for  fixing  of  sign  shall   be  Stainless  steel  Post including   SS  base Plate  and Gussets  in  6mm  thick  SS Plate as per drawing with holes to fix it on holding down bolts  anchored  in  concrete  slab.  The  post  shall  have closed  with  a  3  mm  thick  SS plate  as  specified  and approved by the Engineer-In- charge. Cost to indude all activities  and temporary  props used for a perfect  vertical in plumb installation, etc required for fixing the sign in an internal location. Lighting: All internal illumination shall be using LED strip Lights from  of  approved  make  with  electronic  controllers, having even spread and overlaps to avoid banding and dark spots and adhering to the LUX levels mentioned in the  performance   specification.  Cost  to  indude  all internal  connections   and  Wiring, terminating  and connecting  the  incoming  cable  laid  by  Airport contractor at the site. Accessories:  Providing  and  fixing  all  accessories  such as thimbles, end connectors, nut- inserts, screws , rivets,  bolts, washers, nuts, etc. complete as per drawing.</t>
  </si>
  <si>
    <r>
      <rPr>
        <sz val="12"/>
        <rFont val="Calibri"/>
        <family val="2"/>
        <scheme val="minor"/>
      </rPr>
      <t xml:space="preserve">C.)  </t>
    </r>
    <r>
      <rPr>
        <b/>
        <sz val="12"/>
        <rFont val="Calibri"/>
        <family val="2"/>
        <scheme val="minor"/>
      </rPr>
      <t xml:space="preserve">AIR DISTRUBITION SYSTEM
</t>
    </r>
    <r>
      <rPr>
        <sz val="12"/>
        <rFont val="Calibri"/>
        <family val="2"/>
        <scheme val="minor"/>
      </rPr>
      <t>SITC of Factory fabricated 120 gsm G.I Sheet Metal Ducting (26 G, 24 G 22 G, 20 G, 18 G, 16 G) Supply,  installation  and testing  of FACTORY  FABRICATED  class-VIII,  120 GSM GI sheet  metal  ducts in accordance  with the approved shop  drawings and as required  by the specifications.GI sheet will be as per IS-277 and factory fabrication duct shall be as per SMACNA. All necessary GI supports using thread rods (as directed) and anchor bolts, Self adhesive  Neoprene  rubber  / UV resistant  PVC foam,turning  vanes,  splitters shall be included in the scope.No  slip joint is allowed in any type of ducting.Only flanged  joint  with rubber gasket/PVC  foam is allowed. Duct Pressure  testing  of all main  duct and main branches  as per latest  SMACNA  standard for permissible  air leakage shall  be inclusive. Distance of reinforcement/bracing from each joint.  Bracing material to be same as of material used for joining of duct sections. All duct joint, corners,flanges joints etc. shall be properly covered with food grade silicon sealant for leak proof application inspite of leak proof duct joints and shall be complete in accordance with AAI technical specification.
FOR DUCTS WITH EXTERNAL SP UPTO 500 Pa RECTANGULAR DUCT GS DUCT SECTION LENGTH 1.2m (411)
Maximum Duct Size</t>
    </r>
  </si>
  <si>
    <t>Providing &amp; fixing 63mm dia., l5mtr. long RRL hose pipe (ISI Marked) with 63mm dia. male and female gun metal couplings duly binded with GI wire, rivets etc. conforming to IS- 636 (Type-A)complete as required &amp; as per enclosed specifications.</t>
  </si>
  <si>
    <r>
      <rPr>
        <sz val="12"/>
        <rFont val="Calibri"/>
        <family val="2"/>
        <scheme val="minor"/>
      </rPr>
      <t xml:space="preserve">Providing &amp; fixing 63 mm dia </t>
    </r>
    <r>
      <rPr>
        <i/>
        <sz val="12"/>
        <rFont val="Calibri"/>
        <family val="2"/>
        <scheme val="minor"/>
      </rPr>
      <t xml:space="preserve">SS </t>
    </r>
    <r>
      <rPr>
        <sz val="12"/>
        <rFont val="Calibri"/>
        <family val="2"/>
        <scheme val="minor"/>
      </rPr>
      <t>short Branch pipe with 20mm (nominal internal diameter) stainless steel nozzle conforming to IS:903 suitable for instantaneous connection complete to inter-connect hose pipe, coupling etc. as required and as per enclosed specifications.</t>
    </r>
  </si>
  <si>
    <t>Supplying and fixing single headed  Gunmetal internal hydrant valve with instantaneous Gunmetal/Stainless steel coupling of 63 mm dia with cast iron wheel ISI maked conforming to IS 5290 (type A) with blank Gunmetal / stainless steel cap and chain as required :</t>
  </si>
  <si>
    <r>
      <rPr>
        <b/>
        <sz val="12"/>
        <rFont val="Calibri"/>
        <family val="2"/>
        <scheme val="minor"/>
      </rPr>
      <t>SH:II:Signages:</t>
    </r>
    <r>
      <rPr>
        <sz val="12"/>
        <rFont val="Calibri"/>
        <family val="2"/>
        <scheme val="minor"/>
      </rPr>
      <t xml:space="preserve">
Ceiling Hung Directional Sign Refer design drawing 2.1aS, 2.1aG Providing  and  fixing  illuminated  signs  including  all operations from  fabrication to installation all complete as per      drawings,  technical   specifications,  signage schedule  and  to  the  satisfaction   of  the  Engineer-in-  Charge  Sign face Sign face  shall be made in Smm thick 040 white acrylic (as  specified)  having  graphics  pasted  in  Plotter  cut Block  out  vinyl.  The  Plotter  cut  block  out  vinyl  shall match  the  specified  colour  (colour  Pantone  Black  6C) and vinyl for text Pantone yellow C or Cyan 311C as per graphics  and  of  specified  make  duly  approved  by  the Engineer-in-  Charge. Sign Frame : Providing  and  fixing  sign frame  50mm  wide  Powder coated,  colour  RAL  9006  aluminium  extrusion  with inbuilt frame to receive the sign face. The sign face shall be fixed to sign frame with VHB  tape in one side and Hook &amp; Loop tape from the other side so as the panel be easily openable for maintenance.   Suspender  : Providing  and fixing Stainless  steel 35 x 35mm Hollow sections  (assuming  typical  length of  1 meter)  mounted  on slabs/beams/walls. Lighting : All internal  illumination  shall be using LED strip edge Lights  of  approved  make   with electronic   controllers,  having  even spread  and overlaps to avoid banding and dark  spots.  Cost  to indude all internal  connections  and  Wiring,  terminating  and connecting  the
incoming cable laid by Airpon contractor at the site.</t>
    </r>
  </si>
  <si>
    <r>
      <rPr>
        <b/>
        <sz val="12"/>
        <rFont val="Calibri"/>
        <family val="2"/>
        <scheme val="minor"/>
      </rPr>
      <t>SH-III : HVAC works</t>
    </r>
    <r>
      <rPr>
        <sz val="12"/>
        <rFont val="Calibri"/>
        <family val="2"/>
        <scheme val="minor"/>
      </rPr>
      <t xml:space="preserve">
SITC of Air Handling Units :
Supply,  Installation,  Testing  and commissioning  of factory  built  (suitable  for  assembling  at  site  in terminal  Building  AHU  room)  floor  mounted  chilled  water  double  skin  type horizontal air handling units made  with Thermal Break Profile 46 -50 mm panel thicknes  consisting of pre plasticized G.I. casing of thickness 1 mm outside layer and 1 mm inside layer with CFC free  polyurethane foam (PUF) insulation factory injected between them by injection moulding machine, complete  with  blower  section  with  blower  suitable  for static  pressure  of 70 mm WC,  minimum  2  bend  GSS/PVC  eliminators, cooling  coil section with aluminium finned copper tubes (tubes thickness not less than 0.5 mm) cooling coil of 6 row deep, filter section with 50 mm thick  washable synthetic type air prefilters, MERV-8 Pre-filter section (90% down to 10 microns), MERV 14,  (MERV-15), UV-C Lamp system (UL Rated) for minimum 90% kill rate in single pass for corona virus,  backward curve belt drive DIDW blower fan package  with TEFC  drive motor of efficiency class IE3 suitable for 415 + 10°4 V, 50Hz, 3 Phase AC supply suitably designed  for  variable  frequency  drive  applications,  drain connections, stainless steel (1.25mm thick) drain pan with PUF insulation,3mm thick galvanised  steel base channel frame, 150  mm  dia.  dial  type  pressure  gauges  (2  Nos.) and  industrial type thermometers  (2 Nos.) at the inlet and outlet of AHU and necessary  vibration  isolation arrangement, Duct flexible connector (fire proof) shall be provided at outlets and return connection of AHU etc. with  SITC of starter panel with VFD (fabricated out of powder coated 16 gauge CRCA sheet)  and control accessories i/c LED indicating lamp, Sensor for operation of fire damper, inter connection and other  accessories  as per  specification  for following  capacities.  VFD  should have  suitable  comunication  port  to  work  with  BMS system,  staner  panel  should have  minimum  04 potential free contacts.
The EC motor shall have the following protective features integrated in the controller:
1) Overvoltage  protection
2) Short Circuit protection
3) Under voltage/ Over voltage detection
4) Locked rotor protection
5) Line fault detection
6) Active Temperature Management for thermal protection of motor and electronics
7) Alarm relay 250V/2A
8) Over temperature protection of electronic and motor
9) External LED display shall be provided for indication of the status of the fan Safety Features :
1) The Fan Access Door shall be equipped with micro-switch inter locked with fan motor to enable switching off the fan motor automatically in the event of door opening.
2) The Access Door shall further have wire mesh screen as an added safety feature bolted on to the unit frame.</t>
    </r>
  </si>
  <si>
    <r>
      <rPr>
        <b/>
        <sz val="12"/>
        <rFont val="Calibri"/>
        <family val="2"/>
        <scheme val="minor"/>
      </rPr>
      <t>SH-IV Fire Fighting</t>
    </r>
    <r>
      <rPr>
        <sz val="12"/>
        <rFont val="Calibri"/>
        <family val="2"/>
        <scheme val="minor"/>
      </rPr>
      <t xml:space="preserve">
Providing, laying, testing  &amp; Commissioning  of "C" class heavy duty MS pipe conforming  to IS  3589/15  1239 including  welding,  fittings like elbows, tees, flanges,  tapers, nuts bolts, gaskets etc. and fixing the pipe on the wall/ceilling  with suitable clamp/suppon  frame and painting  with Mo  or more coats of synthetic enamel paint of required  shade complete as required</t>
    </r>
  </si>
  <si>
    <r>
      <rPr>
        <b/>
        <sz val="12"/>
        <rFont val="Calibri"/>
        <family val="2"/>
        <scheme val="minor"/>
      </rPr>
      <t>SH-V-Fire Alarm System &amp; Public Addressing System</t>
    </r>
    <r>
      <rPr>
        <sz val="12"/>
        <rFont val="Calibri"/>
        <family val="2"/>
        <scheme val="minor"/>
      </rPr>
      <t xml:space="preserve">
Supplying, Installation, testing and commissioning of micro processor based intelligent  addressable  main fire alarm panel, central processing unit with the following loop modules and capable of supposing not less than 240 devises (induding detectors) and minimum 120 detectors per loop and loop length up to 2 km network communication card, minimum 320 character graphics / LCD display with touch screen or other keypad and minimum 4000 events history log in the non volatile memory (EPROM), power supply unit (230 + 5 % V, 50hz), 48 hrs back-up with 24 volt sealed maintenance  free batteries with automatic charger. The panel shall have facility to connect printer to printout log and facility to have seamless integration with analog / digital voice evacuation  system (Which is part of the schedule of work under  SH:PA system) and shall be complete  with all axxessories. The panel shall be compatible foe IBMS system with open protocol BACnet / Modbus over IP complete as per specifications.
Ten Loop Panel</t>
    </r>
  </si>
  <si>
    <t>Designing,  Providing  and fixing  perforated  Aluminium  Panel  ceiling manufactured  of  approved  colour  consisting  of panels  30mm/80mm/130mrn/180mm  wide  x 15mm  deep  x
0.5mm thick minimum with square edges, panel length up to 6 mtrs, Coil Coated on a Continuous Paint Line, Double baked and roll formed from enamelled  corrosion resistance Aluminium Alloy AA 5050 (Al. Mg) for higher  strength and good roll forming characteristics. Panel shall be dipped to baked enamelled  Aluminium panel carrier of 62mm wide x 29mm deep made of 0.95mm thick in standard length of Smtrs made of double baked enamelled  Aluminium alloy AA 5050 (AI. Mg.) black  with cut outs to hold the panels in a module of 50mm (width of gap 20mm open) and at a distance 1.85mtrs without insulation and 1.65mtrs with insulation. The Carrier shall be suspended
by means of suspension system as per manufacturer specifications.
Recess Join Profiles are made of enamelled aluminium and shall be inserted in between the panel on top of the panel flanges. Aluminium panels shall be chromatised for maximum bond between metal and paint enamelled twice under high temperature, one side with full primer and finish coat, the other side (inner side) with a primer coating and Skin Coat on a Continuous Paint Line.</t>
  </si>
  <si>
    <r>
      <t xml:space="preserve">Providing  and fixing false ceiling  at all heights  with integral  densified  calcium  silicate  reinforced  with fibre  and natural  filler false  ceiling tiles  of  Size 595x595  mm of approved texture,  design and  patterns as per CPWD Specification  2019, to be laid in true horizontal  level suspended on interlocking metal T-Grid of hot dipped  galvanised iron section of 0.33 mm thick (galvanized @ 120 grams per sqm including both sides)comprising of main-T runners of size 24x38 mm of length 3000 mm,cross - T of size  24x32 mm of length 1200 mm and secondaryintermediate cross-T  of size 24x32 mm of length 600 mm to formgrid module  of size 600 x 600 mm, suspended  from ceiling using galvanised  mild steel items (galvanizing @ 80 grams per sqm) i.e. 12x50 </t>
    </r>
    <r>
      <rPr>
        <i/>
        <sz val="12"/>
        <rFont val="Calibri"/>
        <family val="2"/>
        <scheme val="minor"/>
      </rPr>
      <t xml:space="preserve">mm </t>
    </r>
    <r>
      <rPr>
        <sz val="12"/>
        <rFont val="Calibri"/>
        <family val="2"/>
        <scheme val="minor"/>
      </rPr>
      <t xml:space="preserve">long dash fasteners, 6 mm dia fully threaded hanger rod upto 1000 mm length and L-shape level adjuster of size 76x25x25x1.6 mm fixed with grid and Z deat of size 25x37x25x1.6 mm thick with precut hole on both 25 mm flange to pierce into 12x50 mm or even bigger size dash fastener  if require, fixed with Glavanised iron perimeter wall angle or size 24x24x0.40 mm of length 3000 </t>
    </r>
    <r>
      <rPr>
        <i/>
        <sz val="12"/>
        <rFont val="Calibri"/>
        <family val="2"/>
        <scheme val="minor"/>
      </rPr>
      <t xml:space="preserve">mm </t>
    </r>
    <r>
      <rPr>
        <sz val="12"/>
        <rFont val="Calibri"/>
        <family val="2"/>
        <scheme val="minor"/>
      </rPr>
      <t>to be fixed   periphey  wall / partition with the help of plastic rawl plugs at 450 mm center to center and 40 mm long dry wall S.S screws. The work shall be carried out as per specifications, drawing and as per directionsof  the Engineer-in-Charge.(a)With 15 mm thick tegular/butt edged without perforation plain/designer light weight calcium silicate Anti-Microbial Bio-Safe coated false ceiling tiles Confirming to JIS-Z2801 and ASTM G-21</t>
    </r>
  </si>
  <si>
    <t>Amount</t>
  </si>
  <si>
    <t>Supply, installation, testing and commissioning  of wall mounted sensor based bi-level drinking water fountain with water bottle dispenser consisting of pressure boosting system (in
built pressurised  system for obtaining  the operating pressure rang between 20 to 120 PSI), multistage RO system, cooling system suitalble for operation at 230 V + 10%, single phase, 50Hz, AC supply i/c all necessary integration, interconnections, fixing material with suitable sizes of accessories,  SS foundation frame complete as required &amp; as per site, Dimension (in Inches):  HxWxD (39x57x20) Wall opening on 4 inches smiting from the floor with following:-
2 Nos contactless sensor based bubbled / spout with basin for each bubbled / spout, one at normal height and other at lower height as per relevant Standard i/c front top panel and perforated front bottom panel alongwith suitable fixing arrangement complete as per the specification.Note: Bubbled / Spout, Basin &amp; Panels shall be made of Stainless steel.
1 No. water bottling dispensers with having capacity of 60 LPH .
3 Nos pressure boosting system and each pressure boosting system shall have Hydronuematic tank, differential pressure switch of suitable capacity to meet the operating pressure range of 20 to 120PSI complete as per the specification.
4 nos. Multistage online RO system having discharge capacity of 50 LPH each and each RO should have the pressure pump, membrane, different types of filters such as pre-filters, Paniculate  Filter, Sediment  Filter, Pre Carbon Filter, Post  Carbon  Filter, TDS controller,  UV system etc. of suitable  capacity  with all other accessories  such as, valves,  control device, interconnecting pipes, fixing arrangement etc. and as per endosed specifications complete as required
3 Nos. Online remote chiller unit and each online chiller shall have cooling capacity of 30 LPH each, with R-134a referigerent, thermostate &amp; its adjustable control system, suitalble for operation on 230 V + 10%, single phase, 50Hz, AC supply complete all as required and as per endosed specifications
Supply of RO consumables for 4 No. 50 LPH RO after completion of work till the completion of DLP of 1 year.</t>
  </si>
  <si>
    <t xml:space="preserve">Mihir RATE </t>
  </si>
  <si>
    <t>RVPL Rate</t>
  </si>
  <si>
    <t>Difference Amount</t>
  </si>
  <si>
    <t>OHP</t>
  </si>
  <si>
    <t>Sr. No</t>
  </si>
  <si>
    <t>Description</t>
  </si>
  <si>
    <t>Unit</t>
  </si>
  <si>
    <t>Qty</t>
  </si>
  <si>
    <t>Rate</t>
  </si>
  <si>
    <t>Remarks</t>
  </si>
  <si>
    <t>RMC M10 with Site transport</t>
  </si>
  <si>
    <t>Labour rate with Shuttering</t>
  </si>
  <si>
    <t>Tools and tackles - 3%</t>
  </si>
  <si>
    <t>Total Rate</t>
  </si>
  <si>
    <t>Material Rate</t>
  </si>
  <si>
    <t>per Kg</t>
  </si>
  <si>
    <t>Labour rate with Shuttering and consumeable material</t>
  </si>
  <si>
    <t>Tools and tackles - 5%</t>
  </si>
  <si>
    <t>Material+ Labour+fabrication work with tools &amp; tackles</t>
  </si>
  <si>
    <t>Particulars</t>
  </si>
  <si>
    <t>Const</t>
  </si>
  <si>
    <t>Vetrified Tile</t>
  </si>
  <si>
    <t>SqM</t>
  </si>
  <si>
    <t>Cement</t>
  </si>
  <si>
    <t>Bag</t>
  </si>
  <si>
    <t>Sand</t>
  </si>
  <si>
    <t>Labour rate</t>
  </si>
  <si>
    <t>Grouting work &amp; Curing work</t>
  </si>
  <si>
    <t>LS</t>
  </si>
  <si>
    <t xml:space="preserve">Rate per SqM without OHP </t>
  </si>
  <si>
    <t>110 mm PVC</t>
  </si>
  <si>
    <t>RMT</t>
  </si>
  <si>
    <t>Labour charges for fixing</t>
  </si>
  <si>
    <t>Misc - 5%</t>
  </si>
  <si>
    <t xml:space="preserve">Rate per RMT Without OHP </t>
  </si>
  <si>
    <t>Primer Cost</t>
  </si>
  <si>
    <t>per Sqm</t>
  </si>
  <si>
    <t>Labour charges including scaffolding &amp; tools</t>
  </si>
  <si>
    <t>Tools &amp; tackles</t>
  </si>
  <si>
    <t>Primer per SqM without OHP</t>
  </si>
  <si>
    <t>Finishing  walls  with  Acrylic  Smooth  exterior  paint  of  required  shade  :New  work  (Two  or more  coat  applied  @  1.67 Itr/10 sqm over and including priming coat of exterior primer applied @ 2.20 kg/10 sqm)</t>
  </si>
  <si>
    <t>Acrylic smooth Exterior Paint</t>
  </si>
  <si>
    <t>Tools &amp; tackles - 3%</t>
  </si>
  <si>
    <t>Acrylic smooth exterior paint per SqM without OHP</t>
  </si>
  <si>
    <t>PCC Concrete breaking by using Rock Breaker</t>
  </si>
  <si>
    <t>rate as per deviation statement</t>
  </si>
  <si>
    <t>Site to Site Disposal</t>
  </si>
  <si>
    <t>Concrete Breaking per Cum without OHP</t>
  </si>
  <si>
    <t>RCC Concrete breaking by using Rock Breaker</t>
  </si>
  <si>
    <t>Reinforcement steel - cutting work</t>
  </si>
  <si>
    <t>Charges for dismantaling of floor &amp; roofs</t>
  </si>
  <si>
    <t>Site  Establishment Charges</t>
  </si>
  <si>
    <t>No</t>
  </si>
  <si>
    <t>Months</t>
  </si>
  <si>
    <t xml:space="preserve">Rate </t>
  </si>
  <si>
    <t xml:space="preserve">Amount </t>
  </si>
  <si>
    <t xml:space="preserve">Site Office </t>
  </si>
  <si>
    <t xml:space="preserve">Staff Accomodation </t>
  </si>
  <si>
    <t>Supervisor Room</t>
  </si>
  <si>
    <t>Total</t>
  </si>
  <si>
    <t>%</t>
  </si>
  <si>
    <t xml:space="preserve">Utility Vehicles </t>
  </si>
  <si>
    <t>Sr. No.</t>
  </si>
  <si>
    <t xml:space="preserve">Types of Vehicle </t>
  </si>
  <si>
    <t xml:space="preserve">Rent </t>
  </si>
  <si>
    <t>Fuel</t>
  </si>
  <si>
    <t xml:space="preserve">Total amount per month </t>
  </si>
  <si>
    <t>TATA Sumo</t>
  </si>
  <si>
    <t xml:space="preserve">Two Wheeler </t>
  </si>
  <si>
    <t>Weigh Bridge</t>
  </si>
  <si>
    <t>DG 15 Kva</t>
  </si>
  <si>
    <t xml:space="preserve">Total Monthly expenses </t>
  </si>
  <si>
    <t>Computer, Printer etc. for Authority</t>
  </si>
  <si>
    <t xml:space="preserve"> Total Cost of all utility, site estb. </t>
  </si>
  <si>
    <t>NSV</t>
  </si>
  <si>
    <t>Prime Cost</t>
  </si>
  <si>
    <t>Staff Salary</t>
  </si>
  <si>
    <t>A</t>
  </si>
  <si>
    <t>Common</t>
  </si>
  <si>
    <t>PF+ESI</t>
  </si>
  <si>
    <t xml:space="preserve">Months </t>
  </si>
  <si>
    <t>Monthly Wages</t>
  </si>
  <si>
    <t>Per Person</t>
  </si>
  <si>
    <t>Project Manager</t>
  </si>
  <si>
    <t>Quantity Surveyor</t>
  </si>
  <si>
    <t>Store Keeper</t>
  </si>
  <si>
    <t>Quality Engineer</t>
  </si>
  <si>
    <t>Lab Assistant</t>
  </si>
  <si>
    <t>Liasoning</t>
  </si>
  <si>
    <t>Weigh Bridge Operator</t>
  </si>
  <si>
    <t>Driver</t>
  </si>
  <si>
    <t>Office Boy</t>
  </si>
  <si>
    <t>Watchman</t>
  </si>
  <si>
    <t>Mess</t>
  </si>
  <si>
    <t>Labor</t>
  </si>
  <si>
    <t>B</t>
  </si>
  <si>
    <t>Jr. Engineer</t>
  </si>
  <si>
    <t>Supervisor</t>
  </si>
  <si>
    <t>C</t>
  </si>
  <si>
    <t>D</t>
  </si>
  <si>
    <t>HO  Salary</t>
  </si>
  <si>
    <t xml:space="preserve">Overheads </t>
  </si>
  <si>
    <t>1)</t>
  </si>
  <si>
    <t>Staff Expenses</t>
  </si>
  <si>
    <t>2)</t>
  </si>
  <si>
    <t xml:space="preserve">HO Overheads </t>
  </si>
  <si>
    <t>3)</t>
  </si>
  <si>
    <t xml:space="preserve">Utility Vehicles  &amp; Site establishment charges </t>
  </si>
  <si>
    <t>4)</t>
  </si>
  <si>
    <t>Other Expenses</t>
  </si>
  <si>
    <t>a)</t>
  </si>
  <si>
    <t>Design Consultant/Survey</t>
  </si>
  <si>
    <t>b)</t>
  </si>
  <si>
    <t>c)</t>
  </si>
  <si>
    <t xml:space="preserve">Water Charges </t>
  </si>
  <si>
    <t>d)</t>
  </si>
  <si>
    <t xml:space="preserve">Electricity Charges </t>
  </si>
  <si>
    <t>e)</t>
  </si>
  <si>
    <t>Testing Charges</t>
  </si>
  <si>
    <t>f)</t>
  </si>
  <si>
    <t xml:space="preserve">Statutory Requirements </t>
  </si>
  <si>
    <t>g)</t>
  </si>
  <si>
    <t>PF &amp; ESI</t>
  </si>
  <si>
    <t>h)</t>
  </si>
  <si>
    <t xml:space="preserve">Computer, Stationery, Furniture etc. </t>
  </si>
  <si>
    <t>5)</t>
  </si>
  <si>
    <t xml:space="preserve"> Safety measures</t>
  </si>
  <si>
    <t>6)</t>
  </si>
  <si>
    <t>Machinery Maintenance</t>
  </si>
  <si>
    <t>7)</t>
  </si>
  <si>
    <t>Contingency</t>
  </si>
  <si>
    <t>8)</t>
  </si>
  <si>
    <t xml:space="preserve">Considered </t>
  </si>
  <si>
    <t>Additional Overheads</t>
  </si>
  <si>
    <t>ATR</t>
  </si>
  <si>
    <t>Labor Cess</t>
  </si>
  <si>
    <t>Unforseen Circumstances</t>
  </si>
  <si>
    <t>Maintenance</t>
  </si>
  <si>
    <t>Profit</t>
  </si>
  <si>
    <t>Final Quote</t>
  </si>
  <si>
    <t>Civil Work</t>
  </si>
  <si>
    <t>E&amp;M Work</t>
  </si>
  <si>
    <t>Sr Engr</t>
  </si>
  <si>
    <t>Labor Expenses</t>
  </si>
  <si>
    <t>Director Expenses</t>
  </si>
  <si>
    <t xml:space="preserve">For 6 Months </t>
  </si>
  <si>
    <t>Operational Area Work OH</t>
  </si>
  <si>
    <t>Finance Cost</t>
  </si>
  <si>
    <t>Bob Cat</t>
  </si>
  <si>
    <t>Performance Security</t>
  </si>
  <si>
    <t>Misc</t>
  </si>
  <si>
    <t>Total Capital</t>
  </si>
  <si>
    <t>Interest Rate @ 10%</t>
  </si>
  <si>
    <t>For 6 Months</t>
  </si>
  <si>
    <t>Initial Rolling</t>
  </si>
  <si>
    <t>Final Amount</t>
  </si>
  <si>
    <t>Tender Put to Cost</t>
  </si>
  <si>
    <t>ATR Quote</t>
  </si>
  <si>
    <r>
      <t xml:space="preserve">% </t>
    </r>
    <r>
      <rPr>
        <sz val="12"/>
        <color rgb="FF0070C0"/>
        <rFont val="Calibri (Body)"/>
      </rPr>
      <t>Above/</t>
    </r>
    <r>
      <rPr>
        <sz val="12"/>
        <color rgb="FFFF0000"/>
        <rFont val="Calibri (Body)"/>
      </rPr>
      <t>Below</t>
    </r>
  </si>
  <si>
    <t>HO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</si>
</sst>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 #,##0.00_ ;_ * \-#,##0.00_ ;_ * &quot;-&quot;??_ ;_ @_ "/>
    <numFmt numFmtId="165" formatCode="0.0"/>
    <numFmt numFmtId="167" formatCode="0.000"/>
    <numFmt numFmtId="169" formatCode="0;[Red]0"/>
    <numFmt numFmtId="170" formatCode="0.0000"/>
    <numFmt numFmtId="171" formatCode="&quot;Supervision Charges&quot;\ 0.00%"/>
  </numFmts>
  <fonts count="27" x14ac:knownFonts="1">
    <font>
      <sz val="10"/>
      <color rgb="FF000000"/>
      <name val="Times New Roman"/>
      <charset val="204"/>
    </font>
    <font>
      <sz val="12"/>
      <color theme="1"/>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b/>
      <sz val="12"/>
      <name val="Calibri"/>
      <family val="2"/>
      <scheme val="minor"/>
    </font>
    <font>
      <b/>
      <sz val="12"/>
      <color rgb="FF000066"/>
      <name val="Calibri"/>
      <family val="2"/>
      <scheme val="minor"/>
    </font>
    <font>
      <i/>
      <sz val="12"/>
      <name val="Calibri"/>
      <family val="2"/>
      <scheme val="minor"/>
    </font>
    <font>
      <sz val="12"/>
      <color rgb="FF0F0F0F"/>
      <name val="Calibri"/>
      <family val="2"/>
      <scheme val="minor"/>
    </font>
    <font>
      <sz val="12"/>
      <color rgb="FF1F1F1F"/>
      <name val="Calibri"/>
      <family val="2"/>
      <scheme val="minor"/>
    </font>
    <font>
      <sz val="10"/>
      <color rgb="FF000000"/>
      <name val="Times New Roman"/>
      <family val="1"/>
    </font>
    <font>
      <sz val="12"/>
      <color rgb="FFFF0000"/>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0"/>
      <color theme="1"/>
      <name val="Book Antiqua"/>
      <family val="1"/>
    </font>
    <font>
      <b/>
      <sz val="11"/>
      <color theme="1"/>
      <name val="Calibri"/>
      <family val="2"/>
      <scheme val="minor"/>
    </font>
    <font>
      <sz val="11"/>
      <color rgb="FF000000"/>
      <name val="Calibri"/>
      <family val="2"/>
      <scheme val="minor"/>
    </font>
    <font>
      <sz val="12"/>
      <color rgb="FF000000"/>
      <name val="Calibri"/>
      <family val="2"/>
    </font>
    <font>
      <b/>
      <sz val="11"/>
      <color rgb="FF000000"/>
      <name val="Calibri"/>
      <family val="2"/>
      <scheme val="minor"/>
    </font>
    <font>
      <sz val="11"/>
      <color theme="1"/>
      <name val="Calibri"/>
      <family val="2"/>
      <scheme val="minor"/>
    </font>
    <font>
      <sz val="10"/>
      <name val="Arial"/>
      <family val="2"/>
    </font>
    <font>
      <sz val="9"/>
      <name val="Arial"/>
      <family val="2"/>
    </font>
    <font>
      <b/>
      <sz val="10"/>
      <name val="Arial"/>
      <family val="2"/>
    </font>
    <font>
      <b/>
      <sz val="12"/>
      <color rgb="FFFF0000"/>
      <name val="Calibri"/>
      <family val="2"/>
      <scheme val="minor"/>
    </font>
    <font>
      <sz val="12"/>
      <color rgb="FFFF0000"/>
      <name val="Calibri (Body)"/>
    </font>
    <font>
      <sz val="12"/>
      <color rgb="FF0070C0"/>
      <name val="Calibri (Body)"/>
    </font>
  </fonts>
  <fills count="6">
    <fill>
      <patternFill patternType="none"/>
    </fill>
    <fill>
      <patternFill patternType="gray125"/>
    </fill>
    <fill>
      <patternFill patternType="solid">
        <fgColor rgb="FFCCFFFF"/>
      </patternFill>
    </fill>
    <fill>
      <patternFill patternType="solid">
        <fgColor rgb="FF92D050"/>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164" fontId="10" fillId="0" borderId="0" applyFont="0" applyFill="0" applyBorder="0" applyAlignment="0" applyProtection="0"/>
    <xf numFmtId="9" fontId="10" fillId="0" borderId="0" applyFont="0" applyFill="0" applyBorder="0" applyAlignment="0" applyProtection="0"/>
    <xf numFmtId="0" fontId="18" fillId="0" borderId="0"/>
    <xf numFmtId="0" fontId="20" fillId="0" borderId="0"/>
    <xf numFmtId="0" fontId="21" fillId="0" borderId="0"/>
    <xf numFmtId="0" fontId="21" fillId="0" borderId="0"/>
    <xf numFmtId="0" fontId="21" fillId="0" borderId="0"/>
  </cellStyleXfs>
  <cellXfs count="161">
    <xf numFmtId="0" fontId="0" fillId="0" borderId="0" xfId="0" applyAlignment="1">
      <alignment horizontal="left" vertical="top"/>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1" fontId="2" fillId="0" borderId="1" xfId="0" applyNumberFormat="1" applyFont="1" applyBorder="1" applyAlignment="1">
      <alignment horizontal="center" vertical="center" shrinkToFit="1"/>
    </xf>
    <xf numFmtId="2" fontId="2"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165" fontId="2" fillId="0" borderId="1" xfId="0" applyNumberFormat="1" applyFont="1" applyBorder="1" applyAlignment="1">
      <alignment horizontal="center" vertical="center" shrinkToFit="1"/>
    </xf>
    <xf numFmtId="1" fontId="2" fillId="0" borderId="3" xfId="0" applyNumberFormat="1" applyFont="1" applyBorder="1" applyAlignment="1">
      <alignment horizontal="center" vertical="center" shrinkToFit="1"/>
    </xf>
    <xf numFmtId="0" fontId="3" fillId="0" borderId="3" xfId="0" applyFont="1" applyBorder="1" applyAlignment="1">
      <alignment horizontal="center" vertical="center" wrapText="1"/>
    </xf>
    <xf numFmtId="2" fontId="2" fillId="0" borderId="3" xfId="0" applyNumberFormat="1" applyFont="1" applyBorder="1" applyAlignment="1">
      <alignment horizontal="center" vertical="center" shrinkToFit="1"/>
    </xf>
    <xf numFmtId="2" fontId="3" fillId="0" borderId="1" xfId="0" applyNumberFormat="1" applyFont="1" applyBorder="1" applyAlignment="1">
      <alignment horizontal="center" vertical="center" wrapText="1"/>
    </xf>
    <xf numFmtId="4" fontId="2" fillId="0" borderId="1" xfId="0" applyNumberFormat="1" applyFont="1" applyBorder="1" applyAlignment="1">
      <alignment horizontal="center" vertical="center" shrinkToFit="1"/>
    </xf>
    <xf numFmtId="1" fontId="5" fillId="0" borderId="1" xfId="0" applyNumberFormat="1" applyFont="1" applyBorder="1" applyAlignment="1">
      <alignment horizontal="center" vertical="center" wrapText="1"/>
    </xf>
    <xf numFmtId="1" fontId="4" fillId="2"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4" fillId="0" borderId="5" xfId="0" applyFont="1" applyBorder="1" applyAlignment="1">
      <alignment horizontal="center" vertical="center"/>
    </xf>
    <xf numFmtId="0" fontId="2" fillId="0" borderId="5" xfId="0" applyFont="1" applyBorder="1" applyAlignment="1">
      <alignment horizontal="center" vertical="center"/>
    </xf>
    <xf numFmtId="0" fontId="13" fillId="0" borderId="5" xfId="0" applyFont="1" applyBorder="1" applyAlignment="1">
      <alignment horizontal="center" vertical="center"/>
    </xf>
    <xf numFmtId="0" fontId="14" fillId="0" borderId="0" xfId="0" applyFont="1" applyAlignment="1">
      <alignment horizontal="center" vertical="center"/>
    </xf>
    <xf numFmtId="0" fontId="14" fillId="0" borderId="7" xfId="0" applyFont="1" applyBorder="1" applyAlignment="1">
      <alignment horizontal="center" vertical="center"/>
    </xf>
    <xf numFmtId="0" fontId="14" fillId="0" borderId="5" xfId="0" applyFont="1" applyFill="1" applyBorder="1" applyAlignment="1">
      <alignment horizontal="justify" vertical="center" wrapText="1"/>
    </xf>
    <xf numFmtId="0" fontId="14" fillId="0" borderId="5" xfId="0" applyFont="1" applyBorder="1" applyAlignment="1">
      <alignment horizontal="center" vertical="center"/>
    </xf>
    <xf numFmtId="0" fontId="14" fillId="0" borderId="8" xfId="0" applyFont="1" applyBorder="1" applyAlignment="1">
      <alignment horizontal="center" vertical="center"/>
    </xf>
    <xf numFmtId="1" fontId="14" fillId="0" borderId="5" xfId="0" applyNumberFormat="1" applyFont="1" applyBorder="1" applyAlignment="1">
      <alignment horizontal="center" vertical="center"/>
    </xf>
    <xf numFmtId="165" fontId="14" fillId="0" borderId="5" xfId="0" applyNumberFormat="1" applyFont="1" applyFill="1" applyBorder="1" applyAlignment="1">
      <alignment horizontal="center" vertical="center"/>
    </xf>
    <xf numFmtId="165" fontId="14" fillId="0" borderId="5" xfId="0" applyNumberFormat="1" applyFont="1" applyBorder="1" applyAlignment="1">
      <alignment horizontal="center" vertical="center"/>
    </xf>
    <xf numFmtId="1" fontId="14" fillId="0" borderId="5" xfId="0" applyNumberFormat="1" applyFont="1" applyFill="1" applyBorder="1" applyAlignment="1">
      <alignment horizontal="center" vertical="center"/>
    </xf>
    <xf numFmtId="0" fontId="14" fillId="0" borderId="5" xfId="0" applyFont="1" applyBorder="1" applyAlignment="1">
      <alignment vertical="center"/>
    </xf>
    <xf numFmtId="0" fontId="14" fillId="0" borderId="9" xfId="0" applyFont="1" applyBorder="1" applyAlignment="1">
      <alignment horizontal="center" vertical="center"/>
    </xf>
    <xf numFmtId="0" fontId="15" fillId="4" borderId="5" xfId="0" applyFont="1" applyFill="1" applyBorder="1" applyAlignment="1">
      <alignment vertical="center"/>
    </xf>
    <xf numFmtId="0" fontId="15" fillId="4" borderId="5" xfId="0" applyFont="1" applyFill="1" applyBorder="1" applyAlignment="1">
      <alignment horizontal="center" vertical="center"/>
    </xf>
    <xf numFmtId="165" fontId="15" fillId="4" borderId="5" xfId="0" applyNumberFormat="1" applyFont="1" applyFill="1" applyBorder="1" applyAlignment="1">
      <alignment horizontal="center" vertical="center"/>
    </xf>
    <xf numFmtId="0" fontId="0" fillId="0" borderId="5" xfId="0" applyBorder="1"/>
    <xf numFmtId="0" fontId="0" fillId="0" borderId="5" xfId="0" applyBorder="1" applyAlignment="1">
      <alignment horizontal="left" vertical="center" wrapText="1"/>
    </xf>
    <xf numFmtId="0" fontId="0" fillId="0" borderId="0" xfId="0"/>
    <xf numFmtId="0" fontId="16" fillId="0" borderId="5" xfId="0" applyFont="1" applyFill="1" applyBorder="1" applyAlignment="1">
      <alignment horizontal="center" vertical="center"/>
    </xf>
    <xf numFmtId="0" fontId="10" fillId="0" borderId="5" xfId="0" applyFont="1" applyFill="1" applyBorder="1" applyAlignment="1">
      <alignment horizontal="left" vertical="center"/>
    </xf>
    <xf numFmtId="0" fontId="0" fillId="0" borderId="5" xfId="0" applyFont="1" applyFill="1" applyBorder="1" applyAlignment="1">
      <alignment horizontal="center" vertical="center"/>
    </xf>
    <xf numFmtId="2" fontId="0" fillId="0" borderId="5" xfId="0" applyNumberFormat="1" applyFont="1" applyFill="1" applyBorder="1" applyAlignment="1">
      <alignment horizontal="center" vertical="center"/>
    </xf>
    <xf numFmtId="1" fontId="0" fillId="0" borderId="5" xfId="0" applyNumberFormat="1" applyFont="1" applyFill="1" applyBorder="1" applyAlignment="1">
      <alignment horizontal="center" vertical="center"/>
    </xf>
    <xf numFmtId="165" fontId="0" fillId="0" borderId="5" xfId="0" applyNumberFormat="1" applyFont="1" applyFill="1" applyBorder="1" applyAlignment="1">
      <alignment horizontal="center" vertical="center"/>
    </xf>
    <xf numFmtId="0" fontId="0" fillId="0" borderId="5" xfId="0" applyFont="1" applyFill="1" applyBorder="1" applyAlignment="1">
      <alignment horizontal="left" vertical="center"/>
    </xf>
    <xf numFmtId="2" fontId="0" fillId="0" borderId="0" xfId="0" applyNumberFormat="1"/>
    <xf numFmtId="0" fontId="17" fillId="0" borderId="5" xfId="0" applyFont="1" applyBorder="1" applyAlignment="1">
      <alignment horizontal="left" vertical="center" wrapText="1"/>
    </xf>
    <xf numFmtId="0" fontId="17" fillId="0" borderId="5" xfId="3" applyFont="1" applyBorder="1" applyAlignment="1">
      <alignment horizontal="center" vertical="center"/>
    </xf>
    <xf numFmtId="2" fontId="17" fillId="0" borderId="5" xfId="3" applyNumberFormat="1" applyFont="1" applyBorder="1" applyAlignment="1">
      <alignment horizontal="center" vertical="center"/>
    </xf>
    <xf numFmtId="165" fontId="17" fillId="0" borderId="5" xfId="3" applyNumberFormat="1" applyFont="1" applyBorder="1" applyAlignment="1">
      <alignment horizontal="center" vertical="center"/>
    </xf>
    <xf numFmtId="0" fontId="16" fillId="0" borderId="5" xfId="0" applyFont="1" applyFill="1" applyBorder="1" applyAlignment="1">
      <alignment horizontal="center" vertical="center"/>
    </xf>
    <xf numFmtId="165" fontId="19" fillId="3" borderId="5" xfId="3" applyNumberFormat="1" applyFont="1" applyFill="1" applyBorder="1" applyAlignment="1">
      <alignment horizontal="center" vertical="center"/>
    </xf>
    <xf numFmtId="0" fontId="0" fillId="0" borderId="5" xfId="0" applyFill="1" applyBorder="1" applyAlignment="1">
      <alignment horizontal="left" vertical="center" wrapText="1"/>
    </xf>
    <xf numFmtId="0" fontId="17" fillId="0" borderId="5" xfId="0" applyFont="1" applyFill="1" applyBorder="1" applyAlignment="1">
      <alignment horizontal="left" vertical="center" wrapText="1"/>
    </xf>
    <xf numFmtId="0" fontId="17" fillId="0" borderId="5" xfId="3" applyFont="1" applyFill="1" applyBorder="1" applyAlignment="1">
      <alignment horizontal="center" vertical="center"/>
    </xf>
    <xf numFmtId="165" fontId="17" fillId="3" borderId="5" xfId="3" applyNumberFormat="1" applyFont="1" applyFill="1" applyBorder="1" applyAlignment="1">
      <alignment horizontal="center" vertical="center"/>
    </xf>
    <xf numFmtId="0" fontId="0" fillId="0" borderId="5" xfId="0" applyFont="1" applyBorder="1" applyAlignment="1">
      <alignment horizontal="center" vertical="center"/>
    </xf>
    <xf numFmtId="1" fontId="21" fillId="0" borderId="5" xfId="4" applyNumberFormat="1" applyFont="1" applyFill="1" applyBorder="1" applyAlignment="1">
      <alignment horizontal="left" vertical="center" wrapText="1"/>
    </xf>
    <xf numFmtId="0" fontId="0" fillId="0" borderId="0" xfId="0" applyFont="1" applyAlignment="1">
      <alignment horizontal="center" vertical="center"/>
    </xf>
    <xf numFmtId="1" fontId="21" fillId="0" borderId="5" xfId="4" applyNumberFormat="1" applyFont="1" applyFill="1" applyBorder="1" applyAlignment="1">
      <alignment horizontal="left" vertical="center" wrapText="1"/>
    </xf>
    <xf numFmtId="167" fontId="21" fillId="0" borderId="5" xfId="4" applyNumberFormat="1" applyFont="1" applyFill="1" applyBorder="1" applyAlignment="1">
      <alignment horizontal="center" vertical="center" wrapText="1"/>
    </xf>
    <xf numFmtId="2" fontId="22" fillId="0" borderId="5" xfId="4" applyNumberFormat="1" applyFont="1" applyFill="1" applyBorder="1" applyAlignment="1">
      <alignment horizontal="center" vertical="center" wrapText="1"/>
    </xf>
    <xf numFmtId="2" fontId="21" fillId="0" borderId="5" xfId="5" applyNumberFormat="1" applyFont="1" applyFill="1" applyBorder="1" applyAlignment="1">
      <alignment horizontal="center" vertical="center"/>
    </xf>
    <xf numFmtId="0" fontId="21" fillId="0" borderId="5" xfId="5" applyFont="1" applyFill="1" applyBorder="1" applyAlignment="1">
      <alignment vertical="center"/>
    </xf>
    <xf numFmtId="0" fontId="21" fillId="0" borderId="5" xfId="5" applyFont="1" applyFill="1" applyBorder="1" applyAlignment="1">
      <alignment horizontal="center" vertical="center"/>
    </xf>
    <xf numFmtId="2" fontId="21" fillId="0" borderId="5" xfId="5" applyNumberFormat="1" applyFont="1" applyFill="1" applyBorder="1" applyAlignment="1">
      <alignment vertical="center"/>
    </xf>
    <xf numFmtId="0" fontId="23" fillId="0" borderId="5" xfId="5" applyFont="1" applyFill="1" applyBorder="1" applyAlignment="1">
      <alignment horizontal="center" vertical="center"/>
    </xf>
    <xf numFmtId="2" fontId="23" fillId="3" borderId="5" xfId="5" applyNumberFormat="1" applyFont="1" applyFill="1" applyBorder="1" applyAlignment="1">
      <alignment horizontal="center" vertical="center"/>
    </xf>
    <xf numFmtId="0" fontId="10" fillId="0" borderId="5" xfId="0" applyFont="1" applyBorder="1" applyAlignment="1">
      <alignment horizontal="center" vertical="center" wrapText="1"/>
    </xf>
    <xf numFmtId="0" fontId="0" fillId="0" borderId="5" xfId="0" applyFill="1" applyBorder="1" applyAlignment="1">
      <alignment horizontal="left" vertical="top"/>
    </xf>
    <xf numFmtId="0" fontId="0" fillId="0" borderId="0" xfId="0" applyFill="1" applyBorder="1" applyAlignment="1">
      <alignment horizontal="left" vertical="top"/>
    </xf>
    <xf numFmtId="0" fontId="12" fillId="0" borderId="0" xfId="0" applyFont="1" applyAlignment="1">
      <alignment horizontal="center"/>
    </xf>
    <xf numFmtId="0" fontId="1" fillId="0" borderId="0" xfId="0" applyFont="1"/>
    <xf numFmtId="0" fontId="1" fillId="0" borderId="5" xfId="0" applyFont="1" applyBorder="1"/>
    <xf numFmtId="0" fontId="12" fillId="0" borderId="5" xfId="0" applyFont="1" applyBorder="1"/>
    <xf numFmtId="0" fontId="12" fillId="0" borderId="0" xfId="0" applyFont="1"/>
    <xf numFmtId="10" fontId="12" fillId="0" borderId="5" xfId="0" applyNumberFormat="1" applyFont="1" applyBorder="1"/>
    <xf numFmtId="0" fontId="12" fillId="0" borderId="5" xfId="0" applyFont="1" applyBorder="1" applyAlignment="1">
      <alignment horizontal="center"/>
    </xf>
    <xf numFmtId="1" fontId="1" fillId="0" borderId="5" xfId="0" applyNumberFormat="1" applyFont="1" applyBorder="1"/>
    <xf numFmtId="169" fontId="1" fillId="0" borderId="5" xfId="0" applyNumberFormat="1" applyFont="1" applyBorder="1" applyAlignment="1"/>
    <xf numFmtId="0" fontId="12" fillId="0" borderId="5" xfId="0" applyFont="1" applyBorder="1" applyAlignment="1"/>
    <xf numFmtId="0" fontId="1" fillId="0" borderId="0" xfId="0" applyFont="1" applyAlignment="1">
      <alignment horizontal="center"/>
    </xf>
    <xf numFmtId="0" fontId="12" fillId="0" borderId="10"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0" fontId="1" fillId="0" borderId="5" xfId="0" applyFont="1" applyBorder="1" applyAlignment="1">
      <alignment wrapText="1"/>
    </xf>
    <xf numFmtId="1" fontId="3" fillId="0" borderId="5" xfId="0" applyNumberFormat="1" applyFont="1" applyBorder="1"/>
    <xf numFmtId="0" fontId="1" fillId="0" borderId="10" xfId="0" applyFont="1" applyBorder="1"/>
    <xf numFmtId="0" fontId="1" fillId="0" borderId="11" xfId="0" applyFont="1" applyBorder="1"/>
    <xf numFmtId="1" fontId="3" fillId="0" borderId="11" xfId="0" applyNumberFormat="1" applyFont="1" applyBorder="1"/>
    <xf numFmtId="0" fontId="1" fillId="0" borderId="12" xfId="0" applyFont="1" applyBorder="1"/>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10" fontId="12" fillId="0" borderId="0" xfId="0" applyNumberFormat="1" applyFont="1"/>
    <xf numFmtId="0" fontId="12" fillId="0" borderId="5" xfId="0" applyFont="1" applyBorder="1" applyAlignment="1">
      <alignment horizontal="center" vertical="center"/>
    </xf>
    <xf numFmtId="0" fontId="1" fillId="0" borderId="0" xfId="0" applyFont="1" applyAlignment="1">
      <alignment horizontal="center" vertical="center"/>
    </xf>
    <xf numFmtId="0" fontId="5" fillId="0" borderId="5" xfId="6" applyFont="1" applyBorder="1" applyAlignment="1">
      <alignment horizontal="center" vertical="center"/>
    </xf>
    <xf numFmtId="0" fontId="5" fillId="0" borderId="5" xfId="6" applyFont="1" applyBorder="1" applyAlignment="1">
      <alignment horizontal="center" vertical="center"/>
    </xf>
    <xf numFmtId="0" fontId="3" fillId="0" borderId="5" xfId="6" applyFont="1" applyBorder="1" applyAlignment="1">
      <alignment horizontal="center" vertical="center"/>
    </xf>
    <xf numFmtId="0" fontId="3" fillId="0" borderId="5" xfId="6" applyFont="1" applyFill="1" applyBorder="1" applyAlignment="1">
      <alignment horizontal="center" vertical="center"/>
    </xf>
    <xf numFmtId="0" fontId="3" fillId="0" borderId="5" xfId="6" applyFont="1" applyFill="1" applyBorder="1" applyAlignment="1">
      <alignment horizontal="center" vertical="center" wrapText="1"/>
    </xf>
    <xf numFmtId="0" fontId="1" fillId="0" borderId="5" xfId="0" applyFont="1" applyBorder="1" applyAlignment="1">
      <alignment horizontal="center" vertical="center"/>
    </xf>
    <xf numFmtId="1" fontId="3" fillId="0" borderId="5" xfId="6" applyNumberFormat="1" applyFont="1" applyFill="1" applyBorder="1" applyAlignment="1">
      <alignment horizontal="center" vertical="center"/>
    </xf>
    <xf numFmtId="0" fontId="5" fillId="0" borderId="5" xfId="6" applyFont="1" applyFill="1" applyBorder="1" applyAlignment="1">
      <alignment horizontal="center" vertical="center"/>
    </xf>
    <xf numFmtId="0" fontId="12" fillId="0" borderId="5" xfId="0" applyFont="1" applyBorder="1" applyAlignment="1">
      <alignment horizontal="center" vertical="center"/>
    </xf>
    <xf numFmtId="10" fontId="1" fillId="0" borderId="5" xfId="0" applyNumberFormat="1" applyFont="1" applyBorder="1" applyAlignment="1">
      <alignment horizontal="center" vertical="center"/>
    </xf>
    <xf numFmtId="170" fontId="5" fillId="0" borderId="5" xfId="6" applyNumberFormat="1" applyFont="1" applyBorder="1" applyAlignment="1">
      <alignment horizontal="center" vertical="center"/>
    </xf>
    <xf numFmtId="1" fontId="1" fillId="0" borderId="5" xfId="0" applyNumberFormat="1" applyFont="1" applyBorder="1" applyAlignment="1">
      <alignment horizontal="center" vertical="center"/>
    </xf>
    <xf numFmtId="1" fontId="3" fillId="0" borderId="5" xfId="6" applyNumberFormat="1" applyFont="1" applyBorder="1" applyAlignment="1">
      <alignment horizontal="center" vertical="center"/>
    </xf>
    <xf numFmtId="1" fontId="12" fillId="0" borderId="5" xfId="0" applyNumberFormat="1" applyFont="1" applyBorder="1" applyAlignment="1">
      <alignment horizontal="center" vertical="center"/>
    </xf>
    <xf numFmtId="10" fontId="12" fillId="0" borderId="5" xfId="0" applyNumberFormat="1" applyFont="1" applyBorder="1" applyAlignment="1">
      <alignment horizontal="center" vertical="center"/>
    </xf>
    <xf numFmtId="0" fontId="12" fillId="0" borderId="0" xfId="0" applyFont="1" applyAlignment="1">
      <alignment horizontal="center" vertical="center"/>
    </xf>
    <xf numFmtId="0" fontId="3" fillId="0" borderId="5" xfId="7" applyFont="1" applyBorder="1" applyAlignment="1">
      <alignment horizontal="right" vertical="center"/>
    </xf>
    <xf numFmtId="0" fontId="3" fillId="0" borderId="5" xfId="7" applyFont="1" applyBorder="1" applyAlignment="1">
      <alignment horizontal="center" vertical="center"/>
    </xf>
    <xf numFmtId="0" fontId="1" fillId="0" borderId="5" xfId="7" applyFont="1" applyBorder="1" applyAlignment="1">
      <alignment horizontal="right" vertical="center"/>
    </xf>
    <xf numFmtId="0" fontId="1" fillId="0" borderId="5" xfId="7" applyFont="1" applyBorder="1" applyAlignment="1">
      <alignment horizontal="center" vertical="center"/>
    </xf>
    <xf numFmtId="2" fontId="1" fillId="0" borderId="0" xfId="0" applyNumberFormat="1" applyFont="1" applyAlignment="1">
      <alignment horizontal="center" vertical="center"/>
    </xf>
    <xf numFmtId="10" fontId="1" fillId="0" borderId="5" xfId="0" applyNumberFormat="1" applyFont="1" applyFill="1" applyBorder="1" applyAlignment="1">
      <alignment horizontal="center" vertical="center"/>
    </xf>
    <xf numFmtId="10" fontId="1" fillId="0" borderId="5" xfId="2" applyNumberFormat="1" applyFont="1" applyBorder="1" applyAlignment="1">
      <alignment horizontal="center" vertical="center"/>
    </xf>
    <xf numFmtId="2" fontId="3" fillId="0" borderId="5" xfId="6" applyNumberFormat="1" applyFont="1" applyBorder="1" applyAlignment="1">
      <alignment horizontal="right" vertical="center"/>
    </xf>
    <xf numFmtId="2" fontId="3" fillId="0" borderId="5" xfId="6" applyNumberFormat="1" applyFont="1" applyBorder="1" applyAlignment="1">
      <alignment horizontal="center" vertical="center"/>
    </xf>
    <xf numFmtId="169" fontId="3" fillId="5" borderId="5" xfId="6" quotePrefix="1" applyNumberFormat="1" applyFont="1" applyFill="1" applyBorder="1" applyAlignment="1">
      <alignment horizontal="right" vertical="center"/>
    </xf>
    <xf numFmtId="171" fontId="3" fillId="5" borderId="5" xfId="6" quotePrefix="1" applyNumberFormat="1" applyFont="1" applyFill="1" applyBorder="1" applyAlignment="1">
      <alignment horizontal="center" vertical="center"/>
    </xf>
    <xf numFmtId="10" fontId="24" fillId="0" borderId="5" xfId="0" applyNumberFormat="1" applyFont="1" applyBorder="1" applyAlignment="1">
      <alignment horizontal="center" vertical="center"/>
    </xf>
    <xf numFmtId="10" fontId="1" fillId="0" borderId="0" xfId="0" applyNumberFormat="1" applyFont="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5" xfId="0" applyFont="1" applyBorder="1" applyAlignment="1">
      <alignment horizontal="right" vertical="center"/>
    </xf>
    <xf numFmtId="10" fontId="1" fillId="0" borderId="0" xfId="2" applyNumberFormat="1" applyFont="1" applyAlignment="1">
      <alignment horizontal="center" vertical="center"/>
    </xf>
    <xf numFmtId="9" fontId="1" fillId="0" borderId="0" xfId="0" applyNumberFormat="1" applyFont="1" applyAlignment="1">
      <alignment horizontal="center"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6" fillId="0" borderId="6" xfId="0" applyNumberFormat="1" applyFont="1" applyBorder="1" applyAlignment="1">
      <alignment horizontal="center" vertical="center" wrapText="1"/>
    </xf>
    <xf numFmtId="3" fontId="2" fillId="0" borderId="1" xfId="0" applyNumberFormat="1" applyFont="1" applyBorder="1" applyAlignment="1">
      <alignment horizontal="center" vertical="center" shrinkToFit="1"/>
    </xf>
    <xf numFmtId="3" fontId="4" fillId="0" borderId="5" xfId="0" applyNumberFormat="1" applyFont="1" applyBorder="1" applyAlignment="1">
      <alignment horizontal="center" vertical="center" wrapText="1"/>
    </xf>
    <xf numFmtId="0" fontId="4" fillId="0" borderId="0" xfId="0" applyFont="1" applyAlignment="1">
      <alignment horizontal="center" vertical="center"/>
    </xf>
    <xf numFmtId="3" fontId="2" fillId="0" borderId="0" xfId="0" applyNumberFormat="1" applyFont="1" applyAlignment="1">
      <alignment horizontal="center" vertical="center"/>
    </xf>
    <xf numFmtId="1" fontId="2" fillId="0" borderId="0" xfId="0" applyNumberFormat="1" applyFont="1" applyAlignment="1">
      <alignment horizontal="center" vertical="center"/>
    </xf>
    <xf numFmtId="4" fontId="4" fillId="3" borderId="5" xfId="0" applyNumberFormat="1" applyFont="1" applyFill="1" applyBorder="1" applyAlignment="1">
      <alignment horizontal="center" vertical="center"/>
    </xf>
    <xf numFmtId="3" fontId="2" fillId="0" borderId="0" xfId="0" applyNumberFormat="1" applyFont="1" applyAlignment="1">
      <alignment horizontal="center" vertical="center" wrapText="1"/>
    </xf>
    <xf numFmtId="4" fontId="2" fillId="0" borderId="0" xfId="0" applyNumberFormat="1" applyFont="1" applyAlignment="1">
      <alignment horizontal="center" vertical="center"/>
    </xf>
    <xf numFmtId="3" fontId="4" fillId="0" borderId="0" xfId="0" applyNumberFormat="1" applyFont="1" applyAlignment="1">
      <alignment horizontal="center" vertical="center"/>
    </xf>
    <xf numFmtId="3" fontId="4" fillId="0" borderId="5" xfId="0" applyNumberFormat="1" applyFont="1" applyBorder="1" applyAlignment="1">
      <alignment horizontal="center" vertical="center"/>
    </xf>
    <xf numFmtId="0" fontId="4" fillId="0" borderId="0" xfId="0" applyFont="1" applyAlignment="1">
      <alignment horizontal="center" vertical="center"/>
    </xf>
    <xf numFmtId="0" fontId="2" fillId="0" borderId="2" xfId="0" applyFont="1" applyBorder="1" applyAlignment="1">
      <alignment horizontal="center" vertical="center" wrapText="1"/>
    </xf>
    <xf numFmtId="1" fontId="3" fillId="0" borderId="1" xfId="0" applyNumberFormat="1" applyFont="1" applyBorder="1" applyAlignment="1">
      <alignment horizontal="center" vertical="center" wrapText="1"/>
    </xf>
    <xf numFmtId="3" fontId="2" fillId="0" borderId="5" xfId="0" applyNumberFormat="1" applyFont="1" applyBorder="1" applyAlignment="1">
      <alignment horizontal="center" vertical="center"/>
    </xf>
    <xf numFmtId="0" fontId="3" fillId="0" borderId="2" xfId="0" applyFont="1" applyBorder="1" applyAlignment="1">
      <alignment horizontal="center" vertical="center" wrapText="1"/>
    </xf>
    <xf numFmtId="3" fontId="2" fillId="0" borderId="5" xfId="1" applyNumberFormat="1" applyFont="1" applyBorder="1" applyAlignment="1">
      <alignment horizontal="center" vertical="center"/>
    </xf>
    <xf numFmtId="3" fontId="11" fillId="0" borderId="5" xfId="1" applyNumberFormat="1" applyFont="1" applyBorder="1" applyAlignment="1">
      <alignment horizontal="center" vertical="center"/>
    </xf>
    <xf numFmtId="1" fontId="2" fillId="2" borderId="1" xfId="0" applyNumberFormat="1" applyFont="1" applyFill="1" applyBorder="1" applyAlignment="1">
      <alignment horizontal="center" vertical="center" wrapText="1"/>
    </xf>
    <xf numFmtId="1" fontId="2" fillId="0" borderId="1" xfId="0" applyNumberFormat="1" applyFont="1" applyBorder="1" applyAlignment="1">
      <alignment horizontal="center" vertical="center" wrapText="1"/>
    </xf>
    <xf numFmtId="0" fontId="3" fillId="0" borderId="4" xfId="0" applyFont="1" applyBorder="1" applyAlignment="1">
      <alignment horizontal="center" vertical="center" wrapText="1"/>
    </xf>
    <xf numFmtId="3" fontId="2" fillId="2" borderId="1" xfId="0" applyNumberFormat="1" applyFont="1" applyFill="1" applyBorder="1" applyAlignment="1">
      <alignment horizontal="center" vertical="center" wrapText="1"/>
    </xf>
    <xf numFmtId="3" fontId="2" fillId="0" borderId="1" xfId="0" applyNumberFormat="1" applyFont="1" applyBorder="1" applyAlignment="1">
      <alignment horizontal="center" vertical="center" wrapText="1"/>
    </xf>
    <xf numFmtId="1" fontId="2" fillId="2" borderId="3" xfId="0" applyNumberFormat="1"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1" fontId="2" fillId="0" borderId="5" xfId="0" applyNumberFormat="1" applyFont="1" applyBorder="1" applyAlignment="1">
      <alignment horizontal="center" vertical="center"/>
    </xf>
    <xf numFmtId="3" fontId="2" fillId="0" borderId="0" xfId="0" applyNumberFormat="1" applyFont="1" applyAlignment="1">
      <alignment horizontal="center" vertical="center"/>
    </xf>
    <xf numFmtId="10" fontId="11" fillId="0" borderId="0" xfId="0" applyNumberFormat="1" applyFont="1" applyAlignment="1">
      <alignment horizontal="center" vertical="center"/>
    </xf>
  </cellXfs>
  <cellStyles count="8">
    <cellStyle name="Comma" xfId="1" builtinId="3"/>
    <cellStyle name="Normal" xfId="0" builtinId="0"/>
    <cellStyle name="Normal 103" xfId="3"/>
    <cellStyle name="Normal 12 2" xfId="6"/>
    <cellStyle name="Normal 2" xfId="4"/>
    <cellStyle name="Normal 3" xfId="7"/>
    <cellStyle name="Normal_RA Working_KMS_030407" xfId="5"/>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3980687</xdr:colOff>
      <xdr:row>3</xdr:row>
      <xdr:rowOff>0</xdr:rowOff>
    </xdr:from>
    <xdr:ext cx="631190" cy="7620"/>
    <xdr:sp macro="" textlink="">
      <xdr:nvSpPr>
        <xdr:cNvPr id="2" name="Shape 2">
          <a:extLst>
            <a:ext uri="{FF2B5EF4-FFF2-40B4-BE49-F238E27FC236}">
              <a16:creationId xmlns:a16="http://schemas.microsoft.com/office/drawing/2014/main" xmlns="" id="{00000000-0008-0000-0000-000002000000}"/>
            </a:ext>
          </a:extLst>
        </xdr:cNvPr>
        <xdr:cNvSpPr/>
      </xdr:nvSpPr>
      <xdr:spPr>
        <a:xfrm>
          <a:off x="0" y="0"/>
          <a:ext cx="631190" cy="7620"/>
        </a:xfrm>
        <a:custGeom>
          <a:avLst/>
          <a:gdLst/>
          <a:ahLst/>
          <a:cxnLst/>
          <a:rect l="0" t="0" r="0" b="0"/>
          <a:pathLst>
            <a:path w="631190" h="7620">
              <a:moveTo>
                <a:pt x="0" y="7619"/>
              </a:moveTo>
              <a:lnTo>
                <a:pt x="0" y="0"/>
              </a:lnTo>
              <a:lnTo>
                <a:pt x="630936" y="0"/>
              </a:lnTo>
              <a:lnTo>
                <a:pt x="630936" y="7619"/>
              </a:lnTo>
              <a:lnTo>
                <a:pt x="0" y="7619"/>
              </a:lnTo>
              <a:close/>
            </a:path>
          </a:pathLst>
        </a:custGeom>
        <a:solidFill>
          <a:srgbClr val="000000"/>
        </a:solidFill>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vanraisoni/Library/Messages/Attachments/44/04/C8D09038-2795-4D08-B9F7-2F248695FAC6/BOQ%20Surat%20Air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Q%20Surat%20Air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avanraisoni/Documents/RA%20Master%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Rate Analysis-GJ"/>
      <sheetName val="Conce - Working"/>
      <sheetName val="For Step-up"/>
    </sheetNames>
    <sheetDataSet>
      <sheetData sheetId="0">
        <row r="6">
          <cell r="F6">
            <v>6079</v>
          </cell>
        </row>
        <row r="46">
          <cell r="F46">
            <v>2950</v>
          </cell>
        </row>
        <row r="51">
          <cell r="F51">
            <v>1496</v>
          </cell>
        </row>
        <row r="53">
          <cell r="F53">
            <v>138</v>
          </cell>
        </row>
        <row r="54">
          <cell r="F54">
            <v>182</v>
          </cell>
        </row>
        <row r="55">
          <cell r="F55">
            <v>228</v>
          </cell>
        </row>
        <row r="61">
          <cell r="F61">
            <v>0</v>
          </cell>
        </row>
        <row r="62">
          <cell r="F62">
            <v>3380</v>
          </cell>
        </row>
        <row r="65">
          <cell r="F65">
            <v>1752</v>
          </cell>
        </row>
        <row r="66">
          <cell r="F66">
            <v>218</v>
          </cell>
        </row>
        <row r="67">
          <cell r="F67">
            <v>0</v>
          </cell>
        </row>
        <row r="68">
          <cell r="F68">
            <v>2996</v>
          </cell>
        </row>
        <row r="69">
          <cell r="F69">
            <v>3344</v>
          </cell>
        </row>
        <row r="70">
          <cell r="F70">
            <v>0</v>
          </cell>
        </row>
        <row r="71">
          <cell r="F71">
            <v>856</v>
          </cell>
        </row>
        <row r="72">
          <cell r="F72">
            <v>1174</v>
          </cell>
        </row>
        <row r="73">
          <cell r="F73">
            <v>0</v>
          </cell>
        </row>
        <row r="74">
          <cell r="F74">
            <v>784</v>
          </cell>
        </row>
        <row r="75">
          <cell r="F75">
            <v>2068</v>
          </cell>
        </row>
        <row r="76">
          <cell r="F76">
            <v>160</v>
          </cell>
        </row>
        <row r="77">
          <cell r="F77">
            <v>2448</v>
          </cell>
        </row>
        <row r="78">
          <cell r="F78">
            <v>4666</v>
          </cell>
        </row>
        <row r="79">
          <cell r="F79">
            <v>0</v>
          </cell>
        </row>
        <row r="80">
          <cell r="F80">
            <v>132</v>
          </cell>
        </row>
        <row r="81">
          <cell r="F81">
            <v>242</v>
          </cell>
        </row>
        <row r="82">
          <cell r="F82">
            <v>190</v>
          </cell>
        </row>
        <row r="83">
          <cell r="F83">
            <v>310</v>
          </cell>
        </row>
        <row r="84">
          <cell r="F84">
            <v>0</v>
          </cell>
        </row>
        <row r="85">
          <cell r="F85">
            <v>70</v>
          </cell>
        </row>
        <row r="86">
          <cell r="F86">
            <v>0</v>
          </cell>
        </row>
        <row r="87">
          <cell r="F87">
            <v>60</v>
          </cell>
        </row>
        <row r="88">
          <cell r="F88">
            <v>0</v>
          </cell>
        </row>
        <row r="89">
          <cell r="F89">
            <v>60</v>
          </cell>
        </row>
        <row r="90">
          <cell r="F90">
            <v>9200</v>
          </cell>
        </row>
        <row r="91">
          <cell r="F91">
            <v>1330</v>
          </cell>
        </row>
        <row r="92">
          <cell r="F92">
            <v>250</v>
          </cell>
        </row>
        <row r="93">
          <cell r="F93">
            <v>480</v>
          </cell>
        </row>
        <row r="94">
          <cell r="F94">
            <v>476000</v>
          </cell>
        </row>
        <row r="95">
          <cell r="F95">
            <v>0</v>
          </cell>
        </row>
        <row r="96">
          <cell r="F96">
            <v>450</v>
          </cell>
        </row>
        <row r="97">
          <cell r="F97">
            <v>320</v>
          </cell>
        </row>
        <row r="98">
          <cell r="F98">
            <v>19360</v>
          </cell>
        </row>
        <row r="99">
          <cell r="F99">
            <v>54</v>
          </cell>
        </row>
        <row r="100">
          <cell r="F100">
            <v>20</v>
          </cell>
        </row>
        <row r="102">
          <cell r="F102">
            <v>810</v>
          </cell>
        </row>
        <row r="103">
          <cell r="F103">
            <v>810</v>
          </cell>
        </row>
        <row r="104">
          <cell r="F104">
            <v>3860</v>
          </cell>
        </row>
        <row r="105">
          <cell r="F105">
            <v>8540</v>
          </cell>
        </row>
        <row r="106">
          <cell r="F106">
            <v>300</v>
          </cell>
        </row>
        <row r="107">
          <cell r="F107">
            <v>280</v>
          </cell>
        </row>
        <row r="108">
          <cell r="F108">
            <v>600</v>
          </cell>
        </row>
        <row r="109">
          <cell r="F109">
            <v>650</v>
          </cell>
        </row>
        <row r="110">
          <cell r="F110">
            <v>220</v>
          </cell>
        </row>
        <row r="112">
          <cell r="F112">
            <v>0</v>
          </cell>
        </row>
        <row r="116">
          <cell r="F116">
            <v>42000</v>
          </cell>
        </row>
        <row r="117">
          <cell r="F117">
            <v>63000</v>
          </cell>
        </row>
        <row r="118">
          <cell r="F118">
            <v>75000</v>
          </cell>
        </row>
        <row r="119">
          <cell r="F119">
            <v>84000</v>
          </cell>
        </row>
        <row r="120">
          <cell r="F120">
            <v>99000</v>
          </cell>
        </row>
        <row r="122">
          <cell r="F122">
            <v>45000</v>
          </cell>
        </row>
        <row r="123">
          <cell r="F123">
            <v>66000</v>
          </cell>
        </row>
        <row r="124">
          <cell r="F124">
            <v>78000</v>
          </cell>
        </row>
        <row r="125">
          <cell r="F125">
            <v>87000</v>
          </cell>
        </row>
        <row r="126">
          <cell r="F126">
            <v>102000</v>
          </cell>
        </row>
        <row r="129">
          <cell r="F129">
            <v>21000</v>
          </cell>
        </row>
        <row r="130">
          <cell r="F130">
            <v>39000</v>
          </cell>
        </row>
        <row r="132">
          <cell r="F132">
            <v>15000</v>
          </cell>
        </row>
        <row r="133">
          <cell r="F133">
            <v>14100</v>
          </cell>
        </row>
        <row r="134">
          <cell r="F134">
            <v>15900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Overheads"/>
      <sheetName val="Staff Salary"/>
      <sheetName val="Utility"/>
      <sheetName val="Sheet4"/>
      <sheetName val="Rate Analysis-GJ"/>
      <sheetName val="Conce - Working"/>
      <sheetName val="For Step-up"/>
    </sheetNames>
    <sheetDataSet>
      <sheetData sheetId="0">
        <row r="6">
          <cell r="C6" t="str">
            <v>Providing and laying in position cement concrete of specified grade excluding the cost of centering and shuttering - All work up to plinth level 1:2:4 (1 cement : 2 coarse sand (zone-III) derived from natural sources : 4 graded stone aggregate 20 mm nominal size derived from natural sources)</v>
          </cell>
        </row>
        <row r="10">
          <cell r="C10" t="str">
            <v>Providing and fixing frame work for partitions/ wall lining etc. made of 50x50x1.6 mm hollow MS tube, placed along the walls, ceiling and floor in a grid pattern with spacing @ 60cm centre to centre both ways (venically  &amp; horizontally)  or at required spacing near opening, with necessary welding at junctions and fixing the frame to wall/ ceiling/ floors with steel dash fasteners of 8 mm dia, 75 mm long bolt, including making provision for opening for doors, windows, electrical conduits, switch boards etc., including providing with Mo coats of approved steel primer etc. complete, all as per direction of Engineer-in-charge</v>
          </cell>
        </row>
        <row r="11">
          <cell r="C11" t="str">
            <v>Providing and fixing stainless steel ( Grade 304) railing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(for payment purpose only weight of stainless steel members shall be considered excluding fixing accessories such as nuts, bolts, fasteners etc.).</v>
          </cell>
        </row>
        <row r="14">
          <cell r="C14" t="str">
            <v>Providing and laying Vitrified tiles in different sizes (thickness to be specified by the manufacturer), with water absorption less than 0.08% and conforming to IS: 15622, of approved brand &amp; manufacturer,  in all colours and shade, in shining, riser of steps, laid with cement based high polymer  modified quick  set tile adhesive (water based) conforming to IS: 15477, in average 6 mm thickness, induding grouting of joints (Payment for grouting of joints to be made separately). Size of Tile 600x600 mm</v>
          </cell>
        </row>
        <row r="15">
          <cell r="C15" t="str">
            <v>Providing and fixing on wall face unplasticised Rigid PVC rain water pipes conforming to IS : 13592 Type A, including jointing with seal ring conforming to IS : 5382, leaving 10 mm_x000D_gap for thermal expansion, (i) Single socketed pipes. a) 110 mm diameter</v>
          </cell>
        </row>
        <row r="16">
          <cell r="C16" t="str">
            <v>Applying priming coats with primer of approved brand and manufacture, having low VOC (Volatile Organic Compound ) content. With water thinnable cement primer on wall surface having VOC content less than 50 gramsJitre</v>
          </cell>
        </row>
        <row r="18">
          <cell r="C18" t="str">
            <v>Demolishing cement concrete manually/ by mechanical means including disposal of material within 50 metres lead as per direction of Engineer - in - charge_x000D_a) Nominal concrete 1:3:6 or richer mix (including equivalent design mix)</v>
          </cell>
        </row>
        <row r="19">
          <cell r="C19" t="str">
            <v>Demolishing R.C.C. work manually/ by mechanical means including stacking of steel bars and disposal of unserviceable material within 50 metres lead as per direction of Engineer- in- charge.</v>
          </cell>
        </row>
        <row r="20">
          <cell r="C20" t="str">
            <v>Demolishing brick work manually/ by mechanical means induding stacking of serviceable material and disposal of unserviceable material within 50 metres lead as per direction of Engineer-in-charge In cement mortar</v>
          </cell>
        </row>
        <row r="21">
          <cell r="C21" t="str">
            <v>Dismantling steel work manually/ by mechanical means in built up sections without dismembering and stacking within 50 metres lead as per direction of Engineer-in-charge.</v>
          </cell>
        </row>
        <row r="22">
          <cell r="C22" t="str">
            <v>Dismantling tile work in floors and roofs laid in cement mortar including stacking material within 50 metres lead. For thickness of tiles 10 mm to 25 mm</v>
          </cell>
        </row>
      </sheetData>
      <sheetData sheetId="1" refreshError="1"/>
      <sheetData sheetId="2" refreshError="1"/>
      <sheetData sheetId="3" refreshError="1"/>
      <sheetData sheetId="4" refreshError="1"/>
      <sheetData sheetId="5" refreshError="1"/>
      <sheetData sheetId="6">
        <row r="28">
          <cell r="R28">
            <v>5151.8469700000005</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OF MACHINERY "/>
      <sheetName val="Output of machinery"/>
      <sheetName val="RENT OF  MACHINERY"/>
      <sheetName val="Assets of RVPL"/>
      <sheetName val="Sheet2"/>
      <sheetName val="Material Constant"/>
      <sheetName val="Overheads"/>
      <sheetName val="Staff Salary"/>
      <sheetName val="Utility"/>
      <sheetName val="CLEARING ITEMS "/>
      <sheetName val="RA EARTHWORK "/>
      <sheetName val="SUB BASE COURSES"/>
      <sheetName val="WMM Plant working "/>
      <sheetName val="FLEXIBLE PAVMENT "/>
      <sheetName val="HMP WORKING"/>
      <sheetName val="RIGID PAVEMENT "/>
      <sheetName val="RMC Plant working "/>
      <sheetName val="CD WORKS PIPE CULVERTS"/>
      <sheetName val="TRAFFIC SIGNS, ROAD FURNITURES "/>
      <sheetName val="BOQ Abstract"/>
      <sheetName val="concrete items"/>
      <sheetName val="Brick work"/>
    </sheetNames>
    <sheetDataSet>
      <sheetData sheetId="0" refreshError="1"/>
      <sheetData sheetId="1" refreshError="1"/>
      <sheetData sheetId="2" refreshError="1"/>
      <sheetData sheetId="3" refreshError="1"/>
      <sheetData sheetId="4" refreshError="1"/>
      <sheetData sheetId="5">
        <row r="56">
          <cell r="F56">
            <v>993.20382165605099</v>
          </cell>
        </row>
      </sheetData>
      <sheetData sheetId="6" refreshError="1"/>
      <sheetData sheetId="7" refreshError="1">
        <row r="34">
          <cell r="C34">
            <v>309905693.77426529</v>
          </cell>
        </row>
      </sheetData>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C30" sqref="C30"/>
    </sheetView>
  </sheetViews>
  <sheetFormatPr baseColWidth="10" defaultColWidth="13" defaultRowHeight="16" x14ac:dyDescent="0.15"/>
  <cols>
    <col min="1" max="1" width="8.3984375" style="95" customWidth="1"/>
    <col min="2" max="2" width="54" style="95" customWidth="1"/>
    <col min="3" max="3" width="26.3984375" style="95" customWidth="1"/>
    <col min="4" max="16384" width="13" style="95"/>
  </cols>
  <sheetData>
    <row r="1" spans="1:4" x14ac:dyDescent="0.15">
      <c r="A1" s="97" t="s">
        <v>377</v>
      </c>
      <c r="B1" s="97"/>
      <c r="C1" s="97"/>
    </row>
    <row r="2" spans="1:4" x14ac:dyDescent="0.15">
      <c r="A2" s="112" t="s">
        <v>378</v>
      </c>
      <c r="B2" s="113" t="s">
        <v>379</v>
      </c>
      <c r="C2" s="105">
        <f>'Staff Salary'!F28</f>
        <v>3.3858601697781127E-2</v>
      </c>
    </row>
    <row r="3" spans="1:4" x14ac:dyDescent="0.15">
      <c r="A3" s="112" t="s">
        <v>380</v>
      </c>
      <c r="B3" s="113" t="s">
        <v>381</v>
      </c>
      <c r="C3" s="105">
        <f>'Staff Salary'!F32+Utility!E11</f>
        <v>8.1651891967502079E-3</v>
      </c>
    </row>
    <row r="4" spans="1:4" x14ac:dyDescent="0.15">
      <c r="A4" s="112" t="s">
        <v>382</v>
      </c>
      <c r="B4" s="113" t="s">
        <v>383</v>
      </c>
      <c r="C4" s="105">
        <f>Utility!E8+Utility!F27</f>
        <v>8.9575637226660086E-3</v>
      </c>
    </row>
    <row r="5" spans="1:4" x14ac:dyDescent="0.15">
      <c r="A5" s="112" t="s">
        <v>384</v>
      </c>
      <c r="B5" s="113" t="s">
        <v>385</v>
      </c>
      <c r="C5" s="101"/>
    </row>
    <row r="6" spans="1:4" x14ac:dyDescent="0.15">
      <c r="A6" s="112" t="s">
        <v>386</v>
      </c>
      <c r="B6" s="113" t="s">
        <v>387</v>
      </c>
      <c r="C6" s="105">
        <v>1E-3</v>
      </c>
    </row>
    <row r="7" spans="1:4" x14ac:dyDescent="0.15">
      <c r="A7" s="114" t="s">
        <v>388</v>
      </c>
      <c r="B7" s="115" t="s">
        <v>350</v>
      </c>
      <c r="C7" s="105">
        <v>0</v>
      </c>
      <c r="D7" s="116"/>
    </row>
    <row r="8" spans="1:4" x14ac:dyDescent="0.15">
      <c r="A8" s="112" t="s">
        <v>389</v>
      </c>
      <c r="B8" s="113" t="s">
        <v>390</v>
      </c>
      <c r="C8" s="105">
        <v>1.5E-3</v>
      </c>
    </row>
    <row r="9" spans="1:4" x14ac:dyDescent="0.15">
      <c r="A9" s="112" t="s">
        <v>391</v>
      </c>
      <c r="B9" s="113" t="s">
        <v>392</v>
      </c>
      <c r="C9" s="105">
        <v>1.5E-3</v>
      </c>
    </row>
    <row r="10" spans="1:4" x14ac:dyDescent="0.15">
      <c r="A10" s="112" t="s">
        <v>393</v>
      </c>
      <c r="B10" s="113" t="s">
        <v>394</v>
      </c>
      <c r="C10" s="105">
        <v>5.0000000000000001E-3</v>
      </c>
    </row>
    <row r="11" spans="1:4" x14ac:dyDescent="0.15">
      <c r="A11" s="112" t="s">
        <v>395</v>
      </c>
      <c r="B11" s="113" t="s">
        <v>396</v>
      </c>
      <c r="C11" s="117">
        <v>3.5000000000000001E-3</v>
      </c>
    </row>
    <row r="12" spans="1:4" x14ac:dyDescent="0.15">
      <c r="A12" s="112" t="s">
        <v>397</v>
      </c>
      <c r="B12" s="113" t="s">
        <v>398</v>
      </c>
      <c r="C12" s="118">
        <f>'Staff Salary'!H28+'Staff Salary'!H32</f>
        <v>1.5439153677980961E-3</v>
      </c>
    </row>
    <row r="13" spans="1:4" x14ac:dyDescent="0.15">
      <c r="A13" s="119" t="s">
        <v>399</v>
      </c>
      <c r="B13" s="120" t="s">
        <v>400</v>
      </c>
      <c r="C13" s="105">
        <v>1.5E-3</v>
      </c>
    </row>
    <row r="14" spans="1:4" x14ac:dyDescent="0.15">
      <c r="A14" s="121" t="s">
        <v>401</v>
      </c>
      <c r="B14" s="122" t="s">
        <v>402</v>
      </c>
      <c r="C14" s="105">
        <v>2.5000000000000001E-3</v>
      </c>
    </row>
    <row r="15" spans="1:4" x14ac:dyDescent="0.15">
      <c r="A15" s="121" t="s">
        <v>403</v>
      </c>
      <c r="B15" s="122" t="s">
        <v>404</v>
      </c>
      <c r="C15" s="105">
        <v>1E-3</v>
      </c>
    </row>
    <row r="16" spans="1:4" x14ac:dyDescent="0.15">
      <c r="A16" s="121" t="s">
        <v>405</v>
      </c>
      <c r="B16" s="122" t="s">
        <v>406</v>
      </c>
      <c r="C16" s="105">
        <v>2.5000000000000001E-2</v>
      </c>
    </row>
    <row r="17" spans="1:7" x14ac:dyDescent="0.15">
      <c r="A17" s="121" t="s">
        <v>407</v>
      </c>
      <c r="B17" s="122" t="s">
        <v>422</v>
      </c>
      <c r="C17" s="105">
        <v>0.01</v>
      </c>
    </row>
    <row r="18" spans="1:7" x14ac:dyDescent="0.15">
      <c r="A18" s="101"/>
      <c r="B18" s="104" t="s">
        <v>335</v>
      </c>
      <c r="C18" s="110">
        <f>SUM(C2:C17)</f>
        <v>0.10502526998499544</v>
      </c>
    </row>
    <row r="19" spans="1:7" x14ac:dyDescent="0.15">
      <c r="A19" s="101"/>
      <c r="B19" s="104" t="s">
        <v>408</v>
      </c>
      <c r="C19" s="123">
        <f>C18</f>
        <v>0.10502526998499544</v>
      </c>
      <c r="D19" s="124"/>
    </row>
    <row r="21" spans="1:7" x14ac:dyDescent="0.15">
      <c r="A21" s="125" t="s">
        <v>409</v>
      </c>
      <c r="B21" s="126"/>
      <c r="C21" s="127"/>
    </row>
    <row r="22" spans="1:7" x14ac:dyDescent="0.15">
      <c r="A22" s="128" t="s">
        <v>378</v>
      </c>
      <c r="B22" s="101" t="s">
        <v>410</v>
      </c>
      <c r="C22" s="105">
        <v>0.01</v>
      </c>
      <c r="F22" s="116">
        <v>100</v>
      </c>
      <c r="G22" s="116">
        <f>F28</f>
        <v>132.54702308736501</v>
      </c>
    </row>
    <row r="23" spans="1:7" x14ac:dyDescent="0.15">
      <c r="A23" s="128" t="s">
        <v>380</v>
      </c>
      <c r="B23" s="101" t="s">
        <v>411</v>
      </c>
      <c r="C23" s="105">
        <v>0.01</v>
      </c>
      <c r="F23" s="116">
        <f>F22*C19</f>
        <v>10.502526998499544</v>
      </c>
      <c r="G23" s="116">
        <f>G22*C27</f>
        <v>9.6361685784514357</v>
      </c>
    </row>
    <row r="24" spans="1:7" x14ac:dyDescent="0.15">
      <c r="A24" s="128" t="s">
        <v>382</v>
      </c>
      <c r="B24" s="101" t="s">
        <v>412</v>
      </c>
      <c r="C24" s="105">
        <v>0.03</v>
      </c>
      <c r="F24" s="116">
        <f>F22+F23</f>
        <v>110.50252699849955</v>
      </c>
      <c r="G24" s="116">
        <f>G22-G23</f>
        <v>122.91085450891357</v>
      </c>
    </row>
    <row r="25" spans="1:7" x14ac:dyDescent="0.15">
      <c r="A25" s="128" t="s">
        <v>384</v>
      </c>
      <c r="B25" s="101" t="s">
        <v>413</v>
      </c>
      <c r="C25" s="105">
        <v>1.4999999999999999E-2</v>
      </c>
      <c r="F25" s="116">
        <f>F24*C27</f>
        <v>8.0335337127909163</v>
      </c>
      <c r="G25" s="116">
        <f>G24*C19</f>
        <v>12.908745678885142</v>
      </c>
    </row>
    <row r="26" spans="1:7" x14ac:dyDescent="0.15">
      <c r="A26" s="128" t="s">
        <v>401</v>
      </c>
      <c r="B26" s="101" t="s">
        <v>423</v>
      </c>
      <c r="C26" s="105">
        <v>7.7000000000000002E-3</v>
      </c>
      <c r="F26" s="116">
        <f>F25+F24</f>
        <v>118.53606071129046</v>
      </c>
      <c r="G26" s="116">
        <f>G24-G25</f>
        <v>110.00210883002843</v>
      </c>
    </row>
    <row r="27" spans="1:7" x14ac:dyDescent="0.15">
      <c r="A27" s="101"/>
      <c r="B27" s="104" t="s">
        <v>335</v>
      </c>
      <c r="C27" s="123">
        <f>SUM(C22:C26)</f>
        <v>7.2700000000000001E-2</v>
      </c>
      <c r="F27" s="116">
        <f>F26*C29</f>
        <v>14.010962376074533</v>
      </c>
      <c r="G27" s="116">
        <f>110-G26</f>
        <v>-2.1088300284333172E-3</v>
      </c>
    </row>
    <row r="28" spans="1:7" x14ac:dyDescent="0.15">
      <c r="F28" s="116">
        <f>F27+F26</f>
        <v>132.54702308736501</v>
      </c>
      <c r="G28" s="116"/>
    </row>
    <row r="29" spans="1:7" x14ac:dyDescent="0.15">
      <c r="A29" s="128" t="s">
        <v>378</v>
      </c>
      <c r="B29" s="104" t="s">
        <v>414</v>
      </c>
      <c r="C29" s="123">
        <v>0.1182</v>
      </c>
      <c r="D29" s="130">
        <v>0.1</v>
      </c>
    </row>
    <row r="32" spans="1:7" x14ac:dyDescent="0.15">
      <c r="B32" s="95" t="s">
        <v>425</v>
      </c>
      <c r="C32" s="95">
        <f>170000000*5%</f>
        <v>8500000</v>
      </c>
    </row>
    <row r="33" spans="2:3" x14ac:dyDescent="0.15">
      <c r="B33" s="95" t="s">
        <v>430</v>
      </c>
      <c r="C33" s="95">
        <v>10000000</v>
      </c>
    </row>
    <row r="34" spans="2:3" x14ac:dyDescent="0.15">
      <c r="B34" s="95" t="s">
        <v>426</v>
      </c>
      <c r="C34" s="95">
        <v>1500000</v>
      </c>
    </row>
    <row r="35" spans="2:3" x14ac:dyDescent="0.15">
      <c r="B35" s="95" t="s">
        <v>427</v>
      </c>
      <c r="C35" s="95">
        <f>SUM(C32:C34)</f>
        <v>20000000</v>
      </c>
    </row>
    <row r="36" spans="2:3" x14ac:dyDescent="0.15">
      <c r="B36" s="95" t="s">
        <v>428</v>
      </c>
      <c r="C36" s="95">
        <f>C35*10%</f>
        <v>2000000</v>
      </c>
    </row>
    <row r="37" spans="2:3" x14ac:dyDescent="0.15">
      <c r="B37" s="95" t="s">
        <v>429</v>
      </c>
      <c r="C37" s="95">
        <f>C36/2</f>
        <v>1000000</v>
      </c>
    </row>
    <row r="38" spans="2:3" x14ac:dyDescent="0.15">
      <c r="B38" s="95" t="s">
        <v>423</v>
      </c>
      <c r="C38" s="129">
        <f>C37/'Staff Salary'!C32</f>
        <v>7.6811709840701285E-3</v>
      </c>
    </row>
  </sheetData>
  <mergeCells count="2">
    <mergeCell ref="A1:C1"/>
    <mergeCell ref="A21: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I10" sqref="I10"/>
    </sheetView>
  </sheetViews>
  <sheetFormatPr baseColWidth="10" defaultColWidth="13" defaultRowHeight="16" x14ac:dyDescent="0.15"/>
  <cols>
    <col min="1" max="1" width="13.19921875" style="95" bestFit="1" customWidth="1"/>
    <col min="2" max="2" width="26.19921875" style="95" customWidth="1"/>
    <col min="3" max="3" width="14" style="95" bestFit="1" customWidth="1"/>
    <col min="4" max="5" width="13.19921875" style="95" bestFit="1" customWidth="1"/>
    <col min="6" max="6" width="14" style="95" bestFit="1" customWidth="1"/>
    <col min="7" max="7" width="13.19921875" style="95" bestFit="1" customWidth="1"/>
    <col min="8" max="16384" width="13" style="95"/>
  </cols>
  <sheetData>
    <row r="1" spans="1:8" x14ac:dyDescent="0.15">
      <c r="A1" s="94" t="s">
        <v>352</v>
      </c>
      <c r="B1" s="94"/>
      <c r="C1" s="94"/>
      <c r="D1" s="94"/>
      <c r="E1" s="94"/>
      <c r="F1" s="94"/>
      <c r="G1" s="94"/>
      <c r="H1" s="94"/>
    </row>
    <row r="2" spans="1:8" x14ac:dyDescent="0.15">
      <c r="A2" s="96" t="s">
        <v>353</v>
      </c>
      <c r="B2" s="96" t="s">
        <v>354</v>
      </c>
      <c r="C2" s="96"/>
      <c r="D2" s="96"/>
      <c r="E2" s="96"/>
      <c r="F2" s="96"/>
      <c r="G2" s="97" t="s">
        <v>355</v>
      </c>
      <c r="H2" s="97"/>
    </row>
    <row r="3" spans="1:8" ht="32" x14ac:dyDescent="0.15">
      <c r="A3" s="98"/>
      <c r="B3" s="98"/>
      <c r="C3" s="99" t="s">
        <v>65</v>
      </c>
      <c r="D3" s="98" t="s">
        <v>356</v>
      </c>
      <c r="E3" s="100" t="s">
        <v>357</v>
      </c>
      <c r="F3" s="98" t="s">
        <v>335</v>
      </c>
      <c r="G3" s="98" t="s">
        <v>358</v>
      </c>
      <c r="H3" s="101" t="s">
        <v>335</v>
      </c>
    </row>
    <row r="4" spans="1:8" x14ac:dyDescent="0.15">
      <c r="A4" s="98">
        <f>A3+1</f>
        <v>1</v>
      </c>
      <c r="B4" s="98" t="s">
        <v>359</v>
      </c>
      <c r="C4" s="99">
        <v>1</v>
      </c>
      <c r="D4" s="98">
        <v>6</v>
      </c>
      <c r="E4" s="102">
        <v>150000</v>
      </c>
      <c r="F4" s="98">
        <f>C4*D4*E4</f>
        <v>900000</v>
      </c>
      <c r="G4" s="98">
        <v>1800</v>
      </c>
      <c r="H4" s="101">
        <f>G4*C4*D4</f>
        <v>10800</v>
      </c>
    </row>
    <row r="5" spans="1:8" x14ac:dyDescent="0.15">
      <c r="A5" s="98">
        <f>A4+1</f>
        <v>2</v>
      </c>
      <c r="B5" s="98" t="s">
        <v>360</v>
      </c>
      <c r="C5" s="99">
        <v>1</v>
      </c>
      <c r="D5" s="98">
        <f>D4</f>
        <v>6</v>
      </c>
      <c r="E5" s="102">
        <v>40000</v>
      </c>
      <c r="F5" s="98">
        <f t="shared" ref="F5:F15" si="0">C5*D5*E5</f>
        <v>240000</v>
      </c>
      <c r="G5" s="98">
        <v>1800</v>
      </c>
      <c r="H5" s="101">
        <f t="shared" ref="H5:H25" si="1">G5*C5*D5</f>
        <v>10800</v>
      </c>
    </row>
    <row r="6" spans="1:8" x14ac:dyDescent="0.15">
      <c r="A6" s="98">
        <f>A5+1</f>
        <v>3</v>
      </c>
      <c r="B6" s="98" t="s">
        <v>418</v>
      </c>
      <c r="C6" s="99">
        <v>1</v>
      </c>
      <c r="D6" s="98">
        <f>D4</f>
        <v>6</v>
      </c>
      <c r="E6" s="102">
        <v>70000</v>
      </c>
      <c r="F6" s="98">
        <f t="shared" si="0"/>
        <v>420000</v>
      </c>
      <c r="G6" s="98">
        <v>2100</v>
      </c>
      <c r="H6" s="101">
        <f t="shared" si="1"/>
        <v>12600</v>
      </c>
    </row>
    <row r="7" spans="1:8" x14ac:dyDescent="0.15">
      <c r="A7" s="98">
        <f t="shared" ref="A7:A13" si="2">A6+1</f>
        <v>4</v>
      </c>
      <c r="B7" s="98" t="s">
        <v>361</v>
      </c>
      <c r="C7" s="99">
        <v>1</v>
      </c>
      <c r="D7" s="98">
        <f>D4</f>
        <v>6</v>
      </c>
      <c r="E7" s="102">
        <v>65000</v>
      </c>
      <c r="F7" s="98">
        <f t="shared" si="0"/>
        <v>390000</v>
      </c>
      <c r="G7" s="98">
        <v>1800</v>
      </c>
      <c r="H7" s="101">
        <f t="shared" si="1"/>
        <v>10800</v>
      </c>
    </row>
    <row r="8" spans="1:8" x14ac:dyDescent="0.15">
      <c r="A8" s="98">
        <f t="shared" si="2"/>
        <v>5</v>
      </c>
      <c r="B8" s="98" t="s">
        <v>362</v>
      </c>
      <c r="C8" s="99">
        <v>0</v>
      </c>
      <c r="D8" s="98">
        <f>D4</f>
        <v>6</v>
      </c>
      <c r="E8" s="102">
        <v>40000</v>
      </c>
      <c r="F8" s="98">
        <f t="shared" si="0"/>
        <v>0</v>
      </c>
      <c r="G8" s="98">
        <v>1800</v>
      </c>
      <c r="H8" s="101">
        <f t="shared" si="1"/>
        <v>0</v>
      </c>
    </row>
    <row r="9" spans="1:8" x14ac:dyDescent="0.15">
      <c r="A9" s="98">
        <f t="shared" si="2"/>
        <v>6</v>
      </c>
      <c r="B9" s="98" t="s">
        <v>363</v>
      </c>
      <c r="C9" s="99">
        <v>0</v>
      </c>
      <c r="D9" s="98">
        <f>D8</f>
        <v>6</v>
      </c>
      <c r="E9" s="102">
        <v>20000</v>
      </c>
      <c r="F9" s="98">
        <f t="shared" si="0"/>
        <v>0</v>
      </c>
      <c r="G9" s="98">
        <v>2100</v>
      </c>
      <c r="H9" s="101">
        <f t="shared" si="1"/>
        <v>0</v>
      </c>
    </row>
    <row r="10" spans="1:8" x14ac:dyDescent="0.15">
      <c r="A10" s="98">
        <f t="shared" si="2"/>
        <v>7</v>
      </c>
      <c r="B10" s="98" t="s">
        <v>364</v>
      </c>
      <c r="C10" s="99">
        <v>1</v>
      </c>
      <c r="D10" s="98">
        <f>D9</f>
        <v>6</v>
      </c>
      <c r="E10" s="102">
        <v>25000</v>
      </c>
      <c r="F10" s="98">
        <f t="shared" si="0"/>
        <v>150000</v>
      </c>
      <c r="G10" s="98">
        <v>1800</v>
      </c>
      <c r="H10" s="101">
        <f t="shared" si="1"/>
        <v>10800</v>
      </c>
    </row>
    <row r="11" spans="1:8" x14ac:dyDescent="0.15">
      <c r="A11" s="98">
        <f t="shared" si="2"/>
        <v>8</v>
      </c>
      <c r="B11" s="98" t="s">
        <v>365</v>
      </c>
      <c r="C11" s="99">
        <v>0</v>
      </c>
      <c r="D11" s="98">
        <f>D9</f>
        <v>6</v>
      </c>
      <c r="E11" s="102">
        <v>15000</v>
      </c>
      <c r="F11" s="98">
        <f t="shared" si="0"/>
        <v>0</v>
      </c>
      <c r="G11" s="98"/>
      <c r="H11" s="101"/>
    </row>
    <row r="12" spans="1:8" x14ac:dyDescent="0.15">
      <c r="A12" s="98">
        <f t="shared" si="2"/>
        <v>9</v>
      </c>
      <c r="B12" s="98" t="s">
        <v>366</v>
      </c>
      <c r="C12" s="99">
        <v>1</v>
      </c>
      <c r="D12" s="98">
        <f>D11</f>
        <v>6</v>
      </c>
      <c r="E12" s="102">
        <v>15000</v>
      </c>
      <c r="F12" s="98">
        <f t="shared" si="0"/>
        <v>90000</v>
      </c>
      <c r="G12" s="98"/>
      <c r="H12" s="101"/>
    </row>
    <row r="13" spans="1:8" x14ac:dyDescent="0.15">
      <c r="A13" s="98">
        <f t="shared" si="2"/>
        <v>10</v>
      </c>
      <c r="B13" s="98" t="s">
        <v>367</v>
      </c>
      <c r="C13" s="99">
        <v>1</v>
      </c>
      <c r="D13" s="98">
        <f>D12</f>
        <v>6</v>
      </c>
      <c r="E13" s="102">
        <v>12000</v>
      </c>
      <c r="F13" s="98">
        <f t="shared" si="0"/>
        <v>72000</v>
      </c>
      <c r="G13" s="98"/>
      <c r="H13" s="101"/>
    </row>
    <row r="14" spans="1:8" x14ac:dyDescent="0.15">
      <c r="A14" s="98">
        <v>12</v>
      </c>
      <c r="B14" s="98" t="s">
        <v>368</v>
      </c>
      <c r="C14" s="99">
        <v>1</v>
      </c>
      <c r="D14" s="98">
        <f>D13</f>
        <v>6</v>
      </c>
      <c r="E14" s="102">
        <v>15000</v>
      </c>
      <c r="F14" s="98">
        <f t="shared" si="0"/>
        <v>90000</v>
      </c>
      <c r="G14" s="98"/>
      <c r="H14" s="101"/>
    </row>
    <row r="15" spans="1:8" x14ac:dyDescent="0.15">
      <c r="A15" s="98">
        <f>A13+1</f>
        <v>11</v>
      </c>
      <c r="B15" s="98" t="s">
        <v>369</v>
      </c>
      <c r="C15" s="99">
        <f>SUM(C3:C14)</f>
        <v>8</v>
      </c>
      <c r="D15" s="98">
        <f>D4</f>
        <v>6</v>
      </c>
      <c r="E15" s="99">
        <v>2000</v>
      </c>
      <c r="F15" s="98">
        <f t="shared" si="0"/>
        <v>96000</v>
      </c>
      <c r="G15" s="98"/>
      <c r="H15" s="101"/>
    </row>
    <row r="16" spans="1:8" x14ac:dyDescent="0.15">
      <c r="A16" s="98">
        <v>12</v>
      </c>
      <c r="B16" s="98" t="s">
        <v>370</v>
      </c>
      <c r="C16" s="98">
        <v>6</v>
      </c>
      <c r="D16" s="98">
        <v>12</v>
      </c>
      <c r="E16" s="98">
        <v>15000</v>
      </c>
      <c r="F16" s="98">
        <f>E16*D16*C16</f>
        <v>1080000</v>
      </c>
      <c r="G16" s="98"/>
      <c r="H16" s="101"/>
    </row>
    <row r="17" spans="1:8" x14ac:dyDescent="0.15">
      <c r="A17" s="98"/>
      <c r="B17" s="98"/>
      <c r="C17" s="98"/>
      <c r="D17" s="98"/>
      <c r="E17" s="98"/>
      <c r="F17" s="98"/>
      <c r="G17" s="98"/>
      <c r="H17" s="101"/>
    </row>
    <row r="18" spans="1:8" x14ac:dyDescent="0.15">
      <c r="A18" s="96" t="s">
        <v>371</v>
      </c>
      <c r="B18" s="96" t="s">
        <v>416</v>
      </c>
      <c r="C18" s="98"/>
      <c r="D18" s="98"/>
      <c r="E18" s="98"/>
      <c r="F18" s="98"/>
      <c r="G18" s="98"/>
      <c r="H18" s="101"/>
    </row>
    <row r="19" spans="1:8" x14ac:dyDescent="0.15">
      <c r="A19" s="98">
        <v>1</v>
      </c>
      <c r="B19" s="98" t="s">
        <v>372</v>
      </c>
      <c r="C19" s="98">
        <v>1</v>
      </c>
      <c r="D19" s="98">
        <f>D4</f>
        <v>6</v>
      </c>
      <c r="E19" s="98">
        <v>35000</v>
      </c>
      <c r="F19" s="98">
        <f t="shared" ref="F19:F26" si="3">C19*D19*E19</f>
        <v>210000</v>
      </c>
      <c r="G19" s="98">
        <v>1800</v>
      </c>
      <c r="H19" s="101">
        <f t="shared" si="1"/>
        <v>10800</v>
      </c>
    </row>
    <row r="20" spans="1:8" x14ac:dyDescent="0.15">
      <c r="A20" s="98">
        <f>A19+1</f>
        <v>2</v>
      </c>
      <c r="B20" s="98" t="s">
        <v>373</v>
      </c>
      <c r="C20" s="98">
        <v>1</v>
      </c>
      <c r="D20" s="98">
        <f>D4</f>
        <v>6</v>
      </c>
      <c r="E20" s="98">
        <v>25000</v>
      </c>
      <c r="F20" s="98">
        <f t="shared" si="3"/>
        <v>150000</v>
      </c>
      <c r="G20" s="98">
        <v>2100</v>
      </c>
      <c r="H20" s="101">
        <f t="shared" si="1"/>
        <v>12600</v>
      </c>
    </row>
    <row r="21" spans="1:8" x14ac:dyDescent="0.15">
      <c r="A21" s="98">
        <f>A20+1</f>
        <v>3</v>
      </c>
      <c r="B21" s="98" t="s">
        <v>369</v>
      </c>
      <c r="C21" s="98">
        <f>SUM(C19:C20)</f>
        <v>2</v>
      </c>
      <c r="D21" s="98">
        <f>D4</f>
        <v>6</v>
      </c>
      <c r="E21" s="98">
        <f>E15</f>
        <v>2000</v>
      </c>
      <c r="F21" s="98">
        <f t="shared" si="3"/>
        <v>24000</v>
      </c>
      <c r="G21" s="98"/>
      <c r="H21" s="101"/>
    </row>
    <row r="22" spans="1:8" x14ac:dyDescent="0.15">
      <c r="A22" s="98"/>
      <c r="B22" s="98"/>
      <c r="C22" s="98"/>
      <c r="D22" s="98"/>
      <c r="E22" s="98"/>
      <c r="F22" s="98"/>
      <c r="G22" s="98"/>
      <c r="H22" s="101"/>
    </row>
    <row r="23" spans="1:8" x14ac:dyDescent="0.15">
      <c r="A23" s="96" t="s">
        <v>374</v>
      </c>
      <c r="B23" s="96" t="s">
        <v>417</v>
      </c>
      <c r="C23" s="98"/>
      <c r="D23" s="98"/>
      <c r="E23" s="98"/>
      <c r="F23" s="98"/>
      <c r="G23" s="98"/>
      <c r="H23" s="101"/>
    </row>
    <row r="24" spans="1:8" x14ac:dyDescent="0.15">
      <c r="A24" s="98">
        <v>1</v>
      </c>
      <c r="B24" s="98" t="s">
        <v>372</v>
      </c>
      <c r="C24" s="98">
        <v>1</v>
      </c>
      <c r="D24" s="98">
        <f>D4</f>
        <v>6</v>
      </c>
      <c r="E24" s="98">
        <v>35000</v>
      </c>
      <c r="F24" s="98">
        <f>C24*D24*E24</f>
        <v>210000</v>
      </c>
      <c r="G24" s="98">
        <v>1800</v>
      </c>
      <c r="H24" s="101">
        <f t="shared" si="1"/>
        <v>10800</v>
      </c>
    </row>
    <row r="25" spans="1:8" x14ac:dyDescent="0.15">
      <c r="A25" s="98">
        <v>2</v>
      </c>
      <c r="B25" s="98" t="s">
        <v>373</v>
      </c>
      <c r="C25" s="98">
        <v>2</v>
      </c>
      <c r="D25" s="98">
        <v>5</v>
      </c>
      <c r="E25" s="98">
        <v>25000</v>
      </c>
      <c r="F25" s="98">
        <f t="shared" si="3"/>
        <v>250000</v>
      </c>
      <c r="G25" s="98">
        <v>2100</v>
      </c>
      <c r="H25" s="101">
        <f t="shared" si="1"/>
        <v>21000</v>
      </c>
    </row>
    <row r="26" spans="1:8" x14ac:dyDescent="0.15">
      <c r="A26" s="98">
        <v>3</v>
      </c>
      <c r="B26" s="98" t="s">
        <v>369</v>
      </c>
      <c r="C26" s="98">
        <f>SUM(C24:C25)</f>
        <v>3</v>
      </c>
      <c r="D26" s="98">
        <f>D4</f>
        <v>6</v>
      </c>
      <c r="E26" s="99">
        <v>2000</v>
      </c>
      <c r="F26" s="98">
        <f t="shared" si="3"/>
        <v>36000</v>
      </c>
      <c r="G26" s="98"/>
      <c r="H26" s="101"/>
    </row>
    <row r="27" spans="1:8" x14ac:dyDescent="0.15">
      <c r="A27" s="98"/>
      <c r="B27" s="98"/>
      <c r="C27" s="96"/>
      <c r="D27" s="98"/>
      <c r="E27" s="103" t="s">
        <v>335</v>
      </c>
      <c r="F27" s="96">
        <f>SUM(F4:F26)</f>
        <v>4408000</v>
      </c>
      <c r="G27" s="98"/>
      <c r="H27" s="104">
        <f>SUM(H4:H26)</f>
        <v>111000</v>
      </c>
    </row>
    <row r="28" spans="1:8" x14ac:dyDescent="0.15">
      <c r="A28" s="101"/>
      <c r="B28" s="101"/>
      <c r="C28" s="101"/>
      <c r="D28" s="101"/>
      <c r="E28" s="101" t="s">
        <v>336</v>
      </c>
      <c r="F28" s="105">
        <f>F27/C32</f>
        <v>3.3858601697781127E-2</v>
      </c>
      <c r="G28" s="106"/>
      <c r="H28" s="105">
        <f>H27/C32</f>
        <v>8.5260997923178436E-4</v>
      </c>
    </row>
    <row r="29" spans="1:8" x14ac:dyDescent="0.15">
      <c r="A29" s="101"/>
      <c r="B29" s="101"/>
      <c r="C29" s="101"/>
      <c r="D29" s="101"/>
      <c r="E29" s="101"/>
      <c r="F29" s="101"/>
      <c r="G29" s="106"/>
      <c r="H29" s="101"/>
    </row>
    <row r="30" spans="1:8" x14ac:dyDescent="0.15">
      <c r="A30" s="104" t="s">
        <v>375</v>
      </c>
      <c r="B30" s="104" t="s">
        <v>376</v>
      </c>
      <c r="C30" s="101"/>
      <c r="D30" s="101">
        <f>D4</f>
        <v>6</v>
      </c>
      <c r="E30" s="107">
        <f>(500000)/3</f>
        <v>166666.66666666666</v>
      </c>
      <c r="F30" s="107">
        <f>D30*E30</f>
        <v>1000000</v>
      </c>
      <c r="G30" s="108">
        <v>15000</v>
      </c>
      <c r="H30" s="101">
        <f>G30*D30</f>
        <v>90000</v>
      </c>
    </row>
    <row r="31" spans="1:8" x14ac:dyDescent="0.15">
      <c r="A31" s="101"/>
      <c r="B31" s="101"/>
      <c r="C31" s="101"/>
      <c r="D31" s="101"/>
      <c r="E31" s="104" t="s">
        <v>335</v>
      </c>
      <c r="F31" s="109">
        <f>F30</f>
        <v>1000000</v>
      </c>
      <c r="G31" s="101"/>
      <c r="H31" s="104">
        <f>H30</f>
        <v>90000</v>
      </c>
    </row>
    <row r="32" spans="1:8" s="111" customFormat="1" x14ac:dyDescent="0.15">
      <c r="A32" s="104"/>
      <c r="B32" s="104" t="s">
        <v>351</v>
      </c>
      <c r="C32" s="104">
        <f>BOQ!I282</f>
        <v>130188483.25</v>
      </c>
      <c r="D32" s="104"/>
      <c r="E32" s="104" t="s">
        <v>336</v>
      </c>
      <c r="F32" s="110">
        <f>F31/C32</f>
        <v>7.6811709840701285E-3</v>
      </c>
      <c r="G32" s="104"/>
      <c r="H32" s="110">
        <f>H31/C32</f>
        <v>6.9130538856631164E-4</v>
      </c>
    </row>
  </sheetData>
  <mergeCells count="2">
    <mergeCell ref="A1:H1"/>
    <mergeCell ref="G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C10" sqref="C10"/>
    </sheetView>
  </sheetViews>
  <sheetFormatPr baseColWidth="10" defaultColWidth="10.59765625" defaultRowHeight="16" x14ac:dyDescent="0.2"/>
  <cols>
    <col min="1" max="1" width="23.19921875" style="71" customWidth="1"/>
    <col min="2" max="2" width="18" style="71" customWidth="1"/>
    <col min="3" max="4" width="10.59765625" style="71"/>
    <col min="5" max="5" width="12.59765625" style="71" customWidth="1"/>
    <col min="6" max="6" width="21" style="71" customWidth="1"/>
    <col min="7" max="16384" width="10.59765625" style="71"/>
  </cols>
  <sheetData>
    <row r="1" spans="1:6" x14ac:dyDescent="0.2">
      <c r="A1" s="70" t="s">
        <v>327</v>
      </c>
      <c r="B1" s="70"/>
      <c r="C1" s="70"/>
      <c r="D1" s="70"/>
      <c r="E1" s="70"/>
    </row>
    <row r="2" spans="1:6" x14ac:dyDescent="0.2">
      <c r="A2" s="72"/>
      <c r="B2" s="72" t="s">
        <v>328</v>
      </c>
      <c r="C2" s="72" t="s">
        <v>329</v>
      </c>
      <c r="D2" s="72" t="s">
        <v>330</v>
      </c>
      <c r="E2" s="72" t="s">
        <v>331</v>
      </c>
    </row>
    <row r="3" spans="1:6" x14ac:dyDescent="0.2">
      <c r="A3" s="72" t="s">
        <v>332</v>
      </c>
      <c r="B3" s="72">
        <v>1</v>
      </c>
      <c r="C3" s="72">
        <f>'Staff Salary'!D4</f>
        <v>6</v>
      </c>
      <c r="D3" s="72"/>
      <c r="E3" s="72">
        <v>100000</v>
      </c>
    </row>
    <row r="4" spans="1:6" x14ac:dyDescent="0.2">
      <c r="A4" s="72" t="s">
        <v>333</v>
      </c>
      <c r="B4" s="72">
        <v>2</v>
      </c>
      <c r="C4" s="72">
        <f>C3</f>
        <v>6</v>
      </c>
      <c r="D4" s="72">
        <v>15000</v>
      </c>
      <c r="E4" s="72">
        <f>C4*D4*B4</f>
        <v>180000</v>
      </c>
    </row>
    <row r="5" spans="1:6" x14ac:dyDescent="0.2">
      <c r="A5" s="72" t="s">
        <v>334</v>
      </c>
      <c r="B5" s="72">
        <v>2</v>
      </c>
      <c r="C5" s="72">
        <f>C3</f>
        <v>6</v>
      </c>
      <c r="D5" s="72">
        <v>12000</v>
      </c>
      <c r="E5" s="72">
        <f>C5*D5*B5</f>
        <v>144000</v>
      </c>
    </row>
    <row r="6" spans="1:6" x14ac:dyDescent="0.2">
      <c r="A6" s="72" t="s">
        <v>419</v>
      </c>
      <c r="B6" s="72"/>
      <c r="C6" s="72"/>
      <c r="D6" s="72"/>
      <c r="E6" s="72">
        <v>100000</v>
      </c>
    </row>
    <row r="7" spans="1:6" s="74" customFormat="1" x14ac:dyDescent="0.2">
      <c r="A7" s="73" t="s">
        <v>335</v>
      </c>
      <c r="B7" s="73"/>
      <c r="C7" s="73"/>
      <c r="D7" s="73"/>
      <c r="E7" s="73">
        <f>SUM(E3:E6)</f>
        <v>524000</v>
      </c>
    </row>
    <row r="8" spans="1:6" s="74" customFormat="1" x14ac:dyDescent="0.2">
      <c r="A8" s="73"/>
      <c r="B8" s="73"/>
      <c r="C8" s="73"/>
      <c r="D8" s="73" t="s">
        <v>336</v>
      </c>
      <c r="E8" s="75">
        <f>E7/B32</f>
        <v>1.6908369562957453E-3</v>
      </c>
    </row>
    <row r="10" spans="1:6" x14ac:dyDescent="0.2">
      <c r="A10" s="76" t="s">
        <v>435</v>
      </c>
      <c r="B10" s="76"/>
      <c r="C10" s="72">
        <f>C3</f>
        <v>6</v>
      </c>
      <c r="D10" s="77">
        <f>75000/3</f>
        <v>25000</v>
      </c>
      <c r="E10" s="78">
        <f>D10*C10</f>
        <v>150000</v>
      </c>
    </row>
    <row r="11" spans="1:6" s="74" customFormat="1" x14ac:dyDescent="0.2">
      <c r="A11" s="79"/>
      <c r="B11" s="79"/>
      <c r="C11" s="79"/>
      <c r="D11" s="79" t="s">
        <v>336</v>
      </c>
      <c r="E11" s="75">
        <f>E10/B32</f>
        <v>4.8401821268007972E-4</v>
      </c>
    </row>
    <row r="12" spans="1:6" x14ac:dyDescent="0.2">
      <c r="A12" s="80"/>
      <c r="B12" s="80"/>
      <c r="C12" s="80"/>
      <c r="D12" s="80"/>
    </row>
    <row r="15" spans="1:6" x14ac:dyDescent="0.2">
      <c r="A15" s="81" t="s">
        <v>337</v>
      </c>
      <c r="B15" s="82"/>
      <c r="C15" s="82"/>
      <c r="D15" s="82"/>
      <c r="E15" s="82"/>
      <c r="F15" s="83"/>
    </row>
    <row r="16" spans="1:6" ht="32" x14ac:dyDescent="0.2">
      <c r="A16" s="72" t="s">
        <v>338</v>
      </c>
      <c r="B16" s="84" t="s">
        <v>339</v>
      </c>
      <c r="C16" s="72" t="s">
        <v>328</v>
      </c>
      <c r="D16" s="72" t="s">
        <v>340</v>
      </c>
      <c r="E16" s="72" t="s">
        <v>341</v>
      </c>
      <c r="F16" s="84" t="s">
        <v>342</v>
      </c>
    </row>
    <row r="17" spans="1:6" x14ac:dyDescent="0.2">
      <c r="A17" s="72">
        <v>1</v>
      </c>
      <c r="B17" s="72" t="s">
        <v>343</v>
      </c>
      <c r="C17" s="72">
        <v>1</v>
      </c>
      <c r="D17" s="77">
        <v>30000</v>
      </c>
      <c r="E17" s="72">
        <v>10000</v>
      </c>
      <c r="F17" s="72">
        <f>C17*(D17+E17)</f>
        <v>40000</v>
      </c>
    </row>
    <row r="18" spans="1:6" x14ac:dyDescent="0.2">
      <c r="A18" s="72">
        <v>2</v>
      </c>
      <c r="B18" s="72" t="s">
        <v>420</v>
      </c>
      <c r="C18" s="72">
        <v>1</v>
      </c>
      <c r="D18" s="72"/>
      <c r="E18" s="72">
        <v>15000</v>
      </c>
      <c r="F18" s="72">
        <f>(E18*C18)</f>
        <v>15000</v>
      </c>
    </row>
    <row r="19" spans="1:6" x14ac:dyDescent="0.2">
      <c r="A19" s="72">
        <v>3</v>
      </c>
      <c r="B19" s="72" t="s">
        <v>344</v>
      </c>
      <c r="C19" s="72">
        <v>3</v>
      </c>
      <c r="D19" s="85">
        <v>2000</v>
      </c>
      <c r="E19" s="72">
        <v>4000</v>
      </c>
      <c r="F19" s="77">
        <f>C19*(D19+E19)</f>
        <v>18000</v>
      </c>
    </row>
    <row r="20" spans="1:6" x14ac:dyDescent="0.2">
      <c r="A20" s="86">
        <v>4</v>
      </c>
      <c r="B20" s="87" t="s">
        <v>424</v>
      </c>
      <c r="C20" s="87">
        <v>1</v>
      </c>
      <c r="D20" s="88">
        <v>200000</v>
      </c>
      <c r="E20" s="89">
        <v>15000</v>
      </c>
      <c r="F20" s="77">
        <f>C20*(D20+E20)</f>
        <v>215000</v>
      </c>
    </row>
    <row r="21" spans="1:6" x14ac:dyDescent="0.2">
      <c r="A21" s="86">
        <v>5</v>
      </c>
      <c r="B21" s="87" t="s">
        <v>345</v>
      </c>
      <c r="C21" s="87">
        <v>0</v>
      </c>
      <c r="D21" s="88">
        <v>16000</v>
      </c>
      <c r="E21" s="89"/>
      <c r="F21" s="77">
        <f>D21*C21</f>
        <v>0</v>
      </c>
    </row>
    <row r="22" spans="1:6" x14ac:dyDescent="0.2">
      <c r="A22" s="86">
        <v>6</v>
      </c>
      <c r="B22" s="87" t="s">
        <v>346</v>
      </c>
      <c r="C22" s="87">
        <v>2</v>
      </c>
      <c r="D22" s="88">
        <v>12000</v>
      </c>
      <c r="E22" s="89">
        <v>15000</v>
      </c>
      <c r="F22" s="77">
        <f>(E22+D22)*C22</f>
        <v>54000</v>
      </c>
    </row>
    <row r="23" spans="1:6" x14ac:dyDescent="0.2">
      <c r="A23" s="90" t="s">
        <v>347</v>
      </c>
      <c r="B23" s="91"/>
      <c r="C23" s="91"/>
      <c r="D23" s="91"/>
      <c r="E23" s="92"/>
      <c r="F23" s="77">
        <f>SUM(F17:F21)</f>
        <v>288000</v>
      </c>
    </row>
    <row r="24" spans="1:6" x14ac:dyDescent="0.2">
      <c r="A24" s="90" t="s">
        <v>421</v>
      </c>
      <c r="B24" s="91"/>
      <c r="C24" s="91"/>
      <c r="D24" s="91"/>
      <c r="E24" s="92"/>
      <c r="F24" s="77">
        <f>F23*C3</f>
        <v>1728000</v>
      </c>
    </row>
    <row r="25" spans="1:6" x14ac:dyDescent="0.2">
      <c r="A25" s="90" t="s">
        <v>348</v>
      </c>
      <c r="B25" s="91"/>
      <c r="C25" s="91"/>
      <c r="D25" s="91"/>
      <c r="E25" s="92"/>
      <c r="F25" s="72">
        <v>0</v>
      </c>
    </row>
    <row r="26" spans="1:6" x14ac:dyDescent="0.2">
      <c r="A26" s="90" t="s">
        <v>349</v>
      </c>
      <c r="B26" s="91"/>
      <c r="C26" s="91"/>
      <c r="D26" s="91"/>
      <c r="E26" s="92"/>
      <c r="F26" s="77">
        <f>E7+F24+F25</f>
        <v>2252000</v>
      </c>
    </row>
    <row r="27" spans="1:6" x14ac:dyDescent="0.2">
      <c r="A27" s="74"/>
      <c r="B27" s="74"/>
      <c r="C27" s="74"/>
      <c r="D27" s="74"/>
      <c r="E27" s="74" t="s">
        <v>336</v>
      </c>
      <c r="F27" s="93">
        <f>F26/B32</f>
        <v>7.2667267663702635E-3</v>
      </c>
    </row>
    <row r="29" spans="1:6" x14ac:dyDescent="0.2">
      <c r="A29" s="72" t="s">
        <v>350</v>
      </c>
      <c r="B29" s="72">
        <v>27</v>
      </c>
      <c r="C29" s="72">
        <v>3000</v>
      </c>
      <c r="D29" s="72">
        <v>4</v>
      </c>
      <c r="E29" s="72">
        <v>2</v>
      </c>
      <c r="F29" s="72">
        <v>0</v>
      </c>
    </row>
    <row r="30" spans="1:6" x14ac:dyDescent="0.2">
      <c r="A30" s="72"/>
      <c r="B30" s="72"/>
      <c r="C30" s="72"/>
      <c r="D30" s="72"/>
      <c r="E30" s="73" t="s">
        <v>336</v>
      </c>
      <c r="F30" s="75">
        <f>F29/B32</f>
        <v>0</v>
      </c>
    </row>
    <row r="32" spans="1:6" x14ac:dyDescent="0.2">
      <c r="A32" s="73" t="s">
        <v>351</v>
      </c>
      <c r="B32" s="73">
        <f>'[3]Staff Salary'!C34</f>
        <v>309905693.77426529</v>
      </c>
    </row>
  </sheetData>
  <mergeCells count="8">
    <mergeCell ref="A25:E25"/>
    <mergeCell ref="A26:E26"/>
    <mergeCell ref="A1:E1"/>
    <mergeCell ref="A10:B10"/>
    <mergeCell ref="A12:D12"/>
    <mergeCell ref="A15:F15"/>
    <mergeCell ref="A23:E23"/>
    <mergeCell ref="A24:E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86"/>
  <sheetViews>
    <sheetView tabSelected="1" zoomScale="85" zoomScaleNormal="85" zoomScalePageLayoutView="85" workbookViewId="0">
      <pane xSplit="3" ySplit="5" topLeftCell="D6" activePane="bottomRight" state="frozen"/>
      <selection pane="topRight" activeCell="D1" sqref="D1"/>
      <selection pane="bottomLeft" activeCell="A6" sqref="A6"/>
      <selection pane="bottomRight" activeCell="L9" sqref="L9"/>
    </sheetView>
  </sheetViews>
  <sheetFormatPr baseColWidth="10" defaultColWidth="9.3984375" defaultRowHeight="16" x14ac:dyDescent="0.15"/>
  <cols>
    <col min="1" max="1" width="9.3984375" style="16" customWidth="1"/>
    <col min="2" max="2" width="90.59765625" style="16" customWidth="1"/>
    <col min="3" max="3" width="13.796875" style="16" customWidth="1"/>
    <col min="4" max="4" width="13" style="16" customWidth="1"/>
    <col min="5" max="5" width="12" style="138" customWidth="1"/>
    <col min="6" max="6" width="16.3984375" style="137" customWidth="1"/>
    <col min="7" max="7" width="9.3984375" style="137"/>
    <col min="8" max="8" width="24.19921875" style="137" customWidth="1"/>
    <col min="9" max="9" width="20.3984375" style="137" customWidth="1"/>
    <col min="10" max="10" width="9.3984375" style="137" customWidth="1"/>
    <col min="11" max="11" width="20.19921875" style="137" hidden="1" customWidth="1"/>
    <col min="12" max="12" width="17.19921875" style="137" customWidth="1"/>
    <col min="13" max="13" width="16.19921875" style="137" customWidth="1"/>
    <col min="14" max="14" width="16.3984375" style="137" customWidth="1"/>
    <col min="15" max="16384" width="9.3984375" style="16"/>
  </cols>
  <sheetData>
    <row r="2" spans="1:14" x14ac:dyDescent="0.15">
      <c r="A2" s="136" t="s">
        <v>6</v>
      </c>
      <c r="B2" s="136"/>
      <c r="C2" s="136"/>
      <c r="D2" s="136"/>
      <c r="E2" s="136"/>
      <c r="F2" s="136"/>
    </row>
    <row r="3" spans="1:14" x14ac:dyDescent="0.15">
      <c r="F3" s="139">
        <f>SUBTOTAL(9,F6:F281)/10^7</f>
        <v>15.390364473913044</v>
      </c>
      <c r="H3" s="140"/>
      <c r="I3" s="139">
        <f>SUBTOTAL(9,I6:I281)/10^7</f>
        <v>13.018848325</v>
      </c>
      <c r="M3" s="137" t="s">
        <v>279</v>
      </c>
      <c r="N3" s="141">
        <f>Overheads!F28/100</f>
        <v>1.3254702308736501</v>
      </c>
    </row>
    <row r="4" spans="1:14" s="144" customFormat="1" ht="42.75" customHeight="1" x14ac:dyDescent="0.15">
      <c r="A4" s="2" t="s">
        <v>12</v>
      </c>
      <c r="B4" s="3" t="s">
        <v>0</v>
      </c>
      <c r="C4" s="2" t="s">
        <v>1</v>
      </c>
      <c r="D4" s="2" t="s">
        <v>2</v>
      </c>
      <c r="E4" s="13" t="s">
        <v>276</v>
      </c>
      <c r="F4" s="133" t="s">
        <v>11</v>
      </c>
      <c r="G4" s="142"/>
      <c r="H4" s="135" t="s">
        <v>277</v>
      </c>
      <c r="I4" s="143" t="s">
        <v>274</v>
      </c>
      <c r="J4" s="142"/>
      <c r="K4" s="142"/>
      <c r="L4" s="135" t="s">
        <v>278</v>
      </c>
      <c r="M4" s="143" t="s">
        <v>415</v>
      </c>
      <c r="N4" s="143" t="s">
        <v>431</v>
      </c>
    </row>
    <row r="5" spans="1:14" x14ac:dyDescent="0.15">
      <c r="A5" s="1"/>
      <c r="B5" s="145"/>
      <c r="C5" s="4"/>
      <c r="D5" s="6"/>
      <c r="E5" s="146"/>
      <c r="F5" s="134"/>
      <c r="H5" s="147"/>
      <c r="I5" s="147"/>
      <c r="L5" s="147"/>
      <c r="M5" s="147"/>
      <c r="N5" s="147"/>
    </row>
    <row r="6" spans="1:14" ht="64" x14ac:dyDescent="0.15">
      <c r="A6" s="1">
        <v>1</v>
      </c>
      <c r="B6" s="148" t="s">
        <v>7</v>
      </c>
      <c r="C6" s="5">
        <v>5</v>
      </c>
      <c r="D6" s="6" t="s">
        <v>3</v>
      </c>
      <c r="E6" s="14">
        <v>6521.739130434783</v>
      </c>
      <c r="F6" s="134">
        <f>+C6*E6</f>
        <v>32608.695652173916</v>
      </c>
      <c r="H6" s="149">
        <v>6000</v>
      </c>
      <c r="I6" s="149">
        <f>+H6*C6</f>
        <v>30000</v>
      </c>
      <c r="K6" s="137">
        <f>H6/E6</f>
        <v>0.91999999999999993</v>
      </c>
      <c r="L6" s="147">
        <f>I6-F6</f>
        <v>-2608.6956521739157</v>
      </c>
      <c r="M6" s="147">
        <f>H6*$N$3</f>
        <v>7952.8213852419003</v>
      </c>
      <c r="N6" s="147">
        <f>M6*C6</f>
        <v>39764.106926209504</v>
      </c>
    </row>
    <row r="7" spans="1:14" ht="89.25" customHeight="1" x14ac:dyDescent="0.15">
      <c r="A7" s="4">
        <v>2</v>
      </c>
      <c r="B7" s="148" t="s">
        <v>190</v>
      </c>
      <c r="C7" s="5">
        <v>162</v>
      </c>
      <c r="D7" s="6" t="s">
        <v>4</v>
      </c>
      <c r="E7" s="14">
        <v>2608.6956521739135</v>
      </c>
      <c r="F7" s="134">
        <f t="shared" ref="F7:F70" si="0">+C7*E7</f>
        <v>422608.69565217401</v>
      </c>
      <c r="H7" s="149">
        <v>2600</v>
      </c>
      <c r="I7" s="149">
        <f t="shared" ref="I7:I70" si="1">+H7*C7</f>
        <v>421200</v>
      </c>
      <c r="K7" s="137">
        <f>H7/E7</f>
        <v>0.99666666666666648</v>
      </c>
      <c r="L7" s="147">
        <f t="shared" ref="L7:L70" si="2">I7-F7</f>
        <v>-1408.6956521740067</v>
      </c>
      <c r="M7" s="147">
        <f>H7*$N$3</f>
        <v>3446.2226002714901</v>
      </c>
      <c r="N7" s="147">
        <f>M7*C7</f>
        <v>558288.06124398136</v>
      </c>
    </row>
    <row r="8" spans="1:14" ht="96" x14ac:dyDescent="0.15">
      <c r="A8" s="4">
        <v>3</v>
      </c>
      <c r="B8" s="148" t="s">
        <v>191</v>
      </c>
      <c r="C8" s="4">
        <v>2100</v>
      </c>
      <c r="D8" s="6" t="s">
        <v>4</v>
      </c>
      <c r="E8" s="14">
        <v>5130.434782608696</v>
      </c>
      <c r="F8" s="134">
        <f t="shared" si="0"/>
        <v>10773913.043478262</v>
      </c>
      <c r="H8" s="149">
        <v>5130</v>
      </c>
      <c r="I8" s="149">
        <f t="shared" si="1"/>
        <v>10773000</v>
      </c>
      <c r="K8" s="137">
        <f>H8/E8</f>
        <v>0.99991525423728811</v>
      </c>
      <c r="L8" s="147">
        <f t="shared" si="2"/>
        <v>-913.04347826167941</v>
      </c>
      <c r="M8" s="147">
        <f>H8*$N$3</f>
        <v>6799.662284381825</v>
      </c>
      <c r="N8" s="147">
        <f>M8*C8</f>
        <v>14279290.797201833</v>
      </c>
    </row>
    <row r="9" spans="1:14" ht="64" x14ac:dyDescent="0.15">
      <c r="A9" s="4">
        <v>4</v>
      </c>
      <c r="B9" s="148" t="s">
        <v>192</v>
      </c>
      <c r="C9" s="5">
        <v>193.47</v>
      </c>
      <c r="D9" s="1" t="s">
        <v>4</v>
      </c>
      <c r="E9" s="14">
        <v>2173.913043478261</v>
      </c>
      <c r="F9" s="134">
        <f t="shared" si="0"/>
        <v>420586.95652173914</v>
      </c>
      <c r="H9" s="149">
        <v>2175</v>
      </c>
      <c r="I9" s="149">
        <f t="shared" si="1"/>
        <v>420797.25</v>
      </c>
      <c r="K9" s="137">
        <f>H9/E9</f>
        <v>1.0004999999999999</v>
      </c>
      <c r="L9" s="147">
        <f t="shared" si="2"/>
        <v>210.2934782608645</v>
      </c>
      <c r="M9" s="147">
        <f>H9*$N$3</f>
        <v>2882.8977521501888</v>
      </c>
      <c r="N9" s="147">
        <f>M9*C9</f>
        <v>557754.22810849699</v>
      </c>
    </row>
    <row r="10" spans="1:14" ht="128" x14ac:dyDescent="0.15">
      <c r="A10" s="4">
        <v>5</v>
      </c>
      <c r="B10" s="148" t="s">
        <v>193</v>
      </c>
      <c r="C10" s="5">
        <v>8000</v>
      </c>
      <c r="D10" s="6" t="s">
        <v>8</v>
      </c>
      <c r="E10" s="14">
        <v>156.52173913043478</v>
      </c>
      <c r="F10" s="134">
        <f t="shared" si="0"/>
        <v>1252173.9130434783</v>
      </c>
      <c r="H10" s="149">
        <v>110</v>
      </c>
      <c r="I10" s="149">
        <f t="shared" si="1"/>
        <v>880000</v>
      </c>
      <c r="K10" s="137">
        <f>H10/E10</f>
        <v>0.70277777777777783</v>
      </c>
      <c r="L10" s="147">
        <f t="shared" si="2"/>
        <v>-372173.91304347827</v>
      </c>
      <c r="M10" s="147">
        <f>H10*$N$3</f>
        <v>145.80172539610152</v>
      </c>
      <c r="N10" s="147">
        <f>M10*C10</f>
        <v>1166413.8031688121</v>
      </c>
    </row>
    <row r="11" spans="1:14" ht="128" x14ac:dyDescent="0.15">
      <c r="A11" s="4">
        <v>6</v>
      </c>
      <c r="B11" s="148" t="s">
        <v>194</v>
      </c>
      <c r="C11" s="5">
        <v>2500</v>
      </c>
      <c r="D11" s="6" t="s">
        <v>9</v>
      </c>
      <c r="E11" s="14">
        <v>304.34782608695656</v>
      </c>
      <c r="F11" s="134">
        <f t="shared" si="0"/>
        <v>760869.56521739135</v>
      </c>
      <c r="H11" s="149">
        <v>310</v>
      </c>
      <c r="I11" s="149">
        <f t="shared" si="1"/>
        <v>775000</v>
      </c>
      <c r="K11" s="137">
        <f>H11/E11</f>
        <v>1.0185714285714285</v>
      </c>
      <c r="L11" s="147">
        <f t="shared" si="2"/>
        <v>14130.434782608645</v>
      </c>
      <c r="M11" s="147">
        <f>H11*$N$3</f>
        <v>410.89577157083153</v>
      </c>
      <c r="N11" s="147">
        <f>M11*C11</f>
        <v>1027239.4289270788</v>
      </c>
    </row>
    <row r="12" spans="1:14" ht="32" x14ac:dyDescent="0.15">
      <c r="A12" s="4">
        <v>7</v>
      </c>
      <c r="B12" s="148" t="s">
        <v>5</v>
      </c>
      <c r="C12" s="5">
        <v>1500</v>
      </c>
      <c r="D12" s="6" t="s">
        <v>4</v>
      </c>
      <c r="E12" s="14"/>
      <c r="F12" s="134">
        <f t="shared" si="0"/>
        <v>0</v>
      </c>
      <c r="H12" s="150">
        <v>-300</v>
      </c>
      <c r="I12" s="149">
        <f t="shared" si="1"/>
        <v>-450000</v>
      </c>
      <c r="K12" s="137" t="e">
        <f>H12/E12</f>
        <v>#DIV/0!</v>
      </c>
      <c r="L12" s="147">
        <f t="shared" si="2"/>
        <v>-450000</v>
      </c>
      <c r="M12" s="147">
        <f>H12*$N$3</f>
        <v>-397.64106926209502</v>
      </c>
      <c r="N12" s="147">
        <f>M12*C12</f>
        <v>-596461.60389314254</v>
      </c>
    </row>
    <row r="13" spans="1:14" ht="32" x14ac:dyDescent="0.15">
      <c r="A13" s="4">
        <v>8</v>
      </c>
      <c r="B13" s="6" t="s">
        <v>10</v>
      </c>
      <c r="C13" s="5">
        <v>1500</v>
      </c>
      <c r="D13" s="6" t="s">
        <v>4</v>
      </c>
      <c r="E13" s="14">
        <v>4347.826086956522</v>
      </c>
      <c r="F13" s="134">
        <f t="shared" si="0"/>
        <v>6521739.1304347832</v>
      </c>
      <c r="H13" s="149">
        <v>4350</v>
      </c>
      <c r="I13" s="149">
        <f t="shared" si="1"/>
        <v>6525000</v>
      </c>
      <c r="K13" s="137">
        <f>H13/E13</f>
        <v>1.0004999999999999</v>
      </c>
      <c r="L13" s="147">
        <f t="shared" si="2"/>
        <v>3260.8695652168244</v>
      </c>
      <c r="M13" s="147">
        <f>H13*$N$3</f>
        <v>5765.7955043003776</v>
      </c>
      <c r="N13" s="147">
        <f>M13*C13</f>
        <v>8648693.2564505655</v>
      </c>
    </row>
    <row r="14" spans="1:14" ht="96" x14ac:dyDescent="0.15">
      <c r="A14" s="4">
        <v>9</v>
      </c>
      <c r="B14" s="6" t="s">
        <v>13</v>
      </c>
      <c r="C14" s="5">
        <v>1500</v>
      </c>
      <c r="D14" s="6" t="s">
        <v>4</v>
      </c>
      <c r="E14" s="14">
        <v>1217.3913043478262</v>
      </c>
      <c r="F14" s="134">
        <f t="shared" si="0"/>
        <v>1826086.9565217393</v>
      </c>
      <c r="H14" s="149">
        <v>1100</v>
      </c>
      <c r="I14" s="149">
        <f t="shared" si="1"/>
        <v>1650000</v>
      </c>
      <c r="K14" s="137">
        <f>H14/E14</f>
        <v>0.90357142857142847</v>
      </c>
      <c r="L14" s="147">
        <f t="shared" si="2"/>
        <v>-176086.95652173925</v>
      </c>
      <c r="M14" s="147">
        <f>H14*$N$3</f>
        <v>1458.0172539610151</v>
      </c>
      <c r="N14" s="147">
        <f>M14*C14</f>
        <v>2187025.8809415228</v>
      </c>
    </row>
    <row r="15" spans="1:14" ht="64" x14ac:dyDescent="0.15">
      <c r="A15" s="4">
        <v>10</v>
      </c>
      <c r="B15" s="1" t="s">
        <v>156</v>
      </c>
      <c r="C15" s="5">
        <v>270</v>
      </c>
      <c r="D15" s="6" t="s">
        <v>98</v>
      </c>
      <c r="E15" s="14">
        <v>478.26086956521743</v>
      </c>
      <c r="F15" s="134">
        <f t="shared" si="0"/>
        <v>129130.4347826087</v>
      </c>
      <c r="H15" s="149">
        <v>480</v>
      </c>
      <c r="I15" s="149">
        <f t="shared" si="1"/>
        <v>129600</v>
      </c>
      <c r="K15" s="137">
        <f>H15/E15</f>
        <v>1.0036363636363634</v>
      </c>
      <c r="L15" s="147">
        <f t="shared" si="2"/>
        <v>469.56521739129676</v>
      </c>
      <c r="M15" s="147">
        <f>H15*$N$3</f>
        <v>636.22571081935212</v>
      </c>
      <c r="N15" s="147">
        <f>M15*C15</f>
        <v>171780.94192122508</v>
      </c>
    </row>
    <row r="16" spans="1:14" ht="48" x14ac:dyDescent="0.15">
      <c r="A16" s="4">
        <v>11</v>
      </c>
      <c r="B16" s="6" t="s">
        <v>195</v>
      </c>
      <c r="C16" s="5">
        <v>2048</v>
      </c>
      <c r="D16" s="6" t="s">
        <v>4</v>
      </c>
      <c r="E16" s="14">
        <v>217.39130434782609</v>
      </c>
      <c r="F16" s="134">
        <f t="shared" si="0"/>
        <v>445217.39130434784</v>
      </c>
      <c r="H16" s="149">
        <v>215</v>
      </c>
      <c r="I16" s="149">
        <f t="shared" si="1"/>
        <v>440320</v>
      </c>
      <c r="K16" s="137">
        <f>H16/E16</f>
        <v>0.98899999999999999</v>
      </c>
      <c r="L16" s="147">
        <f t="shared" si="2"/>
        <v>-4897.3913043478387</v>
      </c>
      <c r="M16" s="147">
        <f>H16*$N$3</f>
        <v>284.97609963783475</v>
      </c>
      <c r="N16" s="147">
        <f>M16*C16</f>
        <v>583631.05205828557</v>
      </c>
    </row>
    <row r="17" spans="1:14" ht="48" x14ac:dyDescent="0.15">
      <c r="A17" s="4">
        <v>12</v>
      </c>
      <c r="B17" s="6" t="s">
        <v>196</v>
      </c>
      <c r="C17" s="5">
        <v>2048</v>
      </c>
      <c r="D17" s="6" t="s">
        <v>4</v>
      </c>
      <c r="E17" s="14">
        <v>608.69565217391312</v>
      </c>
      <c r="F17" s="134">
        <f t="shared" si="0"/>
        <v>1246608.6956521741</v>
      </c>
      <c r="H17" s="149">
        <v>500</v>
      </c>
      <c r="I17" s="149">
        <f t="shared" si="1"/>
        <v>1024000</v>
      </c>
      <c r="K17" s="137">
        <f>H17/E17</f>
        <v>0.82142857142857129</v>
      </c>
      <c r="L17" s="147">
        <f t="shared" si="2"/>
        <v>-222608.69565217406</v>
      </c>
      <c r="M17" s="147">
        <f>H17*$N$3</f>
        <v>662.73511543682503</v>
      </c>
      <c r="N17" s="147">
        <f>M17*C17</f>
        <v>1357281.5164146177</v>
      </c>
    </row>
    <row r="18" spans="1:14" ht="65.25" customHeight="1" x14ac:dyDescent="0.15">
      <c r="A18" s="4">
        <v>13</v>
      </c>
      <c r="B18" s="1" t="s">
        <v>157</v>
      </c>
      <c r="C18" s="5">
        <v>5</v>
      </c>
      <c r="D18" s="6" t="s">
        <v>3</v>
      </c>
      <c r="E18" s="14">
        <v>3913.04347826087</v>
      </c>
      <c r="F18" s="134">
        <f t="shared" si="0"/>
        <v>19565.217391304352</v>
      </c>
      <c r="H18" s="149">
        <v>2000</v>
      </c>
      <c r="I18" s="149">
        <f t="shared" si="1"/>
        <v>10000</v>
      </c>
      <c r="K18" s="137">
        <f>H18/E18</f>
        <v>0.51111111111111107</v>
      </c>
      <c r="L18" s="147">
        <f t="shared" si="2"/>
        <v>-9565.2173913043516</v>
      </c>
      <c r="M18" s="147">
        <f>H18*$N$3</f>
        <v>2650.9404617473001</v>
      </c>
      <c r="N18" s="147">
        <f>M18*C18</f>
        <v>13254.702308736501</v>
      </c>
    </row>
    <row r="19" spans="1:14" ht="48" x14ac:dyDescent="0.15">
      <c r="A19" s="4">
        <v>14</v>
      </c>
      <c r="B19" s="6" t="s">
        <v>197</v>
      </c>
      <c r="C19" s="5">
        <v>5</v>
      </c>
      <c r="D19" s="6" t="s">
        <v>3</v>
      </c>
      <c r="E19" s="14">
        <v>5217.3913043478269</v>
      </c>
      <c r="F19" s="134">
        <f t="shared" si="0"/>
        <v>26086.956521739135</v>
      </c>
      <c r="H19" s="149">
        <v>2100</v>
      </c>
      <c r="I19" s="149">
        <f t="shared" si="1"/>
        <v>10500</v>
      </c>
      <c r="K19" s="137">
        <f>H19/E19</f>
        <v>0.40249999999999991</v>
      </c>
      <c r="L19" s="147">
        <f t="shared" si="2"/>
        <v>-15586.956521739135</v>
      </c>
      <c r="M19" s="147">
        <f>H19*$N$3</f>
        <v>2783.4874848346653</v>
      </c>
      <c r="N19" s="147">
        <f>M19*C19</f>
        <v>13917.437424173328</v>
      </c>
    </row>
    <row r="20" spans="1:14" ht="48" x14ac:dyDescent="0.15">
      <c r="A20" s="4">
        <v>15</v>
      </c>
      <c r="B20" s="6" t="s">
        <v>198</v>
      </c>
      <c r="C20" s="5">
        <v>5</v>
      </c>
      <c r="D20" s="6" t="s">
        <v>3</v>
      </c>
      <c r="E20" s="14">
        <v>2608.6956521739135</v>
      </c>
      <c r="F20" s="134">
        <f t="shared" si="0"/>
        <v>13043.478260869568</v>
      </c>
      <c r="H20" s="149">
        <v>1200</v>
      </c>
      <c r="I20" s="149">
        <f t="shared" si="1"/>
        <v>6000</v>
      </c>
      <c r="K20" s="137">
        <f>H20/E20</f>
        <v>0.45999999999999991</v>
      </c>
      <c r="L20" s="147">
        <f t="shared" si="2"/>
        <v>-7043.4782608695677</v>
      </c>
      <c r="M20" s="147">
        <f>H20*$N$3</f>
        <v>1590.5642770483801</v>
      </c>
      <c r="N20" s="147">
        <f>M20*C20</f>
        <v>7952.8213852419003</v>
      </c>
    </row>
    <row r="21" spans="1:14" ht="32" x14ac:dyDescent="0.15">
      <c r="A21" s="4">
        <v>16</v>
      </c>
      <c r="B21" s="6" t="s">
        <v>14</v>
      </c>
      <c r="C21" s="5">
        <v>500</v>
      </c>
      <c r="D21" s="6" t="s">
        <v>8</v>
      </c>
      <c r="E21" s="14">
        <v>47.826086956521742</v>
      </c>
      <c r="F21" s="134">
        <f t="shared" si="0"/>
        <v>23913.043478260872</v>
      </c>
      <c r="H21" s="149">
        <v>200</v>
      </c>
      <c r="I21" s="149">
        <f t="shared" si="1"/>
        <v>100000</v>
      </c>
      <c r="K21" s="137">
        <f>H21/E21</f>
        <v>4.1818181818181817</v>
      </c>
      <c r="L21" s="147">
        <f t="shared" si="2"/>
        <v>76086.956521739135</v>
      </c>
      <c r="M21" s="147">
        <f>H21*$N$3</f>
        <v>265.09404617473001</v>
      </c>
      <c r="N21" s="147">
        <f>M21*C21</f>
        <v>132547.023087365</v>
      </c>
    </row>
    <row r="22" spans="1:14" ht="32" x14ac:dyDescent="0.15">
      <c r="A22" s="4">
        <v>17</v>
      </c>
      <c r="B22" s="6" t="s">
        <v>15</v>
      </c>
      <c r="C22" s="5">
        <v>3600</v>
      </c>
      <c r="D22" s="6" t="s">
        <v>4</v>
      </c>
      <c r="E22" s="14">
        <v>739.13043478260875</v>
      </c>
      <c r="F22" s="134">
        <f t="shared" si="0"/>
        <v>2660869.5652173916</v>
      </c>
      <c r="H22" s="149">
        <v>500</v>
      </c>
      <c r="I22" s="149">
        <f t="shared" si="1"/>
        <v>1800000</v>
      </c>
      <c r="K22" s="137">
        <f>H22/E22</f>
        <v>0.67647058823529405</v>
      </c>
      <c r="L22" s="147">
        <f t="shared" si="2"/>
        <v>-860869.56521739159</v>
      </c>
      <c r="M22" s="147">
        <f>H22*$N$3</f>
        <v>662.73511543682503</v>
      </c>
      <c r="N22" s="147">
        <f>M22*C22</f>
        <v>2385846.4155725702</v>
      </c>
    </row>
    <row r="23" spans="1:14" ht="48" x14ac:dyDescent="0.15">
      <c r="A23" s="4">
        <v>18</v>
      </c>
      <c r="B23" s="6" t="s">
        <v>199</v>
      </c>
      <c r="C23" s="5">
        <v>3040</v>
      </c>
      <c r="D23" s="6" t="s">
        <v>4</v>
      </c>
      <c r="E23" s="14">
        <v>1086.9565217391305</v>
      </c>
      <c r="F23" s="134">
        <f t="shared" si="0"/>
        <v>3304347.8260869565</v>
      </c>
      <c r="H23" s="149">
        <v>1100</v>
      </c>
      <c r="I23" s="149">
        <f t="shared" si="1"/>
        <v>3344000</v>
      </c>
      <c r="K23" s="137">
        <f>H23/E23</f>
        <v>1.012</v>
      </c>
      <c r="L23" s="147">
        <f t="shared" si="2"/>
        <v>39652.173913043458</v>
      </c>
      <c r="M23" s="147">
        <f>H23*$N$3</f>
        <v>1458.0172539610151</v>
      </c>
      <c r="N23" s="147">
        <f>M23*C23</f>
        <v>4432372.4520414853</v>
      </c>
    </row>
    <row r="24" spans="1:14" ht="160" x14ac:dyDescent="0.15">
      <c r="A24" s="4">
        <v>19</v>
      </c>
      <c r="B24" s="1" t="s">
        <v>158</v>
      </c>
      <c r="C24" s="1"/>
      <c r="D24" s="1"/>
      <c r="E24" s="15"/>
      <c r="F24" s="134"/>
      <c r="H24" s="149"/>
      <c r="I24" s="149"/>
      <c r="L24" s="147">
        <f t="shared" si="2"/>
        <v>0</v>
      </c>
      <c r="M24" s="147">
        <f>H24*$N$3</f>
        <v>0</v>
      </c>
      <c r="N24" s="147">
        <f>M24*C24</f>
        <v>0</v>
      </c>
    </row>
    <row r="25" spans="1:14" ht="32" x14ac:dyDescent="0.15">
      <c r="A25" s="7">
        <v>19.100000000000001</v>
      </c>
      <c r="B25" s="6" t="s">
        <v>16</v>
      </c>
      <c r="C25" s="5">
        <v>750</v>
      </c>
      <c r="D25" s="6" t="s">
        <v>8</v>
      </c>
      <c r="E25" s="14">
        <v>239.13043478260872</v>
      </c>
      <c r="F25" s="134">
        <f t="shared" si="0"/>
        <v>179347.82608695654</v>
      </c>
      <c r="H25" s="149">
        <v>300</v>
      </c>
      <c r="I25" s="149">
        <f t="shared" si="1"/>
        <v>225000</v>
      </c>
      <c r="K25" s="137">
        <f>H25/E25</f>
        <v>1.2545454545454544</v>
      </c>
      <c r="L25" s="147">
        <f t="shared" si="2"/>
        <v>45652.173913043458</v>
      </c>
      <c r="M25" s="147">
        <f>H25*$N$3</f>
        <v>397.64106926209502</v>
      </c>
      <c r="N25" s="147">
        <f>M25*C25</f>
        <v>298230.80194657127</v>
      </c>
    </row>
    <row r="26" spans="1:14" ht="80" x14ac:dyDescent="0.15">
      <c r="A26" s="7">
        <v>19.2</v>
      </c>
      <c r="B26" s="6" t="s">
        <v>201</v>
      </c>
      <c r="C26" s="5">
        <v>250</v>
      </c>
      <c r="D26" s="6" t="s">
        <v>8</v>
      </c>
      <c r="E26" s="14">
        <v>608.69565217391312</v>
      </c>
      <c r="F26" s="134">
        <f t="shared" si="0"/>
        <v>152173.91304347827</v>
      </c>
      <c r="H26" s="149">
        <v>500</v>
      </c>
      <c r="I26" s="149">
        <f t="shared" si="1"/>
        <v>125000</v>
      </c>
      <c r="K26" s="137">
        <f>H26/E26</f>
        <v>0.82142857142857129</v>
      </c>
      <c r="L26" s="147">
        <f t="shared" si="2"/>
        <v>-27173.913043478271</v>
      </c>
      <c r="M26" s="147">
        <f>H26*$N$3</f>
        <v>662.73511543682503</v>
      </c>
      <c r="N26" s="147">
        <f>M26*C26</f>
        <v>165683.77885920624</v>
      </c>
    </row>
    <row r="27" spans="1:14" ht="80" x14ac:dyDescent="0.15">
      <c r="A27" s="4">
        <v>20</v>
      </c>
      <c r="B27" s="6" t="s">
        <v>200</v>
      </c>
      <c r="C27" s="5">
        <v>150</v>
      </c>
      <c r="D27" s="1" t="s">
        <v>4</v>
      </c>
      <c r="E27" s="14">
        <v>847.82608695652175</v>
      </c>
      <c r="F27" s="134">
        <f t="shared" si="0"/>
        <v>127173.91304347826</v>
      </c>
      <c r="H27" s="149">
        <v>850</v>
      </c>
      <c r="I27" s="149">
        <f t="shared" si="1"/>
        <v>127500</v>
      </c>
      <c r="K27" s="137">
        <f>H27/E27</f>
        <v>1.0025641025641026</v>
      </c>
      <c r="L27" s="147">
        <f t="shared" si="2"/>
        <v>326.08695652174356</v>
      </c>
      <c r="M27" s="147">
        <f>H27*$N$3</f>
        <v>1126.6496962426027</v>
      </c>
      <c r="N27" s="147">
        <f>M27*C27</f>
        <v>168997.4544363904</v>
      </c>
    </row>
    <row r="28" spans="1:14" ht="64" x14ac:dyDescent="0.15">
      <c r="A28" s="4">
        <v>21</v>
      </c>
      <c r="B28" s="6" t="s">
        <v>202</v>
      </c>
      <c r="C28" s="5">
        <v>150</v>
      </c>
      <c r="D28" s="6" t="s">
        <v>4</v>
      </c>
      <c r="E28" s="14">
        <v>782.60869565217399</v>
      </c>
      <c r="F28" s="134">
        <f t="shared" si="0"/>
        <v>117391.3043478261</v>
      </c>
      <c r="H28" s="149">
        <v>775</v>
      </c>
      <c r="I28" s="149">
        <f t="shared" si="1"/>
        <v>116250</v>
      </c>
      <c r="K28" s="137">
        <f>H28/E28</f>
        <v>0.9902777777777777</v>
      </c>
      <c r="L28" s="147">
        <f t="shared" si="2"/>
        <v>-1141.3043478260952</v>
      </c>
      <c r="M28" s="147">
        <f>H28*$N$3</f>
        <v>1027.2394289270787</v>
      </c>
      <c r="N28" s="147">
        <f>M28*C28</f>
        <v>154085.9143390618</v>
      </c>
    </row>
    <row r="29" spans="1:14" ht="64" x14ac:dyDescent="0.15">
      <c r="A29" s="4">
        <v>22</v>
      </c>
      <c r="B29" s="6" t="s">
        <v>203</v>
      </c>
      <c r="C29" s="5">
        <v>28</v>
      </c>
      <c r="D29" s="1" t="s">
        <v>4</v>
      </c>
      <c r="E29" s="14">
        <v>782.60869565217399</v>
      </c>
      <c r="F29" s="134">
        <f t="shared" si="0"/>
        <v>21913.043478260872</v>
      </c>
      <c r="H29" s="149">
        <v>775</v>
      </c>
      <c r="I29" s="149">
        <f t="shared" si="1"/>
        <v>21700</v>
      </c>
      <c r="K29" s="137">
        <f>H29/E29</f>
        <v>0.9902777777777777</v>
      </c>
      <c r="L29" s="147">
        <f t="shared" si="2"/>
        <v>-213.04347826087178</v>
      </c>
      <c r="M29" s="147">
        <f>H29*$N$3</f>
        <v>1027.2394289270787</v>
      </c>
      <c r="N29" s="147">
        <f>M29*C29</f>
        <v>28762.704009958205</v>
      </c>
    </row>
    <row r="30" spans="1:14" ht="288" x14ac:dyDescent="0.15">
      <c r="A30" s="4">
        <v>23</v>
      </c>
      <c r="B30" s="6" t="s">
        <v>273</v>
      </c>
      <c r="C30" s="5">
        <v>1200</v>
      </c>
      <c r="D30" s="6" t="s">
        <v>4</v>
      </c>
      <c r="E30" s="14">
        <v>2304.3478260869565</v>
      </c>
      <c r="F30" s="134">
        <f t="shared" si="0"/>
        <v>2765217.3913043477</v>
      </c>
      <c r="H30" s="149">
        <v>1250</v>
      </c>
      <c r="I30" s="149">
        <f t="shared" si="1"/>
        <v>1500000</v>
      </c>
      <c r="K30" s="137">
        <f>H30/E30</f>
        <v>0.54245283018867929</v>
      </c>
      <c r="L30" s="147">
        <f t="shared" si="2"/>
        <v>-1265217.3913043477</v>
      </c>
      <c r="M30" s="147">
        <f>H30*$N$3</f>
        <v>1656.8377885920627</v>
      </c>
      <c r="N30" s="147">
        <f>M30*C30</f>
        <v>1988205.3463104751</v>
      </c>
    </row>
    <row r="31" spans="1:14" ht="48" x14ac:dyDescent="0.15">
      <c r="A31" s="4">
        <v>24</v>
      </c>
      <c r="B31" s="1" t="s">
        <v>159</v>
      </c>
      <c r="C31" s="5">
        <v>103</v>
      </c>
      <c r="D31" s="6" t="s">
        <v>4</v>
      </c>
      <c r="E31" s="14">
        <v>3913.04347826087</v>
      </c>
      <c r="F31" s="134">
        <f t="shared" si="0"/>
        <v>403043.47826086963</v>
      </c>
      <c r="H31" s="149">
        <v>7500</v>
      </c>
      <c r="I31" s="149">
        <f t="shared" si="1"/>
        <v>772500</v>
      </c>
      <c r="K31" s="137">
        <f>H31/E31</f>
        <v>1.9166666666666665</v>
      </c>
      <c r="L31" s="147">
        <f t="shared" si="2"/>
        <v>369456.52173913037</v>
      </c>
      <c r="M31" s="147">
        <f>H31*$N$3</f>
        <v>9941.0267315523761</v>
      </c>
      <c r="N31" s="147">
        <f>M31*C31</f>
        <v>1023925.7533498948</v>
      </c>
    </row>
    <row r="32" spans="1:14" ht="272" x14ac:dyDescent="0.15">
      <c r="A32" s="4">
        <v>25</v>
      </c>
      <c r="B32" s="6" t="s">
        <v>272</v>
      </c>
      <c r="C32" s="5">
        <v>5434</v>
      </c>
      <c r="D32" s="6" t="s">
        <v>4</v>
      </c>
      <c r="E32" s="14">
        <v>2782.608695652174</v>
      </c>
      <c r="F32" s="134">
        <f t="shared" si="0"/>
        <v>15120695.652173914</v>
      </c>
      <c r="H32" s="149">
        <v>2800</v>
      </c>
      <c r="I32" s="149">
        <f t="shared" si="1"/>
        <v>15215200</v>
      </c>
      <c r="K32" s="137">
        <f>H32/E32</f>
        <v>1.0062499999999999</v>
      </c>
      <c r="L32" s="147">
        <f t="shared" si="2"/>
        <v>94504.347826085985</v>
      </c>
      <c r="M32" s="147">
        <f>H32*$N$3</f>
        <v>3711.3166464462201</v>
      </c>
      <c r="N32" s="147">
        <f>M32*C32</f>
        <v>20167294.656788759</v>
      </c>
    </row>
    <row r="33" spans="1:14" ht="96" x14ac:dyDescent="0.15">
      <c r="A33" s="4">
        <v>26</v>
      </c>
      <c r="B33" s="1" t="s">
        <v>160</v>
      </c>
      <c r="C33" s="5">
        <v>324</v>
      </c>
      <c r="D33" s="6" t="s">
        <v>4</v>
      </c>
      <c r="E33" s="14">
        <v>15652.17391304348</v>
      </c>
      <c r="F33" s="134">
        <f t="shared" si="0"/>
        <v>5071304.3478260878</v>
      </c>
      <c r="H33" s="149">
        <v>15500</v>
      </c>
      <c r="I33" s="149">
        <f t="shared" si="1"/>
        <v>5022000</v>
      </c>
      <c r="K33" s="137">
        <f>H33/E33</f>
        <v>0.9902777777777777</v>
      </c>
      <c r="L33" s="147">
        <f t="shared" si="2"/>
        <v>-49304.347826087847</v>
      </c>
      <c r="M33" s="147">
        <f>H33*$N$3</f>
        <v>20544.788578541578</v>
      </c>
      <c r="N33" s="147">
        <f>M33*C33</f>
        <v>6656511.4994474715</v>
      </c>
    </row>
    <row r="34" spans="1:14" ht="64" x14ac:dyDescent="0.15">
      <c r="A34" s="4">
        <v>27</v>
      </c>
      <c r="B34" s="6" t="s">
        <v>17</v>
      </c>
      <c r="C34" s="5">
        <v>324</v>
      </c>
      <c r="D34" s="6" t="s">
        <v>4</v>
      </c>
      <c r="E34" s="14">
        <v>3478.2608695652175</v>
      </c>
      <c r="F34" s="134">
        <f t="shared" si="0"/>
        <v>1126956.5217391304</v>
      </c>
      <c r="H34" s="149">
        <v>3500</v>
      </c>
      <c r="I34" s="149">
        <f t="shared" si="1"/>
        <v>1134000</v>
      </c>
      <c r="K34" s="137">
        <f>H34/E34</f>
        <v>1.0062499999999999</v>
      </c>
      <c r="L34" s="147">
        <f t="shared" si="2"/>
        <v>7043.478260869626</v>
      </c>
      <c r="M34" s="147">
        <f>H34*$N$3</f>
        <v>4639.1458080577759</v>
      </c>
      <c r="N34" s="147">
        <f>M34*C34</f>
        <v>1503083.2418107195</v>
      </c>
    </row>
    <row r="35" spans="1:14" ht="64" x14ac:dyDescent="0.15">
      <c r="A35" s="4">
        <v>28</v>
      </c>
      <c r="B35" s="6" t="s">
        <v>204</v>
      </c>
      <c r="C35" s="5">
        <v>1310</v>
      </c>
      <c r="D35" s="6" t="s">
        <v>4</v>
      </c>
      <c r="E35" s="14">
        <v>304.34782608695656</v>
      </c>
      <c r="F35" s="134">
        <f t="shared" si="0"/>
        <v>398695.65217391308</v>
      </c>
      <c r="H35" s="149">
        <v>300</v>
      </c>
      <c r="I35" s="149">
        <f t="shared" si="1"/>
        <v>393000</v>
      </c>
      <c r="K35" s="137">
        <f>H35/E35</f>
        <v>0.98571428571428554</v>
      </c>
      <c r="L35" s="147">
        <f t="shared" si="2"/>
        <v>-5695.652173913084</v>
      </c>
      <c r="M35" s="147">
        <f>H35*$N$3</f>
        <v>397.64106926209502</v>
      </c>
      <c r="N35" s="147">
        <f>M35*C35</f>
        <v>520909.80073334445</v>
      </c>
    </row>
    <row r="36" spans="1:14" ht="96" x14ac:dyDescent="0.15">
      <c r="A36" s="4">
        <v>29</v>
      </c>
      <c r="B36" s="6" t="s">
        <v>205</v>
      </c>
      <c r="C36" s="5">
        <v>1605</v>
      </c>
      <c r="D36" s="6" t="s">
        <v>4</v>
      </c>
      <c r="E36" s="14">
        <v>3043.4782608695655</v>
      </c>
      <c r="F36" s="134">
        <f t="shared" si="0"/>
        <v>4884782.6086956523</v>
      </c>
      <c r="H36" s="149">
        <v>3050</v>
      </c>
      <c r="I36" s="149">
        <f t="shared" si="1"/>
        <v>4895250</v>
      </c>
      <c r="K36" s="137">
        <f>H36/E36</f>
        <v>1.002142857142857</v>
      </c>
      <c r="L36" s="147">
        <f t="shared" si="2"/>
        <v>10467.391304347664</v>
      </c>
      <c r="M36" s="147">
        <f>H36*$N$3</f>
        <v>4042.6842041646328</v>
      </c>
      <c r="N36" s="147">
        <f>M36*C36</f>
        <v>6488508.1476842361</v>
      </c>
    </row>
    <row r="37" spans="1:14" ht="64" x14ac:dyDescent="0.15">
      <c r="A37" s="4">
        <v>30</v>
      </c>
      <c r="B37" s="6" t="s">
        <v>206</v>
      </c>
      <c r="C37" s="5">
        <v>139</v>
      </c>
      <c r="D37" s="6" t="s">
        <v>4</v>
      </c>
      <c r="E37" s="14">
        <v>478.26086956521743</v>
      </c>
      <c r="F37" s="134">
        <f t="shared" si="0"/>
        <v>66478.260869565216</v>
      </c>
      <c r="H37" s="149">
        <v>500</v>
      </c>
      <c r="I37" s="149">
        <f t="shared" si="1"/>
        <v>69500</v>
      </c>
      <c r="K37" s="137">
        <f>H37/E37</f>
        <v>1.0454545454545454</v>
      </c>
      <c r="L37" s="147">
        <f t="shared" si="2"/>
        <v>3021.7391304347839</v>
      </c>
      <c r="M37" s="147">
        <f>H37*$N$3</f>
        <v>662.73511543682503</v>
      </c>
      <c r="N37" s="147">
        <f>M37*C37</f>
        <v>92120.18104571868</v>
      </c>
    </row>
    <row r="38" spans="1:14" ht="64" x14ac:dyDescent="0.15">
      <c r="A38" s="4">
        <v>31</v>
      </c>
      <c r="B38" s="6" t="s">
        <v>207</v>
      </c>
      <c r="C38" s="5">
        <v>192</v>
      </c>
      <c r="D38" s="1" t="s">
        <v>4</v>
      </c>
      <c r="E38" s="14">
        <v>695.6521739130435</v>
      </c>
      <c r="F38" s="134">
        <f t="shared" si="0"/>
        <v>133565.21739130435</v>
      </c>
      <c r="H38" s="149">
        <v>700</v>
      </c>
      <c r="I38" s="149">
        <f t="shared" si="1"/>
        <v>134400</v>
      </c>
      <c r="K38" s="137">
        <f>H38/E38</f>
        <v>1.0062499999999999</v>
      </c>
      <c r="L38" s="147">
        <f t="shared" si="2"/>
        <v>834.78260869564838</v>
      </c>
      <c r="M38" s="147">
        <f>H38*$N$3</f>
        <v>927.82916161155504</v>
      </c>
      <c r="N38" s="147">
        <f>M38*C38</f>
        <v>178143.19902941858</v>
      </c>
    </row>
    <row r="39" spans="1:14" ht="64" x14ac:dyDescent="0.15">
      <c r="A39" s="4">
        <v>32</v>
      </c>
      <c r="B39" s="6" t="s">
        <v>208</v>
      </c>
      <c r="C39" s="1"/>
      <c r="D39" s="1"/>
      <c r="E39" s="15">
        <v>0</v>
      </c>
      <c r="F39" s="134"/>
      <c r="H39" s="149">
        <f>+[1]BOQ!$F39</f>
        <v>0</v>
      </c>
      <c r="I39" s="149">
        <f t="shared" si="1"/>
        <v>0</v>
      </c>
      <c r="L39" s="147">
        <f t="shared" si="2"/>
        <v>0</v>
      </c>
      <c r="M39" s="147">
        <f>H39*$N$3</f>
        <v>0</v>
      </c>
      <c r="N39" s="147">
        <f>M39*C39</f>
        <v>0</v>
      </c>
    </row>
    <row r="40" spans="1:14" x14ac:dyDescent="0.15">
      <c r="A40" s="7">
        <v>32.1</v>
      </c>
      <c r="B40" s="6" t="s">
        <v>18</v>
      </c>
      <c r="C40" s="5">
        <v>35</v>
      </c>
      <c r="D40" s="6" t="s">
        <v>4</v>
      </c>
      <c r="E40" s="14">
        <v>6956.521739130435</v>
      </c>
      <c r="F40" s="134">
        <f t="shared" si="0"/>
        <v>243478.26086956522</v>
      </c>
      <c r="H40" s="149">
        <v>7000</v>
      </c>
      <c r="I40" s="149">
        <f t="shared" si="1"/>
        <v>245000</v>
      </c>
      <c r="K40" s="137">
        <f>H40/E40</f>
        <v>1.0062499999999999</v>
      </c>
      <c r="L40" s="147">
        <f t="shared" si="2"/>
        <v>1521.7391304347839</v>
      </c>
      <c r="M40" s="147">
        <f>H40*$N$3</f>
        <v>9278.2916161155517</v>
      </c>
      <c r="N40" s="147">
        <f>M40*C40</f>
        <v>324740.20656404429</v>
      </c>
    </row>
    <row r="41" spans="1:14" x14ac:dyDescent="0.15">
      <c r="A41" s="7">
        <v>32.200000000000003</v>
      </c>
      <c r="B41" s="6" t="s">
        <v>19</v>
      </c>
      <c r="C41" s="5">
        <v>35</v>
      </c>
      <c r="D41" s="6" t="s">
        <v>4</v>
      </c>
      <c r="E41" s="14">
        <v>6956.521739130435</v>
      </c>
      <c r="F41" s="134">
        <f t="shared" si="0"/>
        <v>243478.26086956522</v>
      </c>
      <c r="H41" s="149">
        <v>7000</v>
      </c>
      <c r="I41" s="149">
        <f t="shared" si="1"/>
        <v>245000</v>
      </c>
      <c r="K41" s="137">
        <f>H41/E41</f>
        <v>1.0062499999999999</v>
      </c>
      <c r="L41" s="147">
        <f t="shared" si="2"/>
        <v>1521.7391304347839</v>
      </c>
      <c r="M41" s="147">
        <f>H41*$N$3</f>
        <v>9278.2916161155517</v>
      </c>
      <c r="N41" s="147">
        <f>M41*C41</f>
        <v>324740.20656404429</v>
      </c>
    </row>
    <row r="42" spans="1:14" x14ac:dyDescent="0.15">
      <c r="A42" s="7">
        <v>32.299999999999997</v>
      </c>
      <c r="B42" s="6" t="s">
        <v>21</v>
      </c>
      <c r="C42" s="5">
        <v>35</v>
      </c>
      <c r="D42" s="6" t="s">
        <v>4</v>
      </c>
      <c r="E42" s="14">
        <v>6956.521739130435</v>
      </c>
      <c r="F42" s="134">
        <f t="shared" si="0"/>
        <v>243478.26086956522</v>
      </c>
      <c r="H42" s="149">
        <v>7000</v>
      </c>
      <c r="I42" s="149">
        <f t="shared" si="1"/>
        <v>245000</v>
      </c>
      <c r="K42" s="137">
        <f>H42/E42</f>
        <v>1.0062499999999999</v>
      </c>
      <c r="L42" s="147">
        <f t="shared" si="2"/>
        <v>1521.7391304347839</v>
      </c>
      <c r="M42" s="147">
        <f>H42*$N$3</f>
        <v>9278.2916161155517</v>
      </c>
      <c r="N42" s="147">
        <f>M42*C42</f>
        <v>324740.20656404429</v>
      </c>
    </row>
    <row r="43" spans="1:14" ht="32" x14ac:dyDescent="0.15">
      <c r="A43" s="7">
        <v>32.4</v>
      </c>
      <c r="B43" s="6" t="s">
        <v>22</v>
      </c>
      <c r="C43" s="5">
        <v>1</v>
      </c>
      <c r="D43" s="6" t="s">
        <v>23</v>
      </c>
      <c r="E43" s="14">
        <v>869565.21739130444</v>
      </c>
      <c r="F43" s="134">
        <f t="shared" si="0"/>
        <v>869565.21739130444</v>
      </c>
      <c r="H43" s="149">
        <v>750000</v>
      </c>
      <c r="I43" s="149">
        <f t="shared" si="1"/>
        <v>750000</v>
      </c>
      <c r="K43" s="137">
        <f>H43/E43</f>
        <v>0.86249999999999993</v>
      </c>
      <c r="L43" s="147">
        <f t="shared" si="2"/>
        <v>-119565.21739130444</v>
      </c>
      <c r="M43" s="147">
        <f>H43*$N$3</f>
        <v>994102.67315523757</v>
      </c>
      <c r="N43" s="147">
        <f>M43*C43</f>
        <v>994102.67315523757</v>
      </c>
    </row>
    <row r="44" spans="1:14" ht="32" x14ac:dyDescent="0.15">
      <c r="A44" s="7">
        <v>32.5</v>
      </c>
      <c r="B44" s="6" t="s">
        <v>24</v>
      </c>
      <c r="C44" s="5">
        <v>20</v>
      </c>
      <c r="D44" s="6" t="s">
        <v>4</v>
      </c>
      <c r="E44" s="14">
        <v>78260.869565217392</v>
      </c>
      <c r="F44" s="134">
        <f t="shared" si="0"/>
        <v>1565217.3913043479</v>
      </c>
      <c r="H44" s="149">
        <v>75000</v>
      </c>
      <c r="I44" s="149">
        <f t="shared" si="1"/>
        <v>1500000</v>
      </c>
      <c r="K44" s="137">
        <f>H44/E44</f>
        <v>0.95833333333333337</v>
      </c>
      <c r="L44" s="147">
        <f t="shared" si="2"/>
        <v>-65217.391304347897</v>
      </c>
      <c r="M44" s="147">
        <f>H44*$N$3</f>
        <v>99410.267315523757</v>
      </c>
      <c r="N44" s="147">
        <f>M44*C44</f>
        <v>1988205.3463104751</v>
      </c>
    </row>
    <row r="45" spans="1:14" ht="48" x14ac:dyDescent="0.15">
      <c r="A45" s="4">
        <v>33</v>
      </c>
      <c r="B45" s="6" t="s">
        <v>253</v>
      </c>
      <c r="C45" s="5">
        <v>3163</v>
      </c>
      <c r="D45" s="6" t="s">
        <v>9</v>
      </c>
      <c r="E45" s="14">
        <v>478.26086956521743</v>
      </c>
      <c r="F45" s="134">
        <f t="shared" si="0"/>
        <v>1512739.1304347827</v>
      </c>
      <c r="H45" s="149">
        <v>475</v>
      </c>
      <c r="I45" s="149">
        <f t="shared" si="1"/>
        <v>1502425</v>
      </c>
      <c r="K45" s="137">
        <f>H45/E45</f>
        <v>0.99318181818181805</v>
      </c>
      <c r="L45" s="147">
        <f t="shared" si="2"/>
        <v>-10314.13043478271</v>
      </c>
      <c r="M45" s="147">
        <f>H45*$N$3</f>
        <v>629.59835966498383</v>
      </c>
      <c r="N45" s="147">
        <f>M45*C45</f>
        <v>1991419.6116203438</v>
      </c>
    </row>
    <row r="46" spans="1:14" ht="128" x14ac:dyDescent="0.15">
      <c r="A46" s="4">
        <v>34</v>
      </c>
      <c r="B46" s="6" t="s">
        <v>216</v>
      </c>
      <c r="C46" s="5">
        <v>1938</v>
      </c>
      <c r="D46" s="6" t="s">
        <v>4</v>
      </c>
      <c r="E46" s="14">
        <v>6086.9565217391309</v>
      </c>
      <c r="F46" s="134">
        <f t="shared" si="0"/>
        <v>11796521.739130436</v>
      </c>
      <c r="H46" s="149">
        <f>+[1]BOQ!$F46</f>
        <v>2950</v>
      </c>
      <c r="I46" s="149">
        <f t="shared" si="1"/>
        <v>5717100</v>
      </c>
      <c r="K46" s="137">
        <f>H46/E46</f>
        <v>0.4846428571428571</v>
      </c>
      <c r="L46" s="147">
        <f t="shared" si="2"/>
        <v>-6079421.7391304355</v>
      </c>
      <c r="M46" s="147">
        <f>H46*$N$3</f>
        <v>3910.137181077268</v>
      </c>
      <c r="N46" s="147">
        <f>M46*C46</f>
        <v>7577845.856927745</v>
      </c>
    </row>
    <row r="47" spans="1:14" ht="48" x14ac:dyDescent="0.15">
      <c r="A47" s="4">
        <v>35</v>
      </c>
      <c r="B47" s="6" t="s">
        <v>209</v>
      </c>
      <c r="C47" s="5">
        <v>200</v>
      </c>
      <c r="D47" s="1" t="s">
        <v>4</v>
      </c>
      <c r="E47" s="151">
        <v>652.17391304347836</v>
      </c>
      <c r="F47" s="134">
        <f t="shared" si="0"/>
        <v>130434.78260869568</v>
      </c>
      <c r="H47" s="149">
        <v>650</v>
      </c>
      <c r="I47" s="149">
        <f t="shared" si="1"/>
        <v>130000</v>
      </c>
      <c r="K47" s="137">
        <f>H47/E47</f>
        <v>0.99666666666666648</v>
      </c>
      <c r="L47" s="147">
        <f t="shared" si="2"/>
        <v>-434.78260869567748</v>
      </c>
      <c r="M47" s="147">
        <f>H47*$N$3</f>
        <v>861.55565006787253</v>
      </c>
      <c r="N47" s="147">
        <f>M47*C47</f>
        <v>172311.1300135745</v>
      </c>
    </row>
    <row r="48" spans="1:14" ht="80" x14ac:dyDescent="0.15">
      <c r="A48" s="4">
        <v>36</v>
      </c>
      <c r="B48" s="1" t="s">
        <v>210</v>
      </c>
      <c r="C48" s="5">
        <v>716</v>
      </c>
      <c r="D48" s="6" t="s">
        <v>86</v>
      </c>
      <c r="E48" s="151">
        <v>2608.6956521739135</v>
      </c>
      <c r="F48" s="134">
        <f t="shared" si="0"/>
        <v>1867826.086956522</v>
      </c>
      <c r="H48" s="149">
        <v>2600</v>
      </c>
      <c r="I48" s="149">
        <f t="shared" si="1"/>
        <v>1861600</v>
      </c>
      <c r="K48" s="137">
        <f>H48/E48</f>
        <v>0.99666666666666648</v>
      </c>
      <c r="L48" s="147">
        <f t="shared" si="2"/>
        <v>-6226.0869565219618</v>
      </c>
      <c r="M48" s="147">
        <f>H48*$N$3</f>
        <v>3446.2226002714901</v>
      </c>
      <c r="N48" s="147">
        <f>M48*C48</f>
        <v>2467495.381794387</v>
      </c>
    </row>
    <row r="49" spans="1:14" ht="80" x14ac:dyDescent="0.15">
      <c r="A49" s="4">
        <v>37</v>
      </c>
      <c r="B49" s="6" t="s">
        <v>254</v>
      </c>
      <c r="C49" s="5">
        <v>602</v>
      </c>
      <c r="D49" s="6" t="s">
        <v>4</v>
      </c>
      <c r="E49" s="151">
        <v>3043.4782608695655</v>
      </c>
      <c r="F49" s="134">
        <f t="shared" si="0"/>
        <v>1832173.9130434785</v>
      </c>
      <c r="H49" s="149">
        <v>3050</v>
      </c>
      <c r="I49" s="149">
        <f t="shared" si="1"/>
        <v>1836100</v>
      </c>
      <c r="K49" s="137">
        <f>H49/E49</f>
        <v>1.002142857142857</v>
      </c>
      <c r="L49" s="147">
        <f t="shared" si="2"/>
        <v>3926.0869565214962</v>
      </c>
      <c r="M49" s="147">
        <f>H49*$N$3</f>
        <v>4042.6842041646328</v>
      </c>
      <c r="N49" s="147">
        <f>M49*C49</f>
        <v>2433695.8909071088</v>
      </c>
    </row>
    <row r="50" spans="1:14" ht="144" x14ac:dyDescent="0.15">
      <c r="A50" s="4">
        <v>38</v>
      </c>
      <c r="B50" s="6" t="s">
        <v>211</v>
      </c>
      <c r="C50" s="5">
        <v>1</v>
      </c>
      <c r="D50" s="6" t="s">
        <v>53</v>
      </c>
      <c r="E50" s="151">
        <v>750000</v>
      </c>
      <c r="F50" s="134">
        <f t="shared" si="0"/>
        <v>750000</v>
      </c>
      <c r="H50" s="149">
        <v>800000</v>
      </c>
      <c r="I50" s="149">
        <f t="shared" si="1"/>
        <v>800000</v>
      </c>
      <c r="K50" s="137">
        <f>H50/E50</f>
        <v>1.0666666666666667</v>
      </c>
      <c r="L50" s="147">
        <f t="shared" si="2"/>
        <v>50000</v>
      </c>
      <c r="M50" s="147">
        <f>H50*$N$3</f>
        <v>1060376.18469892</v>
      </c>
      <c r="N50" s="147">
        <f>M50*C50</f>
        <v>1060376.18469892</v>
      </c>
    </row>
    <row r="51" spans="1:14" ht="80" x14ac:dyDescent="0.15">
      <c r="A51" s="4">
        <v>39</v>
      </c>
      <c r="B51" s="6" t="s">
        <v>212</v>
      </c>
      <c r="C51" s="5">
        <v>516</v>
      </c>
      <c r="D51" s="6" t="s">
        <v>98</v>
      </c>
      <c r="E51" s="131">
        <v>3125</v>
      </c>
      <c r="F51" s="134">
        <f t="shared" si="0"/>
        <v>1612500</v>
      </c>
      <c r="H51" s="149">
        <f>+[1]BOQ!$F51</f>
        <v>1496</v>
      </c>
      <c r="I51" s="149">
        <f t="shared" si="1"/>
        <v>771936</v>
      </c>
      <c r="K51" s="137">
        <f>H51/E51</f>
        <v>0.47871999999999998</v>
      </c>
      <c r="L51" s="147">
        <f t="shared" si="2"/>
        <v>-840564</v>
      </c>
      <c r="M51" s="147">
        <f>H51*$N$3</f>
        <v>1982.9034653869805</v>
      </c>
      <c r="N51" s="147">
        <f>M51*C51</f>
        <v>1023178.1881396819</v>
      </c>
    </row>
    <row r="52" spans="1:14" ht="48" x14ac:dyDescent="0.15">
      <c r="A52" s="4">
        <v>40</v>
      </c>
      <c r="B52" s="6" t="s">
        <v>217</v>
      </c>
      <c r="C52" s="5">
        <v>1620</v>
      </c>
      <c r="D52" s="6" t="s">
        <v>98</v>
      </c>
      <c r="E52" s="131">
        <v>518</v>
      </c>
      <c r="F52" s="134">
        <f t="shared" si="0"/>
        <v>839160</v>
      </c>
      <c r="H52" s="149">
        <v>518</v>
      </c>
      <c r="I52" s="149">
        <f t="shared" si="1"/>
        <v>839160</v>
      </c>
      <c r="K52" s="137">
        <f>H52/E52</f>
        <v>1</v>
      </c>
      <c r="L52" s="147">
        <f t="shared" si="2"/>
        <v>0</v>
      </c>
      <c r="M52" s="147">
        <f>H52*$N$3</f>
        <v>686.59357959255078</v>
      </c>
      <c r="N52" s="147">
        <f>M52*C52</f>
        <v>1112281.5989399322</v>
      </c>
    </row>
    <row r="53" spans="1:14" ht="48" x14ac:dyDescent="0.15">
      <c r="A53" s="4">
        <v>41</v>
      </c>
      <c r="B53" s="6" t="s">
        <v>214</v>
      </c>
      <c r="C53" s="5">
        <v>2500</v>
      </c>
      <c r="D53" s="6" t="s">
        <v>98</v>
      </c>
      <c r="E53" s="131">
        <v>158</v>
      </c>
      <c r="F53" s="134">
        <f t="shared" si="0"/>
        <v>395000</v>
      </c>
      <c r="H53" s="149">
        <f>+[1]BOQ!$F53</f>
        <v>138</v>
      </c>
      <c r="I53" s="149">
        <f t="shared" si="1"/>
        <v>345000</v>
      </c>
      <c r="K53" s="137">
        <f>H53/E53</f>
        <v>0.87341772151898733</v>
      </c>
      <c r="L53" s="147">
        <f t="shared" si="2"/>
        <v>-50000</v>
      </c>
      <c r="M53" s="147">
        <f>H53*$N$3</f>
        <v>182.91489186056373</v>
      </c>
      <c r="N53" s="147">
        <f>M53*C53</f>
        <v>457287.22965140932</v>
      </c>
    </row>
    <row r="54" spans="1:14" ht="48" x14ac:dyDescent="0.15">
      <c r="A54" s="4">
        <v>42</v>
      </c>
      <c r="B54" s="6" t="s">
        <v>215</v>
      </c>
      <c r="C54" s="5">
        <v>2000</v>
      </c>
      <c r="D54" s="6" t="s">
        <v>98</v>
      </c>
      <c r="E54" s="131">
        <v>198</v>
      </c>
      <c r="F54" s="134">
        <f t="shared" si="0"/>
        <v>396000</v>
      </c>
      <c r="H54" s="149">
        <f>+[1]BOQ!$F54</f>
        <v>182</v>
      </c>
      <c r="I54" s="149">
        <f t="shared" si="1"/>
        <v>364000</v>
      </c>
      <c r="K54" s="137">
        <f>H54/E54</f>
        <v>0.91919191919191923</v>
      </c>
      <c r="L54" s="147">
        <f t="shared" si="2"/>
        <v>-32000</v>
      </c>
      <c r="M54" s="147">
        <f>H54*$N$3</f>
        <v>241.23558201900431</v>
      </c>
      <c r="N54" s="147">
        <f>M54*C54</f>
        <v>482471.1640380086</v>
      </c>
    </row>
    <row r="55" spans="1:14" ht="48" x14ac:dyDescent="0.15">
      <c r="A55" s="4">
        <v>43</v>
      </c>
      <c r="B55" s="6" t="s">
        <v>213</v>
      </c>
      <c r="C55" s="5">
        <v>2000</v>
      </c>
      <c r="D55" s="6" t="s">
        <v>98</v>
      </c>
      <c r="E55" s="131">
        <v>278</v>
      </c>
      <c r="F55" s="134">
        <f t="shared" si="0"/>
        <v>556000</v>
      </c>
      <c r="H55" s="149">
        <f>+[1]BOQ!$F55</f>
        <v>228</v>
      </c>
      <c r="I55" s="149">
        <f t="shared" si="1"/>
        <v>456000</v>
      </c>
      <c r="K55" s="137">
        <f>H55/E55</f>
        <v>0.82014388489208634</v>
      </c>
      <c r="L55" s="147">
        <f t="shared" si="2"/>
        <v>-100000</v>
      </c>
      <c r="M55" s="147">
        <f>H55*$N$3</f>
        <v>302.20721263919222</v>
      </c>
      <c r="N55" s="147">
        <f>M55*C55</f>
        <v>604414.42527838447</v>
      </c>
    </row>
    <row r="56" spans="1:14" ht="64" x14ac:dyDescent="0.15">
      <c r="A56" s="4">
        <v>44</v>
      </c>
      <c r="B56" s="6" t="s">
        <v>25</v>
      </c>
      <c r="C56" s="1"/>
      <c r="D56" s="1"/>
      <c r="E56" s="1"/>
      <c r="F56" s="134"/>
      <c r="H56" s="149"/>
      <c r="I56" s="149"/>
      <c r="K56" s="137" t="e">
        <f>H56/E56</f>
        <v>#DIV/0!</v>
      </c>
      <c r="L56" s="147">
        <f t="shared" si="2"/>
        <v>0</v>
      </c>
      <c r="M56" s="147">
        <f>H56*$N$3</f>
        <v>0</v>
      </c>
      <c r="N56" s="147">
        <f>M56*C56</f>
        <v>0</v>
      </c>
    </row>
    <row r="57" spans="1:14" x14ac:dyDescent="0.15">
      <c r="A57" s="7">
        <v>44.1</v>
      </c>
      <c r="B57" s="6" t="s">
        <v>26</v>
      </c>
      <c r="C57" s="5">
        <v>140</v>
      </c>
      <c r="D57" s="6" t="s">
        <v>27</v>
      </c>
      <c r="E57" s="131">
        <v>1850</v>
      </c>
      <c r="F57" s="134">
        <f t="shared" si="0"/>
        <v>259000</v>
      </c>
      <c r="H57" s="149">
        <v>1850</v>
      </c>
      <c r="I57" s="149">
        <f t="shared" si="1"/>
        <v>259000</v>
      </c>
      <c r="K57" s="137">
        <f>H57/E57</f>
        <v>1</v>
      </c>
      <c r="L57" s="147">
        <f t="shared" si="2"/>
        <v>0</v>
      </c>
      <c r="M57" s="147">
        <f>H57*$N$3</f>
        <v>2452.1199271162527</v>
      </c>
      <c r="N57" s="147">
        <f>M57*C57</f>
        <v>343296.78979627538</v>
      </c>
    </row>
    <row r="58" spans="1:14" ht="64" x14ac:dyDescent="0.15">
      <c r="A58" s="4">
        <v>45</v>
      </c>
      <c r="B58" s="6" t="s">
        <v>28</v>
      </c>
      <c r="C58" s="5">
        <v>1303</v>
      </c>
      <c r="D58" s="6" t="s">
        <v>27</v>
      </c>
      <c r="E58" s="131">
        <v>950</v>
      </c>
      <c r="F58" s="134">
        <f t="shared" si="0"/>
        <v>1237850</v>
      </c>
      <c r="H58" s="149">
        <v>1000</v>
      </c>
      <c r="I58" s="149">
        <f t="shared" si="1"/>
        <v>1303000</v>
      </c>
      <c r="K58" s="137">
        <f>H58/E58</f>
        <v>1.0526315789473684</v>
      </c>
      <c r="L58" s="147">
        <f t="shared" si="2"/>
        <v>65150</v>
      </c>
      <c r="M58" s="147">
        <f>H58*$N$3</f>
        <v>1325.4702308736501</v>
      </c>
      <c r="N58" s="147">
        <f>M58*C58</f>
        <v>1727087.710828366</v>
      </c>
    </row>
    <row r="59" spans="1:14" ht="48" x14ac:dyDescent="0.15">
      <c r="A59" s="4">
        <v>46</v>
      </c>
      <c r="B59" s="6" t="s">
        <v>218</v>
      </c>
      <c r="C59" s="5">
        <v>100</v>
      </c>
      <c r="D59" s="6" t="s">
        <v>29</v>
      </c>
      <c r="E59" s="131">
        <v>1350</v>
      </c>
      <c r="F59" s="134">
        <f t="shared" si="0"/>
        <v>135000</v>
      </c>
      <c r="H59" s="149">
        <v>1350</v>
      </c>
      <c r="I59" s="149">
        <f t="shared" si="1"/>
        <v>135000</v>
      </c>
      <c r="K59" s="137">
        <f>H59/E59</f>
        <v>1</v>
      </c>
      <c r="L59" s="147">
        <f t="shared" si="2"/>
        <v>0</v>
      </c>
      <c r="M59" s="147">
        <f>H59*$N$3</f>
        <v>1789.3848116794277</v>
      </c>
      <c r="N59" s="147">
        <f>M59*C59</f>
        <v>178938.48116794278</v>
      </c>
    </row>
    <row r="60" spans="1:14" ht="48" x14ac:dyDescent="0.15">
      <c r="A60" s="4">
        <v>47</v>
      </c>
      <c r="B60" s="6" t="s">
        <v>219</v>
      </c>
      <c r="C60" s="5">
        <v>200</v>
      </c>
      <c r="D60" s="6" t="s">
        <v>29</v>
      </c>
      <c r="E60" s="131">
        <v>2200</v>
      </c>
      <c r="F60" s="134">
        <f t="shared" si="0"/>
        <v>440000</v>
      </c>
      <c r="H60" s="149">
        <v>2200</v>
      </c>
      <c r="I60" s="149">
        <f t="shared" si="1"/>
        <v>440000</v>
      </c>
      <c r="K60" s="137">
        <f>H60/E60</f>
        <v>1</v>
      </c>
      <c r="L60" s="147">
        <f t="shared" si="2"/>
        <v>0</v>
      </c>
      <c r="M60" s="147">
        <f>H60*$N$3</f>
        <v>2916.0345079220301</v>
      </c>
      <c r="N60" s="147">
        <f>M60*C60</f>
        <v>583206.90158440603</v>
      </c>
    </row>
    <row r="61" spans="1:14" ht="64" x14ac:dyDescent="0.15">
      <c r="A61" s="4">
        <v>48</v>
      </c>
      <c r="B61" s="6" t="s">
        <v>220</v>
      </c>
      <c r="C61" s="1"/>
      <c r="D61" s="1"/>
      <c r="E61" s="1"/>
      <c r="F61" s="134">
        <f t="shared" si="0"/>
        <v>0</v>
      </c>
      <c r="H61" s="149">
        <f>+[1]BOQ!$F61</f>
        <v>0</v>
      </c>
      <c r="I61" s="149">
        <f t="shared" si="1"/>
        <v>0</v>
      </c>
      <c r="K61" s="137" t="e">
        <f>H61/E61</f>
        <v>#DIV/0!</v>
      </c>
      <c r="L61" s="147">
        <f t="shared" si="2"/>
        <v>0</v>
      </c>
      <c r="M61" s="147">
        <f>H61*$N$3</f>
        <v>0</v>
      </c>
      <c r="N61" s="147">
        <f>M61*C61</f>
        <v>0</v>
      </c>
    </row>
    <row r="62" spans="1:14" x14ac:dyDescent="0.15">
      <c r="A62" s="7">
        <v>48.1</v>
      </c>
      <c r="B62" s="6" t="s">
        <v>30</v>
      </c>
      <c r="C62" s="5">
        <v>8</v>
      </c>
      <c r="D62" s="6" t="s">
        <v>29</v>
      </c>
      <c r="E62" s="131">
        <v>1850</v>
      </c>
      <c r="F62" s="134">
        <f t="shared" si="0"/>
        <v>14800</v>
      </c>
      <c r="H62" s="149">
        <f>+[1]BOQ!$F62</f>
        <v>3380</v>
      </c>
      <c r="I62" s="149">
        <f t="shared" si="1"/>
        <v>27040</v>
      </c>
      <c r="K62" s="137">
        <f>H62/E62</f>
        <v>1.827027027027027</v>
      </c>
      <c r="L62" s="147">
        <f t="shared" si="2"/>
        <v>12240</v>
      </c>
      <c r="M62" s="147">
        <f>H62*$N$3</f>
        <v>4480.089380352937</v>
      </c>
      <c r="N62" s="147">
        <f>M62*C62</f>
        <v>35840.715042823496</v>
      </c>
    </row>
    <row r="63" spans="1:14" x14ac:dyDescent="0.15">
      <c r="A63" s="7">
        <v>48.2</v>
      </c>
      <c r="B63" s="6" t="s">
        <v>31</v>
      </c>
      <c r="C63" s="5">
        <v>24</v>
      </c>
      <c r="D63" s="6" t="s">
        <v>29</v>
      </c>
      <c r="E63" s="131">
        <v>3850</v>
      </c>
      <c r="F63" s="134">
        <f t="shared" si="0"/>
        <v>92400</v>
      </c>
      <c r="H63" s="149">
        <v>4000</v>
      </c>
      <c r="I63" s="149">
        <f t="shared" si="1"/>
        <v>96000</v>
      </c>
      <c r="K63" s="137">
        <f>H63/E63</f>
        <v>1.0389610389610389</v>
      </c>
      <c r="L63" s="147">
        <f t="shared" si="2"/>
        <v>3600</v>
      </c>
      <c r="M63" s="147">
        <f>H63*$N$3</f>
        <v>5301.8809234946002</v>
      </c>
      <c r="N63" s="147">
        <f>M63*C63</f>
        <v>127245.14216387041</v>
      </c>
    </row>
    <row r="64" spans="1:14" ht="64" x14ac:dyDescent="0.15">
      <c r="A64" s="4">
        <v>49</v>
      </c>
      <c r="B64" s="6" t="s">
        <v>221</v>
      </c>
      <c r="C64" s="1"/>
      <c r="D64" s="1"/>
      <c r="E64" s="1"/>
      <c r="F64" s="134">
        <f t="shared" si="0"/>
        <v>0</v>
      </c>
      <c r="H64" s="149"/>
      <c r="I64" s="149"/>
      <c r="K64" s="137" t="e">
        <f>H64/E64</f>
        <v>#DIV/0!</v>
      </c>
      <c r="L64" s="147">
        <f t="shared" si="2"/>
        <v>0</v>
      </c>
      <c r="M64" s="147"/>
      <c r="N64" s="147"/>
    </row>
    <row r="65" spans="1:14" x14ac:dyDescent="0.15">
      <c r="A65" s="7">
        <v>49.1</v>
      </c>
      <c r="B65" s="6" t="s">
        <v>32</v>
      </c>
      <c r="C65" s="5">
        <v>10</v>
      </c>
      <c r="D65" s="6" t="s">
        <v>29</v>
      </c>
      <c r="E65" s="131">
        <v>3000</v>
      </c>
      <c r="F65" s="134">
        <f t="shared" si="0"/>
        <v>30000</v>
      </c>
      <c r="H65" s="149">
        <f>+[1]BOQ!$F65</f>
        <v>1752</v>
      </c>
      <c r="I65" s="149">
        <f t="shared" si="1"/>
        <v>17520</v>
      </c>
      <c r="K65" s="137">
        <f>H65/E65</f>
        <v>0.58399999999999996</v>
      </c>
      <c r="L65" s="147">
        <f t="shared" si="2"/>
        <v>-12480</v>
      </c>
      <c r="M65" s="147">
        <f>H65*$N$3</f>
        <v>2322.2238444906352</v>
      </c>
      <c r="N65" s="147">
        <f>M65*C65</f>
        <v>23222.238444906354</v>
      </c>
    </row>
    <row r="66" spans="1:14" ht="48" x14ac:dyDescent="0.15">
      <c r="A66" s="4">
        <v>50</v>
      </c>
      <c r="B66" s="6" t="s">
        <v>222</v>
      </c>
      <c r="C66" s="5">
        <v>750</v>
      </c>
      <c r="D66" s="6" t="s">
        <v>29</v>
      </c>
      <c r="E66" s="131">
        <v>215</v>
      </c>
      <c r="F66" s="134">
        <f t="shared" si="0"/>
        <v>161250</v>
      </c>
      <c r="H66" s="149">
        <f>+[1]BOQ!$F66</f>
        <v>218</v>
      </c>
      <c r="I66" s="149">
        <f t="shared" si="1"/>
        <v>163500</v>
      </c>
      <c r="K66" s="137">
        <f>H66/E66</f>
        <v>1.0139534883720931</v>
      </c>
      <c r="L66" s="147">
        <f t="shared" si="2"/>
        <v>2250</v>
      </c>
      <c r="M66" s="147">
        <f>H66*$N$3</f>
        <v>288.95251033045571</v>
      </c>
      <c r="N66" s="147">
        <f>M66*C66</f>
        <v>216714.3827478418</v>
      </c>
    </row>
    <row r="67" spans="1:14" ht="48" x14ac:dyDescent="0.15">
      <c r="A67" s="4">
        <v>51</v>
      </c>
      <c r="B67" s="6" t="s">
        <v>223</v>
      </c>
      <c r="C67" s="1"/>
      <c r="D67" s="1"/>
      <c r="E67" s="1"/>
      <c r="F67" s="134">
        <f t="shared" si="0"/>
        <v>0</v>
      </c>
      <c r="H67" s="149">
        <f>+[1]BOQ!$F67</f>
        <v>0</v>
      </c>
      <c r="I67" s="149">
        <f t="shared" si="1"/>
        <v>0</v>
      </c>
      <c r="K67" s="137" t="e">
        <f>H67/E67</f>
        <v>#DIV/0!</v>
      </c>
      <c r="L67" s="147">
        <f t="shared" si="2"/>
        <v>0</v>
      </c>
      <c r="M67" s="147">
        <f>H67*$N$3</f>
        <v>0</v>
      </c>
      <c r="N67" s="147">
        <f>M67*C67</f>
        <v>0</v>
      </c>
    </row>
    <row r="68" spans="1:14" x14ac:dyDescent="0.15">
      <c r="A68" s="7">
        <v>51.1</v>
      </c>
      <c r="B68" s="6" t="s">
        <v>33</v>
      </c>
      <c r="C68" s="5">
        <v>8</v>
      </c>
      <c r="D68" s="6" t="s">
        <v>29</v>
      </c>
      <c r="E68" s="131">
        <v>1650</v>
      </c>
      <c r="F68" s="134">
        <f t="shared" si="0"/>
        <v>13200</v>
      </c>
      <c r="H68" s="149">
        <f>+[1]BOQ!$F68</f>
        <v>2996</v>
      </c>
      <c r="I68" s="149">
        <f t="shared" si="1"/>
        <v>23968</v>
      </c>
      <c r="K68" s="137">
        <f>H68/E68</f>
        <v>1.8157575757575757</v>
      </c>
      <c r="L68" s="147">
        <f t="shared" si="2"/>
        <v>10768</v>
      </c>
      <c r="M68" s="147">
        <f>H68*$N$3</f>
        <v>3971.1088116974556</v>
      </c>
      <c r="N68" s="147">
        <f>M68*C68</f>
        <v>31768.870493579645</v>
      </c>
    </row>
    <row r="69" spans="1:14" x14ac:dyDescent="0.15">
      <c r="A69" s="7">
        <v>51.2</v>
      </c>
      <c r="B69" s="6" t="s">
        <v>34</v>
      </c>
      <c r="C69" s="5">
        <v>20</v>
      </c>
      <c r="D69" s="6" t="s">
        <v>29</v>
      </c>
      <c r="E69" s="131">
        <v>1900</v>
      </c>
      <c r="F69" s="134">
        <f t="shared" si="0"/>
        <v>38000</v>
      </c>
      <c r="H69" s="149">
        <f>+[1]BOQ!$F69</f>
        <v>3344</v>
      </c>
      <c r="I69" s="149">
        <f t="shared" si="1"/>
        <v>66880</v>
      </c>
      <c r="K69" s="137">
        <f>H69/E69</f>
        <v>1.76</v>
      </c>
      <c r="L69" s="147">
        <f t="shared" si="2"/>
        <v>28880</v>
      </c>
      <c r="M69" s="147">
        <f>H69*$N$3</f>
        <v>4432.3724520414862</v>
      </c>
      <c r="N69" s="147">
        <f>M69*C69</f>
        <v>88647.449040829728</v>
      </c>
    </row>
    <row r="70" spans="1:14" ht="48" x14ac:dyDescent="0.15">
      <c r="A70" s="4">
        <v>52</v>
      </c>
      <c r="B70" s="6" t="s">
        <v>224</v>
      </c>
      <c r="C70" s="1"/>
      <c r="D70" s="1"/>
      <c r="E70" s="1"/>
      <c r="F70" s="134">
        <f t="shared" si="0"/>
        <v>0</v>
      </c>
      <c r="H70" s="149">
        <f>+[1]BOQ!$F70</f>
        <v>0</v>
      </c>
      <c r="I70" s="149">
        <f t="shared" si="1"/>
        <v>0</v>
      </c>
      <c r="K70" s="137" t="e">
        <f>H70/E70</f>
        <v>#DIV/0!</v>
      </c>
      <c r="L70" s="147">
        <f t="shared" si="2"/>
        <v>0</v>
      </c>
      <c r="M70" s="147">
        <f>H70*$N$3</f>
        <v>0</v>
      </c>
      <c r="N70" s="147">
        <f>M70*C70</f>
        <v>0</v>
      </c>
    </row>
    <row r="71" spans="1:14" x14ac:dyDescent="0.15">
      <c r="A71" s="7">
        <v>52.1</v>
      </c>
      <c r="B71" s="6" t="s">
        <v>35</v>
      </c>
      <c r="C71" s="5">
        <v>8</v>
      </c>
      <c r="D71" s="6" t="s">
        <v>29</v>
      </c>
      <c r="E71" s="131">
        <v>1650</v>
      </c>
      <c r="F71" s="134">
        <f t="shared" ref="F71:F134" si="3">+C71*E71</f>
        <v>13200</v>
      </c>
      <c r="H71" s="149">
        <f>+[1]BOQ!$F71</f>
        <v>856</v>
      </c>
      <c r="I71" s="149">
        <f t="shared" ref="I71:I134" si="4">+H71*C71</f>
        <v>6848</v>
      </c>
      <c r="K71" s="137">
        <f>H71/E71</f>
        <v>0.5187878787878788</v>
      </c>
      <c r="L71" s="147">
        <f t="shared" ref="L71:L134" si="5">I71-F71</f>
        <v>-6352</v>
      </c>
      <c r="M71" s="147">
        <f>H71*$N$3</f>
        <v>1134.6025176278445</v>
      </c>
      <c r="N71" s="147">
        <f>M71*C71</f>
        <v>9076.8201410227557</v>
      </c>
    </row>
    <row r="72" spans="1:14" x14ac:dyDescent="0.15">
      <c r="A72" s="7">
        <v>52.2</v>
      </c>
      <c r="B72" s="6" t="s">
        <v>36</v>
      </c>
      <c r="C72" s="5">
        <v>20</v>
      </c>
      <c r="D72" s="6" t="s">
        <v>29</v>
      </c>
      <c r="E72" s="131">
        <v>2800</v>
      </c>
      <c r="F72" s="134">
        <f t="shared" si="3"/>
        <v>56000</v>
      </c>
      <c r="H72" s="149">
        <f>+[1]BOQ!$F72</f>
        <v>1174</v>
      </c>
      <c r="I72" s="149">
        <f t="shared" si="4"/>
        <v>23480</v>
      </c>
      <c r="K72" s="137">
        <f>H72/E72</f>
        <v>0.41928571428571426</v>
      </c>
      <c r="L72" s="147">
        <f t="shared" si="5"/>
        <v>-32520</v>
      </c>
      <c r="M72" s="147">
        <f>H72*$N$3</f>
        <v>1556.1020510456653</v>
      </c>
      <c r="N72" s="147">
        <f>M72*C72</f>
        <v>31122.041020913308</v>
      </c>
    </row>
    <row r="73" spans="1:14" ht="48" x14ac:dyDescent="0.15">
      <c r="A73" s="4">
        <v>53</v>
      </c>
      <c r="B73" s="6" t="s">
        <v>225</v>
      </c>
      <c r="C73" s="1"/>
      <c r="D73" s="1"/>
      <c r="E73" s="1"/>
      <c r="F73" s="134">
        <f t="shared" si="3"/>
        <v>0</v>
      </c>
      <c r="H73" s="149">
        <f>+[1]BOQ!$F73</f>
        <v>0</v>
      </c>
      <c r="I73" s="149">
        <f t="shared" si="4"/>
        <v>0</v>
      </c>
      <c r="K73" s="137" t="e">
        <f>H73/E73</f>
        <v>#DIV/0!</v>
      </c>
      <c r="L73" s="147">
        <f t="shared" si="5"/>
        <v>0</v>
      </c>
      <c r="M73" s="147">
        <f>H73*$N$3</f>
        <v>0</v>
      </c>
      <c r="N73" s="147">
        <f>M73*C73</f>
        <v>0</v>
      </c>
    </row>
    <row r="74" spans="1:14" x14ac:dyDescent="0.15">
      <c r="A74" s="7">
        <v>53.1</v>
      </c>
      <c r="B74" s="6" t="s">
        <v>37</v>
      </c>
      <c r="C74" s="5">
        <v>8</v>
      </c>
      <c r="D74" s="6" t="s">
        <v>29</v>
      </c>
      <c r="E74" s="131">
        <v>1200</v>
      </c>
      <c r="F74" s="134">
        <f t="shared" si="3"/>
        <v>9600</v>
      </c>
      <c r="H74" s="149">
        <f>+[1]BOQ!$F74</f>
        <v>784</v>
      </c>
      <c r="I74" s="149">
        <f t="shared" si="4"/>
        <v>6272</v>
      </c>
      <c r="K74" s="137">
        <f>H74/E74</f>
        <v>0.65333333333333332</v>
      </c>
      <c r="L74" s="147">
        <f t="shared" si="5"/>
        <v>-3328</v>
      </c>
      <c r="M74" s="147">
        <f>H74*$N$3</f>
        <v>1039.1686610049417</v>
      </c>
      <c r="N74" s="147">
        <f>M74*C74</f>
        <v>8313.3492880395333</v>
      </c>
    </row>
    <row r="75" spans="1:14" ht="48" x14ac:dyDescent="0.15">
      <c r="A75" s="4">
        <v>54</v>
      </c>
      <c r="B75" s="6" t="s">
        <v>226</v>
      </c>
      <c r="C75" s="5">
        <v>8</v>
      </c>
      <c r="D75" s="6" t="s">
        <v>29</v>
      </c>
      <c r="E75" s="131">
        <v>1350</v>
      </c>
      <c r="F75" s="134">
        <f t="shared" si="3"/>
        <v>10800</v>
      </c>
      <c r="H75" s="149">
        <f>+[1]BOQ!$F75</f>
        <v>2068</v>
      </c>
      <c r="I75" s="149">
        <f t="shared" si="4"/>
        <v>16544</v>
      </c>
      <c r="K75" s="137">
        <f>H75/E75</f>
        <v>1.5318518518518518</v>
      </c>
      <c r="L75" s="147">
        <f t="shared" si="5"/>
        <v>5744</v>
      </c>
      <c r="M75" s="147">
        <f>H75*$N$3</f>
        <v>2741.0724374467086</v>
      </c>
      <c r="N75" s="147">
        <f>M75*C75</f>
        <v>21928.579499573669</v>
      </c>
    </row>
    <row r="76" spans="1:14" ht="48" x14ac:dyDescent="0.15">
      <c r="A76" s="4">
        <v>55</v>
      </c>
      <c r="B76" s="6" t="s">
        <v>227</v>
      </c>
      <c r="C76" s="5">
        <v>500</v>
      </c>
      <c r="D76" s="6" t="s">
        <v>98</v>
      </c>
      <c r="E76" s="131">
        <v>95</v>
      </c>
      <c r="F76" s="134">
        <f t="shared" si="3"/>
        <v>47500</v>
      </c>
      <c r="H76" s="149">
        <f>+[1]BOQ!$F76</f>
        <v>160</v>
      </c>
      <c r="I76" s="149">
        <f t="shared" si="4"/>
        <v>80000</v>
      </c>
      <c r="K76" s="137">
        <f>H76/E76</f>
        <v>1.6842105263157894</v>
      </c>
      <c r="L76" s="147">
        <f t="shared" si="5"/>
        <v>32500</v>
      </c>
      <c r="M76" s="147">
        <f>H76*$N$3</f>
        <v>212.07523693978402</v>
      </c>
      <c r="N76" s="147">
        <f>M76*C76</f>
        <v>106037.61846989201</v>
      </c>
    </row>
    <row r="77" spans="1:14" ht="64" x14ac:dyDescent="0.15">
      <c r="A77" s="4">
        <v>56</v>
      </c>
      <c r="B77" s="1" t="s">
        <v>161</v>
      </c>
      <c r="C77" s="5">
        <v>20</v>
      </c>
      <c r="D77" s="6" t="s">
        <v>29</v>
      </c>
      <c r="E77" s="131">
        <v>1750</v>
      </c>
      <c r="F77" s="134">
        <f t="shared" si="3"/>
        <v>35000</v>
      </c>
      <c r="H77" s="149">
        <f>+[1]BOQ!$F77</f>
        <v>2448</v>
      </c>
      <c r="I77" s="149">
        <f t="shared" si="4"/>
        <v>48960</v>
      </c>
      <c r="K77" s="137">
        <f>H77/E77</f>
        <v>1.3988571428571428</v>
      </c>
      <c r="L77" s="147">
        <f t="shared" si="5"/>
        <v>13960</v>
      </c>
      <c r="M77" s="147">
        <f>H77*$N$3</f>
        <v>3244.7511251786955</v>
      </c>
      <c r="N77" s="147">
        <f>M77*C77</f>
        <v>64895.022503573913</v>
      </c>
    </row>
    <row r="78" spans="1:14" ht="64" x14ac:dyDescent="0.15">
      <c r="A78" s="4">
        <v>57</v>
      </c>
      <c r="B78" s="6" t="s">
        <v>228</v>
      </c>
      <c r="C78" s="5">
        <v>10</v>
      </c>
      <c r="D78" s="6" t="s">
        <v>29</v>
      </c>
      <c r="E78" s="131">
        <v>2350</v>
      </c>
      <c r="F78" s="134">
        <f t="shared" si="3"/>
        <v>23500</v>
      </c>
      <c r="H78" s="149">
        <f>+[1]BOQ!$F78</f>
        <v>4666</v>
      </c>
      <c r="I78" s="149">
        <f t="shared" si="4"/>
        <v>46660</v>
      </c>
      <c r="K78" s="137">
        <f>H78/E78</f>
        <v>1.985531914893617</v>
      </c>
      <c r="L78" s="147">
        <f t="shared" si="5"/>
        <v>23160</v>
      </c>
      <c r="M78" s="147">
        <f>H78*$N$3</f>
        <v>6184.6440972564515</v>
      </c>
      <c r="N78" s="147">
        <f>M78*C78</f>
        <v>61846.440972564516</v>
      </c>
    </row>
    <row r="79" spans="1:14" ht="32" x14ac:dyDescent="0.15">
      <c r="A79" s="4">
        <v>58</v>
      </c>
      <c r="B79" s="6" t="s">
        <v>38</v>
      </c>
      <c r="C79" s="1"/>
      <c r="D79" s="1"/>
      <c r="E79" s="1"/>
      <c r="F79" s="134">
        <f t="shared" si="3"/>
        <v>0</v>
      </c>
      <c r="H79" s="149">
        <f>+[1]BOQ!$F79</f>
        <v>0</v>
      </c>
      <c r="I79" s="149">
        <f t="shared" si="4"/>
        <v>0</v>
      </c>
      <c r="K79" s="137" t="e">
        <f>H79/E79</f>
        <v>#DIV/0!</v>
      </c>
      <c r="L79" s="147">
        <f t="shared" si="5"/>
        <v>0</v>
      </c>
      <c r="M79" s="147">
        <f>H79*$N$3</f>
        <v>0</v>
      </c>
      <c r="N79" s="147">
        <f>M79*C79</f>
        <v>0</v>
      </c>
    </row>
    <row r="80" spans="1:14" x14ac:dyDescent="0.15">
      <c r="A80" s="7">
        <v>58.1</v>
      </c>
      <c r="B80" s="6" t="s">
        <v>39</v>
      </c>
      <c r="C80" s="5">
        <v>270</v>
      </c>
      <c r="D80" s="6" t="s">
        <v>29</v>
      </c>
      <c r="E80" s="131">
        <v>68</v>
      </c>
      <c r="F80" s="134">
        <f t="shared" si="3"/>
        <v>18360</v>
      </c>
      <c r="H80" s="149">
        <f>+[1]BOQ!$F80</f>
        <v>132</v>
      </c>
      <c r="I80" s="149">
        <f t="shared" si="4"/>
        <v>35640</v>
      </c>
      <c r="K80" s="137">
        <f>H80/E80</f>
        <v>1.9411764705882353</v>
      </c>
      <c r="L80" s="147">
        <f t="shared" si="5"/>
        <v>17280</v>
      </c>
      <c r="M80" s="147">
        <f>H80*$N$3</f>
        <v>174.96207047532181</v>
      </c>
      <c r="N80" s="147">
        <f>M80*C80</f>
        <v>47239.759028336892</v>
      </c>
    </row>
    <row r="81" spans="1:14" x14ac:dyDescent="0.15">
      <c r="A81" s="7">
        <v>58.2</v>
      </c>
      <c r="B81" s="6" t="s">
        <v>40</v>
      </c>
      <c r="C81" s="5">
        <v>270</v>
      </c>
      <c r="D81" s="6" t="s">
        <v>29</v>
      </c>
      <c r="E81" s="131">
        <v>155</v>
      </c>
      <c r="F81" s="134">
        <f t="shared" si="3"/>
        <v>41850</v>
      </c>
      <c r="H81" s="149">
        <f>+[1]BOQ!$F81</f>
        <v>242</v>
      </c>
      <c r="I81" s="149">
        <f t="shared" si="4"/>
        <v>65340</v>
      </c>
      <c r="K81" s="137">
        <f>H81/E81</f>
        <v>1.5612903225806452</v>
      </c>
      <c r="L81" s="147">
        <f t="shared" si="5"/>
        <v>23490</v>
      </c>
      <c r="M81" s="147">
        <f>H81*$N$3</f>
        <v>320.76379587142333</v>
      </c>
      <c r="N81" s="147">
        <f>M81*C81</f>
        <v>86606.224885284304</v>
      </c>
    </row>
    <row r="82" spans="1:14" x14ac:dyDescent="0.15">
      <c r="A82" s="7">
        <v>58.3</v>
      </c>
      <c r="B82" s="6" t="s">
        <v>41</v>
      </c>
      <c r="C82" s="5">
        <v>360</v>
      </c>
      <c r="D82" s="6" t="s">
        <v>29</v>
      </c>
      <c r="E82" s="131">
        <v>125</v>
      </c>
      <c r="F82" s="134">
        <f t="shared" si="3"/>
        <v>45000</v>
      </c>
      <c r="H82" s="149">
        <f>+[1]BOQ!$F82</f>
        <v>190</v>
      </c>
      <c r="I82" s="149">
        <f t="shared" si="4"/>
        <v>68400</v>
      </c>
      <c r="K82" s="137">
        <f>H82/E82</f>
        <v>1.52</v>
      </c>
      <c r="L82" s="147">
        <f t="shared" si="5"/>
        <v>23400</v>
      </c>
      <c r="M82" s="147">
        <f>H82*$N$3</f>
        <v>251.83934386599353</v>
      </c>
      <c r="N82" s="147">
        <f>M82*C82</f>
        <v>90662.163791757674</v>
      </c>
    </row>
    <row r="83" spans="1:14" x14ac:dyDescent="0.15">
      <c r="A83" s="7">
        <v>58.4</v>
      </c>
      <c r="B83" s="6" t="s">
        <v>42</v>
      </c>
      <c r="C83" s="5">
        <v>360</v>
      </c>
      <c r="D83" s="6" t="s">
        <v>29</v>
      </c>
      <c r="E83" s="131">
        <v>95</v>
      </c>
      <c r="F83" s="134">
        <f t="shared" si="3"/>
        <v>34200</v>
      </c>
      <c r="H83" s="149">
        <f>+[1]BOQ!$F83</f>
        <v>310</v>
      </c>
      <c r="I83" s="149">
        <f t="shared" si="4"/>
        <v>111600</v>
      </c>
      <c r="K83" s="137">
        <f>H83/E83</f>
        <v>3.263157894736842</v>
      </c>
      <c r="L83" s="147">
        <f t="shared" si="5"/>
        <v>77400</v>
      </c>
      <c r="M83" s="147">
        <f>H83*$N$3</f>
        <v>410.89577157083153</v>
      </c>
      <c r="N83" s="147">
        <f>M83*C83</f>
        <v>147922.47776549935</v>
      </c>
    </row>
    <row r="84" spans="1:14" ht="32" x14ac:dyDescent="0.15">
      <c r="A84" s="4">
        <v>59</v>
      </c>
      <c r="B84" s="6" t="s">
        <v>43</v>
      </c>
      <c r="C84" s="1"/>
      <c r="D84" s="1"/>
      <c r="E84" s="1"/>
      <c r="F84" s="134">
        <f t="shared" si="3"/>
        <v>0</v>
      </c>
      <c r="H84" s="149">
        <f>+[1]BOQ!$F84</f>
        <v>0</v>
      </c>
      <c r="I84" s="149">
        <f t="shared" si="4"/>
        <v>0</v>
      </c>
      <c r="K84" s="137" t="e">
        <f>H84/E84</f>
        <v>#DIV/0!</v>
      </c>
      <c r="L84" s="147">
        <f t="shared" si="5"/>
        <v>0</v>
      </c>
      <c r="M84" s="147">
        <f>H84*$N$3</f>
        <v>0</v>
      </c>
      <c r="N84" s="147">
        <f>M84*C84</f>
        <v>0</v>
      </c>
    </row>
    <row r="85" spans="1:14" x14ac:dyDescent="0.15">
      <c r="A85" s="7">
        <v>59.1</v>
      </c>
      <c r="B85" s="1" t="s">
        <v>162</v>
      </c>
      <c r="C85" s="5">
        <v>1400</v>
      </c>
      <c r="D85" s="6" t="s">
        <v>98</v>
      </c>
      <c r="E85" s="131">
        <v>346</v>
      </c>
      <c r="F85" s="134">
        <f t="shared" si="3"/>
        <v>484400</v>
      </c>
      <c r="H85" s="149">
        <f>+[1]BOQ!$F85</f>
        <v>70</v>
      </c>
      <c r="I85" s="149">
        <f t="shared" si="4"/>
        <v>98000</v>
      </c>
      <c r="K85" s="137">
        <f>H85/E85</f>
        <v>0.20231213872832371</v>
      </c>
      <c r="L85" s="147">
        <f t="shared" si="5"/>
        <v>-386400</v>
      </c>
      <c r="M85" s="147">
        <f>H85*$N$3</f>
        <v>92.782916161155512</v>
      </c>
      <c r="N85" s="147">
        <f>M85*C85</f>
        <v>129896.08262561772</v>
      </c>
    </row>
    <row r="86" spans="1:14" ht="32" x14ac:dyDescent="0.15">
      <c r="A86" s="4">
        <v>60</v>
      </c>
      <c r="B86" s="6" t="s">
        <v>44</v>
      </c>
      <c r="C86" s="1"/>
      <c r="D86" s="1"/>
      <c r="E86" s="1"/>
      <c r="F86" s="134">
        <f t="shared" si="3"/>
        <v>0</v>
      </c>
      <c r="H86" s="149">
        <f>+[1]BOQ!$F86</f>
        <v>0</v>
      </c>
      <c r="I86" s="149">
        <f t="shared" si="4"/>
        <v>0</v>
      </c>
      <c r="K86" s="137" t="e">
        <f>H86/E86</f>
        <v>#DIV/0!</v>
      </c>
      <c r="L86" s="147">
        <f t="shared" si="5"/>
        <v>0</v>
      </c>
      <c r="M86" s="147">
        <f>H86*$N$3</f>
        <v>0</v>
      </c>
      <c r="N86" s="147">
        <f>M86*C86</f>
        <v>0</v>
      </c>
    </row>
    <row r="87" spans="1:14" x14ac:dyDescent="0.15">
      <c r="A87" s="7">
        <v>60.1</v>
      </c>
      <c r="B87" s="1" t="s">
        <v>162</v>
      </c>
      <c r="C87" s="5">
        <v>200</v>
      </c>
      <c r="D87" s="6" t="s">
        <v>98</v>
      </c>
      <c r="E87" s="131">
        <v>346</v>
      </c>
      <c r="F87" s="134">
        <f t="shared" si="3"/>
        <v>69200</v>
      </c>
      <c r="H87" s="149">
        <f>+[1]BOQ!$F87</f>
        <v>60</v>
      </c>
      <c r="I87" s="149">
        <f t="shared" si="4"/>
        <v>12000</v>
      </c>
      <c r="K87" s="137">
        <f>H87/E87</f>
        <v>0.17341040462427745</v>
      </c>
      <c r="L87" s="147">
        <f t="shared" si="5"/>
        <v>-57200</v>
      </c>
      <c r="M87" s="147">
        <f>H87*$N$3</f>
        <v>79.528213852419015</v>
      </c>
      <c r="N87" s="147">
        <f>M87*C87</f>
        <v>15905.642770483802</v>
      </c>
    </row>
    <row r="88" spans="1:14" ht="32" x14ac:dyDescent="0.15">
      <c r="A88" s="4">
        <v>61</v>
      </c>
      <c r="B88" s="6" t="s">
        <v>45</v>
      </c>
      <c r="C88" s="1"/>
      <c r="D88" s="1"/>
      <c r="E88" s="1"/>
      <c r="F88" s="134">
        <f t="shared" si="3"/>
        <v>0</v>
      </c>
      <c r="H88" s="149">
        <f>+[1]BOQ!$F88</f>
        <v>0</v>
      </c>
      <c r="I88" s="149">
        <f t="shared" si="4"/>
        <v>0</v>
      </c>
      <c r="K88" s="137" t="e">
        <f>H88/E88</f>
        <v>#DIV/0!</v>
      </c>
      <c r="L88" s="147">
        <f t="shared" si="5"/>
        <v>0</v>
      </c>
      <c r="M88" s="147">
        <f>H88*$N$3</f>
        <v>0</v>
      </c>
      <c r="N88" s="147">
        <f>M88*C88</f>
        <v>0</v>
      </c>
    </row>
    <row r="89" spans="1:14" x14ac:dyDescent="0.15">
      <c r="A89" s="7">
        <v>61.1</v>
      </c>
      <c r="B89" s="6" t="s">
        <v>46</v>
      </c>
      <c r="C89" s="5">
        <v>400</v>
      </c>
      <c r="D89" s="6" t="s">
        <v>98</v>
      </c>
      <c r="E89" s="131">
        <v>346</v>
      </c>
      <c r="F89" s="134">
        <f t="shared" si="3"/>
        <v>138400</v>
      </c>
      <c r="H89" s="149">
        <f>+[1]BOQ!$F89</f>
        <v>60</v>
      </c>
      <c r="I89" s="149">
        <f t="shared" si="4"/>
        <v>24000</v>
      </c>
      <c r="K89" s="137">
        <f>H89/E89</f>
        <v>0.17341040462427745</v>
      </c>
      <c r="L89" s="147">
        <f t="shared" si="5"/>
        <v>-114400</v>
      </c>
      <c r="M89" s="147">
        <f>H89*$N$3</f>
        <v>79.528213852419015</v>
      </c>
      <c r="N89" s="147">
        <f>M89*C89</f>
        <v>31811.285540967605</v>
      </c>
    </row>
    <row r="90" spans="1:14" x14ac:dyDescent="0.15">
      <c r="A90" s="4">
        <v>62</v>
      </c>
      <c r="B90" s="6" t="s">
        <v>47</v>
      </c>
      <c r="C90" s="5">
        <v>20</v>
      </c>
      <c r="D90" s="6" t="s">
        <v>29</v>
      </c>
      <c r="E90" s="131">
        <v>4000</v>
      </c>
      <c r="F90" s="134">
        <f t="shared" si="3"/>
        <v>80000</v>
      </c>
      <c r="H90" s="149">
        <f>+[1]BOQ!$F90</f>
        <v>9200</v>
      </c>
      <c r="I90" s="149">
        <f t="shared" si="4"/>
        <v>184000</v>
      </c>
      <c r="K90" s="137">
        <f>H90/E90</f>
        <v>2.2999999999999998</v>
      </c>
      <c r="L90" s="147">
        <f t="shared" si="5"/>
        <v>104000</v>
      </c>
      <c r="M90" s="147">
        <f>H90*$N$3</f>
        <v>12194.326124037581</v>
      </c>
      <c r="N90" s="147">
        <f>M90*C90</f>
        <v>243886.52248075162</v>
      </c>
    </row>
    <row r="91" spans="1:14" ht="48" x14ac:dyDescent="0.15">
      <c r="A91" s="4">
        <v>63</v>
      </c>
      <c r="B91" s="6" t="s">
        <v>229</v>
      </c>
      <c r="C91" s="5">
        <v>20</v>
      </c>
      <c r="D91" s="6" t="s">
        <v>29</v>
      </c>
      <c r="E91" s="131">
        <v>4500</v>
      </c>
      <c r="F91" s="134">
        <f t="shared" si="3"/>
        <v>90000</v>
      </c>
      <c r="H91" s="149">
        <f>+[1]BOQ!$F91</f>
        <v>1330</v>
      </c>
      <c r="I91" s="149">
        <f t="shared" si="4"/>
        <v>26600</v>
      </c>
      <c r="K91" s="137">
        <f>H91/E91</f>
        <v>0.29555555555555557</v>
      </c>
      <c r="L91" s="147">
        <f t="shared" si="5"/>
        <v>-63400</v>
      </c>
      <c r="M91" s="147">
        <f>H91*$N$3</f>
        <v>1762.8754070619548</v>
      </c>
      <c r="N91" s="147">
        <f>M91*C91</f>
        <v>35257.508141239094</v>
      </c>
    </row>
    <row r="92" spans="1:14" ht="64" x14ac:dyDescent="0.15">
      <c r="A92" s="4">
        <v>64</v>
      </c>
      <c r="B92" s="6" t="s">
        <v>230</v>
      </c>
      <c r="C92" s="5">
        <v>12</v>
      </c>
      <c r="D92" s="6" t="s">
        <v>29</v>
      </c>
      <c r="E92" s="131">
        <v>275</v>
      </c>
      <c r="F92" s="134">
        <f t="shared" si="3"/>
        <v>3300</v>
      </c>
      <c r="H92" s="149">
        <f>+[1]BOQ!$F92</f>
        <v>250</v>
      </c>
      <c r="I92" s="149">
        <f t="shared" si="4"/>
        <v>3000</v>
      </c>
      <c r="K92" s="137">
        <f>H92/E92</f>
        <v>0.90909090909090906</v>
      </c>
      <c r="L92" s="147">
        <f t="shared" si="5"/>
        <v>-300</v>
      </c>
      <c r="M92" s="147">
        <f>H92*$N$3</f>
        <v>331.36755771841251</v>
      </c>
      <c r="N92" s="147">
        <f>M92*C92</f>
        <v>3976.4106926209502</v>
      </c>
    </row>
    <row r="93" spans="1:14" ht="64" x14ac:dyDescent="0.15">
      <c r="A93" s="4">
        <v>65</v>
      </c>
      <c r="B93" s="6" t="s">
        <v>231</v>
      </c>
      <c r="C93" s="5">
        <v>12</v>
      </c>
      <c r="D93" s="6" t="s">
        <v>29</v>
      </c>
      <c r="E93" s="131">
        <v>550</v>
      </c>
      <c r="F93" s="134">
        <f t="shared" si="3"/>
        <v>6600</v>
      </c>
      <c r="H93" s="149">
        <f>+[1]BOQ!$F93</f>
        <v>480</v>
      </c>
      <c r="I93" s="149">
        <f t="shared" si="4"/>
        <v>5760</v>
      </c>
      <c r="K93" s="137">
        <f>H93/E93</f>
        <v>0.87272727272727268</v>
      </c>
      <c r="L93" s="147">
        <f t="shared" si="5"/>
        <v>-840</v>
      </c>
      <c r="M93" s="147">
        <f>H93*$N$3</f>
        <v>636.22571081935212</v>
      </c>
      <c r="N93" s="147">
        <f>M93*C93</f>
        <v>7634.7085298322254</v>
      </c>
    </row>
    <row r="94" spans="1:14" ht="48" x14ac:dyDescent="0.15">
      <c r="A94" s="4">
        <v>66</v>
      </c>
      <c r="B94" s="6" t="s">
        <v>232</v>
      </c>
      <c r="C94" s="5">
        <v>6</v>
      </c>
      <c r="D94" s="6" t="s">
        <v>29</v>
      </c>
      <c r="E94" s="131">
        <v>115000</v>
      </c>
      <c r="F94" s="134">
        <f t="shared" si="3"/>
        <v>690000</v>
      </c>
      <c r="H94" s="149">
        <f>+[1]BOQ!$F94</f>
        <v>476000</v>
      </c>
      <c r="I94" s="149">
        <f t="shared" si="4"/>
        <v>2856000</v>
      </c>
      <c r="K94" s="137">
        <f>H94/E94</f>
        <v>4.1391304347826088</v>
      </c>
      <c r="L94" s="147">
        <f t="shared" si="5"/>
        <v>2166000</v>
      </c>
      <c r="M94" s="147">
        <f>H94*$N$3</f>
        <v>630923.82989585749</v>
      </c>
      <c r="N94" s="147">
        <f>M94*C94</f>
        <v>3785542.9793751449</v>
      </c>
    </row>
    <row r="95" spans="1:14" ht="48" x14ac:dyDescent="0.15">
      <c r="A95" s="4">
        <v>67</v>
      </c>
      <c r="B95" s="6" t="s">
        <v>233</v>
      </c>
      <c r="C95" s="1"/>
      <c r="D95" s="1"/>
      <c r="E95" s="152"/>
      <c r="F95" s="134">
        <f t="shared" si="3"/>
        <v>0</v>
      </c>
      <c r="H95" s="149">
        <f>+[1]BOQ!$F95</f>
        <v>0</v>
      </c>
      <c r="I95" s="149">
        <f t="shared" si="4"/>
        <v>0</v>
      </c>
      <c r="K95" s="137" t="e">
        <f>H95/E95</f>
        <v>#DIV/0!</v>
      </c>
      <c r="L95" s="147">
        <f t="shared" si="5"/>
        <v>0</v>
      </c>
      <c r="M95" s="147">
        <f>H95*$N$3</f>
        <v>0</v>
      </c>
      <c r="N95" s="147">
        <f>M95*C95</f>
        <v>0</v>
      </c>
    </row>
    <row r="96" spans="1:14" x14ac:dyDescent="0.15">
      <c r="A96" s="7">
        <v>67.099999999999994</v>
      </c>
      <c r="B96" s="6" t="s">
        <v>48</v>
      </c>
      <c r="C96" s="5">
        <v>52</v>
      </c>
      <c r="D96" s="6" t="s">
        <v>29</v>
      </c>
      <c r="E96" s="131">
        <v>1250</v>
      </c>
      <c r="F96" s="134">
        <f t="shared" si="3"/>
        <v>65000</v>
      </c>
      <c r="H96" s="149">
        <f>+[1]BOQ!$F96</f>
        <v>450</v>
      </c>
      <c r="I96" s="149">
        <f t="shared" si="4"/>
        <v>23400</v>
      </c>
      <c r="K96" s="137">
        <f>H96/E96</f>
        <v>0.36</v>
      </c>
      <c r="L96" s="147">
        <f t="shared" si="5"/>
        <v>-41600</v>
      </c>
      <c r="M96" s="147">
        <f>H96*$N$3</f>
        <v>596.46160389314252</v>
      </c>
      <c r="N96" s="147">
        <f>M96*C96</f>
        <v>31016.00340244341</v>
      </c>
    </row>
    <row r="97" spans="1:14" x14ac:dyDescent="0.15">
      <c r="A97" s="7">
        <v>67.2</v>
      </c>
      <c r="B97" s="6" t="s">
        <v>49</v>
      </c>
      <c r="C97" s="5">
        <v>8</v>
      </c>
      <c r="D97" s="6" t="s">
        <v>29</v>
      </c>
      <c r="E97" s="131">
        <v>750</v>
      </c>
      <c r="F97" s="134">
        <f t="shared" si="3"/>
        <v>6000</v>
      </c>
      <c r="H97" s="149">
        <f>+[1]BOQ!$F97</f>
        <v>320</v>
      </c>
      <c r="I97" s="149">
        <f t="shared" si="4"/>
        <v>2560</v>
      </c>
      <c r="K97" s="137">
        <f>H97/E97</f>
        <v>0.42666666666666669</v>
      </c>
      <c r="L97" s="147">
        <f t="shared" si="5"/>
        <v>-3440</v>
      </c>
      <c r="M97" s="147">
        <f>H97*$N$3</f>
        <v>424.15047387956804</v>
      </c>
      <c r="N97" s="147">
        <f>M97*C97</f>
        <v>3393.2037910365443</v>
      </c>
    </row>
    <row r="98" spans="1:14" ht="48" x14ac:dyDescent="0.15">
      <c r="A98" s="4">
        <v>68</v>
      </c>
      <c r="B98" s="1" t="s">
        <v>163</v>
      </c>
      <c r="C98" s="5">
        <v>15</v>
      </c>
      <c r="D98" s="6" t="s">
        <v>29</v>
      </c>
      <c r="E98" s="131">
        <v>10500</v>
      </c>
      <c r="F98" s="134">
        <f t="shared" si="3"/>
        <v>157500</v>
      </c>
      <c r="H98" s="149">
        <f>+[1]BOQ!$F98</f>
        <v>19360</v>
      </c>
      <c r="I98" s="149">
        <f t="shared" si="4"/>
        <v>290400</v>
      </c>
      <c r="K98" s="137">
        <f>H98/E98</f>
        <v>1.8438095238095238</v>
      </c>
      <c r="L98" s="147">
        <f t="shared" si="5"/>
        <v>132900</v>
      </c>
      <c r="M98" s="147">
        <f>H98*$N$3</f>
        <v>25661.103669713866</v>
      </c>
      <c r="N98" s="147">
        <f>M98*C98</f>
        <v>384916.55504570797</v>
      </c>
    </row>
    <row r="99" spans="1:14" ht="48" x14ac:dyDescent="0.15">
      <c r="A99" s="4">
        <v>69</v>
      </c>
      <c r="B99" s="1" t="s">
        <v>164</v>
      </c>
      <c r="C99" s="5">
        <v>1000</v>
      </c>
      <c r="D99" s="6" t="s">
        <v>98</v>
      </c>
      <c r="E99" s="131">
        <v>178</v>
      </c>
      <c r="F99" s="134">
        <f t="shared" si="3"/>
        <v>178000</v>
      </c>
      <c r="H99" s="149">
        <f>+[1]BOQ!$F99</f>
        <v>54</v>
      </c>
      <c r="I99" s="149">
        <f t="shared" si="4"/>
        <v>54000</v>
      </c>
      <c r="K99" s="137">
        <f>H99/E99</f>
        <v>0.30337078651685395</v>
      </c>
      <c r="L99" s="147">
        <f t="shared" si="5"/>
        <v>-124000</v>
      </c>
      <c r="M99" s="147">
        <f>H99*$N$3</f>
        <v>71.57539246717711</v>
      </c>
      <c r="N99" s="147">
        <f>M99*C99</f>
        <v>71575.392467177109</v>
      </c>
    </row>
    <row r="100" spans="1:14" ht="32" x14ac:dyDescent="0.15">
      <c r="A100" s="4">
        <v>70</v>
      </c>
      <c r="B100" s="6" t="s">
        <v>50</v>
      </c>
      <c r="C100" s="5">
        <v>900</v>
      </c>
      <c r="D100" s="6" t="s">
        <v>98</v>
      </c>
      <c r="E100" s="131">
        <v>178</v>
      </c>
      <c r="F100" s="134">
        <f t="shared" si="3"/>
        <v>160200</v>
      </c>
      <c r="H100" s="149">
        <f>+[1]BOQ!$F100</f>
        <v>20</v>
      </c>
      <c r="I100" s="149">
        <f t="shared" si="4"/>
        <v>18000</v>
      </c>
      <c r="K100" s="137">
        <f>H100/E100</f>
        <v>0.11235955056179775</v>
      </c>
      <c r="L100" s="147">
        <f t="shared" si="5"/>
        <v>-142200</v>
      </c>
      <c r="M100" s="147">
        <f>H100*$N$3</f>
        <v>26.509404617473002</v>
      </c>
      <c r="N100" s="147">
        <f>M100*C100</f>
        <v>23858.464155725702</v>
      </c>
    </row>
    <row r="101" spans="1:14" ht="80" x14ac:dyDescent="0.15">
      <c r="A101" s="4">
        <v>71</v>
      </c>
      <c r="B101" s="6" t="s">
        <v>255</v>
      </c>
      <c r="C101" s="5">
        <v>330</v>
      </c>
      <c r="D101" s="6" t="s">
        <v>29</v>
      </c>
      <c r="E101" s="131">
        <v>2950</v>
      </c>
      <c r="F101" s="134">
        <f t="shared" si="3"/>
        <v>973500</v>
      </c>
      <c r="H101" s="149">
        <v>2950</v>
      </c>
      <c r="I101" s="149">
        <f t="shared" si="4"/>
        <v>973500</v>
      </c>
      <c r="K101" s="137">
        <f>H101/E101</f>
        <v>1</v>
      </c>
      <c r="L101" s="147">
        <f t="shared" si="5"/>
        <v>0</v>
      </c>
      <c r="M101" s="147">
        <f>H101*$N$3</f>
        <v>3910.137181077268</v>
      </c>
      <c r="N101" s="147">
        <f>M101*C101</f>
        <v>1290345.2697554985</v>
      </c>
    </row>
    <row r="102" spans="1:14" ht="64" x14ac:dyDescent="0.15">
      <c r="A102" s="4">
        <v>72</v>
      </c>
      <c r="B102" s="1" t="s">
        <v>165</v>
      </c>
      <c r="C102" s="5">
        <v>200</v>
      </c>
      <c r="D102" s="6" t="s">
        <v>29</v>
      </c>
      <c r="E102" s="131">
        <v>1350</v>
      </c>
      <c r="F102" s="134">
        <f t="shared" si="3"/>
        <v>270000</v>
      </c>
      <c r="H102" s="149">
        <f>+[1]BOQ!$F102</f>
        <v>810</v>
      </c>
      <c r="I102" s="149">
        <f t="shared" si="4"/>
        <v>162000</v>
      </c>
      <c r="K102" s="137">
        <f>H102/E102</f>
        <v>0.6</v>
      </c>
      <c r="L102" s="147">
        <f t="shared" si="5"/>
        <v>-108000</v>
      </c>
      <c r="M102" s="147">
        <f>H102*$N$3</f>
        <v>1073.6308870076566</v>
      </c>
      <c r="N102" s="147">
        <f>M102*C102</f>
        <v>214726.17740153131</v>
      </c>
    </row>
    <row r="103" spans="1:14" ht="80" x14ac:dyDescent="0.15">
      <c r="A103" s="4">
        <v>73</v>
      </c>
      <c r="B103" s="1" t="s">
        <v>256</v>
      </c>
      <c r="C103" s="5">
        <v>110</v>
      </c>
      <c r="D103" s="6" t="s">
        <v>29</v>
      </c>
      <c r="E103" s="131">
        <v>1100</v>
      </c>
      <c r="F103" s="134">
        <f t="shared" si="3"/>
        <v>121000</v>
      </c>
      <c r="H103" s="149">
        <f>+[1]BOQ!$F103</f>
        <v>810</v>
      </c>
      <c r="I103" s="149">
        <f t="shared" si="4"/>
        <v>89100</v>
      </c>
      <c r="K103" s="137">
        <f>H103/E103</f>
        <v>0.73636363636363633</v>
      </c>
      <c r="L103" s="147">
        <f t="shared" si="5"/>
        <v>-31900</v>
      </c>
      <c r="M103" s="147">
        <f>H103*$N$3</f>
        <v>1073.6308870076566</v>
      </c>
      <c r="N103" s="147">
        <f>M103*C103</f>
        <v>118099.39757084222</v>
      </c>
    </row>
    <row r="104" spans="1:14" ht="32" x14ac:dyDescent="0.15">
      <c r="A104" s="4">
        <v>74</v>
      </c>
      <c r="B104" s="6" t="s">
        <v>51</v>
      </c>
      <c r="C104" s="5">
        <v>370</v>
      </c>
      <c r="D104" s="6" t="s">
        <v>29</v>
      </c>
      <c r="E104" s="131">
        <v>1050</v>
      </c>
      <c r="F104" s="134">
        <f t="shared" si="3"/>
        <v>388500</v>
      </c>
      <c r="H104" s="149">
        <f>+[1]BOQ!$F104</f>
        <v>3860</v>
      </c>
      <c r="I104" s="149">
        <f t="shared" si="4"/>
        <v>1428200</v>
      </c>
      <c r="K104" s="137">
        <f>H104/E104</f>
        <v>3.676190476190476</v>
      </c>
      <c r="L104" s="147">
        <f t="shared" si="5"/>
        <v>1039700</v>
      </c>
      <c r="M104" s="147">
        <f>H104*$N$3</f>
        <v>5116.3150911722896</v>
      </c>
      <c r="N104" s="147">
        <f>M104*C104</f>
        <v>1893036.5837337472</v>
      </c>
    </row>
    <row r="105" spans="1:14" ht="96" x14ac:dyDescent="0.15">
      <c r="A105" s="4">
        <v>75</v>
      </c>
      <c r="B105" s="6" t="s">
        <v>257</v>
      </c>
      <c r="C105" s="5">
        <v>40</v>
      </c>
      <c r="D105" s="6" t="s">
        <v>29</v>
      </c>
      <c r="E105" s="131">
        <v>15470</v>
      </c>
      <c r="F105" s="134">
        <f t="shared" si="3"/>
        <v>618800</v>
      </c>
      <c r="H105" s="149">
        <f>+[1]BOQ!$F105</f>
        <v>8540</v>
      </c>
      <c r="I105" s="149">
        <f t="shared" si="4"/>
        <v>341600</v>
      </c>
      <c r="K105" s="137">
        <f>H105/E105</f>
        <v>0.55203619909502266</v>
      </c>
      <c r="L105" s="147">
        <f t="shared" si="5"/>
        <v>-277200</v>
      </c>
      <c r="M105" s="147">
        <f>H105*$N$3</f>
        <v>11319.515771660972</v>
      </c>
      <c r="N105" s="147">
        <f>M105*C105</f>
        <v>452780.63086643885</v>
      </c>
    </row>
    <row r="106" spans="1:14" ht="64" x14ac:dyDescent="0.15">
      <c r="A106" s="4">
        <v>76</v>
      </c>
      <c r="B106" s="6" t="s">
        <v>234</v>
      </c>
      <c r="C106" s="5">
        <v>550</v>
      </c>
      <c r="D106" s="6" t="s">
        <v>29</v>
      </c>
      <c r="E106" s="131">
        <v>550</v>
      </c>
      <c r="F106" s="134">
        <f t="shared" si="3"/>
        <v>302500</v>
      </c>
      <c r="H106" s="149">
        <f>+[1]BOQ!$F106</f>
        <v>300</v>
      </c>
      <c r="I106" s="149">
        <f t="shared" si="4"/>
        <v>165000</v>
      </c>
      <c r="K106" s="137">
        <f>H106/E106</f>
        <v>0.54545454545454541</v>
      </c>
      <c r="L106" s="147">
        <f t="shared" si="5"/>
        <v>-137500</v>
      </c>
      <c r="M106" s="147">
        <f>H106*$N$3</f>
        <v>397.64106926209502</v>
      </c>
      <c r="N106" s="147">
        <f>M106*C106</f>
        <v>218702.58809415225</v>
      </c>
    </row>
    <row r="107" spans="1:14" ht="64" x14ac:dyDescent="0.15">
      <c r="A107" s="4">
        <v>77</v>
      </c>
      <c r="B107" s="6" t="s">
        <v>235</v>
      </c>
      <c r="C107" s="5">
        <v>200</v>
      </c>
      <c r="D107" s="6" t="s">
        <v>29</v>
      </c>
      <c r="E107" s="131">
        <v>550</v>
      </c>
      <c r="F107" s="134">
        <f t="shared" si="3"/>
        <v>110000</v>
      </c>
      <c r="H107" s="149">
        <f>+[1]BOQ!$F107</f>
        <v>280</v>
      </c>
      <c r="I107" s="149">
        <f t="shared" si="4"/>
        <v>56000</v>
      </c>
      <c r="K107" s="137">
        <f>H107/E107</f>
        <v>0.50909090909090904</v>
      </c>
      <c r="L107" s="147">
        <f t="shared" si="5"/>
        <v>-54000</v>
      </c>
      <c r="M107" s="147">
        <f>H107*$N$3</f>
        <v>371.13166464462205</v>
      </c>
      <c r="N107" s="147">
        <f>M107*C107</f>
        <v>74226.332928924414</v>
      </c>
    </row>
    <row r="108" spans="1:14" ht="64" x14ac:dyDescent="0.15">
      <c r="A108" s="4">
        <v>78</v>
      </c>
      <c r="B108" s="148" t="s">
        <v>236</v>
      </c>
      <c r="C108" s="5">
        <v>40</v>
      </c>
      <c r="D108" s="6" t="s">
        <v>29</v>
      </c>
      <c r="E108" s="131">
        <v>950</v>
      </c>
      <c r="F108" s="134">
        <f t="shared" si="3"/>
        <v>38000</v>
      </c>
      <c r="H108" s="149">
        <f>+[1]BOQ!$F108</f>
        <v>600</v>
      </c>
      <c r="I108" s="149">
        <f t="shared" si="4"/>
        <v>24000</v>
      </c>
      <c r="K108" s="137">
        <f>H108/E108</f>
        <v>0.63157894736842102</v>
      </c>
      <c r="L108" s="147">
        <f t="shared" si="5"/>
        <v>-14000</v>
      </c>
      <c r="M108" s="147">
        <f>H108*$N$3</f>
        <v>795.28213852419003</v>
      </c>
      <c r="N108" s="147">
        <f>M108*C108</f>
        <v>31811.285540967601</v>
      </c>
    </row>
    <row r="109" spans="1:14" ht="64" x14ac:dyDescent="0.15">
      <c r="A109" s="4">
        <v>79</v>
      </c>
      <c r="B109" s="148" t="s">
        <v>258</v>
      </c>
      <c r="C109" s="5">
        <v>370</v>
      </c>
      <c r="D109" s="6" t="s">
        <v>29</v>
      </c>
      <c r="E109" s="131">
        <v>550</v>
      </c>
      <c r="F109" s="134">
        <f t="shared" si="3"/>
        <v>203500</v>
      </c>
      <c r="H109" s="149">
        <f>+[1]BOQ!$F109</f>
        <v>650</v>
      </c>
      <c r="I109" s="149">
        <f t="shared" si="4"/>
        <v>240500</v>
      </c>
      <c r="K109" s="137">
        <f>H109/E109</f>
        <v>1.1818181818181819</v>
      </c>
      <c r="L109" s="147">
        <f t="shared" si="5"/>
        <v>37000</v>
      </c>
      <c r="M109" s="147">
        <f>H109*$N$3</f>
        <v>861.55565006787253</v>
      </c>
      <c r="N109" s="147">
        <f>M109*C109</f>
        <v>318775.59052511281</v>
      </c>
    </row>
    <row r="110" spans="1:14" ht="64" x14ac:dyDescent="0.15">
      <c r="A110" s="4">
        <v>80</v>
      </c>
      <c r="B110" s="148" t="s">
        <v>259</v>
      </c>
      <c r="C110" s="5">
        <v>370</v>
      </c>
      <c r="D110" s="6" t="s">
        <v>29</v>
      </c>
      <c r="E110" s="131">
        <v>550</v>
      </c>
      <c r="F110" s="134">
        <f t="shared" si="3"/>
        <v>203500</v>
      </c>
      <c r="H110" s="149">
        <f>+[1]BOQ!$F110</f>
        <v>220</v>
      </c>
      <c r="I110" s="149">
        <f t="shared" si="4"/>
        <v>81400</v>
      </c>
      <c r="K110" s="137">
        <f>H110/E110</f>
        <v>0.4</v>
      </c>
      <c r="L110" s="147">
        <f t="shared" si="5"/>
        <v>-122100</v>
      </c>
      <c r="M110" s="147">
        <f>H110*$N$3</f>
        <v>291.60345079220303</v>
      </c>
      <c r="N110" s="147">
        <f>M110*C110</f>
        <v>107893.27679311512</v>
      </c>
    </row>
    <row r="111" spans="1:14" ht="96" x14ac:dyDescent="0.15">
      <c r="A111" s="8">
        <v>81</v>
      </c>
      <c r="B111" s="153" t="s">
        <v>261</v>
      </c>
      <c r="C111" s="10">
        <v>6</v>
      </c>
      <c r="D111" s="9" t="s">
        <v>29</v>
      </c>
      <c r="E111" s="132"/>
      <c r="F111" s="134">
        <f t="shared" si="3"/>
        <v>0</v>
      </c>
      <c r="H111" s="149">
        <v>20000</v>
      </c>
      <c r="I111" s="149">
        <f t="shared" si="4"/>
        <v>120000</v>
      </c>
      <c r="K111" s="137" t="e">
        <f>H111/E111</f>
        <v>#DIV/0!</v>
      </c>
      <c r="L111" s="147">
        <f t="shared" si="5"/>
        <v>120000</v>
      </c>
      <c r="M111" s="147">
        <f>H111*$N$3</f>
        <v>26509.404617473003</v>
      </c>
      <c r="N111" s="147">
        <f>M111*C111</f>
        <v>159056.42770483802</v>
      </c>
    </row>
    <row r="112" spans="1:14" ht="176" x14ac:dyDescent="0.15">
      <c r="A112" s="4">
        <v>82</v>
      </c>
      <c r="B112" s="148" t="s">
        <v>260</v>
      </c>
      <c r="C112" s="1"/>
      <c r="D112" s="1"/>
      <c r="E112" s="1"/>
      <c r="F112" s="134">
        <f t="shared" si="3"/>
        <v>0</v>
      </c>
      <c r="H112" s="149">
        <f>+[1]BOQ!$F112</f>
        <v>0</v>
      </c>
      <c r="I112" s="149">
        <f t="shared" si="4"/>
        <v>0</v>
      </c>
      <c r="K112" s="137" t="e">
        <f>H112/E112</f>
        <v>#DIV/0!</v>
      </c>
      <c r="L112" s="147">
        <f t="shared" si="5"/>
        <v>0</v>
      </c>
      <c r="M112" s="147">
        <f>H112*$N$3</f>
        <v>0</v>
      </c>
      <c r="N112" s="147">
        <f>M112*C112</f>
        <v>0</v>
      </c>
    </row>
    <row r="113" spans="1:14" x14ac:dyDescent="0.15">
      <c r="A113" s="7">
        <v>82.1</v>
      </c>
      <c r="B113" s="148" t="s">
        <v>52</v>
      </c>
      <c r="C113" s="5">
        <v>6</v>
      </c>
      <c r="D113" s="6" t="s">
        <v>53</v>
      </c>
      <c r="E113" s="131"/>
      <c r="F113" s="134">
        <f t="shared" si="3"/>
        <v>0</v>
      </c>
      <c r="H113" s="149">
        <v>100000</v>
      </c>
      <c r="I113" s="149">
        <f t="shared" si="4"/>
        <v>600000</v>
      </c>
      <c r="K113" s="137" t="e">
        <f>H113/E113</f>
        <v>#DIV/0!</v>
      </c>
      <c r="L113" s="147">
        <f t="shared" si="5"/>
        <v>600000</v>
      </c>
      <c r="M113" s="147">
        <f>H113*$N$3</f>
        <v>132547.023087365</v>
      </c>
      <c r="N113" s="147">
        <f>M113*C113</f>
        <v>795282.13852419006</v>
      </c>
    </row>
    <row r="114" spans="1:14" ht="409" x14ac:dyDescent="0.15">
      <c r="A114" s="4">
        <v>83</v>
      </c>
      <c r="B114" s="148" t="s">
        <v>275</v>
      </c>
      <c r="C114" s="4">
        <v>5</v>
      </c>
      <c r="D114" s="6" t="s">
        <v>53</v>
      </c>
      <c r="E114" s="131"/>
      <c r="F114" s="134">
        <f t="shared" si="3"/>
        <v>0</v>
      </c>
      <c r="H114" s="150">
        <v>150000</v>
      </c>
      <c r="I114" s="149">
        <f t="shared" si="4"/>
        <v>750000</v>
      </c>
      <c r="K114" s="137" t="e">
        <f>H114/E114</f>
        <v>#DIV/0!</v>
      </c>
      <c r="L114" s="147">
        <f t="shared" si="5"/>
        <v>750000</v>
      </c>
      <c r="M114" s="147">
        <f>H114*$N$3</f>
        <v>198820.53463104751</v>
      </c>
      <c r="N114" s="147">
        <f>M114*C114</f>
        <v>994102.67315523757</v>
      </c>
    </row>
    <row r="115" spans="1:14" ht="304" x14ac:dyDescent="0.15">
      <c r="A115" s="4">
        <v>84</v>
      </c>
      <c r="B115" s="148" t="s">
        <v>268</v>
      </c>
      <c r="C115" s="1"/>
      <c r="D115" s="1"/>
      <c r="E115" s="1"/>
      <c r="F115" s="134">
        <f t="shared" si="3"/>
        <v>0</v>
      </c>
      <c r="H115" s="149">
        <f>+[1]BOQ!$F115</f>
        <v>0</v>
      </c>
      <c r="I115" s="149">
        <f t="shared" si="4"/>
        <v>0</v>
      </c>
      <c r="K115" s="137" t="e">
        <f>H115/E115</f>
        <v>#DIV/0!</v>
      </c>
      <c r="L115" s="147">
        <f t="shared" si="5"/>
        <v>0</v>
      </c>
      <c r="M115" s="147">
        <f>H115*$N$3</f>
        <v>0</v>
      </c>
      <c r="N115" s="147">
        <f>M115*C115</f>
        <v>0</v>
      </c>
    </row>
    <row r="116" spans="1:14" x14ac:dyDescent="0.15">
      <c r="A116" s="7">
        <v>84.1</v>
      </c>
      <c r="B116" s="148" t="s">
        <v>54</v>
      </c>
      <c r="C116" s="5">
        <v>3</v>
      </c>
      <c r="D116" s="6" t="s">
        <v>53</v>
      </c>
      <c r="E116" s="131">
        <v>535800</v>
      </c>
      <c r="F116" s="134">
        <f t="shared" si="3"/>
        <v>1607400</v>
      </c>
      <c r="H116" s="149">
        <f>+[1]BOQ!$F116</f>
        <v>42000</v>
      </c>
      <c r="I116" s="149">
        <f t="shared" si="4"/>
        <v>126000</v>
      </c>
      <c r="K116" s="137">
        <f>H116/E116</f>
        <v>7.8387458006718924E-2</v>
      </c>
      <c r="L116" s="147">
        <f t="shared" si="5"/>
        <v>-1481400</v>
      </c>
      <c r="M116" s="147">
        <f>H116*$N$3</f>
        <v>55669.749696693303</v>
      </c>
      <c r="N116" s="147">
        <f>M116*C116</f>
        <v>167009.24909007992</v>
      </c>
    </row>
    <row r="117" spans="1:14" x14ac:dyDescent="0.15">
      <c r="A117" s="7">
        <v>84.2</v>
      </c>
      <c r="B117" s="148" t="s">
        <v>55</v>
      </c>
      <c r="C117" s="5">
        <v>3</v>
      </c>
      <c r="D117" s="6" t="s">
        <v>53</v>
      </c>
      <c r="E117" s="131">
        <v>535800</v>
      </c>
      <c r="F117" s="134">
        <f t="shared" si="3"/>
        <v>1607400</v>
      </c>
      <c r="H117" s="149">
        <f>+[1]BOQ!$F117</f>
        <v>63000</v>
      </c>
      <c r="I117" s="149">
        <f t="shared" si="4"/>
        <v>189000</v>
      </c>
      <c r="K117" s="137">
        <f>H117/E117</f>
        <v>0.11758118701007839</v>
      </c>
      <c r="L117" s="147">
        <f t="shared" si="5"/>
        <v>-1418400</v>
      </c>
      <c r="M117" s="147">
        <f>H117*$N$3</f>
        <v>83504.624545039958</v>
      </c>
      <c r="N117" s="147">
        <f>M117*C117</f>
        <v>250513.87363511987</v>
      </c>
    </row>
    <row r="118" spans="1:14" x14ac:dyDescent="0.15">
      <c r="A118" s="7">
        <v>84.3</v>
      </c>
      <c r="B118" s="148" t="s">
        <v>56</v>
      </c>
      <c r="C118" s="5">
        <v>3</v>
      </c>
      <c r="D118" s="6" t="s">
        <v>53</v>
      </c>
      <c r="E118" s="131">
        <v>535800</v>
      </c>
      <c r="F118" s="134">
        <f t="shared" si="3"/>
        <v>1607400</v>
      </c>
      <c r="H118" s="149">
        <f>+[1]BOQ!$F118</f>
        <v>75000</v>
      </c>
      <c r="I118" s="149">
        <f t="shared" si="4"/>
        <v>225000</v>
      </c>
      <c r="K118" s="137">
        <f>H118/E118</f>
        <v>0.13997760358342665</v>
      </c>
      <c r="L118" s="147">
        <f t="shared" si="5"/>
        <v>-1382400</v>
      </c>
      <c r="M118" s="147">
        <f>H118*$N$3</f>
        <v>99410.267315523757</v>
      </c>
      <c r="N118" s="147">
        <f>M118*C118</f>
        <v>298230.80194657127</v>
      </c>
    </row>
    <row r="119" spans="1:14" x14ac:dyDescent="0.15">
      <c r="A119" s="7">
        <v>84.4</v>
      </c>
      <c r="B119" s="148" t="s">
        <v>57</v>
      </c>
      <c r="C119" s="5">
        <v>3</v>
      </c>
      <c r="D119" s="6" t="s">
        <v>53</v>
      </c>
      <c r="E119" s="131">
        <v>535800</v>
      </c>
      <c r="F119" s="134">
        <f t="shared" si="3"/>
        <v>1607400</v>
      </c>
      <c r="H119" s="149">
        <f>+[1]BOQ!$F119</f>
        <v>84000</v>
      </c>
      <c r="I119" s="149">
        <f t="shared" si="4"/>
        <v>252000</v>
      </c>
      <c r="K119" s="137">
        <f>H119/E119</f>
        <v>0.15677491601343785</v>
      </c>
      <c r="L119" s="147">
        <f t="shared" si="5"/>
        <v>-1355400</v>
      </c>
      <c r="M119" s="147">
        <f>H119*$N$3</f>
        <v>111339.49939338661</v>
      </c>
      <c r="N119" s="147">
        <f>M119*C119</f>
        <v>334018.49818015983</v>
      </c>
    </row>
    <row r="120" spans="1:14" x14ac:dyDescent="0.15">
      <c r="A120" s="7">
        <v>84.5</v>
      </c>
      <c r="B120" s="148" t="s">
        <v>58</v>
      </c>
      <c r="C120" s="5">
        <v>3</v>
      </c>
      <c r="D120" s="6" t="s">
        <v>53</v>
      </c>
      <c r="E120" s="131">
        <v>535800</v>
      </c>
      <c r="F120" s="134">
        <f t="shared" si="3"/>
        <v>1607400</v>
      </c>
      <c r="H120" s="149">
        <f>+[1]BOQ!$F120</f>
        <v>99000</v>
      </c>
      <c r="I120" s="149">
        <f t="shared" si="4"/>
        <v>297000</v>
      </c>
      <c r="K120" s="137">
        <f>H120/E120</f>
        <v>0.18477043673012317</v>
      </c>
      <c r="L120" s="147">
        <f t="shared" si="5"/>
        <v>-1310400</v>
      </c>
      <c r="M120" s="147">
        <f>H120*$N$3</f>
        <v>131221.55285649135</v>
      </c>
      <c r="N120" s="147">
        <f>M120*C120</f>
        <v>393664.65856947406</v>
      </c>
    </row>
    <row r="121" spans="1:14" ht="272" x14ac:dyDescent="0.15">
      <c r="A121" s="4">
        <v>85</v>
      </c>
      <c r="B121" s="6" t="s">
        <v>237</v>
      </c>
      <c r="C121" s="1"/>
      <c r="D121" s="1"/>
      <c r="E121" s="1"/>
      <c r="F121" s="134">
        <f t="shared" si="3"/>
        <v>0</v>
      </c>
      <c r="H121" s="149">
        <f>+[1]BOQ!$F121</f>
        <v>0</v>
      </c>
      <c r="I121" s="149">
        <f t="shared" si="4"/>
        <v>0</v>
      </c>
      <c r="K121" s="137" t="e">
        <f>H121/E121</f>
        <v>#DIV/0!</v>
      </c>
      <c r="L121" s="147">
        <f t="shared" si="5"/>
        <v>0</v>
      </c>
      <c r="M121" s="147">
        <f>H121*$N$3</f>
        <v>0</v>
      </c>
      <c r="N121" s="147">
        <f>M121*C121</f>
        <v>0</v>
      </c>
    </row>
    <row r="122" spans="1:14" x14ac:dyDescent="0.15">
      <c r="A122" s="7">
        <v>85.1</v>
      </c>
      <c r="B122" s="6" t="s">
        <v>54</v>
      </c>
      <c r="C122" s="5">
        <v>4</v>
      </c>
      <c r="D122" s="6" t="s">
        <v>53</v>
      </c>
      <c r="E122" s="131">
        <v>362880</v>
      </c>
      <c r="F122" s="134">
        <f t="shared" si="3"/>
        <v>1451520</v>
      </c>
      <c r="H122" s="149">
        <f>+[1]BOQ!$F122</f>
        <v>45000</v>
      </c>
      <c r="I122" s="149">
        <f t="shared" si="4"/>
        <v>180000</v>
      </c>
      <c r="K122" s="137">
        <f>H122/E122</f>
        <v>0.12400793650793651</v>
      </c>
      <c r="L122" s="147">
        <f t="shared" si="5"/>
        <v>-1271520</v>
      </c>
      <c r="M122" s="147">
        <f>H122*$N$3</f>
        <v>59646.160389314253</v>
      </c>
      <c r="N122" s="147">
        <f>M122*C122</f>
        <v>238584.64155725701</v>
      </c>
    </row>
    <row r="123" spans="1:14" x14ac:dyDescent="0.15">
      <c r="A123" s="7">
        <v>85.2</v>
      </c>
      <c r="B123" s="6" t="s">
        <v>55</v>
      </c>
      <c r="C123" s="5">
        <v>2</v>
      </c>
      <c r="D123" s="6" t="s">
        <v>53</v>
      </c>
      <c r="E123" s="131">
        <v>362880</v>
      </c>
      <c r="F123" s="134">
        <f t="shared" si="3"/>
        <v>725760</v>
      </c>
      <c r="H123" s="149">
        <f>+[1]BOQ!$F123</f>
        <v>66000</v>
      </c>
      <c r="I123" s="149">
        <f t="shared" si="4"/>
        <v>132000</v>
      </c>
      <c r="K123" s="137">
        <f>H123/E123</f>
        <v>0.18187830687830689</v>
      </c>
      <c r="L123" s="147">
        <f t="shared" si="5"/>
        <v>-593760</v>
      </c>
      <c r="M123" s="147">
        <f>H123*$N$3</f>
        <v>87481.035237660908</v>
      </c>
      <c r="N123" s="147">
        <f>M123*C123</f>
        <v>174962.07047532182</v>
      </c>
    </row>
    <row r="124" spans="1:14" x14ac:dyDescent="0.15">
      <c r="A124" s="7">
        <v>85.3</v>
      </c>
      <c r="B124" s="6" t="s">
        <v>56</v>
      </c>
      <c r="C124" s="5">
        <v>2</v>
      </c>
      <c r="D124" s="6" t="s">
        <v>53</v>
      </c>
      <c r="E124" s="131">
        <v>362880</v>
      </c>
      <c r="F124" s="134">
        <f t="shared" si="3"/>
        <v>725760</v>
      </c>
      <c r="H124" s="149">
        <f>+[1]BOQ!$F124</f>
        <v>78000</v>
      </c>
      <c r="I124" s="149">
        <f t="shared" si="4"/>
        <v>156000</v>
      </c>
      <c r="K124" s="137">
        <f>H124/E124</f>
        <v>0.21494708994708994</v>
      </c>
      <c r="L124" s="147">
        <f t="shared" si="5"/>
        <v>-569760</v>
      </c>
      <c r="M124" s="147">
        <f>H124*$N$3</f>
        <v>103386.67800814471</v>
      </c>
      <c r="N124" s="147">
        <f>M124*C124</f>
        <v>206773.35601628941</v>
      </c>
    </row>
    <row r="125" spans="1:14" x14ac:dyDescent="0.15">
      <c r="A125" s="7">
        <v>85.4</v>
      </c>
      <c r="B125" s="6" t="s">
        <v>57</v>
      </c>
      <c r="C125" s="5">
        <v>2</v>
      </c>
      <c r="D125" s="6" t="s">
        <v>53</v>
      </c>
      <c r="E125" s="131">
        <v>362880</v>
      </c>
      <c r="F125" s="134">
        <f t="shared" si="3"/>
        <v>725760</v>
      </c>
      <c r="H125" s="149">
        <f>+[1]BOQ!$F125</f>
        <v>87000</v>
      </c>
      <c r="I125" s="149">
        <f t="shared" si="4"/>
        <v>174000</v>
      </c>
      <c r="K125" s="137">
        <f>H125/E125</f>
        <v>0.23974867724867724</v>
      </c>
      <c r="L125" s="147">
        <f t="shared" si="5"/>
        <v>-551760</v>
      </c>
      <c r="M125" s="147">
        <f>H125*$N$3</f>
        <v>115315.91008600756</v>
      </c>
      <c r="N125" s="147">
        <f>M125*C125</f>
        <v>230631.82017201511</v>
      </c>
    </row>
    <row r="126" spans="1:14" x14ac:dyDescent="0.15">
      <c r="A126" s="7">
        <v>85.5</v>
      </c>
      <c r="B126" s="6" t="s">
        <v>59</v>
      </c>
      <c r="C126" s="5">
        <v>2</v>
      </c>
      <c r="D126" s="6" t="s">
        <v>53</v>
      </c>
      <c r="E126" s="131">
        <v>362880</v>
      </c>
      <c r="F126" s="134">
        <f t="shared" si="3"/>
        <v>725760</v>
      </c>
      <c r="H126" s="149">
        <f>+[1]BOQ!$F126</f>
        <v>102000</v>
      </c>
      <c r="I126" s="149">
        <f t="shared" si="4"/>
        <v>204000</v>
      </c>
      <c r="K126" s="137">
        <f>H126/E126</f>
        <v>0.2810846560846561</v>
      </c>
      <c r="L126" s="147">
        <f t="shared" si="5"/>
        <v>-521760</v>
      </c>
      <c r="M126" s="147">
        <f>H126*$N$3</f>
        <v>135197.96354911232</v>
      </c>
      <c r="N126" s="147">
        <f>M126*C126</f>
        <v>270395.92709822464</v>
      </c>
    </row>
    <row r="127" spans="1:14" ht="288" x14ac:dyDescent="0.15">
      <c r="A127" s="4">
        <v>86</v>
      </c>
      <c r="B127" s="6" t="s">
        <v>239</v>
      </c>
      <c r="C127" s="5">
        <v>5</v>
      </c>
      <c r="D127" s="6" t="s">
        <v>53</v>
      </c>
      <c r="E127" s="131">
        <v>571520</v>
      </c>
      <c r="F127" s="134">
        <f t="shared" si="3"/>
        <v>2857600</v>
      </c>
      <c r="H127" s="149">
        <v>100000</v>
      </c>
      <c r="I127" s="149">
        <f t="shared" si="4"/>
        <v>500000</v>
      </c>
      <c r="K127" s="137">
        <f>H127/E127</f>
        <v>0.17497200447928332</v>
      </c>
      <c r="L127" s="147">
        <f t="shared" si="5"/>
        <v>-2357600</v>
      </c>
      <c r="M127" s="147">
        <f>H127*$N$3</f>
        <v>132547.023087365</v>
      </c>
      <c r="N127" s="147">
        <f>M127*C127</f>
        <v>662735.11543682497</v>
      </c>
    </row>
    <row r="128" spans="1:14" ht="288" x14ac:dyDescent="0.15">
      <c r="A128" s="4">
        <v>87</v>
      </c>
      <c r="B128" s="6" t="s">
        <v>60</v>
      </c>
      <c r="C128" s="5">
        <v>5</v>
      </c>
      <c r="D128" s="6" t="s">
        <v>53</v>
      </c>
      <c r="E128" s="131">
        <v>362880</v>
      </c>
      <c r="F128" s="134">
        <f t="shared" si="3"/>
        <v>1814400</v>
      </c>
      <c r="H128" s="149">
        <v>18000</v>
      </c>
      <c r="I128" s="149">
        <f t="shared" si="4"/>
        <v>90000</v>
      </c>
      <c r="K128" s="137">
        <f>H128/E128</f>
        <v>4.96031746031746E-2</v>
      </c>
      <c r="L128" s="147">
        <f t="shared" si="5"/>
        <v>-1724400</v>
      </c>
      <c r="M128" s="147">
        <f>H128*$N$3</f>
        <v>23858.464155725702</v>
      </c>
      <c r="N128" s="147">
        <f>M128*C128</f>
        <v>119292.32077862851</v>
      </c>
    </row>
    <row r="129" spans="1:14" ht="320" x14ac:dyDescent="0.15">
      <c r="A129" s="4">
        <v>88</v>
      </c>
      <c r="B129" s="6" t="s">
        <v>262</v>
      </c>
      <c r="C129" s="5">
        <v>5</v>
      </c>
      <c r="D129" s="1" t="s">
        <v>53</v>
      </c>
      <c r="E129" s="131">
        <v>388800</v>
      </c>
      <c r="F129" s="134">
        <f t="shared" si="3"/>
        <v>1944000</v>
      </c>
      <c r="H129" s="149">
        <f>+[1]BOQ!$F129</f>
        <v>21000</v>
      </c>
      <c r="I129" s="149">
        <f t="shared" si="4"/>
        <v>105000</v>
      </c>
      <c r="K129" s="137">
        <f>H129/E129</f>
        <v>5.4012345679012343E-2</v>
      </c>
      <c r="L129" s="147">
        <f t="shared" si="5"/>
        <v>-1839000</v>
      </c>
      <c r="M129" s="147">
        <f>H129*$N$3</f>
        <v>27834.874848346652</v>
      </c>
      <c r="N129" s="147">
        <f>M129*C129</f>
        <v>139174.37424173325</v>
      </c>
    </row>
    <row r="130" spans="1:14" ht="368" x14ac:dyDescent="0.15">
      <c r="A130" s="4">
        <v>89</v>
      </c>
      <c r="B130" s="6" t="s">
        <v>263</v>
      </c>
      <c r="C130" s="5">
        <v>2</v>
      </c>
      <c r="D130" s="6" t="s">
        <v>53</v>
      </c>
      <c r="E130" s="131">
        <v>547200</v>
      </c>
      <c r="F130" s="134">
        <f t="shared" si="3"/>
        <v>1094400</v>
      </c>
      <c r="H130" s="149">
        <f>+[1]BOQ!$F130</f>
        <v>39000</v>
      </c>
      <c r="I130" s="149">
        <f t="shared" si="4"/>
        <v>78000</v>
      </c>
      <c r="K130" s="137">
        <f>H130/E130</f>
        <v>7.1271929824561403E-2</v>
      </c>
      <c r="L130" s="147">
        <f t="shared" si="5"/>
        <v>-1016400</v>
      </c>
      <c r="M130" s="147">
        <f>H130*$N$3</f>
        <v>51693.339004072353</v>
      </c>
      <c r="N130" s="147">
        <f>M130*C130</f>
        <v>103386.67800814471</v>
      </c>
    </row>
    <row r="131" spans="1:14" ht="240" x14ac:dyDescent="0.15">
      <c r="A131" s="4">
        <v>90</v>
      </c>
      <c r="B131" s="1" t="s">
        <v>166</v>
      </c>
      <c r="C131" s="1"/>
      <c r="D131" s="1"/>
      <c r="E131" s="1"/>
      <c r="F131" s="134"/>
      <c r="H131" s="149">
        <f>+[1]BOQ!$F131</f>
        <v>0</v>
      </c>
      <c r="I131" s="149">
        <f t="shared" si="4"/>
        <v>0</v>
      </c>
      <c r="K131" s="137" t="e">
        <f>H131/E131</f>
        <v>#DIV/0!</v>
      </c>
      <c r="L131" s="147">
        <f t="shared" si="5"/>
        <v>0</v>
      </c>
      <c r="M131" s="147">
        <f>H131*$N$3</f>
        <v>0</v>
      </c>
      <c r="N131" s="147">
        <f>M131*C131</f>
        <v>0</v>
      </c>
    </row>
    <row r="132" spans="1:14" x14ac:dyDescent="0.15">
      <c r="A132" s="7">
        <v>90.1</v>
      </c>
      <c r="B132" s="6" t="s">
        <v>61</v>
      </c>
      <c r="C132" s="11">
        <v>4</v>
      </c>
      <c r="D132" s="6" t="s">
        <v>53</v>
      </c>
      <c r="E132" s="131">
        <v>34560</v>
      </c>
      <c r="F132" s="134">
        <f t="shared" si="3"/>
        <v>138240</v>
      </c>
      <c r="H132" s="149">
        <f>+[1]BOQ!$F132</f>
        <v>15000</v>
      </c>
      <c r="I132" s="149">
        <f t="shared" si="4"/>
        <v>60000</v>
      </c>
      <c r="K132" s="137">
        <f>H132/E132</f>
        <v>0.43402777777777779</v>
      </c>
      <c r="L132" s="147">
        <f t="shared" si="5"/>
        <v>-78240</v>
      </c>
      <c r="M132" s="147">
        <f>H132*$N$3</f>
        <v>19882.053463104752</v>
      </c>
      <c r="N132" s="147">
        <f>M132*C132</f>
        <v>79528.213852419009</v>
      </c>
    </row>
    <row r="133" spans="1:14" x14ac:dyDescent="0.15">
      <c r="A133" s="7">
        <v>90.2</v>
      </c>
      <c r="B133" s="6" t="s">
        <v>62</v>
      </c>
      <c r="C133" s="5">
        <v>4</v>
      </c>
      <c r="D133" s="6" t="s">
        <v>53</v>
      </c>
      <c r="E133" s="131">
        <v>28000</v>
      </c>
      <c r="F133" s="134">
        <f t="shared" si="3"/>
        <v>112000</v>
      </c>
      <c r="H133" s="149">
        <f>+[1]BOQ!$F133</f>
        <v>14100</v>
      </c>
      <c r="I133" s="149">
        <f t="shared" si="4"/>
        <v>56400</v>
      </c>
      <c r="K133" s="137">
        <f>H133/E133</f>
        <v>0.50357142857142856</v>
      </c>
      <c r="L133" s="147">
        <f t="shared" si="5"/>
        <v>-55600</v>
      </c>
      <c r="M133" s="147">
        <f>H133*$N$3</f>
        <v>18689.130255318465</v>
      </c>
      <c r="N133" s="147">
        <f>M133*C133</f>
        <v>74756.52102127386</v>
      </c>
    </row>
    <row r="134" spans="1:14" x14ac:dyDescent="0.15">
      <c r="A134" s="7">
        <v>90.3</v>
      </c>
      <c r="B134" s="6" t="s">
        <v>63</v>
      </c>
      <c r="C134" s="5">
        <v>4</v>
      </c>
      <c r="D134" s="6" t="s">
        <v>53</v>
      </c>
      <c r="E134" s="131">
        <v>51840</v>
      </c>
      <c r="F134" s="134">
        <f t="shared" si="3"/>
        <v>207360</v>
      </c>
      <c r="H134" s="149">
        <f>+[1]BOQ!$F134</f>
        <v>15900</v>
      </c>
      <c r="I134" s="149">
        <f t="shared" si="4"/>
        <v>63600</v>
      </c>
      <c r="K134" s="137">
        <f>H134/E134</f>
        <v>0.30671296296296297</v>
      </c>
      <c r="L134" s="147">
        <f t="shared" si="5"/>
        <v>-143760</v>
      </c>
      <c r="M134" s="147">
        <f>H134*$N$3</f>
        <v>21074.976670891036</v>
      </c>
      <c r="N134" s="147">
        <f>M134*C134</f>
        <v>84299.906683564142</v>
      </c>
    </row>
    <row r="135" spans="1:14" ht="409" x14ac:dyDescent="0.15">
      <c r="A135" s="4">
        <v>91</v>
      </c>
      <c r="B135" s="6" t="s">
        <v>269</v>
      </c>
      <c r="C135" s="1"/>
      <c r="D135" s="1"/>
      <c r="E135" s="152"/>
      <c r="F135" s="134"/>
      <c r="H135" s="149">
        <f>+[1]BOQ!$F135</f>
        <v>0</v>
      </c>
      <c r="I135" s="149">
        <f t="shared" ref="I135:I198" si="6">+H135*C135</f>
        <v>0</v>
      </c>
      <c r="K135" s="137" t="e">
        <f>H135/E135</f>
        <v>#DIV/0!</v>
      </c>
      <c r="L135" s="147">
        <f t="shared" ref="L135:L198" si="7">I135-F135</f>
        <v>0</v>
      </c>
      <c r="M135" s="147">
        <f>H135*$N$3</f>
        <v>0</v>
      </c>
      <c r="N135" s="147">
        <f>M135*C135</f>
        <v>0</v>
      </c>
    </row>
    <row r="136" spans="1:14" x14ac:dyDescent="0.15">
      <c r="A136" s="5">
        <v>91.01</v>
      </c>
      <c r="B136" s="6" t="s">
        <v>64</v>
      </c>
      <c r="C136" s="5">
        <v>2</v>
      </c>
      <c r="D136" s="6" t="s">
        <v>65</v>
      </c>
      <c r="E136" s="151">
        <v>856233</v>
      </c>
      <c r="F136" s="134">
        <f t="shared" ref="F136:F142" si="8">+C136*E136</f>
        <v>1712466</v>
      </c>
      <c r="H136" s="154">
        <v>856233</v>
      </c>
      <c r="I136" s="149">
        <f t="shared" si="6"/>
        <v>1712466</v>
      </c>
      <c r="K136" s="137">
        <f>H136/E136</f>
        <v>1</v>
      </c>
      <c r="L136" s="147">
        <f t="shared" si="7"/>
        <v>0</v>
      </c>
      <c r="M136" s="147">
        <f>H136*$N$3</f>
        <v>1134911.352191638</v>
      </c>
      <c r="N136" s="147">
        <f>M136*C136</f>
        <v>2269822.7043832759</v>
      </c>
    </row>
    <row r="137" spans="1:14" x14ac:dyDescent="0.15">
      <c r="A137" s="5">
        <v>91.02</v>
      </c>
      <c r="B137" s="6" t="s">
        <v>66</v>
      </c>
      <c r="C137" s="5">
        <v>2</v>
      </c>
      <c r="D137" s="6" t="s">
        <v>65</v>
      </c>
      <c r="E137" s="151">
        <v>1312500</v>
      </c>
      <c r="F137" s="134">
        <f t="shared" si="8"/>
        <v>2625000</v>
      </c>
      <c r="H137" s="154">
        <v>1312500</v>
      </c>
      <c r="I137" s="149">
        <f t="shared" si="6"/>
        <v>2625000</v>
      </c>
      <c r="K137" s="137">
        <f>H137/E137</f>
        <v>1</v>
      </c>
      <c r="L137" s="147">
        <f t="shared" si="7"/>
        <v>0</v>
      </c>
      <c r="M137" s="147">
        <f>H137*$N$3</f>
        <v>1739679.6780216659</v>
      </c>
      <c r="N137" s="147">
        <f>M137*C137</f>
        <v>3479359.3560433318</v>
      </c>
    </row>
    <row r="138" spans="1:14" x14ac:dyDescent="0.15">
      <c r="A138" s="5">
        <v>91.03</v>
      </c>
      <c r="B138" s="6" t="s">
        <v>67</v>
      </c>
      <c r="C138" s="12">
        <v>1</v>
      </c>
      <c r="D138" s="6" t="s">
        <v>65</v>
      </c>
      <c r="E138" s="151">
        <v>793474.5</v>
      </c>
      <c r="F138" s="134">
        <f t="shared" si="8"/>
        <v>793474.5</v>
      </c>
      <c r="H138" s="154">
        <v>793474.5</v>
      </c>
      <c r="I138" s="149">
        <f t="shared" si="6"/>
        <v>793474.5</v>
      </c>
      <c r="K138" s="137">
        <f>H138/E138</f>
        <v>1</v>
      </c>
      <c r="L138" s="147">
        <f t="shared" si="7"/>
        <v>0</v>
      </c>
      <c r="M138" s="147">
        <f>H138*$N$3</f>
        <v>1051726.8287073541</v>
      </c>
      <c r="N138" s="147">
        <f>M138*C138</f>
        <v>1051726.8287073541</v>
      </c>
    </row>
    <row r="139" spans="1:14" x14ac:dyDescent="0.15">
      <c r="A139" s="5">
        <v>91.04</v>
      </c>
      <c r="B139" s="6" t="s">
        <v>68</v>
      </c>
      <c r="C139" s="5">
        <v>2</v>
      </c>
      <c r="D139" s="6" t="s">
        <v>65</v>
      </c>
      <c r="E139" s="151">
        <v>921900</v>
      </c>
      <c r="F139" s="134">
        <f t="shared" si="8"/>
        <v>1843800</v>
      </c>
      <c r="H139" s="154">
        <v>921900</v>
      </c>
      <c r="I139" s="149">
        <f t="shared" si="6"/>
        <v>1843800</v>
      </c>
      <c r="K139" s="137">
        <f>H139/E139</f>
        <v>1</v>
      </c>
      <c r="L139" s="147">
        <f t="shared" si="7"/>
        <v>0</v>
      </c>
      <c r="M139" s="147">
        <f>H139*$N$3</f>
        <v>1221951.0058424179</v>
      </c>
      <c r="N139" s="147">
        <f>M139*C139</f>
        <v>2443902.0116848359</v>
      </c>
    </row>
    <row r="140" spans="1:14" x14ac:dyDescent="0.15">
      <c r="A140" s="5">
        <v>91.05</v>
      </c>
      <c r="B140" s="6" t="s">
        <v>69</v>
      </c>
      <c r="C140" s="5">
        <v>1</v>
      </c>
      <c r="D140" s="6" t="s">
        <v>65</v>
      </c>
      <c r="E140" s="151">
        <v>1036350</v>
      </c>
      <c r="F140" s="134">
        <f t="shared" si="8"/>
        <v>1036350</v>
      </c>
      <c r="H140" s="154">
        <v>1036350</v>
      </c>
      <c r="I140" s="149">
        <f t="shared" si="6"/>
        <v>1036350</v>
      </c>
      <c r="K140" s="137">
        <f>H140/E140</f>
        <v>1</v>
      </c>
      <c r="L140" s="147">
        <f t="shared" si="7"/>
        <v>0</v>
      </c>
      <c r="M140" s="147">
        <f>H140*$N$3</f>
        <v>1373651.0737659072</v>
      </c>
      <c r="N140" s="147">
        <f>M140*C140</f>
        <v>1373651.0737659072</v>
      </c>
    </row>
    <row r="141" spans="1:14" x14ac:dyDescent="0.15">
      <c r="A141" s="5">
        <v>91.06</v>
      </c>
      <c r="B141" s="6" t="s">
        <v>70</v>
      </c>
      <c r="C141" s="5">
        <v>2</v>
      </c>
      <c r="D141" s="6" t="s">
        <v>65</v>
      </c>
      <c r="E141" s="151">
        <v>877380</v>
      </c>
      <c r="F141" s="134">
        <f t="shared" si="8"/>
        <v>1754760</v>
      </c>
      <c r="H141" s="154">
        <v>877380</v>
      </c>
      <c r="I141" s="149">
        <f t="shared" si="6"/>
        <v>1754760</v>
      </c>
      <c r="K141" s="137">
        <f>H141/E141</f>
        <v>1</v>
      </c>
      <c r="L141" s="147">
        <f t="shared" si="7"/>
        <v>0</v>
      </c>
      <c r="M141" s="147">
        <f>H141*$N$3</f>
        <v>1162941.0711639232</v>
      </c>
      <c r="N141" s="147">
        <f>M141*C141</f>
        <v>2325882.1423278465</v>
      </c>
    </row>
    <row r="142" spans="1:14" x14ac:dyDescent="0.15">
      <c r="A142" s="5">
        <v>91.07</v>
      </c>
      <c r="B142" s="6" t="s">
        <v>71</v>
      </c>
      <c r="C142" s="5">
        <v>1</v>
      </c>
      <c r="D142" s="6" t="s">
        <v>23</v>
      </c>
      <c r="E142" s="151">
        <v>210000</v>
      </c>
      <c r="F142" s="134">
        <f t="shared" si="8"/>
        <v>210000</v>
      </c>
      <c r="H142" s="154">
        <v>210000</v>
      </c>
      <c r="I142" s="149">
        <f t="shared" si="6"/>
        <v>210000</v>
      </c>
      <c r="K142" s="137">
        <f>H142/E142</f>
        <v>1</v>
      </c>
      <c r="L142" s="147">
        <f t="shared" si="7"/>
        <v>0</v>
      </c>
      <c r="M142" s="147">
        <f>H142*$N$3</f>
        <v>278348.74848346651</v>
      </c>
      <c r="N142" s="147">
        <f>M142*C142</f>
        <v>278348.74848346651</v>
      </c>
    </row>
    <row r="143" spans="1:14" ht="176" x14ac:dyDescent="0.15">
      <c r="A143" s="4">
        <v>92</v>
      </c>
      <c r="B143" s="1" t="s">
        <v>167</v>
      </c>
      <c r="C143" s="1"/>
      <c r="D143" s="1"/>
      <c r="E143" s="152"/>
      <c r="F143" s="134"/>
      <c r="H143" s="155"/>
      <c r="I143" s="149"/>
      <c r="K143" s="137" t="e">
        <f>H143/E143</f>
        <v>#DIV/0!</v>
      </c>
      <c r="L143" s="147">
        <f t="shared" si="7"/>
        <v>0</v>
      </c>
      <c r="M143" s="147">
        <f>H143*$N$3</f>
        <v>0</v>
      </c>
      <c r="N143" s="147">
        <f>M143*C143</f>
        <v>0</v>
      </c>
    </row>
    <row r="144" spans="1:14" x14ac:dyDescent="0.15">
      <c r="A144" s="7">
        <v>92.1</v>
      </c>
      <c r="B144" s="6" t="s">
        <v>72</v>
      </c>
      <c r="C144" s="5">
        <v>2</v>
      </c>
      <c r="D144" s="6" t="s">
        <v>65</v>
      </c>
      <c r="E144" s="151">
        <v>33600</v>
      </c>
      <c r="F144" s="134">
        <f>+C144*E144</f>
        <v>67200</v>
      </c>
      <c r="H144" s="154">
        <v>33600</v>
      </c>
      <c r="I144" s="149">
        <f t="shared" si="6"/>
        <v>67200</v>
      </c>
      <c r="K144" s="137">
        <f>H144/E144</f>
        <v>1</v>
      </c>
      <c r="L144" s="147">
        <f t="shared" si="7"/>
        <v>0</v>
      </c>
      <c r="M144" s="147">
        <f>H144*$N$3</f>
        <v>44535.799757354645</v>
      </c>
      <c r="N144" s="147">
        <f>M144*C144</f>
        <v>89071.599514709291</v>
      </c>
    </row>
    <row r="145" spans="1:14" x14ac:dyDescent="0.15">
      <c r="A145" s="7">
        <v>92.2</v>
      </c>
      <c r="B145" s="6" t="s">
        <v>73</v>
      </c>
      <c r="C145" s="5">
        <v>3</v>
      </c>
      <c r="D145" s="6" t="s">
        <v>65</v>
      </c>
      <c r="E145" s="151">
        <v>44100</v>
      </c>
      <c r="F145" s="134">
        <f>+C145*E145</f>
        <v>132300</v>
      </c>
      <c r="H145" s="154">
        <v>44100</v>
      </c>
      <c r="I145" s="149">
        <f t="shared" si="6"/>
        <v>132300</v>
      </c>
      <c r="K145" s="137">
        <f>H145/E145</f>
        <v>1</v>
      </c>
      <c r="L145" s="147">
        <f t="shared" si="7"/>
        <v>0</v>
      </c>
      <c r="M145" s="147">
        <f>H145*$N$3</f>
        <v>58453.237181527969</v>
      </c>
      <c r="N145" s="147">
        <f>M145*C145</f>
        <v>175359.7115445839</v>
      </c>
    </row>
    <row r="146" spans="1:14" ht="272" x14ac:dyDescent="0.15">
      <c r="A146" s="4">
        <v>93</v>
      </c>
      <c r="B146" s="6" t="s">
        <v>264</v>
      </c>
      <c r="C146" s="1"/>
      <c r="D146" s="1"/>
      <c r="E146" s="152">
        <v>0</v>
      </c>
      <c r="F146" s="134"/>
      <c r="H146" s="155">
        <v>0</v>
      </c>
      <c r="I146" s="149">
        <f t="shared" si="6"/>
        <v>0</v>
      </c>
      <c r="K146" s="137" t="e">
        <f>H146/E146</f>
        <v>#DIV/0!</v>
      </c>
      <c r="L146" s="147">
        <f t="shared" si="7"/>
        <v>0</v>
      </c>
      <c r="M146" s="147">
        <f>H146*$N$3</f>
        <v>0</v>
      </c>
      <c r="N146" s="147">
        <f>M146*C146</f>
        <v>0</v>
      </c>
    </row>
    <row r="147" spans="1:14" x14ac:dyDescent="0.15">
      <c r="A147" s="7">
        <v>93.1</v>
      </c>
      <c r="B147" s="6" t="s">
        <v>74</v>
      </c>
      <c r="C147" s="6">
        <v>1500</v>
      </c>
      <c r="D147" s="6" t="s">
        <v>4</v>
      </c>
      <c r="E147" s="151">
        <v>1102.5</v>
      </c>
      <c r="F147" s="134">
        <f>+C147*E147</f>
        <v>1653750</v>
      </c>
      <c r="H147" s="154">
        <v>1102.5</v>
      </c>
      <c r="I147" s="149">
        <f t="shared" si="6"/>
        <v>1653750</v>
      </c>
      <c r="K147" s="137">
        <f>H147/E147</f>
        <v>1</v>
      </c>
      <c r="L147" s="147">
        <f t="shared" si="7"/>
        <v>0</v>
      </c>
      <c r="M147" s="147">
        <f>H147*$N$3</f>
        <v>1461.3309295381994</v>
      </c>
      <c r="N147" s="147">
        <f>M147*C147</f>
        <v>2191996.3943072991</v>
      </c>
    </row>
    <row r="148" spans="1:14" x14ac:dyDescent="0.15">
      <c r="A148" s="7">
        <v>93.2</v>
      </c>
      <c r="B148" s="6" t="s">
        <v>75</v>
      </c>
      <c r="C148" s="6">
        <v>1000</v>
      </c>
      <c r="D148" s="6" t="s">
        <v>4</v>
      </c>
      <c r="E148" s="151">
        <v>1207.5</v>
      </c>
      <c r="F148" s="134">
        <f>+C148*E148</f>
        <v>1207500</v>
      </c>
      <c r="H148" s="154">
        <v>1207.5</v>
      </c>
      <c r="I148" s="149">
        <f t="shared" si="6"/>
        <v>1207500</v>
      </c>
      <c r="K148" s="137">
        <f>H148/E148</f>
        <v>1</v>
      </c>
      <c r="L148" s="147">
        <f t="shared" si="7"/>
        <v>0</v>
      </c>
      <c r="M148" s="147">
        <f>H148*$N$3</f>
        <v>1600.5053037799325</v>
      </c>
      <c r="N148" s="147">
        <f>M148*C148</f>
        <v>1600505.3037799324</v>
      </c>
    </row>
    <row r="149" spans="1:14" x14ac:dyDescent="0.15">
      <c r="A149" s="7">
        <v>93.3</v>
      </c>
      <c r="B149" s="6" t="s">
        <v>76</v>
      </c>
      <c r="C149" s="5">
        <v>600</v>
      </c>
      <c r="D149" s="6" t="s">
        <v>4</v>
      </c>
      <c r="E149" s="151">
        <v>1417.5</v>
      </c>
      <c r="F149" s="134">
        <f>+C149*E149</f>
        <v>850500</v>
      </c>
      <c r="H149" s="154">
        <v>1417.5</v>
      </c>
      <c r="I149" s="149">
        <f t="shared" si="6"/>
        <v>850500</v>
      </c>
      <c r="K149" s="137">
        <f>H149/E149</f>
        <v>1</v>
      </c>
      <c r="L149" s="147">
        <f t="shared" si="7"/>
        <v>0</v>
      </c>
      <c r="M149" s="147">
        <f>H149*$N$3</f>
        <v>1878.8540522633991</v>
      </c>
      <c r="N149" s="147">
        <f>M149*C149</f>
        <v>1127312.4313580394</v>
      </c>
    </row>
    <row r="150" spans="1:14" x14ac:dyDescent="0.15">
      <c r="A150" s="7">
        <v>93.4</v>
      </c>
      <c r="B150" s="6" t="s">
        <v>77</v>
      </c>
      <c r="C150" s="5">
        <v>200</v>
      </c>
      <c r="D150" s="6" t="s">
        <v>4</v>
      </c>
      <c r="E150" s="151">
        <v>1554</v>
      </c>
      <c r="F150" s="134">
        <f>+C150*E150</f>
        <v>310800</v>
      </c>
      <c r="H150" s="154">
        <v>1554</v>
      </c>
      <c r="I150" s="149">
        <f t="shared" si="6"/>
        <v>310800</v>
      </c>
      <c r="K150" s="137">
        <f>H150/E150</f>
        <v>1</v>
      </c>
      <c r="L150" s="147">
        <f t="shared" si="7"/>
        <v>0</v>
      </c>
      <c r="M150" s="147">
        <f>H150*$N$3</f>
        <v>2059.7807387776525</v>
      </c>
      <c r="N150" s="147">
        <f>M150*C150</f>
        <v>411956.14775553049</v>
      </c>
    </row>
    <row r="151" spans="1:14" ht="96" x14ac:dyDescent="0.15">
      <c r="A151" s="4">
        <v>94</v>
      </c>
      <c r="B151" s="1" t="s">
        <v>168</v>
      </c>
      <c r="C151" s="5">
        <v>50</v>
      </c>
      <c r="D151" s="6" t="s">
        <v>4</v>
      </c>
      <c r="E151" s="151">
        <v>1575</v>
      </c>
      <c r="F151" s="134">
        <f>+C151*E151</f>
        <v>78750</v>
      </c>
      <c r="H151" s="154">
        <v>1575</v>
      </c>
      <c r="I151" s="149">
        <f t="shared" si="6"/>
        <v>78750</v>
      </c>
      <c r="K151" s="137">
        <f>H151/E151</f>
        <v>1</v>
      </c>
      <c r="L151" s="147">
        <f t="shared" si="7"/>
        <v>0</v>
      </c>
      <c r="M151" s="147">
        <f>H151*$N$3</f>
        <v>2087.6156136259988</v>
      </c>
      <c r="N151" s="147">
        <f>M151*C151</f>
        <v>104380.78068129993</v>
      </c>
    </row>
    <row r="152" spans="1:14" ht="128" x14ac:dyDescent="0.15">
      <c r="A152" s="4">
        <v>95</v>
      </c>
      <c r="B152" s="1" t="s">
        <v>169</v>
      </c>
      <c r="C152" s="1"/>
      <c r="D152" s="1"/>
      <c r="E152" s="152">
        <v>0</v>
      </c>
      <c r="F152" s="134"/>
      <c r="H152" s="155">
        <v>0</v>
      </c>
      <c r="I152" s="149">
        <f t="shared" si="6"/>
        <v>0</v>
      </c>
      <c r="K152" s="137" t="e">
        <f>H152/E152</f>
        <v>#DIV/0!</v>
      </c>
      <c r="L152" s="147">
        <f t="shared" si="7"/>
        <v>0</v>
      </c>
      <c r="M152" s="147">
        <f>H152*$N$3</f>
        <v>0</v>
      </c>
      <c r="N152" s="147">
        <f>M152*C152</f>
        <v>0</v>
      </c>
    </row>
    <row r="153" spans="1:14" x14ac:dyDescent="0.15">
      <c r="A153" s="7">
        <v>95.1</v>
      </c>
      <c r="B153" s="6" t="s">
        <v>78</v>
      </c>
      <c r="C153" s="5">
        <v>60</v>
      </c>
      <c r="D153" s="6" t="s">
        <v>4</v>
      </c>
      <c r="E153" s="151">
        <v>11025</v>
      </c>
      <c r="F153" s="134">
        <f t="shared" ref="F153:F158" si="9">+C153*E153</f>
        <v>661500</v>
      </c>
      <c r="H153" s="154">
        <v>11025</v>
      </c>
      <c r="I153" s="149">
        <f t="shared" si="6"/>
        <v>661500</v>
      </c>
      <c r="K153" s="137">
        <f>H153/E153</f>
        <v>1</v>
      </c>
      <c r="L153" s="147">
        <f t="shared" si="7"/>
        <v>0</v>
      </c>
      <c r="M153" s="147">
        <f>H153*$N$3</f>
        <v>14613.309295381992</v>
      </c>
      <c r="N153" s="147">
        <f>M153*C153</f>
        <v>876798.5577229195</v>
      </c>
    </row>
    <row r="154" spans="1:14" x14ac:dyDescent="0.15">
      <c r="A154" s="7">
        <v>95.2</v>
      </c>
      <c r="B154" s="6" t="s">
        <v>79</v>
      </c>
      <c r="C154" s="5">
        <v>80</v>
      </c>
      <c r="D154" s="6" t="s">
        <v>4</v>
      </c>
      <c r="E154" s="151">
        <v>6090</v>
      </c>
      <c r="F154" s="134">
        <f t="shared" si="9"/>
        <v>487200</v>
      </c>
      <c r="H154" s="154">
        <v>6090</v>
      </c>
      <c r="I154" s="149">
        <f t="shared" si="6"/>
        <v>487200</v>
      </c>
      <c r="K154" s="137">
        <f>H154/E154</f>
        <v>1</v>
      </c>
      <c r="L154" s="147">
        <f t="shared" si="7"/>
        <v>0</v>
      </c>
      <c r="M154" s="147">
        <f>H154*$N$3</f>
        <v>8072.1137060205292</v>
      </c>
      <c r="N154" s="147">
        <f>M154*C154</f>
        <v>645769.09648164234</v>
      </c>
    </row>
    <row r="155" spans="1:14" x14ac:dyDescent="0.15">
      <c r="A155" s="4">
        <v>96</v>
      </c>
      <c r="B155" s="6" t="s">
        <v>80</v>
      </c>
      <c r="C155" s="5">
        <v>60</v>
      </c>
      <c r="D155" s="6" t="s">
        <v>29</v>
      </c>
      <c r="E155" s="151">
        <v>6090</v>
      </c>
      <c r="F155" s="134">
        <f t="shared" si="9"/>
        <v>365400</v>
      </c>
      <c r="H155" s="154">
        <v>6090</v>
      </c>
      <c r="I155" s="149">
        <f t="shared" si="6"/>
        <v>365400</v>
      </c>
      <c r="K155" s="137">
        <f>H155/E155</f>
        <v>1</v>
      </c>
      <c r="L155" s="147">
        <f t="shared" si="7"/>
        <v>0</v>
      </c>
      <c r="M155" s="147">
        <f>H155*$N$3</f>
        <v>8072.1137060205292</v>
      </c>
      <c r="N155" s="147">
        <f>M155*C155</f>
        <v>484326.82236123178</v>
      </c>
    </row>
    <row r="156" spans="1:14" ht="409" x14ac:dyDescent="0.15">
      <c r="A156" s="4">
        <v>97</v>
      </c>
      <c r="B156" s="1" t="s">
        <v>170</v>
      </c>
      <c r="C156" s="5">
        <v>25</v>
      </c>
      <c r="D156" s="6" t="s">
        <v>4</v>
      </c>
      <c r="E156" s="151">
        <v>14700</v>
      </c>
      <c r="F156" s="134">
        <f t="shared" si="9"/>
        <v>367500</v>
      </c>
      <c r="H156" s="154">
        <v>14700</v>
      </c>
      <c r="I156" s="149">
        <f t="shared" si="6"/>
        <v>367500</v>
      </c>
      <c r="K156" s="137">
        <f>H156/E156</f>
        <v>1</v>
      </c>
      <c r="L156" s="147">
        <f t="shared" si="7"/>
        <v>0</v>
      </c>
      <c r="M156" s="147">
        <f>H156*$N$3</f>
        <v>19484.412393842656</v>
      </c>
      <c r="N156" s="147">
        <f>M156*C156</f>
        <v>487110.3098460664</v>
      </c>
    </row>
    <row r="157" spans="1:14" ht="32" x14ac:dyDescent="0.15">
      <c r="A157" s="4">
        <v>98</v>
      </c>
      <c r="B157" s="6" t="s">
        <v>81</v>
      </c>
      <c r="C157" s="5">
        <v>20</v>
      </c>
      <c r="D157" s="6" t="s">
        <v>65</v>
      </c>
      <c r="E157" s="151">
        <v>13440</v>
      </c>
      <c r="F157" s="134">
        <f t="shared" si="9"/>
        <v>268800</v>
      </c>
      <c r="H157" s="154">
        <v>13440</v>
      </c>
      <c r="I157" s="149">
        <f t="shared" si="6"/>
        <v>268800</v>
      </c>
      <c r="K157" s="137">
        <f>H157/E157</f>
        <v>1</v>
      </c>
      <c r="L157" s="147">
        <f t="shared" si="7"/>
        <v>0</v>
      </c>
      <c r="M157" s="147">
        <f>H157*$N$3</f>
        <v>17814.319902941857</v>
      </c>
      <c r="N157" s="147">
        <f>M157*C157</f>
        <v>356286.39805883716</v>
      </c>
    </row>
    <row r="158" spans="1:14" ht="144" x14ac:dyDescent="0.15">
      <c r="A158" s="4">
        <v>99</v>
      </c>
      <c r="B158" s="1" t="s">
        <v>171</v>
      </c>
      <c r="C158" s="5">
        <v>40</v>
      </c>
      <c r="D158" s="6" t="s">
        <v>4</v>
      </c>
      <c r="E158" s="151">
        <v>6825</v>
      </c>
      <c r="F158" s="134">
        <f t="shared" si="9"/>
        <v>273000</v>
      </c>
      <c r="H158" s="154">
        <v>6825</v>
      </c>
      <c r="I158" s="149">
        <f t="shared" si="6"/>
        <v>273000</v>
      </c>
      <c r="K158" s="137">
        <f>H158/E158</f>
        <v>1</v>
      </c>
      <c r="L158" s="147">
        <f t="shared" si="7"/>
        <v>0</v>
      </c>
      <c r="M158" s="147">
        <f>H158*$N$3</f>
        <v>9046.3343257126617</v>
      </c>
      <c r="N158" s="147">
        <f>M158*C158</f>
        <v>361853.37302850647</v>
      </c>
    </row>
    <row r="159" spans="1:14" ht="224" x14ac:dyDescent="0.15">
      <c r="A159" s="4">
        <v>100</v>
      </c>
      <c r="B159" s="1" t="s">
        <v>172</v>
      </c>
      <c r="C159" s="1"/>
      <c r="D159" s="1"/>
      <c r="E159" s="152">
        <v>0</v>
      </c>
      <c r="F159" s="134"/>
      <c r="H159" s="155">
        <v>0</v>
      </c>
      <c r="I159" s="149">
        <f t="shared" si="6"/>
        <v>0</v>
      </c>
      <c r="K159" s="137" t="e">
        <f>H159/E159</f>
        <v>#DIV/0!</v>
      </c>
      <c r="L159" s="147">
        <f t="shared" si="7"/>
        <v>0</v>
      </c>
      <c r="M159" s="147">
        <f>H159*$N$3</f>
        <v>0</v>
      </c>
      <c r="N159" s="147">
        <f>M159*C159</f>
        <v>0</v>
      </c>
    </row>
    <row r="160" spans="1:14" x14ac:dyDescent="0.15">
      <c r="A160" s="7">
        <v>100.1</v>
      </c>
      <c r="B160" s="6" t="s">
        <v>82</v>
      </c>
      <c r="C160" s="5">
        <v>250</v>
      </c>
      <c r="D160" s="6" t="s">
        <v>4</v>
      </c>
      <c r="E160" s="151">
        <v>630</v>
      </c>
      <c r="F160" s="134">
        <f t="shared" ref="F160:F177" si="10">+C160*E160</f>
        <v>157500</v>
      </c>
      <c r="H160" s="154">
        <v>630</v>
      </c>
      <c r="I160" s="149">
        <f t="shared" si="6"/>
        <v>157500</v>
      </c>
      <c r="K160" s="137">
        <f>H160/E160</f>
        <v>1</v>
      </c>
      <c r="L160" s="147">
        <f t="shared" si="7"/>
        <v>0</v>
      </c>
      <c r="M160" s="147">
        <f>H160*$N$3</f>
        <v>835.04624545039962</v>
      </c>
      <c r="N160" s="147">
        <f>M160*C160</f>
        <v>208761.5613625999</v>
      </c>
    </row>
    <row r="161" spans="1:14" x14ac:dyDescent="0.15">
      <c r="A161" s="7">
        <v>100.2</v>
      </c>
      <c r="B161" s="6" t="s">
        <v>83</v>
      </c>
      <c r="C161" s="5">
        <v>200</v>
      </c>
      <c r="D161" s="6" t="s">
        <v>4</v>
      </c>
      <c r="E161" s="151">
        <v>1029</v>
      </c>
      <c r="F161" s="134">
        <f t="shared" si="10"/>
        <v>205800</v>
      </c>
      <c r="H161" s="154">
        <v>1029</v>
      </c>
      <c r="I161" s="149">
        <f t="shared" si="6"/>
        <v>205800</v>
      </c>
      <c r="K161" s="137">
        <f>H161/E161</f>
        <v>1</v>
      </c>
      <c r="L161" s="147">
        <f t="shared" si="7"/>
        <v>0</v>
      </c>
      <c r="M161" s="147">
        <f>H161*$N$3</f>
        <v>1363.9088675689859</v>
      </c>
      <c r="N161" s="147">
        <f>M161*C161</f>
        <v>272781.7735137972</v>
      </c>
    </row>
    <row r="162" spans="1:14" ht="144" x14ac:dyDescent="0.15">
      <c r="A162" s="4">
        <v>101</v>
      </c>
      <c r="B162" s="1" t="s">
        <v>173</v>
      </c>
      <c r="C162" s="5">
        <v>200</v>
      </c>
      <c r="D162" s="6" t="s">
        <v>4</v>
      </c>
      <c r="E162" s="151">
        <v>892.5</v>
      </c>
      <c r="F162" s="134">
        <f t="shared" si="10"/>
        <v>178500</v>
      </c>
      <c r="H162" s="154">
        <v>892.5</v>
      </c>
      <c r="I162" s="149">
        <f t="shared" si="6"/>
        <v>178500</v>
      </c>
      <c r="K162" s="137">
        <f>H162/E162</f>
        <v>1</v>
      </c>
      <c r="L162" s="147">
        <f t="shared" si="7"/>
        <v>0</v>
      </c>
      <c r="M162" s="147">
        <f>H162*$N$3</f>
        <v>1182.9821810547328</v>
      </c>
      <c r="N162" s="147">
        <f>M162*C162</f>
        <v>236596.43621094656</v>
      </c>
    </row>
    <row r="163" spans="1:14" ht="96" x14ac:dyDescent="0.15">
      <c r="A163" s="4">
        <v>102</v>
      </c>
      <c r="B163" s="1" t="s">
        <v>174</v>
      </c>
      <c r="C163" s="5">
        <v>300</v>
      </c>
      <c r="D163" s="6" t="s">
        <v>4</v>
      </c>
      <c r="E163" s="151">
        <v>892.5</v>
      </c>
      <c r="F163" s="134">
        <f t="shared" si="10"/>
        <v>267750</v>
      </c>
      <c r="H163" s="154">
        <v>892.5</v>
      </c>
      <c r="I163" s="149">
        <f t="shared" si="6"/>
        <v>267750</v>
      </c>
      <c r="K163" s="137">
        <f>H163/E163</f>
        <v>1</v>
      </c>
      <c r="L163" s="147">
        <f t="shared" si="7"/>
        <v>0</v>
      </c>
      <c r="M163" s="147">
        <f>H163*$N$3</f>
        <v>1182.9821810547328</v>
      </c>
      <c r="N163" s="147">
        <f>M163*C163</f>
        <v>354894.65431641985</v>
      </c>
    </row>
    <row r="164" spans="1:14" ht="176" x14ac:dyDescent="0.15">
      <c r="A164" s="4">
        <v>103</v>
      </c>
      <c r="B164" s="1" t="s">
        <v>175</v>
      </c>
      <c r="C164" s="5">
        <v>175</v>
      </c>
      <c r="D164" s="6" t="s">
        <v>84</v>
      </c>
      <c r="E164" s="151">
        <v>1260</v>
      </c>
      <c r="F164" s="134">
        <f t="shared" si="10"/>
        <v>220500</v>
      </c>
      <c r="H164" s="154">
        <v>1260</v>
      </c>
      <c r="I164" s="149">
        <f t="shared" si="6"/>
        <v>220500</v>
      </c>
      <c r="K164" s="137">
        <f>H164/E164</f>
        <v>1</v>
      </c>
      <c r="L164" s="147">
        <f t="shared" si="7"/>
        <v>0</v>
      </c>
      <c r="M164" s="147">
        <f>H164*$N$3</f>
        <v>1670.0924909007992</v>
      </c>
      <c r="N164" s="147">
        <f>M164*C164</f>
        <v>292266.18590763985</v>
      </c>
    </row>
    <row r="165" spans="1:14" ht="288" x14ac:dyDescent="0.15">
      <c r="A165" s="4">
        <v>104</v>
      </c>
      <c r="B165" s="1" t="s">
        <v>176</v>
      </c>
      <c r="C165" s="1"/>
      <c r="D165" s="1"/>
      <c r="E165" s="152">
        <v>0</v>
      </c>
      <c r="F165" s="134">
        <f t="shared" si="10"/>
        <v>0</v>
      </c>
      <c r="H165" s="155">
        <v>0</v>
      </c>
      <c r="I165" s="149">
        <f t="shared" si="6"/>
        <v>0</v>
      </c>
      <c r="K165" s="137" t="e">
        <f>H165/E165</f>
        <v>#DIV/0!</v>
      </c>
      <c r="L165" s="147">
        <f t="shared" si="7"/>
        <v>0</v>
      </c>
      <c r="M165" s="147">
        <f>H165*$N$3</f>
        <v>0</v>
      </c>
      <c r="N165" s="147">
        <f>M165*C165</f>
        <v>0</v>
      </c>
    </row>
    <row r="166" spans="1:14" x14ac:dyDescent="0.15">
      <c r="A166" s="7">
        <v>104.1</v>
      </c>
      <c r="B166" s="6" t="s">
        <v>85</v>
      </c>
      <c r="C166" s="5">
        <v>600</v>
      </c>
      <c r="D166" s="6" t="s">
        <v>86</v>
      </c>
      <c r="E166" s="151">
        <v>2257.5</v>
      </c>
      <c r="F166" s="134">
        <f t="shared" si="10"/>
        <v>1354500</v>
      </c>
      <c r="H166" s="154">
        <v>2257.5</v>
      </c>
      <c r="I166" s="149">
        <f t="shared" si="6"/>
        <v>1354500</v>
      </c>
      <c r="K166" s="137">
        <f>H166/E166</f>
        <v>1</v>
      </c>
      <c r="L166" s="147">
        <f t="shared" si="7"/>
        <v>0</v>
      </c>
      <c r="M166" s="147">
        <f>H166*$N$3</f>
        <v>2992.2490461972652</v>
      </c>
      <c r="N166" s="147">
        <f>M166*C166</f>
        <v>1795349.427718359</v>
      </c>
    </row>
    <row r="167" spans="1:14" x14ac:dyDescent="0.15">
      <c r="A167" s="7">
        <v>104.2</v>
      </c>
      <c r="B167" s="6" t="s">
        <v>87</v>
      </c>
      <c r="C167" s="5">
        <v>600</v>
      </c>
      <c r="D167" s="6" t="s">
        <v>86</v>
      </c>
      <c r="E167" s="151">
        <v>1522.5</v>
      </c>
      <c r="F167" s="134">
        <f t="shared" si="10"/>
        <v>913500</v>
      </c>
      <c r="H167" s="154">
        <v>1522.5</v>
      </c>
      <c r="I167" s="149">
        <f t="shared" si="6"/>
        <v>913500</v>
      </c>
      <c r="K167" s="137">
        <f>H167/E167</f>
        <v>1</v>
      </c>
      <c r="L167" s="147">
        <f t="shared" si="7"/>
        <v>0</v>
      </c>
      <c r="M167" s="147">
        <f>H167*$N$3</f>
        <v>2018.0284265051323</v>
      </c>
      <c r="N167" s="147">
        <f>M167*C167</f>
        <v>1210817.0559030795</v>
      </c>
    </row>
    <row r="168" spans="1:14" ht="160" x14ac:dyDescent="0.15">
      <c r="A168" s="4">
        <v>105</v>
      </c>
      <c r="B168" s="1" t="s">
        <v>177</v>
      </c>
      <c r="C168" s="1"/>
      <c r="D168" s="1"/>
      <c r="E168" s="152">
        <v>0</v>
      </c>
      <c r="F168" s="134">
        <f t="shared" si="10"/>
        <v>0</v>
      </c>
      <c r="H168" s="155">
        <v>0</v>
      </c>
      <c r="I168" s="149">
        <f t="shared" si="6"/>
        <v>0</v>
      </c>
      <c r="K168" s="137" t="e">
        <f>H168/E168</f>
        <v>#DIV/0!</v>
      </c>
      <c r="L168" s="147">
        <f t="shared" si="7"/>
        <v>0</v>
      </c>
      <c r="M168" s="147">
        <f>H168*$N$3</f>
        <v>0</v>
      </c>
      <c r="N168" s="147">
        <f>M168*C168</f>
        <v>0</v>
      </c>
    </row>
    <row r="169" spans="1:14" x14ac:dyDescent="0.15">
      <c r="A169" s="7">
        <v>105.1</v>
      </c>
      <c r="B169" s="6" t="s">
        <v>88</v>
      </c>
      <c r="C169" s="5">
        <v>20</v>
      </c>
      <c r="D169" s="6" t="s">
        <v>65</v>
      </c>
      <c r="E169" s="151">
        <v>10290</v>
      </c>
      <c r="F169" s="134">
        <f t="shared" si="10"/>
        <v>205800</v>
      </c>
      <c r="H169" s="154">
        <v>10290</v>
      </c>
      <c r="I169" s="149">
        <f t="shared" si="6"/>
        <v>205800</v>
      </c>
      <c r="K169" s="137">
        <f>H169/E169</f>
        <v>1</v>
      </c>
      <c r="L169" s="147">
        <f t="shared" si="7"/>
        <v>0</v>
      </c>
      <c r="M169" s="147">
        <f>H169*$N$3</f>
        <v>13639.08867568986</v>
      </c>
      <c r="N169" s="147">
        <f>M169*C169</f>
        <v>272781.7735137972</v>
      </c>
    </row>
    <row r="170" spans="1:14" x14ac:dyDescent="0.15">
      <c r="A170" s="7">
        <v>105.2</v>
      </c>
      <c r="B170" s="6" t="s">
        <v>89</v>
      </c>
      <c r="C170" s="5">
        <v>16</v>
      </c>
      <c r="D170" s="6" t="s">
        <v>65</v>
      </c>
      <c r="E170" s="151">
        <v>7875</v>
      </c>
      <c r="F170" s="134">
        <f t="shared" si="10"/>
        <v>126000</v>
      </c>
      <c r="H170" s="154">
        <v>7875</v>
      </c>
      <c r="I170" s="149">
        <f t="shared" si="6"/>
        <v>126000</v>
      </c>
      <c r="K170" s="137">
        <f>H170/E170</f>
        <v>1</v>
      </c>
      <c r="L170" s="147">
        <f t="shared" si="7"/>
        <v>0</v>
      </c>
      <c r="M170" s="147">
        <f>H170*$N$3</f>
        <v>10438.078068129995</v>
      </c>
      <c r="N170" s="147">
        <f>M170*C170</f>
        <v>167009.24909007992</v>
      </c>
    </row>
    <row r="171" spans="1:14" ht="192" x14ac:dyDescent="0.15">
      <c r="A171" s="4">
        <v>106</v>
      </c>
      <c r="B171" s="1" t="s">
        <v>178</v>
      </c>
      <c r="C171" s="1"/>
      <c r="D171" s="1"/>
      <c r="E171" s="152">
        <v>0</v>
      </c>
      <c r="F171" s="134">
        <f t="shared" si="10"/>
        <v>0</v>
      </c>
      <c r="H171" s="155">
        <v>0</v>
      </c>
      <c r="I171" s="149">
        <f t="shared" si="6"/>
        <v>0</v>
      </c>
      <c r="K171" s="137" t="e">
        <f>H171/E171</f>
        <v>#DIV/0!</v>
      </c>
      <c r="L171" s="147">
        <f t="shared" si="7"/>
        <v>0</v>
      </c>
      <c r="M171" s="147">
        <f>H171*$N$3</f>
        <v>0</v>
      </c>
      <c r="N171" s="147">
        <f>M171*C171</f>
        <v>0</v>
      </c>
    </row>
    <row r="172" spans="1:14" x14ac:dyDescent="0.15">
      <c r="A172" s="7">
        <v>106.1</v>
      </c>
      <c r="B172" s="6" t="s">
        <v>88</v>
      </c>
      <c r="C172" s="5">
        <v>5</v>
      </c>
      <c r="D172" s="6" t="s">
        <v>90</v>
      </c>
      <c r="E172" s="151">
        <v>8190</v>
      </c>
      <c r="F172" s="134">
        <f t="shared" si="10"/>
        <v>40950</v>
      </c>
      <c r="H172" s="154">
        <v>8190</v>
      </c>
      <c r="I172" s="149">
        <f t="shared" si="6"/>
        <v>40950</v>
      </c>
      <c r="K172" s="137">
        <f>H172/E172</f>
        <v>1</v>
      </c>
      <c r="L172" s="147">
        <f t="shared" si="7"/>
        <v>0</v>
      </c>
      <c r="M172" s="147">
        <f>H172*$N$3</f>
        <v>10855.601190855194</v>
      </c>
      <c r="N172" s="147">
        <f>M172*C172</f>
        <v>54278.00595427597</v>
      </c>
    </row>
    <row r="173" spans="1:14" x14ac:dyDescent="0.15">
      <c r="A173" s="7">
        <v>106.2</v>
      </c>
      <c r="B173" s="6" t="s">
        <v>89</v>
      </c>
      <c r="C173" s="5">
        <v>4</v>
      </c>
      <c r="D173" s="6" t="s">
        <v>90</v>
      </c>
      <c r="E173" s="151">
        <v>6300</v>
      </c>
      <c r="F173" s="134">
        <f t="shared" si="10"/>
        <v>25200</v>
      </c>
      <c r="H173" s="154">
        <v>6300</v>
      </c>
      <c r="I173" s="149">
        <f t="shared" si="6"/>
        <v>25200</v>
      </c>
      <c r="K173" s="137">
        <f>H173/E173</f>
        <v>1</v>
      </c>
      <c r="L173" s="147">
        <f t="shared" si="7"/>
        <v>0</v>
      </c>
      <c r="M173" s="147">
        <f>H173*$N$3</f>
        <v>8350.4624545039951</v>
      </c>
      <c r="N173" s="147">
        <f>M173*C173</f>
        <v>33401.84981801598</v>
      </c>
    </row>
    <row r="174" spans="1:14" ht="144" x14ac:dyDescent="0.15">
      <c r="A174" s="4">
        <v>107</v>
      </c>
      <c r="B174" s="6" t="s">
        <v>91</v>
      </c>
      <c r="C174" s="1"/>
      <c r="D174" s="1"/>
      <c r="E174" s="152">
        <v>0</v>
      </c>
      <c r="F174" s="134">
        <f t="shared" si="10"/>
        <v>0</v>
      </c>
      <c r="H174" s="155">
        <v>0</v>
      </c>
      <c r="I174" s="149">
        <f t="shared" si="6"/>
        <v>0</v>
      </c>
      <c r="K174" s="137" t="e">
        <f>H174/E174</f>
        <v>#DIV/0!</v>
      </c>
      <c r="L174" s="147">
        <f t="shared" si="7"/>
        <v>0</v>
      </c>
      <c r="M174" s="147">
        <f>H174*$N$3</f>
        <v>0</v>
      </c>
      <c r="N174" s="147">
        <f>M174*C174</f>
        <v>0</v>
      </c>
    </row>
    <row r="175" spans="1:14" x14ac:dyDescent="0.15">
      <c r="A175" s="7">
        <v>107.1</v>
      </c>
      <c r="B175" s="6" t="s">
        <v>92</v>
      </c>
      <c r="C175" s="5">
        <v>5</v>
      </c>
      <c r="D175" s="6" t="s">
        <v>90</v>
      </c>
      <c r="E175" s="151">
        <v>144900</v>
      </c>
      <c r="F175" s="134">
        <f t="shared" si="10"/>
        <v>724500</v>
      </c>
      <c r="H175" s="154">
        <v>144900</v>
      </c>
      <c r="I175" s="149">
        <f t="shared" si="6"/>
        <v>724500</v>
      </c>
      <c r="K175" s="137">
        <f>H175/E175</f>
        <v>1</v>
      </c>
      <c r="L175" s="147">
        <f t="shared" si="7"/>
        <v>0</v>
      </c>
      <c r="M175" s="147">
        <f>H175*$N$3</f>
        <v>192060.6364535919</v>
      </c>
      <c r="N175" s="147">
        <f>M175*C175</f>
        <v>960303.18226795946</v>
      </c>
    </row>
    <row r="176" spans="1:14" x14ac:dyDescent="0.15">
      <c r="A176" s="7">
        <v>107.2</v>
      </c>
      <c r="B176" s="6" t="s">
        <v>89</v>
      </c>
      <c r="C176" s="11">
        <v>4</v>
      </c>
      <c r="D176" s="6" t="s">
        <v>90</v>
      </c>
      <c r="E176" s="151">
        <v>102900</v>
      </c>
      <c r="F176" s="134">
        <f t="shared" si="10"/>
        <v>411600</v>
      </c>
      <c r="H176" s="154">
        <v>102900</v>
      </c>
      <c r="I176" s="149">
        <f t="shared" si="6"/>
        <v>411600</v>
      </c>
      <c r="K176" s="137">
        <f>H176/E176</f>
        <v>1</v>
      </c>
      <c r="L176" s="147">
        <f t="shared" si="7"/>
        <v>0</v>
      </c>
      <c r="M176" s="147">
        <f>H176*$N$3</f>
        <v>136390.8867568986</v>
      </c>
      <c r="N176" s="147">
        <f>M176*C176</f>
        <v>545563.54702759441</v>
      </c>
    </row>
    <row r="177" spans="1:14" ht="64" x14ac:dyDescent="0.15">
      <c r="A177" s="4">
        <v>108</v>
      </c>
      <c r="B177" s="1" t="s">
        <v>179</v>
      </c>
      <c r="C177" s="5">
        <v>60</v>
      </c>
      <c r="D177" s="6" t="s">
        <v>86</v>
      </c>
      <c r="E177" s="151">
        <v>892.5</v>
      </c>
      <c r="F177" s="134">
        <f t="shared" si="10"/>
        <v>53550</v>
      </c>
      <c r="H177" s="154">
        <v>892.5</v>
      </c>
      <c r="I177" s="149">
        <f t="shared" si="6"/>
        <v>53550</v>
      </c>
      <c r="K177" s="137">
        <f>H177/E177</f>
        <v>1</v>
      </c>
      <c r="L177" s="147">
        <f t="shared" si="7"/>
        <v>0</v>
      </c>
      <c r="M177" s="147">
        <f>H177*$N$3</f>
        <v>1182.9821810547328</v>
      </c>
      <c r="N177" s="147">
        <f>M177*C177</f>
        <v>70978.930863283967</v>
      </c>
    </row>
    <row r="178" spans="1:14" ht="64" x14ac:dyDescent="0.15">
      <c r="A178" s="4">
        <v>109</v>
      </c>
      <c r="B178" s="1" t="s">
        <v>180</v>
      </c>
      <c r="C178" s="1"/>
      <c r="D178" s="1"/>
      <c r="E178" s="152">
        <v>0</v>
      </c>
      <c r="F178" s="134"/>
      <c r="H178" s="155">
        <v>0</v>
      </c>
      <c r="I178" s="149">
        <f t="shared" si="6"/>
        <v>0</v>
      </c>
      <c r="K178" s="137" t="e">
        <f>H178/E178</f>
        <v>#DIV/0!</v>
      </c>
      <c r="L178" s="147">
        <f t="shared" si="7"/>
        <v>0</v>
      </c>
      <c r="M178" s="147">
        <f>H178*$N$3</f>
        <v>0</v>
      </c>
      <c r="N178" s="147">
        <f>M178*C178</f>
        <v>0</v>
      </c>
    </row>
    <row r="179" spans="1:14" x14ac:dyDescent="0.15">
      <c r="A179" s="7">
        <v>109.1</v>
      </c>
      <c r="B179" s="6" t="s">
        <v>93</v>
      </c>
      <c r="C179" s="5">
        <v>12</v>
      </c>
      <c r="D179" s="6" t="s">
        <v>65</v>
      </c>
      <c r="E179" s="151">
        <v>4725</v>
      </c>
      <c r="F179" s="134">
        <f>+C179*E179</f>
        <v>56700</v>
      </c>
      <c r="H179" s="154">
        <v>4725</v>
      </c>
      <c r="I179" s="149">
        <f t="shared" si="6"/>
        <v>56700</v>
      </c>
      <c r="K179" s="137">
        <f>H179/E179</f>
        <v>1</v>
      </c>
      <c r="L179" s="147">
        <f t="shared" si="7"/>
        <v>0</v>
      </c>
      <c r="M179" s="147">
        <f>H179*$N$3</f>
        <v>6262.8468408779972</v>
      </c>
      <c r="N179" s="147">
        <f>M179*C179</f>
        <v>75154.162090535974</v>
      </c>
    </row>
    <row r="180" spans="1:14" x14ac:dyDescent="0.15">
      <c r="A180" s="7">
        <v>109.2</v>
      </c>
      <c r="B180" s="6" t="s">
        <v>94</v>
      </c>
      <c r="C180" s="5">
        <v>4</v>
      </c>
      <c r="D180" s="6" t="s">
        <v>65</v>
      </c>
      <c r="E180" s="151">
        <v>4200</v>
      </c>
      <c r="F180" s="134">
        <f>+C180*E180</f>
        <v>16800</v>
      </c>
      <c r="H180" s="154">
        <v>4200</v>
      </c>
      <c r="I180" s="149">
        <f t="shared" si="6"/>
        <v>16800</v>
      </c>
      <c r="K180" s="137">
        <f>H180/E180</f>
        <v>1</v>
      </c>
      <c r="L180" s="147">
        <f t="shared" si="7"/>
        <v>0</v>
      </c>
      <c r="M180" s="147">
        <f>H180*$N$3</f>
        <v>5566.9749696693307</v>
      </c>
      <c r="N180" s="147">
        <f>M180*C180</f>
        <v>22267.899878677323</v>
      </c>
    </row>
    <row r="181" spans="1:14" ht="32" x14ac:dyDescent="0.15">
      <c r="A181" s="4">
        <v>110</v>
      </c>
      <c r="B181" s="6" t="s">
        <v>95</v>
      </c>
      <c r="C181" s="5">
        <v>9</v>
      </c>
      <c r="D181" s="6" t="s">
        <v>65</v>
      </c>
      <c r="E181" s="151">
        <v>5250</v>
      </c>
      <c r="F181" s="134">
        <f>+C181*E181</f>
        <v>47250</v>
      </c>
      <c r="H181" s="154">
        <v>5250</v>
      </c>
      <c r="I181" s="149">
        <f t="shared" si="6"/>
        <v>47250</v>
      </c>
      <c r="K181" s="137">
        <f>H181/E181</f>
        <v>1</v>
      </c>
      <c r="L181" s="147">
        <f t="shared" si="7"/>
        <v>0</v>
      </c>
      <c r="M181" s="147">
        <f>H181*$N$3</f>
        <v>6958.7187120866629</v>
      </c>
      <c r="N181" s="147">
        <f>M181*C181</f>
        <v>62628.468408779969</v>
      </c>
    </row>
    <row r="182" spans="1:14" ht="80" x14ac:dyDescent="0.15">
      <c r="A182" s="4">
        <v>111</v>
      </c>
      <c r="B182" s="1" t="s">
        <v>181</v>
      </c>
      <c r="C182" s="5">
        <v>9</v>
      </c>
      <c r="D182" s="6" t="s">
        <v>65</v>
      </c>
      <c r="E182" s="151">
        <v>52500</v>
      </c>
      <c r="F182" s="134">
        <f>+C182*E182</f>
        <v>472500</v>
      </c>
      <c r="H182" s="154">
        <v>52500</v>
      </c>
      <c r="I182" s="149">
        <f t="shared" si="6"/>
        <v>472500</v>
      </c>
      <c r="K182" s="137">
        <f>H182/E182</f>
        <v>1</v>
      </c>
      <c r="L182" s="147">
        <f t="shared" si="7"/>
        <v>0</v>
      </c>
      <c r="M182" s="147">
        <f>H182*$N$3</f>
        <v>69587.187120866627</v>
      </c>
      <c r="N182" s="147">
        <f>M182*C182</f>
        <v>626284.68408779963</v>
      </c>
    </row>
    <row r="183" spans="1:14" ht="32" x14ac:dyDescent="0.15">
      <c r="A183" s="4">
        <v>112</v>
      </c>
      <c r="B183" s="6" t="s">
        <v>96</v>
      </c>
      <c r="C183" s="5">
        <v>2500</v>
      </c>
      <c r="D183" s="6" t="s">
        <v>20</v>
      </c>
      <c r="E183" s="151">
        <v>420</v>
      </c>
      <c r="F183" s="134">
        <f>+C183*E183</f>
        <v>1050000</v>
      </c>
      <c r="H183" s="154">
        <v>420</v>
      </c>
      <c r="I183" s="149">
        <f t="shared" si="6"/>
        <v>1050000</v>
      </c>
      <c r="K183" s="137">
        <f>H183/E183</f>
        <v>1</v>
      </c>
      <c r="L183" s="147">
        <f t="shared" si="7"/>
        <v>0</v>
      </c>
      <c r="M183" s="147">
        <f>H183*$N$3</f>
        <v>556.69749696693304</v>
      </c>
      <c r="N183" s="147">
        <f>M183*C183</f>
        <v>1391743.7424173327</v>
      </c>
    </row>
    <row r="184" spans="1:14" ht="96" x14ac:dyDescent="0.15">
      <c r="A184" s="4">
        <v>113</v>
      </c>
      <c r="B184" s="6" t="s">
        <v>270</v>
      </c>
      <c r="C184" s="1"/>
      <c r="D184" s="1"/>
      <c r="E184" s="152">
        <v>0</v>
      </c>
      <c r="F184" s="134"/>
      <c r="H184" s="149">
        <f>+[1]BOQ!$F184</f>
        <v>0</v>
      </c>
      <c r="I184" s="149">
        <f t="shared" si="6"/>
        <v>0</v>
      </c>
      <c r="K184" s="137" t="e">
        <f>H184/E184</f>
        <v>#DIV/0!</v>
      </c>
      <c r="L184" s="147">
        <f t="shared" si="7"/>
        <v>0</v>
      </c>
      <c r="M184" s="147">
        <f>H184*$N$3</f>
        <v>0</v>
      </c>
      <c r="N184" s="147">
        <f>M184*C184</f>
        <v>0</v>
      </c>
    </row>
    <row r="185" spans="1:14" x14ac:dyDescent="0.15">
      <c r="A185" s="5">
        <v>113.01</v>
      </c>
      <c r="B185" s="6" t="s">
        <v>97</v>
      </c>
      <c r="C185" s="5">
        <v>150</v>
      </c>
      <c r="D185" s="6" t="s">
        <v>98</v>
      </c>
      <c r="E185" s="151">
        <v>366.45</v>
      </c>
      <c r="F185" s="134">
        <f t="shared" ref="F185:F200" si="11">+C185*E185</f>
        <v>54967.5</v>
      </c>
      <c r="H185" s="154">
        <v>366.45</v>
      </c>
      <c r="I185" s="149">
        <f t="shared" si="6"/>
        <v>54967.5</v>
      </c>
      <c r="K185" s="137">
        <f>H185/E185</f>
        <v>1</v>
      </c>
      <c r="L185" s="147">
        <f t="shared" si="7"/>
        <v>0</v>
      </c>
      <c r="M185" s="147">
        <f>H185*$N$3</f>
        <v>485.7185661036491</v>
      </c>
      <c r="N185" s="147">
        <f>M185*C185</f>
        <v>72857.784915547367</v>
      </c>
    </row>
    <row r="186" spans="1:14" x14ac:dyDescent="0.15">
      <c r="A186" s="5">
        <v>113.02</v>
      </c>
      <c r="B186" s="6" t="s">
        <v>99</v>
      </c>
      <c r="C186" s="5">
        <v>200</v>
      </c>
      <c r="D186" s="6" t="s">
        <v>98</v>
      </c>
      <c r="E186" s="151">
        <v>466.20000000000005</v>
      </c>
      <c r="F186" s="134">
        <f t="shared" si="11"/>
        <v>93240.000000000015</v>
      </c>
      <c r="H186" s="154">
        <v>466.20000000000005</v>
      </c>
      <c r="I186" s="149">
        <f t="shared" si="6"/>
        <v>93240.000000000015</v>
      </c>
      <c r="K186" s="137">
        <f>H186/E186</f>
        <v>1</v>
      </c>
      <c r="L186" s="147">
        <f t="shared" si="7"/>
        <v>0</v>
      </c>
      <c r="M186" s="147">
        <f>H186*$N$3</f>
        <v>617.93422163329569</v>
      </c>
      <c r="N186" s="147">
        <f>M186*C186</f>
        <v>123586.84432665913</v>
      </c>
    </row>
    <row r="187" spans="1:14" x14ac:dyDescent="0.15">
      <c r="A187" s="5">
        <v>113.03</v>
      </c>
      <c r="B187" s="6" t="s">
        <v>100</v>
      </c>
      <c r="C187" s="5">
        <v>200</v>
      </c>
      <c r="D187" s="6" t="s">
        <v>98</v>
      </c>
      <c r="E187" s="151">
        <v>548.1</v>
      </c>
      <c r="F187" s="134">
        <f t="shared" si="11"/>
        <v>109620</v>
      </c>
      <c r="H187" s="154">
        <v>548.1</v>
      </c>
      <c r="I187" s="149">
        <f t="shared" si="6"/>
        <v>109620</v>
      </c>
      <c r="K187" s="137">
        <f>H187/E187</f>
        <v>1</v>
      </c>
      <c r="L187" s="147">
        <f t="shared" si="7"/>
        <v>0</v>
      </c>
      <c r="M187" s="147">
        <f>H187*$N$3</f>
        <v>726.49023354184772</v>
      </c>
      <c r="N187" s="147">
        <f>M187*C187</f>
        <v>145298.04670836954</v>
      </c>
    </row>
    <row r="188" spans="1:14" x14ac:dyDescent="0.15">
      <c r="A188" s="5">
        <v>113.04</v>
      </c>
      <c r="B188" s="6" t="s">
        <v>101</v>
      </c>
      <c r="C188" s="5">
        <v>100</v>
      </c>
      <c r="D188" s="6" t="s">
        <v>98</v>
      </c>
      <c r="E188" s="151">
        <v>752.85</v>
      </c>
      <c r="F188" s="134">
        <f t="shared" si="11"/>
        <v>75285</v>
      </c>
      <c r="H188" s="154">
        <v>752.85</v>
      </c>
      <c r="I188" s="149">
        <f t="shared" si="6"/>
        <v>75285</v>
      </c>
      <c r="K188" s="137">
        <f>H188/E188</f>
        <v>1</v>
      </c>
      <c r="L188" s="147">
        <f t="shared" si="7"/>
        <v>0</v>
      </c>
      <c r="M188" s="147">
        <f>H188*$N$3</f>
        <v>997.88026331322749</v>
      </c>
      <c r="N188" s="147">
        <f>M188*C188</f>
        <v>99788.026331322748</v>
      </c>
    </row>
    <row r="189" spans="1:14" x14ac:dyDescent="0.15">
      <c r="A189" s="5">
        <v>113.05</v>
      </c>
      <c r="B189" s="6" t="s">
        <v>102</v>
      </c>
      <c r="C189" s="5">
        <v>200</v>
      </c>
      <c r="D189" s="6" t="s">
        <v>98</v>
      </c>
      <c r="E189" s="151">
        <v>964.95</v>
      </c>
      <c r="F189" s="134">
        <f t="shared" si="11"/>
        <v>192990</v>
      </c>
      <c r="H189" s="154">
        <v>964.95</v>
      </c>
      <c r="I189" s="149">
        <f t="shared" si="6"/>
        <v>192990</v>
      </c>
      <c r="K189" s="137">
        <f>H189/E189</f>
        <v>1</v>
      </c>
      <c r="L189" s="147">
        <f t="shared" si="7"/>
        <v>0</v>
      </c>
      <c r="M189" s="147">
        <f>H189*$N$3</f>
        <v>1279.0124992815288</v>
      </c>
      <c r="N189" s="147">
        <f>M189*C189</f>
        <v>255802.49985630575</v>
      </c>
    </row>
    <row r="190" spans="1:14" x14ac:dyDescent="0.15">
      <c r="A190" s="5">
        <v>113.06</v>
      </c>
      <c r="B190" s="6" t="s">
        <v>103</v>
      </c>
      <c r="C190" s="5">
        <v>200</v>
      </c>
      <c r="D190" s="6" t="s">
        <v>98</v>
      </c>
      <c r="E190" s="151">
        <v>1193.8500000000001</v>
      </c>
      <c r="F190" s="134">
        <f t="shared" si="11"/>
        <v>238770.00000000003</v>
      </c>
      <c r="H190" s="154">
        <v>1193.8500000000001</v>
      </c>
      <c r="I190" s="149">
        <f t="shared" si="6"/>
        <v>238770.00000000003</v>
      </c>
      <c r="K190" s="137">
        <f>H190/E190</f>
        <v>1</v>
      </c>
      <c r="L190" s="147">
        <f t="shared" si="7"/>
        <v>0</v>
      </c>
      <c r="M190" s="147">
        <f>H190*$N$3</f>
        <v>1582.4126351285074</v>
      </c>
      <c r="N190" s="147">
        <f>M190*C190</f>
        <v>316482.52702570148</v>
      </c>
    </row>
    <row r="191" spans="1:14" x14ac:dyDescent="0.15">
      <c r="A191" s="5">
        <v>113.07</v>
      </c>
      <c r="B191" s="6" t="s">
        <v>104</v>
      </c>
      <c r="C191" s="5">
        <v>100</v>
      </c>
      <c r="D191" s="6" t="s">
        <v>98</v>
      </c>
      <c r="E191" s="151">
        <v>1718.8500000000001</v>
      </c>
      <c r="F191" s="134">
        <f t="shared" si="11"/>
        <v>171885</v>
      </c>
      <c r="H191" s="154">
        <v>1718.8500000000001</v>
      </c>
      <c r="I191" s="149">
        <f t="shared" si="6"/>
        <v>171885</v>
      </c>
      <c r="K191" s="137">
        <f>H191/E191</f>
        <v>1</v>
      </c>
      <c r="L191" s="147">
        <f t="shared" si="7"/>
        <v>0</v>
      </c>
      <c r="M191" s="147">
        <f>H191*$N$3</f>
        <v>2278.2845063371738</v>
      </c>
      <c r="N191" s="147">
        <f>M191*C191</f>
        <v>227828.45063371738</v>
      </c>
    </row>
    <row r="192" spans="1:14" x14ac:dyDescent="0.15">
      <c r="A192" s="5">
        <v>113.08</v>
      </c>
      <c r="B192" s="6" t="s">
        <v>105</v>
      </c>
      <c r="C192" s="5">
        <v>80</v>
      </c>
      <c r="D192" s="6" t="s">
        <v>98</v>
      </c>
      <c r="E192" s="151">
        <v>2530.5</v>
      </c>
      <c r="F192" s="134">
        <f t="shared" si="11"/>
        <v>202440</v>
      </c>
      <c r="H192" s="154">
        <v>2530.5</v>
      </c>
      <c r="I192" s="149">
        <f t="shared" si="6"/>
        <v>202440</v>
      </c>
      <c r="K192" s="137">
        <f>H192/E192</f>
        <v>1</v>
      </c>
      <c r="L192" s="147">
        <f t="shared" si="7"/>
        <v>0</v>
      </c>
      <c r="M192" s="147">
        <f>H192*$N$3</f>
        <v>3354.1024192257714</v>
      </c>
      <c r="N192" s="147">
        <f>M192*C192</f>
        <v>268328.19353806169</v>
      </c>
    </row>
    <row r="193" spans="1:14" x14ac:dyDescent="0.15">
      <c r="A193" s="5">
        <v>113.09</v>
      </c>
      <c r="B193" s="6" t="s">
        <v>106</v>
      </c>
      <c r="C193" s="5">
        <v>20</v>
      </c>
      <c r="D193" s="6" t="s">
        <v>98</v>
      </c>
      <c r="E193" s="151">
        <v>3659.25</v>
      </c>
      <c r="F193" s="134">
        <f t="shared" si="11"/>
        <v>73185</v>
      </c>
      <c r="H193" s="154">
        <v>3659.25</v>
      </c>
      <c r="I193" s="149">
        <f t="shared" si="6"/>
        <v>73185</v>
      </c>
      <c r="K193" s="137">
        <f>H193/E193</f>
        <v>1</v>
      </c>
      <c r="L193" s="147">
        <f t="shared" si="7"/>
        <v>0</v>
      </c>
      <c r="M193" s="147">
        <f>H193*$N$3</f>
        <v>4850.2269423244043</v>
      </c>
      <c r="N193" s="147">
        <f>M193*C193</f>
        <v>97004.538846488082</v>
      </c>
    </row>
    <row r="194" spans="1:14" x14ac:dyDescent="0.15">
      <c r="A194" s="5">
        <v>113.1</v>
      </c>
      <c r="B194" s="6" t="s">
        <v>107</v>
      </c>
      <c r="C194" s="5">
        <v>20</v>
      </c>
      <c r="D194" s="6" t="s">
        <v>98</v>
      </c>
      <c r="E194" s="151">
        <v>5085.1500000000005</v>
      </c>
      <c r="F194" s="134">
        <f t="shared" si="11"/>
        <v>101703.00000000001</v>
      </c>
      <c r="H194" s="154">
        <v>5085.1500000000005</v>
      </c>
      <c r="I194" s="149">
        <f t="shared" si="6"/>
        <v>101703.00000000001</v>
      </c>
      <c r="K194" s="137">
        <f>H194/E194</f>
        <v>1</v>
      </c>
      <c r="L194" s="147">
        <f t="shared" si="7"/>
        <v>0</v>
      </c>
      <c r="M194" s="147">
        <f>H194*$N$3</f>
        <v>6740.2149445271425</v>
      </c>
      <c r="N194" s="147">
        <f>M194*C194</f>
        <v>134804.29889054285</v>
      </c>
    </row>
    <row r="195" spans="1:14" x14ac:dyDescent="0.15">
      <c r="A195" s="5">
        <v>113.11</v>
      </c>
      <c r="B195" s="6" t="s">
        <v>108</v>
      </c>
      <c r="C195" s="5">
        <v>20</v>
      </c>
      <c r="D195" s="6" t="s">
        <v>98</v>
      </c>
      <c r="E195" s="151">
        <v>7560</v>
      </c>
      <c r="F195" s="134">
        <f t="shared" si="11"/>
        <v>151200</v>
      </c>
      <c r="H195" s="154">
        <v>7560</v>
      </c>
      <c r="I195" s="149">
        <f t="shared" si="6"/>
        <v>151200</v>
      </c>
      <c r="K195" s="137">
        <f>H195/E195</f>
        <v>1</v>
      </c>
      <c r="L195" s="147">
        <f t="shared" si="7"/>
        <v>0</v>
      </c>
      <c r="M195" s="147">
        <f>H195*$N$3</f>
        <v>10020.554945404794</v>
      </c>
      <c r="N195" s="147">
        <f>M195*C195</f>
        <v>200411.09890809588</v>
      </c>
    </row>
    <row r="196" spans="1:14" ht="48" x14ac:dyDescent="0.15">
      <c r="A196" s="4">
        <v>114</v>
      </c>
      <c r="B196" s="6" t="s">
        <v>267</v>
      </c>
      <c r="C196" s="5">
        <v>50</v>
      </c>
      <c r="D196" s="1" t="s">
        <v>29</v>
      </c>
      <c r="E196" s="151">
        <v>8925</v>
      </c>
      <c r="F196" s="134">
        <f t="shared" si="11"/>
        <v>446250</v>
      </c>
      <c r="H196" s="154">
        <v>8925</v>
      </c>
      <c r="I196" s="149">
        <f t="shared" si="6"/>
        <v>446250</v>
      </c>
      <c r="K196" s="137">
        <f>H196/E196</f>
        <v>1</v>
      </c>
      <c r="L196" s="147">
        <f t="shared" si="7"/>
        <v>0</v>
      </c>
      <c r="M196" s="147">
        <f>H196*$N$3</f>
        <v>11829.821810547328</v>
      </c>
      <c r="N196" s="147">
        <f>M196*C196</f>
        <v>591491.09052736638</v>
      </c>
    </row>
    <row r="197" spans="1:14" ht="48" x14ac:dyDescent="0.15">
      <c r="A197" s="4">
        <v>115</v>
      </c>
      <c r="B197" s="6" t="s">
        <v>266</v>
      </c>
      <c r="C197" s="5">
        <v>33</v>
      </c>
      <c r="D197" s="6" t="s">
        <v>29</v>
      </c>
      <c r="E197" s="151">
        <v>2572.5</v>
      </c>
      <c r="F197" s="134">
        <f t="shared" si="11"/>
        <v>84892.5</v>
      </c>
      <c r="H197" s="154">
        <v>2572.5</v>
      </c>
      <c r="I197" s="149">
        <f t="shared" si="6"/>
        <v>84892.5</v>
      </c>
      <c r="K197" s="137">
        <f>H197/E197</f>
        <v>1</v>
      </c>
      <c r="L197" s="147">
        <f t="shared" si="7"/>
        <v>0</v>
      </c>
      <c r="M197" s="147">
        <f>H197*$N$3</f>
        <v>3409.772168922465</v>
      </c>
      <c r="N197" s="147">
        <f>M197*C197</f>
        <v>112522.48157444135</v>
      </c>
    </row>
    <row r="198" spans="1:14" ht="112" x14ac:dyDescent="0.15">
      <c r="A198" s="4">
        <v>116</v>
      </c>
      <c r="B198" s="6" t="s">
        <v>109</v>
      </c>
      <c r="C198" s="5">
        <v>33</v>
      </c>
      <c r="D198" s="6" t="s">
        <v>29</v>
      </c>
      <c r="E198" s="151">
        <v>2992.5</v>
      </c>
      <c r="F198" s="134">
        <f t="shared" si="11"/>
        <v>98752.5</v>
      </c>
      <c r="H198" s="154">
        <v>2992.5</v>
      </c>
      <c r="I198" s="149">
        <f t="shared" si="6"/>
        <v>98752.5</v>
      </c>
      <c r="K198" s="137">
        <f>H198/E198</f>
        <v>1</v>
      </c>
      <c r="L198" s="147">
        <f t="shared" si="7"/>
        <v>0</v>
      </c>
      <c r="M198" s="147">
        <f>H198*$N$3</f>
        <v>3966.4696658893981</v>
      </c>
      <c r="N198" s="147">
        <f>M198*C198</f>
        <v>130893.49897435014</v>
      </c>
    </row>
    <row r="199" spans="1:14" ht="48" x14ac:dyDescent="0.15">
      <c r="A199" s="4">
        <v>117</v>
      </c>
      <c r="B199" s="6" t="s">
        <v>265</v>
      </c>
      <c r="C199" s="5">
        <v>66</v>
      </c>
      <c r="D199" s="6" t="s">
        <v>29</v>
      </c>
      <c r="E199" s="151">
        <v>4620</v>
      </c>
      <c r="F199" s="134">
        <f t="shared" si="11"/>
        <v>304920</v>
      </c>
      <c r="H199" s="154">
        <v>4620</v>
      </c>
      <c r="I199" s="149">
        <f t="shared" ref="I199:I262" si="12">+H199*C199</f>
        <v>304920</v>
      </c>
      <c r="K199" s="137">
        <f>H199/E199</f>
        <v>1</v>
      </c>
      <c r="L199" s="147">
        <f t="shared" ref="L199:L262" si="13">I199-F199</f>
        <v>0</v>
      </c>
      <c r="M199" s="147">
        <f>H199*$N$3</f>
        <v>6123.6724666362634</v>
      </c>
      <c r="N199" s="147">
        <f>M199*C199</f>
        <v>404162.38279799337</v>
      </c>
    </row>
    <row r="200" spans="1:14" ht="80" x14ac:dyDescent="0.15">
      <c r="A200" s="4">
        <v>118</v>
      </c>
      <c r="B200" s="1" t="s">
        <v>182</v>
      </c>
      <c r="C200" s="5">
        <v>34</v>
      </c>
      <c r="D200" s="6" t="s">
        <v>29</v>
      </c>
      <c r="E200" s="151">
        <v>8610</v>
      </c>
      <c r="F200" s="134">
        <f t="shared" si="11"/>
        <v>292740</v>
      </c>
      <c r="H200" s="154">
        <v>8610</v>
      </c>
      <c r="I200" s="149">
        <f t="shared" si="12"/>
        <v>292740</v>
      </c>
      <c r="K200" s="137">
        <f>H200/E200</f>
        <v>1</v>
      </c>
      <c r="L200" s="147">
        <f t="shared" si="13"/>
        <v>0</v>
      </c>
      <c r="M200" s="147">
        <f>H200*$N$3</f>
        <v>11412.298687822127</v>
      </c>
      <c r="N200" s="147">
        <f>M200*C200</f>
        <v>388018.15538595233</v>
      </c>
    </row>
    <row r="201" spans="1:14" ht="48" x14ac:dyDescent="0.15">
      <c r="A201" s="4">
        <v>119</v>
      </c>
      <c r="B201" s="6" t="s">
        <v>252</v>
      </c>
      <c r="C201" s="1"/>
      <c r="D201" s="1"/>
      <c r="E201" s="152">
        <v>0</v>
      </c>
      <c r="F201" s="134"/>
      <c r="H201" s="155">
        <v>0</v>
      </c>
      <c r="I201" s="149">
        <f t="shared" si="12"/>
        <v>0</v>
      </c>
      <c r="K201" s="137" t="e">
        <f>H201/E201</f>
        <v>#DIV/0!</v>
      </c>
      <c r="L201" s="147">
        <f t="shared" si="13"/>
        <v>0</v>
      </c>
      <c r="M201" s="147">
        <f>H201*$N$3</f>
        <v>0</v>
      </c>
      <c r="N201" s="147">
        <f>M201*C201</f>
        <v>0</v>
      </c>
    </row>
    <row r="202" spans="1:14" x14ac:dyDescent="0.15">
      <c r="A202" s="7">
        <v>119.1</v>
      </c>
      <c r="B202" s="6" t="s">
        <v>104</v>
      </c>
      <c r="C202" s="5">
        <v>4</v>
      </c>
      <c r="D202" s="1" t="s">
        <v>23</v>
      </c>
      <c r="E202" s="151">
        <v>3307.5</v>
      </c>
      <c r="F202" s="134">
        <f t="shared" ref="F202:F208" si="14">+C202*E202</f>
        <v>13230</v>
      </c>
      <c r="H202" s="154">
        <v>3307.5</v>
      </c>
      <c r="I202" s="149">
        <f t="shared" si="12"/>
        <v>13230</v>
      </c>
      <c r="K202" s="137">
        <f>H202/E202</f>
        <v>1</v>
      </c>
      <c r="L202" s="147">
        <f t="shared" si="13"/>
        <v>0</v>
      </c>
      <c r="M202" s="147">
        <f>H202*$N$3</f>
        <v>4383.9927886145979</v>
      </c>
      <c r="N202" s="147">
        <f>M202*C202</f>
        <v>17535.971154458392</v>
      </c>
    </row>
    <row r="203" spans="1:14" x14ac:dyDescent="0.15">
      <c r="A203" s="7">
        <v>119.2</v>
      </c>
      <c r="B203" s="6" t="s">
        <v>110</v>
      </c>
      <c r="C203" s="5">
        <v>4</v>
      </c>
      <c r="D203" s="1" t="s">
        <v>23</v>
      </c>
      <c r="E203" s="151">
        <v>4462.5</v>
      </c>
      <c r="F203" s="134">
        <f t="shared" si="14"/>
        <v>17850</v>
      </c>
      <c r="H203" s="154">
        <v>4462.5</v>
      </c>
      <c r="I203" s="149">
        <f t="shared" si="12"/>
        <v>17850</v>
      </c>
      <c r="K203" s="137">
        <f>H203/E203</f>
        <v>1</v>
      </c>
      <c r="L203" s="147">
        <f t="shared" si="13"/>
        <v>0</v>
      </c>
      <c r="M203" s="147">
        <f>H203*$N$3</f>
        <v>5914.910905273664</v>
      </c>
      <c r="N203" s="147">
        <f>M203*C203</f>
        <v>23659.643621094656</v>
      </c>
    </row>
    <row r="204" spans="1:14" x14ac:dyDescent="0.15">
      <c r="A204" s="7">
        <v>119.3</v>
      </c>
      <c r="B204" s="6" t="s">
        <v>111</v>
      </c>
      <c r="C204" s="5">
        <v>4</v>
      </c>
      <c r="D204" s="1" t="s">
        <v>23</v>
      </c>
      <c r="E204" s="151">
        <v>8925</v>
      </c>
      <c r="F204" s="134">
        <f t="shared" si="14"/>
        <v>35700</v>
      </c>
      <c r="H204" s="154">
        <v>8925</v>
      </c>
      <c r="I204" s="149">
        <f t="shared" si="12"/>
        <v>35700</v>
      </c>
      <c r="K204" s="137">
        <f>H204/E204</f>
        <v>1</v>
      </c>
      <c r="L204" s="147">
        <f t="shared" si="13"/>
        <v>0</v>
      </c>
      <c r="M204" s="147">
        <f>H204*$N$3</f>
        <v>11829.821810547328</v>
      </c>
      <c r="N204" s="147">
        <f>M204*C204</f>
        <v>47319.287242189312</v>
      </c>
    </row>
    <row r="205" spans="1:14" x14ac:dyDescent="0.15">
      <c r="A205" s="7">
        <v>119.4</v>
      </c>
      <c r="B205" s="6" t="s">
        <v>112</v>
      </c>
      <c r="C205" s="5">
        <v>4</v>
      </c>
      <c r="D205" s="1" t="s">
        <v>23</v>
      </c>
      <c r="E205" s="151">
        <v>15225</v>
      </c>
      <c r="F205" s="134">
        <f t="shared" si="14"/>
        <v>60900</v>
      </c>
      <c r="H205" s="154">
        <v>15225</v>
      </c>
      <c r="I205" s="149">
        <f t="shared" si="12"/>
        <v>60900</v>
      </c>
      <c r="K205" s="137">
        <f>H205/E205</f>
        <v>1</v>
      </c>
      <c r="L205" s="147">
        <f t="shared" si="13"/>
        <v>0</v>
      </c>
      <c r="M205" s="147">
        <f>H205*$N$3</f>
        <v>20180.284265051323</v>
      </c>
      <c r="N205" s="147">
        <f>M205*C205</f>
        <v>80721.137060205292</v>
      </c>
    </row>
    <row r="206" spans="1:14" x14ac:dyDescent="0.15">
      <c r="A206" s="7">
        <v>119.5</v>
      </c>
      <c r="B206" s="6" t="s">
        <v>113</v>
      </c>
      <c r="C206" s="5">
        <v>4</v>
      </c>
      <c r="D206" s="1" t="s">
        <v>23</v>
      </c>
      <c r="E206" s="151">
        <v>27825</v>
      </c>
      <c r="F206" s="134">
        <f t="shared" si="14"/>
        <v>111300</v>
      </c>
      <c r="H206" s="154">
        <v>27825</v>
      </c>
      <c r="I206" s="149">
        <f t="shared" si="12"/>
        <v>111300</v>
      </c>
      <c r="K206" s="137">
        <f>H206/E206</f>
        <v>1</v>
      </c>
      <c r="L206" s="147">
        <f t="shared" si="13"/>
        <v>0</v>
      </c>
      <c r="M206" s="147">
        <f>H206*$N$3</f>
        <v>36881.209174059317</v>
      </c>
      <c r="N206" s="147">
        <f>M206*C206</f>
        <v>147524.83669623727</v>
      </c>
    </row>
    <row r="207" spans="1:14" ht="48" x14ac:dyDescent="0.15">
      <c r="A207" s="4">
        <v>120</v>
      </c>
      <c r="B207" s="6" t="s">
        <v>251</v>
      </c>
      <c r="C207" s="5">
        <v>2</v>
      </c>
      <c r="D207" s="1" t="s">
        <v>23</v>
      </c>
      <c r="E207" s="151">
        <v>19425</v>
      </c>
      <c r="F207" s="134">
        <f t="shared" si="14"/>
        <v>38850</v>
      </c>
      <c r="H207" s="154">
        <v>19425</v>
      </c>
      <c r="I207" s="149">
        <f t="shared" si="12"/>
        <v>38850</v>
      </c>
      <c r="K207" s="137">
        <f>H207/E207</f>
        <v>1</v>
      </c>
      <c r="L207" s="147">
        <f t="shared" si="13"/>
        <v>0</v>
      </c>
      <c r="M207" s="147">
        <f>H207*$N$3</f>
        <v>25747.259234720652</v>
      </c>
      <c r="N207" s="147">
        <f>M207*C207</f>
        <v>51494.518469441304</v>
      </c>
    </row>
    <row r="208" spans="1:14" ht="48" x14ac:dyDescent="0.15">
      <c r="A208" s="4">
        <v>121</v>
      </c>
      <c r="B208" s="6" t="s">
        <v>250</v>
      </c>
      <c r="C208" s="5">
        <v>2</v>
      </c>
      <c r="D208" s="6" t="s">
        <v>29</v>
      </c>
      <c r="E208" s="151">
        <v>1942.5</v>
      </c>
      <c r="F208" s="134">
        <f t="shared" si="14"/>
        <v>3885</v>
      </c>
      <c r="H208" s="154">
        <v>1942.5</v>
      </c>
      <c r="I208" s="149">
        <f t="shared" si="12"/>
        <v>3885</v>
      </c>
      <c r="K208" s="137">
        <f>H208/E208</f>
        <v>1</v>
      </c>
      <c r="L208" s="147">
        <f t="shared" si="13"/>
        <v>0</v>
      </c>
      <c r="M208" s="147">
        <f>H208*$N$3</f>
        <v>2574.7259234720655</v>
      </c>
      <c r="N208" s="147">
        <f>M208*C208</f>
        <v>5149.4518469441309</v>
      </c>
    </row>
    <row r="209" spans="1:14" ht="32" x14ac:dyDescent="0.15">
      <c r="A209" s="4">
        <v>122</v>
      </c>
      <c r="B209" s="6" t="s">
        <v>114</v>
      </c>
      <c r="C209" s="1"/>
      <c r="D209" s="1"/>
      <c r="E209" s="152">
        <v>0</v>
      </c>
      <c r="F209" s="134"/>
      <c r="H209" s="155">
        <v>0</v>
      </c>
      <c r="I209" s="149">
        <f t="shared" si="12"/>
        <v>0</v>
      </c>
      <c r="K209" s="137" t="e">
        <f>H209/E209</f>
        <v>#DIV/0!</v>
      </c>
      <c r="L209" s="147">
        <f t="shared" si="13"/>
        <v>0</v>
      </c>
      <c r="M209" s="147">
        <f>H209*$N$3</f>
        <v>0</v>
      </c>
      <c r="N209" s="147">
        <f>M209*C209</f>
        <v>0</v>
      </c>
    </row>
    <row r="210" spans="1:14" x14ac:dyDescent="0.15">
      <c r="A210" s="7">
        <v>122.1</v>
      </c>
      <c r="B210" s="6" t="s">
        <v>104</v>
      </c>
      <c r="C210" s="5">
        <v>2</v>
      </c>
      <c r="D210" s="1" t="s">
        <v>23</v>
      </c>
      <c r="E210" s="151">
        <v>3202.5</v>
      </c>
      <c r="F210" s="134">
        <f>+C210*E210</f>
        <v>6405</v>
      </c>
      <c r="H210" s="154">
        <v>3202.5</v>
      </c>
      <c r="I210" s="149">
        <f t="shared" si="12"/>
        <v>6405</v>
      </c>
      <c r="K210" s="137">
        <f>H210/E210</f>
        <v>1</v>
      </c>
      <c r="L210" s="147">
        <f t="shared" si="13"/>
        <v>0</v>
      </c>
      <c r="M210" s="147">
        <f>H210*$N$3</f>
        <v>4244.8184143728649</v>
      </c>
      <c r="N210" s="147">
        <f>M210*C210</f>
        <v>8489.6368287457299</v>
      </c>
    </row>
    <row r="211" spans="1:14" x14ac:dyDescent="0.15">
      <c r="A211" s="7">
        <v>122.2</v>
      </c>
      <c r="B211" s="6" t="s">
        <v>110</v>
      </c>
      <c r="C211" s="5">
        <v>2</v>
      </c>
      <c r="D211" s="6" t="s">
        <v>23</v>
      </c>
      <c r="E211" s="151">
        <v>4357.5</v>
      </c>
      <c r="F211" s="134">
        <f>+C211*E211</f>
        <v>8715</v>
      </c>
      <c r="H211" s="154">
        <v>4357.5</v>
      </c>
      <c r="I211" s="149">
        <f t="shared" si="12"/>
        <v>8715</v>
      </c>
      <c r="K211" s="137">
        <f>H211/E211</f>
        <v>1</v>
      </c>
      <c r="L211" s="147">
        <f t="shared" si="13"/>
        <v>0</v>
      </c>
      <c r="M211" s="147">
        <f>H211*$N$3</f>
        <v>5775.7365310319301</v>
      </c>
      <c r="N211" s="147">
        <f>M211*C211</f>
        <v>11551.47306206386</v>
      </c>
    </row>
    <row r="212" spans="1:14" x14ac:dyDescent="0.15">
      <c r="A212" s="7">
        <v>122.3</v>
      </c>
      <c r="B212" s="6" t="s">
        <v>111</v>
      </c>
      <c r="C212" s="5">
        <v>2</v>
      </c>
      <c r="D212" s="1" t="s">
        <v>23</v>
      </c>
      <c r="E212" s="151">
        <v>7875</v>
      </c>
      <c r="F212" s="134">
        <f>+C212*E212</f>
        <v>15750</v>
      </c>
      <c r="H212" s="154">
        <v>7875</v>
      </c>
      <c r="I212" s="149">
        <f t="shared" si="12"/>
        <v>15750</v>
      </c>
      <c r="K212" s="137">
        <f>H212/E212</f>
        <v>1</v>
      </c>
      <c r="L212" s="147">
        <f t="shared" si="13"/>
        <v>0</v>
      </c>
      <c r="M212" s="147">
        <f>H212*$N$3</f>
        <v>10438.078068129995</v>
      </c>
      <c r="N212" s="147">
        <f>M212*C212</f>
        <v>20876.15613625999</v>
      </c>
    </row>
    <row r="213" spans="1:14" ht="48" x14ac:dyDescent="0.15">
      <c r="A213" s="4">
        <v>123</v>
      </c>
      <c r="B213" s="6" t="s">
        <v>249</v>
      </c>
      <c r="C213" s="1"/>
      <c r="D213" s="1"/>
      <c r="E213" s="152">
        <v>0</v>
      </c>
      <c r="F213" s="134"/>
      <c r="H213" s="155">
        <v>0</v>
      </c>
      <c r="I213" s="149">
        <f t="shared" si="12"/>
        <v>0</v>
      </c>
      <c r="K213" s="137" t="e">
        <f>H213/E213</f>
        <v>#DIV/0!</v>
      </c>
      <c r="L213" s="147">
        <f t="shared" si="13"/>
        <v>0</v>
      </c>
      <c r="M213" s="147">
        <f>H213*$N$3</f>
        <v>0</v>
      </c>
      <c r="N213" s="147">
        <f>M213*C213</f>
        <v>0</v>
      </c>
    </row>
    <row r="214" spans="1:14" x14ac:dyDescent="0.15">
      <c r="A214" s="7">
        <v>123.1</v>
      </c>
      <c r="B214" s="6" t="s">
        <v>115</v>
      </c>
      <c r="C214" s="5">
        <v>2</v>
      </c>
      <c r="D214" s="1" t="s">
        <v>23</v>
      </c>
      <c r="E214" s="151">
        <v>5460</v>
      </c>
      <c r="F214" s="134">
        <f t="shared" ref="F214:F221" si="15">+C214*E214</f>
        <v>10920</v>
      </c>
      <c r="H214" s="154">
        <v>5460</v>
      </c>
      <c r="I214" s="149">
        <f t="shared" si="12"/>
        <v>10920</v>
      </c>
      <c r="K214" s="137">
        <f>H214/E214</f>
        <v>1</v>
      </c>
      <c r="L214" s="147">
        <f t="shared" si="13"/>
        <v>0</v>
      </c>
      <c r="M214" s="147">
        <f>H214*$N$3</f>
        <v>7237.0674605701297</v>
      </c>
      <c r="N214" s="147">
        <f>M214*C214</f>
        <v>14474.134921140259</v>
      </c>
    </row>
    <row r="215" spans="1:14" x14ac:dyDescent="0.15">
      <c r="A215" s="7">
        <v>123.2</v>
      </c>
      <c r="B215" s="6" t="s">
        <v>104</v>
      </c>
      <c r="C215" s="5">
        <v>2</v>
      </c>
      <c r="D215" s="1" t="s">
        <v>23</v>
      </c>
      <c r="E215" s="151">
        <v>10290</v>
      </c>
      <c r="F215" s="134">
        <f t="shared" si="15"/>
        <v>20580</v>
      </c>
      <c r="H215" s="154">
        <v>10290</v>
      </c>
      <c r="I215" s="149">
        <f t="shared" si="12"/>
        <v>20580</v>
      </c>
      <c r="K215" s="137">
        <f>H215/E215</f>
        <v>1</v>
      </c>
      <c r="L215" s="147">
        <f t="shared" si="13"/>
        <v>0</v>
      </c>
      <c r="M215" s="147">
        <f>H215*$N$3</f>
        <v>13639.08867568986</v>
      </c>
      <c r="N215" s="147">
        <f>M215*C215</f>
        <v>27278.17735137972</v>
      </c>
    </row>
    <row r="216" spans="1:14" x14ac:dyDescent="0.15">
      <c r="A216" s="7">
        <v>123.3</v>
      </c>
      <c r="B216" s="6" t="s">
        <v>110</v>
      </c>
      <c r="C216" s="5">
        <v>2</v>
      </c>
      <c r="D216" s="1" t="s">
        <v>23</v>
      </c>
      <c r="E216" s="151">
        <v>13125</v>
      </c>
      <c r="F216" s="134">
        <f t="shared" si="15"/>
        <v>26250</v>
      </c>
      <c r="H216" s="154">
        <v>13125</v>
      </c>
      <c r="I216" s="149">
        <f t="shared" si="12"/>
        <v>26250</v>
      </c>
      <c r="K216" s="137">
        <f>H216/E216</f>
        <v>1</v>
      </c>
      <c r="L216" s="147">
        <f t="shared" si="13"/>
        <v>0</v>
      </c>
      <c r="M216" s="147">
        <f>H216*$N$3</f>
        <v>17396.796780216657</v>
      </c>
      <c r="N216" s="147">
        <f>M216*C216</f>
        <v>34793.593560433314</v>
      </c>
    </row>
    <row r="217" spans="1:14" x14ac:dyDescent="0.15">
      <c r="A217" s="7">
        <v>123.4</v>
      </c>
      <c r="B217" s="6" t="s">
        <v>111</v>
      </c>
      <c r="C217" s="5">
        <v>2</v>
      </c>
      <c r="D217" s="1" t="s">
        <v>23</v>
      </c>
      <c r="E217" s="151">
        <v>20475</v>
      </c>
      <c r="F217" s="134">
        <f t="shared" si="15"/>
        <v>40950</v>
      </c>
      <c r="H217" s="154">
        <v>20475</v>
      </c>
      <c r="I217" s="149">
        <f t="shared" si="12"/>
        <v>40950</v>
      </c>
      <c r="K217" s="137">
        <f>H217/E217</f>
        <v>1</v>
      </c>
      <c r="L217" s="147">
        <f t="shared" si="13"/>
        <v>0</v>
      </c>
      <c r="M217" s="147">
        <f>H217*$N$3</f>
        <v>27139.002977137985</v>
      </c>
      <c r="N217" s="147">
        <f>M217*C217</f>
        <v>54278.00595427597</v>
      </c>
    </row>
    <row r="218" spans="1:14" x14ac:dyDescent="0.15">
      <c r="A218" s="7">
        <v>123.5</v>
      </c>
      <c r="B218" s="6" t="s">
        <v>112</v>
      </c>
      <c r="C218" s="5">
        <v>2</v>
      </c>
      <c r="D218" s="1" t="s">
        <v>23</v>
      </c>
      <c r="E218" s="151">
        <v>28875</v>
      </c>
      <c r="F218" s="134">
        <f t="shared" si="15"/>
        <v>57750</v>
      </c>
      <c r="H218" s="154">
        <v>28875</v>
      </c>
      <c r="I218" s="149">
        <f t="shared" si="12"/>
        <v>57750</v>
      </c>
      <c r="K218" s="137">
        <f>H218/E218</f>
        <v>1</v>
      </c>
      <c r="L218" s="147">
        <f t="shared" si="13"/>
        <v>0</v>
      </c>
      <c r="M218" s="147">
        <f>H218*$N$3</f>
        <v>38272.95291647665</v>
      </c>
      <c r="N218" s="147">
        <f>M218*C218</f>
        <v>76545.9058329533</v>
      </c>
    </row>
    <row r="219" spans="1:14" x14ac:dyDescent="0.15">
      <c r="A219" s="7">
        <v>123.6</v>
      </c>
      <c r="B219" s="6" t="s">
        <v>113</v>
      </c>
      <c r="C219" s="5">
        <v>2</v>
      </c>
      <c r="D219" s="1" t="s">
        <v>23</v>
      </c>
      <c r="E219" s="151">
        <v>38325</v>
      </c>
      <c r="F219" s="134">
        <f t="shared" si="15"/>
        <v>76650</v>
      </c>
      <c r="H219" s="154">
        <v>38325</v>
      </c>
      <c r="I219" s="149">
        <f t="shared" si="12"/>
        <v>76650</v>
      </c>
      <c r="K219" s="137">
        <f>H219/E219</f>
        <v>1</v>
      </c>
      <c r="L219" s="147">
        <f t="shared" si="13"/>
        <v>0</v>
      </c>
      <c r="M219" s="147">
        <f>H219*$N$3</f>
        <v>50798.646598232641</v>
      </c>
      <c r="N219" s="147">
        <f>M219*C219</f>
        <v>101597.29319646528</v>
      </c>
    </row>
    <row r="220" spans="1:14" ht="96" x14ac:dyDescent="0.15">
      <c r="A220" s="4">
        <v>124</v>
      </c>
      <c r="B220" s="6" t="s">
        <v>248</v>
      </c>
      <c r="C220" s="5">
        <v>10</v>
      </c>
      <c r="D220" s="1" t="s">
        <v>23</v>
      </c>
      <c r="E220" s="151">
        <v>8610</v>
      </c>
      <c r="F220" s="134">
        <f t="shared" si="15"/>
        <v>86100</v>
      </c>
      <c r="H220" s="154">
        <v>8610</v>
      </c>
      <c r="I220" s="149">
        <f t="shared" si="12"/>
        <v>86100</v>
      </c>
      <c r="K220" s="137">
        <f>H220/E220</f>
        <v>1</v>
      </c>
      <c r="L220" s="147">
        <f t="shared" si="13"/>
        <v>0</v>
      </c>
      <c r="M220" s="147">
        <f>H220*$N$3</f>
        <v>11412.298687822127</v>
      </c>
      <c r="N220" s="147">
        <f>M220*C220</f>
        <v>114122.98687822127</v>
      </c>
    </row>
    <row r="221" spans="1:14" ht="64" x14ac:dyDescent="0.15">
      <c r="A221" s="4">
        <v>125</v>
      </c>
      <c r="B221" s="6" t="s">
        <v>247</v>
      </c>
      <c r="C221" s="5">
        <v>2</v>
      </c>
      <c r="D221" s="6" t="s">
        <v>23</v>
      </c>
      <c r="E221" s="151">
        <v>13125</v>
      </c>
      <c r="F221" s="134">
        <f t="shared" si="15"/>
        <v>26250</v>
      </c>
      <c r="H221" s="154">
        <v>13125</v>
      </c>
      <c r="I221" s="149">
        <f t="shared" si="12"/>
        <v>26250</v>
      </c>
      <c r="K221" s="137">
        <f>H221/E221</f>
        <v>1</v>
      </c>
      <c r="L221" s="147">
        <f t="shared" si="13"/>
        <v>0</v>
      </c>
      <c r="M221" s="147">
        <f>H221*$N$3</f>
        <v>17396.796780216657</v>
      </c>
      <c r="N221" s="147">
        <f>M221*C221</f>
        <v>34793.593560433314</v>
      </c>
    </row>
    <row r="222" spans="1:14" ht="32" x14ac:dyDescent="0.15">
      <c r="A222" s="4">
        <v>126</v>
      </c>
      <c r="B222" s="6" t="s">
        <v>116</v>
      </c>
      <c r="C222" s="1"/>
      <c r="D222" s="1"/>
      <c r="E222" s="152">
        <v>0</v>
      </c>
      <c r="F222" s="134"/>
      <c r="H222" s="155">
        <v>0</v>
      </c>
      <c r="I222" s="149">
        <f t="shared" si="12"/>
        <v>0</v>
      </c>
      <c r="K222" s="137" t="e">
        <f>H222/E222</f>
        <v>#DIV/0!</v>
      </c>
      <c r="L222" s="147">
        <f t="shared" si="13"/>
        <v>0</v>
      </c>
      <c r="M222" s="147">
        <f>H222*$N$3</f>
        <v>0</v>
      </c>
      <c r="N222" s="147">
        <f>M222*C222</f>
        <v>0</v>
      </c>
    </row>
    <row r="223" spans="1:14" x14ac:dyDescent="0.15">
      <c r="A223" s="7">
        <v>126.1</v>
      </c>
      <c r="B223" s="6" t="s">
        <v>117</v>
      </c>
      <c r="C223" s="5">
        <v>600</v>
      </c>
      <c r="D223" s="6" t="s">
        <v>29</v>
      </c>
      <c r="E223" s="151">
        <v>341.25</v>
      </c>
      <c r="F223" s="134">
        <f>+C223*E223</f>
        <v>204750</v>
      </c>
      <c r="H223" s="154">
        <v>341.25</v>
      </c>
      <c r="I223" s="149">
        <f t="shared" si="12"/>
        <v>204750</v>
      </c>
      <c r="K223" s="137">
        <f>H223/E223</f>
        <v>1</v>
      </c>
      <c r="L223" s="147">
        <f t="shared" si="13"/>
        <v>0</v>
      </c>
      <c r="M223" s="147">
        <f>H223*$N$3</f>
        <v>452.31671628563311</v>
      </c>
      <c r="N223" s="147">
        <f>M223*C223</f>
        <v>271390.02977137984</v>
      </c>
    </row>
    <row r="224" spans="1:14" x14ac:dyDescent="0.15">
      <c r="A224" s="7">
        <v>126.2</v>
      </c>
      <c r="B224" s="6" t="s">
        <v>118</v>
      </c>
      <c r="C224" s="5">
        <v>600</v>
      </c>
      <c r="D224" s="6" t="s">
        <v>29</v>
      </c>
      <c r="E224" s="151">
        <v>351.75</v>
      </c>
      <c r="F224" s="134">
        <f>+C224*E224</f>
        <v>211050</v>
      </c>
      <c r="H224" s="154">
        <v>351.75</v>
      </c>
      <c r="I224" s="149">
        <f t="shared" si="12"/>
        <v>211050</v>
      </c>
      <c r="K224" s="137">
        <f>H224/E224</f>
        <v>1</v>
      </c>
      <c r="L224" s="147">
        <f t="shared" si="13"/>
        <v>0</v>
      </c>
      <c r="M224" s="147">
        <f>H224*$N$3</f>
        <v>466.23415370980644</v>
      </c>
      <c r="N224" s="147">
        <f>M224*C224</f>
        <v>279740.49222588388</v>
      </c>
    </row>
    <row r="225" spans="1:14" x14ac:dyDescent="0.15">
      <c r="A225" s="7">
        <v>126.3</v>
      </c>
      <c r="B225" s="6" t="s">
        <v>119</v>
      </c>
      <c r="C225" s="5">
        <v>50</v>
      </c>
      <c r="D225" s="6" t="s">
        <v>29</v>
      </c>
      <c r="E225" s="151">
        <v>378</v>
      </c>
      <c r="F225" s="134">
        <f>+C225*E225</f>
        <v>18900</v>
      </c>
      <c r="H225" s="154">
        <v>378</v>
      </c>
      <c r="I225" s="149">
        <f t="shared" si="12"/>
        <v>18900</v>
      </c>
      <c r="K225" s="137">
        <f>H225/E225</f>
        <v>1</v>
      </c>
      <c r="L225" s="147">
        <f t="shared" si="13"/>
        <v>0</v>
      </c>
      <c r="M225" s="147">
        <f>H225*$N$3</f>
        <v>501.02774727023973</v>
      </c>
      <c r="N225" s="147">
        <f>M225*C225</f>
        <v>25051.387363511985</v>
      </c>
    </row>
    <row r="226" spans="1:14" ht="32" x14ac:dyDescent="0.15">
      <c r="A226" s="4">
        <v>127</v>
      </c>
      <c r="B226" s="6" t="s">
        <v>120</v>
      </c>
      <c r="C226" s="5">
        <v>4</v>
      </c>
      <c r="D226" s="6" t="s">
        <v>29</v>
      </c>
      <c r="E226" s="151">
        <v>2257.5</v>
      </c>
      <c r="F226" s="134">
        <f>+C226*E226</f>
        <v>9030</v>
      </c>
      <c r="H226" s="154">
        <v>2257.5</v>
      </c>
      <c r="I226" s="149">
        <f t="shared" si="12"/>
        <v>9030</v>
      </c>
      <c r="K226" s="137">
        <f>H226/E226</f>
        <v>1</v>
      </c>
      <c r="L226" s="147">
        <f t="shared" si="13"/>
        <v>0</v>
      </c>
      <c r="M226" s="147">
        <f>H226*$N$3</f>
        <v>2992.2490461972652</v>
      </c>
      <c r="N226" s="147">
        <f>M226*C226</f>
        <v>11968.996184789061</v>
      </c>
    </row>
    <row r="227" spans="1:14" ht="32" x14ac:dyDescent="0.15">
      <c r="A227" s="4">
        <v>128</v>
      </c>
      <c r="B227" s="6" t="s">
        <v>121</v>
      </c>
      <c r="C227" s="1"/>
      <c r="D227" s="1"/>
      <c r="E227" s="152">
        <v>0</v>
      </c>
      <c r="F227" s="134"/>
      <c r="H227" s="155">
        <v>0</v>
      </c>
      <c r="I227" s="149">
        <f t="shared" si="12"/>
        <v>0</v>
      </c>
      <c r="K227" s="137" t="e">
        <f>H227/E227</f>
        <v>#DIV/0!</v>
      </c>
      <c r="L227" s="147">
        <f t="shared" si="13"/>
        <v>0</v>
      </c>
      <c r="M227" s="147">
        <f>H227*$N$3</f>
        <v>0</v>
      </c>
      <c r="N227" s="147">
        <f>M227*C227</f>
        <v>0</v>
      </c>
    </row>
    <row r="228" spans="1:14" x14ac:dyDescent="0.15">
      <c r="A228" s="7">
        <v>128.1</v>
      </c>
      <c r="B228" s="6" t="s">
        <v>104</v>
      </c>
      <c r="C228" s="5">
        <v>4</v>
      </c>
      <c r="D228" s="6" t="s">
        <v>29</v>
      </c>
      <c r="E228" s="151">
        <v>5040</v>
      </c>
      <c r="F228" s="134">
        <f>+C228*E228</f>
        <v>20160</v>
      </c>
      <c r="H228" s="154">
        <v>5040</v>
      </c>
      <c r="I228" s="149">
        <f t="shared" si="12"/>
        <v>20160</v>
      </c>
      <c r="K228" s="137">
        <f>H228/E228</f>
        <v>1</v>
      </c>
      <c r="L228" s="147">
        <f t="shared" si="13"/>
        <v>0</v>
      </c>
      <c r="M228" s="147">
        <f>H228*$N$3</f>
        <v>6680.369963603197</v>
      </c>
      <c r="N228" s="147">
        <f>M228*C228</f>
        <v>26721.479854412788</v>
      </c>
    </row>
    <row r="229" spans="1:14" x14ac:dyDescent="0.15">
      <c r="A229" s="7">
        <v>128.19999999999999</v>
      </c>
      <c r="B229" s="6" t="s">
        <v>110</v>
      </c>
      <c r="C229" s="11">
        <v>4</v>
      </c>
      <c r="D229" s="6" t="s">
        <v>29</v>
      </c>
      <c r="E229" s="151">
        <v>6825</v>
      </c>
      <c r="F229" s="134">
        <f>+C229*E229</f>
        <v>27300</v>
      </c>
      <c r="H229" s="154">
        <v>6825</v>
      </c>
      <c r="I229" s="149">
        <f t="shared" si="12"/>
        <v>27300</v>
      </c>
      <c r="K229" s="137">
        <f>H229/E229</f>
        <v>1</v>
      </c>
      <c r="L229" s="147">
        <f t="shared" si="13"/>
        <v>0</v>
      </c>
      <c r="M229" s="147">
        <f>H229*$N$3</f>
        <v>9046.3343257126617</v>
      </c>
      <c r="N229" s="147">
        <f>M229*C229</f>
        <v>36185.337302850647</v>
      </c>
    </row>
    <row r="230" spans="1:14" ht="112" x14ac:dyDescent="0.15">
      <c r="A230" s="4">
        <v>129</v>
      </c>
      <c r="B230" s="1" t="s">
        <v>183</v>
      </c>
      <c r="C230" s="1"/>
      <c r="D230" s="1"/>
      <c r="E230" s="152">
        <v>0</v>
      </c>
      <c r="F230" s="134"/>
      <c r="H230" s="155">
        <v>0</v>
      </c>
      <c r="I230" s="149">
        <f t="shared" si="12"/>
        <v>0</v>
      </c>
      <c r="K230" s="137" t="e">
        <f>H230/E230</f>
        <v>#DIV/0!</v>
      </c>
      <c r="L230" s="147">
        <f t="shared" si="13"/>
        <v>0</v>
      </c>
      <c r="M230" s="147">
        <f>H230*$N$3</f>
        <v>0</v>
      </c>
      <c r="N230" s="147">
        <f>M230*C230</f>
        <v>0</v>
      </c>
    </row>
    <row r="231" spans="1:14" x14ac:dyDescent="0.15">
      <c r="A231" s="7">
        <v>129.1</v>
      </c>
      <c r="B231" s="6" t="s">
        <v>115</v>
      </c>
      <c r="C231" s="5">
        <v>1</v>
      </c>
      <c r="D231" s="1" t="s">
        <v>23</v>
      </c>
      <c r="E231" s="151">
        <v>44625</v>
      </c>
      <c r="F231" s="134">
        <f>+C231*E231</f>
        <v>44625</v>
      </c>
      <c r="H231" s="154">
        <v>44625</v>
      </c>
      <c r="I231" s="149">
        <f t="shared" si="12"/>
        <v>44625</v>
      </c>
      <c r="K231" s="137">
        <f>H231/E231</f>
        <v>1</v>
      </c>
      <c r="L231" s="147">
        <f t="shared" si="13"/>
        <v>0</v>
      </c>
      <c r="M231" s="147">
        <f>H231*$N$3</f>
        <v>59149.10905273664</v>
      </c>
      <c r="N231" s="147">
        <f>M231*C231</f>
        <v>59149.10905273664</v>
      </c>
    </row>
    <row r="232" spans="1:14" x14ac:dyDescent="0.15">
      <c r="A232" s="7">
        <v>129.19999999999999</v>
      </c>
      <c r="B232" s="6" t="s">
        <v>104</v>
      </c>
      <c r="C232" s="11">
        <v>1</v>
      </c>
      <c r="D232" s="1" t="s">
        <v>23</v>
      </c>
      <c r="E232" s="151">
        <v>55125</v>
      </c>
      <c r="F232" s="134">
        <f>+C232*E232</f>
        <v>55125</v>
      </c>
      <c r="H232" s="154">
        <v>55125</v>
      </c>
      <c r="I232" s="149">
        <f t="shared" si="12"/>
        <v>55125</v>
      </c>
      <c r="K232" s="137">
        <f>H232/E232</f>
        <v>1</v>
      </c>
      <c r="L232" s="147">
        <f t="shared" si="13"/>
        <v>0</v>
      </c>
      <c r="M232" s="147">
        <f>H232*$N$3</f>
        <v>73066.546476909964</v>
      </c>
      <c r="N232" s="147">
        <f>M232*C232</f>
        <v>73066.546476909964</v>
      </c>
    </row>
    <row r="233" spans="1:14" x14ac:dyDescent="0.15">
      <c r="A233" s="7">
        <v>129.30000000000001</v>
      </c>
      <c r="B233" s="6" t="s">
        <v>110</v>
      </c>
      <c r="C233" s="5">
        <v>1</v>
      </c>
      <c r="D233" s="1" t="s">
        <v>23</v>
      </c>
      <c r="E233" s="151">
        <v>68775</v>
      </c>
      <c r="F233" s="134">
        <f>+C233*E233</f>
        <v>68775</v>
      </c>
      <c r="H233" s="154">
        <v>68775</v>
      </c>
      <c r="I233" s="149">
        <f t="shared" si="12"/>
        <v>68775</v>
      </c>
      <c r="K233" s="137">
        <f>H233/E233</f>
        <v>1</v>
      </c>
      <c r="L233" s="147">
        <f t="shared" si="13"/>
        <v>0</v>
      </c>
      <c r="M233" s="147">
        <f>H233*$N$3</f>
        <v>91159.215128335287</v>
      </c>
      <c r="N233" s="147">
        <f>M233*C233</f>
        <v>91159.215128335287</v>
      </c>
    </row>
    <row r="234" spans="1:14" ht="96" x14ac:dyDescent="0.15">
      <c r="A234" s="4">
        <v>130</v>
      </c>
      <c r="B234" s="1" t="s">
        <v>184</v>
      </c>
      <c r="C234" s="1"/>
      <c r="D234" s="1"/>
      <c r="E234" s="152">
        <v>0</v>
      </c>
      <c r="F234" s="134"/>
      <c r="H234" s="155">
        <v>0</v>
      </c>
      <c r="I234" s="149">
        <f t="shared" si="12"/>
        <v>0</v>
      </c>
      <c r="K234" s="137" t="e">
        <f>H234/E234</f>
        <v>#DIV/0!</v>
      </c>
      <c r="L234" s="147">
        <f t="shared" si="13"/>
        <v>0</v>
      </c>
      <c r="M234" s="147">
        <f>H234*$N$3</f>
        <v>0</v>
      </c>
      <c r="N234" s="147">
        <f>M234*C234</f>
        <v>0</v>
      </c>
    </row>
    <row r="235" spans="1:14" x14ac:dyDescent="0.15">
      <c r="A235" s="7">
        <v>130.1</v>
      </c>
      <c r="B235" s="6" t="s">
        <v>122</v>
      </c>
      <c r="C235" s="5">
        <v>100</v>
      </c>
      <c r="D235" s="6" t="s">
        <v>23</v>
      </c>
      <c r="E235" s="151">
        <v>1522.5</v>
      </c>
      <c r="F235" s="134">
        <f t="shared" ref="F235:F281" si="16">+C235*E235</f>
        <v>152250</v>
      </c>
      <c r="H235" s="154">
        <v>1522.5</v>
      </c>
      <c r="I235" s="149">
        <f t="shared" si="12"/>
        <v>152250</v>
      </c>
      <c r="K235" s="137">
        <f>H235/E235</f>
        <v>1</v>
      </c>
      <c r="L235" s="147">
        <f t="shared" si="13"/>
        <v>0</v>
      </c>
      <c r="M235" s="147">
        <f>H235*$N$3</f>
        <v>2018.0284265051323</v>
      </c>
      <c r="N235" s="147">
        <f>M235*C235</f>
        <v>201802.84265051322</v>
      </c>
    </row>
    <row r="236" spans="1:14" x14ac:dyDescent="0.15">
      <c r="A236" s="7">
        <v>130.19999999999999</v>
      </c>
      <c r="B236" s="6" t="s">
        <v>123</v>
      </c>
      <c r="C236" s="5">
        <v>300</v>
      </c>
      <c r="D236" s="6" t="s">
        <v>23</v>
      </c>
      <c r="E236" s="151">
        <v>1942.5</v>
      </c>
      <c r="F236" s="134">
        <f t="shared" si="16"/>
        <v>582750</v>
      </c>
      <c r="H236" s="154">
        <v>1942.5</v>
      </c>
      <c r="I236" s="149">
        <f t="shared" si="12"/>
        <v>582750</v>
      </c>
      <c r="K236" s="137">
        <f>H236/E236</f>
        <v>1</v>
      </c>
      <c r="L236" s="147">
        <f t="shared" si="13"/>
        <v>0</v>
      </c>
      <c r="M236" s="147">
        <f>H236*$N$3</f>
        <v>2574.7259234720655</v>
      </c>
      <c r="N236" s="147">
        <f>M236*C236</f>
        <v>772417.77704161964</v>
      </c>
    </row>
    <row r="237" spans="1:14" x14ac:dyDescent="0.15">
      <c r="A237" s="7">
        <v>130.30000000000001</v>
      </c>
      <c r="B237" s="6" t="s">
        <v>124</v>
      </c>
      <c r="C237" s="5">
        <v>50</v>
      </c>
      <c r="D237" s="6" t="s">
        <v>23</v>
      </c>
      <c r="E237" s="151">
        <v>2257.5</v>
      </c>
      <c r="F237" s="134">
        <f t="shared" si="16"/>
        <v>112875</v>
      </c>
      <c r="H237" s="154">
        <v>2257.5</v>
      </c>
      <c r="I237" s="149">
        <f t="shared" si="12"/>
        <v>112875</v>
      </c>
      <c r="K237" s="137">
        <f>H237/E237</f>
        <v>1</v>
      </c>
      <c r="L237" s="147">
        <f t="shared" si="13"/>
        <v>0</v>
      </c>
      <c r="M237" s="147">
        <f>H237*$N$3</f>
        <v>2992.2490461972652</v>
      </c>
      <c r="N237" s="147">
        <f>M237*C237</f>
        <v>149612.45230986326</v>
      </c>
    </row>
    <row r="238" spans="1:14" x14ac:dyDescent="0.15">
      <c r="A238" s="7">
        <v>130.4</v>
      </c>
      <c r="B238" s="6" t="s">
        <v>125</v>
      </c>
      <c r="C238" s="5">
        <v>50</v>
      </c>
      <c r="D238" s="6" t="s">
        <v>23</v>
      </c>
      <c r="E238" s="151">
        <v>2572.5</v>
      </c>
      <c r="F238" s="134">
        <f t="shared" si="16"/>
        <v>128625</v>
      </c>
      <c r="H238" s="154">
        <v>2572.5</v>
      </c>
      <c r="I238" s="149">
        <f t="shared" si="12"/>
        <v>128625</v>
      </c>
      <c r="K238" s="137">
        <f>H238/E238</f>
        <v>1</v>
      </c>
      <c r="L238" s="147">
        <f t="shared" si="13"/>
        <v>0</v>
      </c>
      <c r="M238" s="147">
        <f>H238*$N$3</f>
        <v>3409.772168922465</v>
      </c>
      <c r="N238" s="147">
        <f>M238*C238</f>
        <v>170488.60844612325</v>
      </c>
    </row>
    <row r="239" spans="1:14" ht="32" x14ac:dyDescent="0.15">
      <c r="A239" s="4">
        <v>131</v>
      </c>
      <c r="B239" s="6" t="s">
        <v>126</v>
      </c>
      <c r="C239" s="5">
        <v>600</v>
      </c>
      <c r="D239" s="6" t="s">
        <v>29</v>
      </c>
      <c r="E239" s="151">
        <v>110.25</v>
      </c>
      <c r="F239" s="134">
        <f t="shared" si="16"/>
        <v>66150</v>
      </c>
      <c r="H239" s="149">
        <v>150</v>
      </c>
      <c r="I239" s="149">
        <f t="shared" si="12"/>
        <v>90000</v>
      </c>
      <c r="K239" s="137">
        <f>H239/E239</f>
        <v>1.3605442176870748</v>
      </c>
      <c r="L239" s="147">
        <f t="shared" si="13"/>
        <v>23850</v>
      </c>
      <c r="M239" s="147">
        <f>H239*$N$3</f>
        <v>198.82053463104751</v>
      </c>
      <c r="N239" s="147">
        <f>M239*C239</f>
        <v>119292.32077862851</v>
      </c>
    </row>
    <row r="240" spans="1:14" ht="80" x14ac:dyDescent="0.15">
      <c r="A240" s="4">
        <v>132</v>
      </c>
      <c r="B240" s="6" t="s">
        <v>246</v>
      </c>
      <c r="C240" s="5">
        <v>4</v>
      </c>
      <c r="D240" s="6" t="s">
        <v>29</v>
      </c>
      <c r="E240" s="151">
        <v>1942.5</v>
      </c>
      <c r="F240" s="134">
        <f t="shared" si="16"/>
        <v>7770</v>
      </c>
      <c r="H240" s="149">
        <v>2500</v>
      </c>
      <c r="I240" s="149">
        <f t="shared" si="12"/>
        <v>10000</v>
      </c>
      <c r="K240" s="137">
        <f>H240/E240</f>
        <v>1.287001287001287</v>
      </c>
      <c r="L240" s="147">
        <f t="shared" si="13"/>
        <v>2230</v>
      </c>
      <c r="M240" s="147">
        <f>H240*$N$3</f>
        <v>3313.6755771841254</v>
      </c>
      <c r="N240" s="147">
        <f>M240*C240</f>
        <v>13254.702308736501</v>
      </c>
    </row>
    <row r="241" spans="1:14" ht="224" x14ac:dyDescent="0.15">
      <c r="A241" s="4">
        <v>133</v>
      </c>
      <c r="B241" s="6" t="s">
        <v>271</v>
      </c>
      <c r="C241" s="5">
        <v>1</v>
      </c>
      <c r="D241" s="6" t="s">
        <v>29</v>
      </c>
      <c r="E241" s="151">
        <v>341250</v>
      </c>
      <c r="F241" s="134">
        <f t="shared" si="16"/>
        <v>341250</v>
      </c>
      <c r="H241" s="149">
        <v>400000</v>
      </c>
      <c r="I241" s="149">
        <f t="shared" si="12"/>
        <v>400000</v>
      </c>
      <c r="K241" s="137">
        <f>H241/E241</f>
        <v>1.1721611721611722</v>
      </c>
      <c r="L241" s="147">
        <f t="shared" si="13"/>
        <v>58750</v>
      </c>
      <c r="M241" s="147">
        <f>H241*$N$3</f>
        <v>530188.09234946</v>
      </c>
      <c r="N241" s="147">
        <f>M241*C241</f>
        <v>530188.09234946</v>
      </c>
    </row>
    <row r="242" spans="1:14" ht="48" x14ac:dyDescent="0.15">
      <c r="A242" s="4">
        <v>134</v>
      </c>
      <c r="B242" s="6" t="s">
        <v>127</v>
      </c>
      <c r="C242" s="12">
        <v>1</v>
      </c>
      <c r="D242" s="6" t="s">
        <v>29</v>
      </c>
      <c r="E242" s="151">
        <v>89775</v>
      </c>
      <c r="F242" s="134">
        <f t="shared" si="16"/>
        <v>89775</v>
      </c>
      <c r="H242" s="149">
        <v>100000</v>
      </c>
      <c r="I242" s="149">
        <f t="shared" si="12"/>
        <v>100000</v>
      </c>
      <c r="K242" s="137">
        <f>H242/E242</f>
        <v>1.1138958507379559</v>
      </c>
      <c r="L242" s="147">
        <f t="shared" si="13"/>
        <v>10225</v>
      </c>
      <c r="M242" s="147">
        <f>H242*$N$3</f>
        <v>132547.023087365</v>
      </c>
      <c r="N242" s="147">
        <f>M242*C242</f>
        <v>132547.023087365</v>
      </c>
    </row>
    <row r="243" spans="1:14" ht="48" x14ac:dyDescent="0.15">
      <c r="A243" s="4">
        <v>135</v>
      </c>
      <c r="B243" s="6" t="s">
        <v>245</v>
      </c>
      <c r="C243" s="5">
        <v>2</v>
      </c>
      <c r="D243" s="6" t="s">
        <v>29</v>
      </c>
      <c r="E243" s="151">
        <v>57225</v>
      </c>
      <c r="F243" s="134">
        <f t="shared" si="16"/>
        <v>114450</v>
      </c>
      <c r="H243" s="149">
        <v>75000</v>
      </c>
      <c r="I243" s="149">
        <f t="shared" si="12"/>
        <v>150000</v>
      </c>
      <c r="K243" s="137">
        <f>H243/E243</f>
        <v>1.3106159895150722</v>
      </c>
      <c r="L243" s="147">
        <f t="shared" si="13"/>
        <v>35550</v>
      </c>
      <c r="M243" s="147">
        <f>H243*$N$3</f>
        <v>99410.267315523757</v>
      </c>
      <c r="N243" s="147">
        <f>M243*C243</f>
        <v>198820.53463104751</v>
      </c>
    </row>
    <row r="244" spans="1:14" ht="32" x14ac:dyDescent="0.15">
      <c r="A244" s="4">
        <v>136</v>
      </c>
      <c r="B244" s="6" t="s">
        <v>128</v>
      </c>
      <c r="C244" s="5">
        <v>30</v>
      </c>
      <c r="D244" s="6" t="s">
        <v>29</v>
      </c>
      <c r="E244" s="151">
        <v>2572.5</v>
      </c>
      <c r="F244" s="134">
        <f t="shared" si="16"/>
        <v>77175</v>
      </c>
      <c r="H244" s="154">
        <v>2572.5</v>
      </c>
      <c r="I244" s="149">
        <f t="shared" si="12"/>
        <v>77175</v>
      </c>
      <c r="K244" s="137">
        <f>H244/E244</f>
        <v>1</v>
      </c>
      <c r="L244" s="147">
        <f t="shared" si="13"/>
        <v>0</v>
      </c>
      <c r="M244" s="147">
        <f>H244*$N$3</f>
        <v>3409.772168922465</v>
      </c>
      <c r="N244" s="147">
        <f>M244*C244</f>
        <v>102293.16506767395</v>
      </c>
    </row>
    <row r="245" spans="1:14" ht="32" x14ac:dyDescent="0.15">
      <c r="A245" s="4">
        <v>137</v>
      </c>
      <c r="B245" s="6" t="s">
        <v>129</v>
      </c>
      <c r="C245" s="5">
        <v>400</v>
      </c>
      <c r="D245" s="6" t="s">
        <v>29</v>
      </c>
      <c r="E245" s="151">
        <v>2467.5</v>
      </c>
      <c r="F245" s="134">
        <f t="shared" si="16"/>
        <v>987000</v>
      </c>
      <c r="H245" s="154">
        <v>2467.5</v>
      </c>
      <c r="I245" s="149">
        <f t="shared" si="12"/>
        <v>987000</v>
      </c>
      <c r="K245" s="137">
        <f>H245/E245</f>
        <v>1</v>
      </c>
      <c r="L245" s="147">
        <f t="shared" si="13"/>
        <v>0</v>
      </c>
      <c r="M245" s="147">
        <f>H245*$N$3</f>
        <v>3270.5977946807316</v>
      </c>
      <c r="N245" s="147">
        <f>M245*C245</f>
        <v>1308239.1178722926</v>
      </c>
    </row>
    <row r="246" spans="1:14" ht="32" x14ac:dyDescent="0.15">
      <c r="A246" s="4">
        <v>138</v>
      </c>
      <c r="B246" s="6" t="s">
        <v>130</v>
      </c>
      <c r="C246" s="5">
        <v>200</v>
      </c>
      <c r="D246" s="6" t="s">
        <v>29</v>
      </c>
      <c r="E246" s="151">
        <v>2257.5</v>
      </c>
      <c r="F246" s="134">
        <f t="shared" si="16"/>
        <v>451500</v>
      </c>
      <c r="H246" s="154">
        <v>2257.5</v>
      </c>
      <c r="I246" s="149">
        <f t="shared" si="12"/>
        <v>451500</v>
      </c>
      <c r="K246" s="137">
        <f>H246/E246</f>
        <v>1</v>
      </c>
      <c r="L246" s="147">
        <f t="shared" si="13"/>
        <v>0</v>
      </c>
      <c r="M246" s="147">
        <f>H246*$N$3</f>
        <v>2992.2490461972652</v>
      </c>
      <c r="N246" s="147">
        <f>M246*C246</f>
        <v>598449.80923945305</v>
      </c>
    </row>
    <row r="247" spans="1:14" ht="32" x14ac:dyDescent="0.15">
      <c r="A247" s="4">
        <v>139</v>
      </c>
      <c r="B247" s="6" t="s">
        <v>131</v>
      </c>
      <c r="C247" s="5">
        <v>2</v>
      </c>
      <c r="D247" s="6" t="s">
        <v>29</v>
      </c>
      <c r="E247" s="151">
        <v>2782.5</v>
      </c>
      <c r="F247" s="134">
        <f t="shared" si="16"/>
        <v>5565</v>
      </c>
      <c r="H247" s="154">
        <v>2782.5</v>
      </c>
      <c r="I247" s="149">
        <f t="shared" si="12"/>
        <v>5565</v>
      </c>
      <c r="K247" s="137">
        <f>H247/E247</f>
        <v>1</v>
      </c>
      <c r="L247" s="147">
        <f t="shared" si="13"/>
        <v>0</v>
      </c>
      <c r="M247" s="147">
        <f>H247*$N$3</f>
        <v>3688.1209174059313</v>
      </c>
      <c r="N247" s="147">
        <f>M247*C247</f>
        <v>7376.2418348118626</v>
      </c>
    </row>
    <row r="248" spans="1:14" ht="32" x14ac:dyDescent="0.15">
      <c r="A248" s="4">
        <v>140</v>
      </c>
      <c r="B248" s="6" t="s">
        <v>132</v>
      </c>
      <c r="C248" s="5">
        <v>10</v>
      </c>
      <c r="D248" s="6" t="s">
        <v>29</v>
      </c>
      <c r="E248" s="151">
        <v>2572.5</v>
      </c>
      <c r="F248" s="134">
        <f t="shared" si="16"/>
        <v>25725</v>
      </c>
      <c r="H248" s="154">
        <v>2572.5</v>
      </c>
      <c r="I248" s="149">
        <f t="shared" si="12"/>
        <v>25725</v>
      </c>
      <c r="K248" s="137">
        <f>H248/E248</f>
        <v>1</v>
      </c>
      <c r="L248" s="147">
        <f t="shared" si="13"/>
        <v>0</v>
      </c>
      <c r="M248" s="147">
        <f>H248*$N$3</f>
        <v>3409.772168922465</v>
      </c>
      <c r="N248" s="147">
        <f>M248*C248</f>
        <v>34097.721689224651</v>
      </c>
    </row>
    <row r="249" spans="1:14" ht="32" x14ac:dyDescent="0.15">
      <c r="A249" s="4">
        <v>141</v>
      </c>
      <c r="B249" s="6" t="s">
        <v>133</v>
      </c>
      <c r="C249" s="5">
        <v>2</v>
      </c>
      <c r="D249" s="6" t="s">
        <v>29</v>
      </c>
      <c r="E249" s="151">
        <v>8925</v>
      </c>
      <c r="F249" s="134">
        <f t="shared" si="16"/>
        <v>17850</v>
      </c>
      <c r="H249" s="149">
        <v>100000</v>
      </c>
      <c r="I249" s="149">
        <f t="shared" si="12"/>
        <v>200000</v>
      </c>
      <c r="K249" s="137">
        <f>H249/E249</f>
        <v>11.204481792717086</v>
      </c>
      <c r="L249" s="147">
        <f t="shared" si="13"/>
        <v>182150</v>
      </c>
      <c r="M249" s="147">
        <f>H249*$N$3</f>
        <v>132547.023087365</v>
      </c>
      <c r="N249" s="147">
        <f>M249*C249</f>
        <v>265094.04617473</v>
      </c>
    </row>
    <row r="250" spans="1:14" ht="32" x14ac:dyDescent="0.15">
      <c r="A250" s="4">
        <v>142</v>
      </c>
      <c r="B250" s="6" t="s">
        <v>134</v>
      </c>
      <c r="C250" s="5">
        <v>10</v>
      </c>
      <c r="D250" s="6" t="s">
        <v>29</v>
      </c>
      <c r="E250" s="151">
        <v>3412.5</v>
      </c>
      <c r="F250" s="134">
        <f t="shared" si="16"/>
        <v>34125</v>
      </c>
      <c r="H250" s="154">
        <v>3412.5</v>
      </c>
      <c r="I250" s="149">
        <f t="shared" si="12"/>
        <v>34125</v>
      </c>
      <c r="K250" s="137">
        <f>H250/E250</f>
        <v>1</v>
      </c>
      <c r="L250" s="147">
        <f t="shared" si="13"/>
        <v>0</v>
      </c>
      <c r="M250" s="147">
        <f>H250*$N$3</f>
        <v>4523.1671628563308</v>
      </c>
      <c r="N250" s="147">
        <f>M250*C250</f>
        <v>45231.671628563308</v>
      </c>
    </row>
    <row r="251" spans="1:14" ht="48" x14ac:dyDescent="0.15">
      <c r="A251" s="4">
        <v>143</v>
      </c>
      <c r="B251" s="6" t="s">
        <v>244</v>
      </c>
      <c r="C251" s="5">
        <v>10</v>
      </c>
      <c r="D251" s="6" t="s">
        <v>29</v>
      </c>
      <c r="E251" s="151">
        <v>57225</v>
      </c>
      <c r="F251" s="134">
        <f t="shared" si="16"/>
        <v>572250</v>
      </c>
      <c r="H251" s="154">
        <v>57225</v>
      </c>
      <c r="I251" s="149">
        <f t="shared" si="12"/>
        <v>572250</v>
      </c>
      <c r="K251" s="137">
        <f>H251/E251</f>
        <v>1</v>
      </c>
      <c r="L251" s="147">
        <f t="shared" si="13"/>
        <v>0</v>
      </c>
      <c r="M251" s="147">
        <f>H251*$N$3</f>
        <v>75850.03396174463</v>
      </c>
      <c r="N251" s="147">
        <f>M251*C251</f>
        <v>758500.3396174463</v>
      </c>
    </row>
    <row r="252" spans="1:14" ht="32" x14ac:dyDescent="0.15">
      <c r="A252" s="4">
        <v>144</v>
      </c>
      <c r="B252" s="6" t="s">
        <v>135</v>
      </c>
      <c r="C252" s="5">
        <v>12</v>
      </c>
      <c r="D252" s="6" t="s">
        <v>29</v>
      </c>
      <c r="E252" s="151">
        <v>13125</v>
      </c>
      <c r="F252" s="134">
        <f t="shared" si="16"/>
        <v>157500</v>
      </c>
      <c r="H252" s="154">
        <v>13125</v>
      </c>
      <c r="I252" s="149">
        <f t="shared" si="12"/>
        <v>157500</v>
      </c>
      <c r="K252" s="137">
        <f>H252/E252</f>
        <v>1</v>
      </c>
      <c r="L252" s="147">
        <f t="shared" si="13"/>
        <v>0</v>
      </c>
      <c r="M252" s="147">
        <f>H252*$N$3</f>
        <v>17396.796780216657</v>
      </c>
      <c r="N252" s="147">
        <f>M252*C252</f>
        <v>208761.5613625999</v>
      </c>
    </row>
    <row r="253" spans="1:14" ht="32" x14ac:dyDescent="0.15">
      <c r="A253" s="4">
        <v>145</v>
      </c>
      <c r="B253" s="6" t="s">
        <v>136</v>
      </c>
      <c r="C253" s="5">
        <v>20</v>
      </c>
      <c r="D253" s="6" t="s">
        <v>29</v>
      </c>
      <c r="E253" s="151">
        <v>4462.5</v>
      </c>
      <c r="F253" s="134">
        <f t="shared" si="16"/>
        <v>89250</v>
      </c>
      <c r="H253" s="154">
        <v>4462.5</v>
      </c>
      <c r="I253" s="149">
        <f t="shared" si="12"/>
        <v>89250</v>
      </c>
      <c r="K253" s="137">
        <f>H253/E253</f>
        <v>1</v>
      </c>
      <c r="L253" s="147">
        <f t="shared" si="13"/>
        <v>0</v>
      </c>
      <c r="M253" s="147">
        <f>H253*$N$3</f>
        <v>5914.910905273664</v>
      </c>
      <c r="N253" s="147">
        <f>M253*C253</f>
        <v>118298.21810547328</v>
      </c>
    </row>
    <row r="254" spans="1:14" ht="32" x14ac:dyDescent="0.15">
      <c r="A254" s="4">
        <v>146</v>
      </c>
      <c r="B254" s="6" t="s">
        <v>137</v>
      </c>
      <c r="C254" s="5">
        <v>2</v>
      </c>
      <c r="D254" s="6" t="s">
        <v>29</v>
      </c>
      <c r="E254" s="151">
        <v>6825</v>
      </c>
      <c r="F254" s="134">
        <f t="shared" si="16"/>
        <v>13650</v>
      </c>
      <c r="H254" s="154">
        <v>6825</v>
      </c>
      <c r="I254" s="149">
        <f t="shared" si="12"/>
        <v>13650</v>
      </c>
      <c r="K254" s="137">
        <f>H254/E254</f>
        <v>1</v>
      </c>
      <c r="L254" s="147">
        <f t="shared" si="13"/>
        <v>0</v>
      </c>
      <c r="M254" s="147">
        <f>H254*$N$3</f>
        <v>9046.3343257126617</v>
      </c>
      <c r="N254" s="147">
        <f>M254*C254</f>
        <v>18092.668651425323</v>
      </c>
    </row>
    <row r="255" spans="1:14" ht="32" x14ac:dyDescent="0.15">
      <c r="A255" s="4">
        <v>147</v>
      </c>
      <c r="B255" s="6" t="s">
        <v>138</v>
      </c>
      <c r="C255" s="5">
        <v>1</v>
      </c>
      <c r="D255" s="6" t="s">
        <v>29</v>
      </c>
      <c r="E255" s="151">
        <v>25725</v>
      </c>
      <c r="F255" s="134">
        <f t="shared" si="16"/>
        <v>25725</v>
      </c>
      <c r="H255" s="154">
        <v>25725</v>
      </c>
      <c r="I255" s="149">
        <f t="shared" si="12"/>
        <v>25725</v>
      </c>
      <c r="K255" s="137">
        <f>H255/E255</f>
        <v>1</v>
      </c>
      <c r="L255" s="147">
        <f t="shared" si="13"/>
        <v>0</v>
      </c>
      <c r="M255" s="147">
        <f>H255*$N$3</f>
        <v>34097.721689224651</v>
      </c>
      <c r="N255" s="147">
        <f>M255*C255</f>
        <v>34097.721689224651</v>
      </c>
    </row>
    <row r="256" spans="1:14" ht="48" x14ac:dyDescent="0.15">
      <c r="A256" s="4">
        <v>148</v>
      </c>
      <c r="B256" s="6" t="s">
        <v>243</v>
      </c>
      <c r="C256" s="5">
        <v>1</v>
      </c>
      <c r="D256" s="6" t="s">
        <v>29</v>
      </c>
      <c r="E256" s="151">
        <v>9975</v>
      </c>
      <c r="F256" s="134">
        <f t="shared" si="16"/>
        <v>9975</v>
      </c>
      <c r="H256" s="149">
        <v>150000</v>
      </c>
      <c r="I256" s="149">
        <f t="shared" si="12"/>
        <v>150000</v>
      </c>
      <c r="K256" s="137">
        <f>H256/E256</f>
        <v>15.037593984962406</v>
      </c>
      <c r="L256" s="147">
        <f t="shared" si="13"/>
        <v>140025</v>
      </c>
      <c r="M256" s="147">
        <f>H256*$N$3</f>
        <v>198820.53463104751</v>
      </c>
      <c r="N256" s="147">
        <f>M256*C256</f>
        <v>198820.53463104751</v>
      </c>
    </row>
    <row r="257" spans="1:14" ht="32" x14ac:dyDescent="0.15">
      <c r="A257" s="4">
        <v>149</v>
      </c>
      <c r="B257" s="6" t="s">
        <v>139</v>
      </c>
      <c r="C257" s="11">
        <v>1</v>
      </c>
      <c r="D257" s="6" t="s">
        <v>29</v>
      </c>
      <c r="E257" s="151">
        <v>8925</v>
      </c>
      <c r="F257" s="134">
        <f t="shared" si="16"/>
        <v>8925</v>
      </c>
      <c r="H257" s="154">
        <v>8925</v>
      </c>
      <c r="I257" s="149">
        <f t="shared" si="12"/>
        <v>8925</v>
      </c>
      <c r="K257" s="137">
        <f>H257/E257</f>
        <v>1</v>
      </c>
      <c r="L257" s="147">
        <f t="shared" si="13"/>
        <v>0</v>
      </c>
      <c r="M257" s="147">
        <f>H257*$N$3</f>
        <v>11829.821810547328</v>
      </c>
      <c r="N257" s="147">
        <f>M257*C257</f>
        <v>11829.821810547328</v>
      </c>
    </row>
    <row r="258" spans="1:14" ht="64" x14ac:dyDescent="0.15">
      <c r="A258" s="4">
        <v>150</v>
      </c>
      <c r="B258" s="1" t="s">
        <v>185</v>
      </c>
      <c r="C258" s="5">
        <v>2</v>
      </c>
      <c r="D258" s="6" t="s">
        <v>29</v>
      </c>
      <c r="E258" s="151">
        <v>5250</v>
      </c>
      <c r="F258" s="134">
        <f t="shared" si="16"/>
        <v>10500</v>
      </c>
      <c r="H258" s="154">
        <v>5250</v>
      </c>
      <c r="I258" s="149">
        <f t="shared" si="12"/>
        <v>10500</v>
      </c>
      <c r="K258" s="137">
        <f>H258/E258</f>
        <v>1</v>
      </c>
      <c r="L258" s="147">
        <f t="shared" si="13"/>
        <v>0</v>
      </c>
      <c r="M258" s="147">
        <f>H258*$N$3</f>
        <v>6958.7187120866629</v>
      </c>
      <c r="N258" s="147">
        <f>M258*C258</f>
        <v>13917.437424173326</v>
      </c>
    </row>
    <row r="259" spans="1:14" ht="64" x14ac:dyDescent="0.15">
      <c r="A259" s="4">
        <v>151</v>
      </c>
      <c r="B259" s="1" t="s">
        <v>186</v>
      </c>
      <c r="C259" s="5">
        <v>2</v>
      </c>
      <c r="D259" s="6" t="s">
        <v>29</v>
      </c>
      <c r="E259" s="151">
        <v>131250</v>
      </c>
      <c r="F259" s="134">
        <f t="shared" si="16"/>
        <v>262500</v>
      </c>
      <c r="H259" s="154">
        <v>131250</v>
      </c>
      <c r="I259" s="149">
        <f t="shared" si="12"/>
        <v>262500</v>
      </c>
      <c r="K259" s="137">
        <f>H259/E259</f>
        <v>1</v>
      </c>
      <c r="L259" s="147">
        <f t="shared" si="13"/>
        <v>0</v>
      </c>
      <c r="M259" s="147">
        <f>H259*$N$3</f>
        <v>173967.96780216659</v>
      </c>
      <c r="N259" s="147">
        <f>M259*C259</f>
        <v>347935.93560433318</v>
      </c>
    </row>
    <row r="260" spans="1:14" ht="32" x14ac:dyDescent="0.15">
      <c r="A260" s="4">
        <v>152</v>
      </c>
      <c r="B260" s="6" t="s">
        <v>140</v>
      </c>
      <c r="C260" s="5">
        <v>50</v>
      </c>
      <c r="D260" s="6" t="s">
        <v>29</v>
      </c>
      <c r="E260" s="151">
        <v>2572.5</v>
      </c>
      <c r="F260" s="134">
        <f t="shared" si="16"/>
        <v>128625</v>
      </c>
      <c r="H260" s="154">
        <v>2572.5</v>
      </c>
      <c r="I260" s="149">
        <f t="shared" si="12"/>
        <v>128625</v>
      </c>
      <c r="K260" s="137">
        <f>H260/E260</f>
        <v>1</v>
      </c>
      <c r="L260" s="147">
        <f t="shared" si="13"/>
        <v>0</v>
      </c>
      <c r="M260" s="147">
        <f>H260*$N$3</f>
        <v>3409.772168922465</v>
      </c>
      <c r="N260" s="147">
        <f>M260*C260</f>
        <v>170488.60844612325</v>
      </c>
    </row>
    <row r="261" spans="1:14" ht="32" x14ac:dyDescent="0.15">
      <c r="A261" s="4">
        <v>153</v>
      </c>
      <c r="B261" s="6" t="s">
        <v>141</v>
      </c>
      <c r="C261" s="5">
        <v>30</v>
      </c>
      <c r="D261" s="6" t="s">
        <v>29</v>
      </c>
      <c r="E261" s="151">
        <v>3412.5</v>
      </c>
      <c r="F261" s="134">
        <f t="shared" si="16"/>
        <v>102375</v>
      </c>
      <c r="H261" s="154">
        <v>3412.5</v>
      </c>
      <c r="I261" s="149">
        <f t="shared" si="12"/>
        <v>102375</v>
      </c>
      <c r="K261" s="137">
        <f>H261/E261</f>
        <v>1</v>
      </c>
      <c r="L261" s="147">
        <f t="shared" si="13"/>
        <v>0</v>
      </c>
      <c r="M261" s="147">
        <f>H261*$N$3</f>
        <v>4523.1671628563308</v>
      </c>
      <c r="N261" s="147">
        <f>M261*C261</f>
        <v>135695.01488568992</v>
      </c>
    </row>
    <row r="262" spans="1:14" ht="32" x14ac:dyDescent="0.15">
      <c r="A262" s="4">
        <v>154</v>
      </c>
      <c r="B262" s="6" t="s">
        <v>142</v>
      </c>
      <c r="C262" s="5">
        <v>30</v>
      </c>
      <c r="D262" s="6" t="s">
        <v>29</v>
      </c>
      <c r="E262" s="151">
        <v>4410</v>
      </c>
      <c r="F262" s="134">
        <f t="shared" si="16"/>
        <v>132300</v>
      </c>
      <c r="H262" s="154">
        <v>4410</v>
      </c>
      <c r="I262" s="149">
        <f t="shared" si="12"/>
        <v>132300</v>
      </c>
      <c r="K262" s="137">
        <f>H262/E262</f>
        <v>1</v>
      </c>
      <c r="L262" s="147">
        <f t="shared" si="13"/>
        <v>0</v>
      </c>
      <c r="M262" s="147">
        <f>H262*$N$3</f>
        <v>5845.3237181527975</v>
      </c>
      <c r="N262" s="147">
        <f>M262*C262</f>
        <v>175359.71154458393</v>
      </c>
    </row>
    <row r="263" spans="1:14" ht="32" x14ac:dyDescent="0.15">
      <c r="A263" s="4">
        <v>155</v>
      </c>
      <c r="B263" s="6" t="s">
        <v>143</v>
      </c>
      <c r="C263" s="5">
        <v>20</v>
      </c>
      <c r="D263" s="6" t="s">
        <v>29</v>
      </c>
      <c r="E263" s="151">
        <v>3780</v>
      </c>
      <c r="F263" s="134">
        <f t="shared" si="16"/>
        <v>75600</v>
      </c>
      <c r="H263" s="154">
        <v>3780</v>
      </c>
      <c r="I263" s="149">
        <f t="shared" ref="I263:I281" si="17">+H263*C263</f>
        <v>75600</v>
      </c>
      <c r="K263" s="137">
        <f>H263/E263</f>
        <v>1</v>
      </c>
      <c r="L263" s="147">
        <f t="shared" ref="L263:L281" si="18">I263-F263</f>
        <v>0</v>
      </c>
      <c r="M263" s="147">
        <f>H263*$N$3</f>
        <v>5010.2774727023971</v>
      </c>
      <c r="N263" s="147">
        <f>M263*C263</f>
        <v>100205.54945404794</v>
      </c>
    </row>
    <row r="264" spans="1:14" ht="32" x14ac:dyDescent="0.15">
      <c r="A264" s="4">
        <v>156</v>
      </c>
      <c r="B264" s="6" t="s">
        <v>144</v>
      </c>
      <c r="C264" s="5">
        <v>4</v>
      </c>
      <c r="D264" s="6" t="s">
        <v>29</v>
      </c>
      <c r="E264" s="151">
        <v>47775</v>
      </c>
      <c r="F264" s="134">
        <f t="shared" si="16"/>
        <v>191100</v>
      </c>
      <c r="H264" s="154">
        <v>47775</v>
      </c>
      <c r="I264" s="149">
        <f t="shared" si="17"/>
        <v>191100</v>
      </c>
      <c r="K264" s="137">
        <f>H264/E264</f>
        <v>1</v>
      </c>
      <c r="L264" s="147">
        <f t="shared" si="18"/>
        <v>0</v>
      </c>
      <c r="M264" s="147">
        <f>H264*$N$3</f>
        <v>63324.340279988632</v>
      </c>
      <c r="N264" s="147">
        <f>M264*C264</f>
        <v>253297.36111995453</v>
      </c>
    </row>
    <row r="265" spans="1:14" ht="32" x14ac:dyDescent="0.15">
      <c r="A265" s="4">
        <v>157</v>
      </c>
      <c r="B265" s="6" t="s">
        <v>145</v>
      </c>
      <c r="C265" s="5">
        <v>2</v>
      </c>
      <c r="D265" s="6" t="s">
        <v>29</v>
      </c>
      <c r="E265" s="151">
        <v>57225</v>
      </c>
      <c r="F265" s="134">
        <f t="shared" si="16"/>
        <v>114450</v>
      </c>
      <c r="H265" s="154">
        <v>57225</v>
      </c>
      <c r="I265" s="149">
        <f t="shared" si="17"/>
        <v>114450</v>
      </c>
      <c r="K265" s="137">
        <f>H265/E265</f>
        <v>1</v>
      </c>
      <c r="L265" s="147">
        <f t="shared" si="18"/>
        <v>0</v>
      </c>
      <c r="M265" s="147">
        <f>H265*$N$3</f>
        <v>75850.03396174463</v>
      </c>
      <c r="N265" s="147">
        <f>M265*C265</f>
        <v>151700.06792348926</v>
      </c>
    </row>
    <row r="266" spans="1:14" ht="48" x14ac:dyDescent="0.15">
      <c r="A266" s="4">
        <v>158</v>
      </c>
      <c r="B266" s="6" t="s">
        <v>242</v>
      </c>
      <c r="C266" s="5">
        <v>2</v>
      </c>
      <c r="D266" s="6" t="s">
        <v>29</v>
      </c>
      <c r="E266" s="151">
        <v>9996</v>
      </c>
      <c r="F266" s="134">
        <f t="shared" si="16"/>
        <v>19992</v>
      </c>
      <c r="H266" s="154">
        <v>9996</v>
      </c>
      <c r="I266" s="149">
        <f t="shared" si="17"/>
        <v>19992</v>
      </c>
      <c r="K266" s="137">
        <f>H266/E266</f>
        <v>1</v>
      </c>
      <c r="L266" s="147">
        <f t="shared" si="18"/>
        <v>0</v>
      </c>
      <c r="M266" s="147">
        <f>H266*$N$3</f>
        <v>13249.400427813007</v>
      </c>
      <c r="N266" s="147">
        <f>M266*C266</f>
        <v>26498.800855626014</v>
      </c>
    </row>
    <row r="267" spans="1:14" ht="32" x14ac:dyDescent="0.15">
      <c r="A267" s="4">
        <v>159</v>
      </c>
      <c r="B267" s="6" t="s">
        <v>146</v>
      </c>
      <c r="C267" s="5">
        <v>6</v>
      </c>
      <c r="D267" s="6" t="s">
        <v>29</v>
      </c>
      <c r="E267" s="151">
        <v>19425</v>
      </c>
      <c r="F267" s="134">
        <f t="shared" si="16"/>
        <v>116550</v>
      </c>
      <c r="H267" s="154">
        <v>19425</v>
      </c>
      <c r="I267" s="149">
        <f t="shared" si="17"/>
        <v>116550</v>
      </c>
      <c r="K267" s="137">
        <f>H267/E267</f>
        <v>1</v>
      </c>
      <c r="L267" s="147">
        <f t="shared" si="18"/>
        <v>0</v>
      </c>
      <c r="M267" s="147">
        <f>H267*$N$3</f>
        <v>25747.259234720652</v>
      </c>
      <c r="N267" s="147">
        <f>M267*C267</f>
        <v>154483.55540832391</v>
      </c>
    </row>
    <row r="268" spans="1:14" ht="80" x14ac:dyDescent="0.15">
      <c r="A268" s="4">
        <v>160</v>
      </c>
      <c r="B268" s="1" t="s">
        <v>187</v>
      </c>
      <c r="C268" s="5">
        <v>2000</v>
      </c>
      <c r="D268" s="6" t="s">
        <v>98</v>
      </c>
      <c r="E268" s="151">
        <v>131.25</v>
      </c>
      <c r="F268" s="134">
        <f t="shared" si="16"/>
        <v>262500</v>
      </c>
      <c r="H268" s="154">
        <v>131.25</v>
      </c>
      <c r="I268" s="149">
        <f t="shared" si="17"/>
        <v>262500</v>
      </c>
      <c r="K268" s="137">
        <f>H268/E268</f>
        <v>1</v>
      </c>
      <c r="L268" s="147">
        <f t="shared" si="18"/>
        <v>0</v>
      </c>
      <c r="M268" s="147">
        <f>H268*$N$3</f>
        <v>173.96796780216658</v>
      </c>
      <c r="N268" s="147">
        <f>M268*C268</f>
        <v>347935.93560433318</v>
      </c>
    </row>
    <row r="269" spans="1:14" ht="51.75" customHeight="1" x14ac:dyDescent="0.15">
      <c r="A269" s="4">
        <v>161</v>
      </c>
      <c r="B269" s="6" t="s">
        <v>241</v>
      </c>
      <c r="C269" s="5">
        <v>6000</v>
      </c>
      <c r="D269" s="6" t="s">
        <v>98</v>
      </c>
      <c r="E269" s="151">
        <v>131.25</v>
      </c>
      <c r="F269" s="134">
        <f t="shared" si="16"/>
        <v>787500</v>
      </c>
      <c r="H269" s="154">
        <v>131.25</v>
      </c>
      <c r="I269" s="149">
        <f t="shared" si="17"/>
        <v>787500</v>
      </c>
      <c r="K269" s="137">
        <f>H269/E269</f>
        <v>1</v>
      </c>
      <c r="L269" s="147">
        <f t="shared" si="18"/>
        <v>0</v>
      </c>
      <c r="M269" s="147">
        <f>H269*$N$3</f>
        <v>173.96796780216658</v>
      </c>
      <c r="N269" s="147">
        <f>M269*C269</f>
        <v>1043807.8068129995</v>
      </c>
    </row>
    <row r="270" spans="1:14" ht="51.75" customHeight="1" x14ac:dyDescent="0.15">
      <c r="A270" s="4">
        <v>162</v>
      </c>
      <c r="B270" s="6" t="s">
        <v>240</v>
      </c>
      <c r="C270" s="1"/>
      <c r="D270" s="1"/>
      <c r="E270" s="152">
        <v>0</v>
      </c>
      <c r="F270" s="134">
        <f t="shared" si="16"/>
        <v>0</v>
      </c>
      <c r="H270" s="149">
        <f>+[1]BOQ!$F270</f>
        <v>0</v>
      </c>
      <c r="I270" s="149">
        <f t="shared" si="17"/>
        <v>0</v>
      </c>
      <c r="K270" s="137" t="e">
        <f>H270/E270</f>
        <v>#DIV/0!</v>
      </c>
      <c r="L270" s="147">
        <f t="shared" si="18"/>
        <v>0</v>
      </c>
      <c r="M270" s="147">
        <f>H270*$N$3</f>
        <v>0</v>
      </c>
      <c r="N270" s="147">
        <f>M270*C270</f>
        <v>0</v>
      </c>
    </row>
    <row r="271" spans="1:14" x14ac:dyDescent="0.15">
      <c r="A271" s="7">
        <v>162.1</v>
      </c>
      <c r="B271" s="6" t="s">
        <v>147</v>
      </c>
      <c r="C271" s="5">
        <v>500</v>
      </c>
      <c r="D271" s="6" t="s">
        <v>98</v>
      </c>
      <c r="E271" s="151">
        <v>110.25</v>
      </c>
      <c r="F271" s="134">
        <f t="shared" si="16"/>
        <v>55125</v>
      </c>
      <c r="H271" s="154">
        <v>110.25</v>
      </c>
      <c r="I271" s="149">
        <f t="shared" si="17"/>
        <v>55125</v>
      </c>
      <c r="K271" s="137">
        <f>H271/E271</f>
        <v>1</v>
      </c>
      <c r="L271" s="147">
        <f t="shared" si="18"/>
        <v>0</v>
      </c>
      <c r="M271" s="147">
        <f>H271*$N$3</f>
        <v>146.13309295381993</v>
      </c>
      <c r="N271" s="147">
        <f>M271*C271</f>
        <v>73066.546476909964</v>
      </c>
    </row>
    <row r="272" spans="1:14" x14ac:dyDescent="0.15">
      <c r="A272" s="7">
        <v>162.19999999999999</v>
      </c>
      <c r="B272" s="6" t="s">
        <v>148</v>
      </c>
      <c r="C272" s="5">
        <v>1000</v>
      </c>
      <c r="D272" s="6" t="s">
        <v>98</v>
      </c>
      <c r="E272" s="151">
        <v>126</v>
      </c>
      <c r="F272" s="134">
        <f t="shared" si="16"/>
        <v>126000</v>
      </c>
      <c r="H272" s="154">
        <v>126</v>
      </c>
      <c r="I272" s="149">
        <f t="shared" si="17"/>
        <v>126000</v>
      </c>
      <c r="K272" s="137">
        <f>H272/E272</f>
        <v>1</v>
      </c>
      <c r="L272" s="147">
        <f t="shared" si="18"/>
        <v>0</v>
      </c>
      <c r="M272" s="147">
        <f>H272*$N$3</f>
        <v>167.00924909007992</v>
      </c>
      <c r="N272" s="147">
        <f>M272*C272</f>
        <v>167009.24909007992</v>
      </c>
    </row>
    <row r="273" spans="1:14" x14ac:dyDescent="0.15">
      <c r="A273" s="7">
        <v>162.30000000000001</v>
      </c>
      <c r="B273" s="6" t="s">
        <v>149</v>
      </c>
      <c r="C273" s="5">
        <v>1000</v>
      </c>
      <c r="D273" s="6" t="s">
        <v>98</v>
      </c>
      <c r="E273" s="151">
        <v>147</v>
      </c>
      <c r="F273" s="134">
        <f t="shared" si="16"/>
        <v>147000</v>
      </c>
      <c r="H273" s="154">
        <v>147</v>
      </c>
      <c r="I273" s="149">
        <f t="shared" si="17"/>
        <v>147000</v>
      </c>
      <c r="K273" s="137">
        <f>H273/E273</f>
        <v>1</v>
      </c>
      <c r="L273" s="147">
        <f t="shared" si="18"/>
        <v>0</v>
      </c>
      <c r="M273" s="147">
        <f>H273*$N$3</f>
        <v>194.84412393842658</v>
      </c>
      <c r="N273" s="147">
        <f>M273*C273</f>
        <v>194844.12393842658</v>
      </c>
    </row>
    <row r="274" spans="1:14" x14ac:dyDescent="0.15">
      <c r="A274" s="7">
        <v>162.4</v>
      </c>
      <c r="B274" s="6" t="s">
        <v>150</v>
      </c>
      <c r="C274" s="5">
        <v>1000</v>
      </c>
      <c r="D274" s="6" t="s">
        <v>98</v>
      </c>
      <c r="E274" s="151">
        <v>168</v>
      </c>
      <c r="F274" s="134">
        <f t="shared" si="16"/>
        <v>168000</v>
      </c>
      <c r="H274" s="154">
        <v>168</v>
      </c>
      <c r="I274" s="149">
        <f t="shared" si="17"/>
        <v>168000</v>
      </c>
      <c r="K274" s="137">
        <f>H274/E274</f>
        <v>1</v>
      </c>
      <c r="L274" s="147">
        <f t="shared" si="18"/>
        <v>0</v>
      </c>
      <c r="M274" s="147">
        <f>H274*$N$3</f>
        <v>222.67899878677321</v>
      </c>
      <c r="N274" s="147">
        <f>M274*C274</f>
        <v>222678.99878677321</v>
      </c>
    </row>
    <row r="275" spans="1:14" ht="32" x14ac:dyDescent="0.15">
      <c r="A275" s="4">
        <v>163</v>
      </c>
      <c r="B275" s="6" t="s">
        <v>151</v>
      </c>
      <c r="C275" s="5">
        <v>3000</v>
      </c>
      <c r="D275" s="6" t="s">
        <v>98</v>
      </c>
      <c r="E275" s="151">
        <v>68.25</v>
      </c>
      <c r="F275" s="134">
        <f t="shared" si="16"/>
        <v>204750</v>
      </c>
      <c r="H275" s="154">
        <v>68.25</v>
      </c>
      <c r="I275" s="149">
        <f t="shared" si="17"/>
        <v>204750</v>
      </c>
      <c r="K275" s="137">
        <f>H275/E275</f>
        <v>1</v>
      </c>
      <c r="L275" s="147">
        <f t="shared" si="18"/>
        <v>0</v>
      </c>
      <c r="M275" s="147">
        <f>H275*$N$3</f>
        <v>90.463343257126624</v>
      </c>
      <c r="N275" s="147">
        <f>M275*C275</f>
        <v>271390.02977137989</v>
      </c>
    </row>
    <row r="276" spans="1:14" ht="80" x14ac:dyDescent="0.15">
      <c r="A276" s="4">
        <v>164</v>
      </c>
      <c r="B276" s="1" t="s">
        <v>188</v>
      </c>
      <c r="C276" s="5">
        <v>3000</v>
      </c>
      <c r="D276" s="6" t="s">
        <v>4</v>
      </c>
      <c r="E276" s="151">
        <v>73.5</v>
      </c>
      <c r="F276" s="134">
        <f t="shared" si="16"/>
        <v>220500</v>
      </c>
      <c r="H276" s="154">
        <v>73.5</v>
      </c>
      <c r="I276" s="149">
        <f t="shared" si="17"/>
        <v>220500</v>
      </c>
      <c r="K276" s="137">
        <f>H276/E276</f>
        <v>1</v>
      </c>
      <c r="L276" s="147">
        <f t="shared" si="18"/>
        <v>0</v>
      </c>
      <c r="M276" s="147">
        <f>H276*$N$3</f>
        <v>97.422061969213289</v>
      </c>
      <c r="N276" s="147">
        <f>M276*C276</f>
        <v>292266.18590763985</v>
      </c>
    </row>
    <row r="277" spans="1:14" ht="32" x14ac:dyDescent="0.15">
      <c r="A277" s="4">
        <v>165</v>
      </c>
      <c r="B277" s="6" t="s">
        <v>152</v>
      </c>
      <c r="C277" s="11">
        <v>1800</v>
      </c>
      <c r="D277" s="6" t="s">
        <v>4</v>
      </c>
      <c r="E277" s="151">
        <v>472.5</v>
      </c>
      <c r="F277" s="134">
        <f t="shared" si="16"/>
        <v>850500</v>
      </c>
      <c r="H277" s="154">
        <v>472.5</v>
      </c>
      <c r="I277" s="149">
        <f t="shared" si="17"/>
        <v>850500</v>
      </c>
      <c r="K277" s="137">
        <f>H277/E277</f>
        <v>1</v>
      </c>
      <c r="L277" s="147">
        <f t="shared" si="18"/>
        <v>0</v>
      </c>
      <c r="M277" s="147">
        <f>H277*$N$3</f>
        <v>626.28468408779963</v>
      </c>
      <c r="N277" s="147">
        <f>M277*C277</f>
        <v>1127312.4313580394</v>
      </c>
    </row>
    <row r="278" spans="1:14" ht="32" x14ac:dyDescent="0.15">
      <c r="A278" s="4">
        <v>166</v>
      </c>
      <c r="B278" s="6" t="s">
        <v>189</v>
      </c>
      <c r="C278" s="5">
        <v>1800</v>
      </c>
      <c r="D278" s="6" t="s">
        <v>4</v>
      </c>
      <c r="E278" s="151">
        <v>367.5</v>
      </c>
      <c r="F278" s="134">
        <f t="shared" si="16"/>
        <v>661500</v>
      </c>
      <c r="H278" s="154">
        <v>367.5</v>
      </c>
      <c r="I278" s="149">
        <f t="shared" si="17"/>
        <v>661500</v>
      </c>
      <c r="K278" s="137">
        <f>H278/E278</f>
        <v>1</v>
      </c>
      <c r="L278" s="147">
        <f t="shared" si="18"/>
        <v>0</v>
      </c>
      <c r="M278" s="147">
        <f>H278*$N$3</f>
        <v>487.1103098460664</v>
      </c>
      <c r="N278" s="147">
        <f>M278*C278</f>
        <v>876798.5577229195</v>
      </c>
    </row>
    <row r="279" spans="1:14" ht="32" x14ac:dyDescent="0.15">
      <c r="A279" s="4">
        <v>167</v>
      </c>
      <c r="B279" s="6" t="s">
        <v>153</v>
      </c>
      <c r="C279" s="5">
        <v>100</v>
      </c>
      <c r="D279" s="6" t="s">
        <v>65</v>
      </c>
      <c r="E279" s="151">
        <v>99.75</v>
      </c>
      <c r="F279" s="134">
        <f t="shared" si="16"/>
        <v>9975</v>
      </c>
      <c r="H279" s="154">
        <v>99.75</v>
      </c>
      <c r="I279" s="149">
        <f t="shared" si="17"/>
        <v>9975</v>
      </c>
      <c r="K279" s="137">
        <f>H279/E279</f>
        <v>1</v>
      </c>
      <c r="L279" s="147">
        <f t="shared" si="18"/>
        <v>0</v>
      </c>
      <c r="M279" s="147">
        <f>H279*$N$3</f>
        <v>132.2156555296466</v>
      </c>
      <c r="N279" s="147">
        <f>M279*C279</f>
        <v>13221.565552964659</v>
      </c>
    </row>
    <row r="280" spans="1:14" ht="32" x14ac:dyDescent="0.15">
      <c r="A280" s="4">
        <v>168</v>
      </c>
      <c r="B280" s="6" t="s">
        <v>154</v>
      </c>
      <c r="C280" s="5">
        <v>14400</v>
      </c>
      <c r="D280" s="6" t="s">
        <v>4</v>
      </c>
      <c r="E280" s="151">
        <v>262.5</v>
      </c>
      <c r="F280" s="134">
        <f t="shared" si="16"/>
        <v>3780000</v>
      </c>
      <c r="H280" s="154">
        <v>262.5</v>
      </c>
      <c r="I280" s="149">
        <f t="shared" si="17"/>
        <v>3780000</v>
      </c>
      <c r="K280" s="137">
        <f>H280/E280</f>
        <v>1</v>
      </c>
      <c r="L280" s="147">
        <f t="shared" si="18"/>
        <v>0</v>
      </c>
      <c r="M280" s="147">
        <f>H280*$N$3</f>
        <v>347.93593560433317</v>
      </c>
      <c r="N280" s="147">
        <f>M280*C280</f>
        <v>5010277.472702398</v>
      </c>
    </row>
    <row r="281" spans="1:14" ht="32" x14ac:dyDescent="0.15">
      <c r="A281" s="8">
        <v>169</v>
      </c>
      <c r="B281" s="9" t="s">
        <v>155</v>
      </c>
      <c r="C281" s="9">
        <v>1500</v>
      </c>
      <c r="D281" s="9" t="s">
        <v>4</v>
      </c>
      <c r="E281" s="156">
        <v>126</v>
      </c>
      <c r="F281" s="134">
        <f t="shared" si="16"/>
        <v>189000</v>
      </c>
      <c r="H281" s="157">
        <v>126</v>
      </c>
      <c r="I281" s="149">
        <f t="shared" si="17"/>
        <v>189000</v>
      </c>
      <c r="K281" s="137">
        <f>H281/E281</f>
        <v>1</v>
      </c>
      <c r="L281" s="147">
        <f t="shared" si="18"/>
        <v>0</v>
      </c>
      <c r="M281" s="147">
        <f>H281*$N$3</f>
        <v>167.00924909007992</v>
      </c>
      <c r="N281" s="147">
        <f>M281*C281</f>
        <v>250513.87363511987</v>
      </c>
    </row>
    <row r="282" spans="1:14" ht="25.5" customHeight="1" x14ac:dyDescent="0.15">
      <c r="A282" s="18"/>
      <c r="B282" s="17" t="s">
        <v>238</v>
      </c>
      <c r="C282" s="18"/>
      <c r="D282" s="18"/>
      <c r="E282" s="158"/>
      <c r="F282" s="143">
        <f>SUM(F6:F281)</f>
        <v>153903644.73913044</v>
      </c>
      <c r="H282" s="143"/>
      <c r="I282" s="143">
        <f>SUM(I6:I281)</f>
        <v>130188483.25</v>
      </c>
      <c r="L282" s="147"/>
      <c r="M282" s="147"/>
      <c r="N282" s="147">
        <f>SUM(N6:N281)</f>
        <v>172560958.9504678</v>
      </c>
    </row>
    <row r="284" spans="1:14" x14ac:dyDescent="0.15">
      <c r="L284" s="159" t="s">
        <v>432</v>
      </c>
      <c r="M284" s="159"/>
      <c r="N284" s="137">
        <v>172608000</v>
      </c>
    </row>
    <row r="285" spans="1:14" x14ac:dyDescent="0.15">
      <c r="L285" s="159" t="s">
        <v>433</v>
      </c>
      <c r="M285" s="159"/>
      <c r="N285" s="137">
        <f>N282</f>
        <v>172560958.9504678</v>
      </c>
    </row>
    <row r="286" spans="1:14" x14ac:dyDescent="0.15">
      <c r="L286" s="159" t="s">
        <v>434</v>
      </c>
      <c r="M286" s="159"/>
      <c r="N286" s="160">
        <f>(N285/N284)-100%</f>
        <v>-2.7253110824643212E-4</v>
      </c>
    </row>
  </sheetData>
  <autoFilter ref="A4:L282"/>
  <mergeCells count="4">
    <mergeCell ref="A2:F2"/>
    <mergeCell ref="L284:M284"/>
    <mergeCell ref="L285:M285"/>
    <mergeCell ref="L286:M28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L70"/>
  <sheetViews>
    <sheetView workbookViewId="0">
      <selection activeCell="G11" sqref="G11"/>
    </sheetView>
  </sheetViews>
  <sheetFormatPr baseColWidth="10" defaultColWidth="9" defaultRowHeight="13" x14ac:dyDescent="0.15"/>
  <cols>
    <col min="1" max="1" width="9" style="69"/>
    <col min="2" max="2" width="75.3984375" style="69" customWidth="1"/>
    <col min="3" max="6" width="12.796875" style="69" customWidth="1"/>
    <col min="7" max="7" width="30.19921875" style="69" customWidth="1"/>
    <col min="8" max="16384" width="9" style="69"/>
  </cols>
  <sheetData>
    <row r="5" spans="1:7" s="20" customFormat="1" ht="14" x14ac:dyDescent="0.15">
      <c r="A5" s="19" t="s">
        <v>280</v>
      </c>
      <c r="B5" s="19" t="s">
        <v>281</v>
      </c>
      <c r="C5" s="19" t="s">
        <v>282</v>
      </c>
      <c r="D5" s="19" t="s">
        <v>283</v>
      </c>
      <c r="E5" s="19" t="s">
        <v>284</v>
      </c>
      <c r="F5" s="19" t="s">
        <v>274</v>
      </c>
      <c r="G5" s="19" t="s">
        <v>285</v>
      </c>
    </row>
    <row r="6" spans="1:7" s="20" customFormat="1" ht="56" x14ac:dyDescent="0.15">
      <c r="A6" s="21">
        <v>1</v>
      </c>
      <c r="B6" s="22" t="str">
        <f>+[2]BOQ!C6</f>
        <v>Providing and laying in position cement concrete of specified grade excluding the cost of centering and shuttering - All work up to plinth level 1:2:4 (1 cement : 2 coarse sand (zone-III) derived from natural sources : 4 graded stone aggregate 20 mm nominal size derived from natural sources)</v>
      </c>
      <c r="C6" s="23"/>
      <c r="D6" s="23"/>
      <c r="E6" s="23"/>
      <c r="F6" s="23"/>
      <c r="G6" s="23"/>
    </row>
    <row r="7" spans="1:7" s="20" customFormat="1" ht="14" x14ac:dyDescent="0.15">
      <c r="A7" s="24"/>
      <c r="B7" s="22" t="s">
        <v>286</v>
      </c>
      <c r="C7" s="23" t="s">
        <v>3</v>
      </c>
      <c r="D7" s="23">
        <v>1</v>
      </c>
      <c r="E7" s="25">
        <f>+'[2]Conce - Working'!R28</f>
        <v>5151.8469700000005</v>
      </c>
      <c r="F7" s="26">
        <f t="shared" ref="F7:F8" si="0">+D7*E7</f>
        <v>5151.8469700000005</v>
      </c>
      <c r="G7" s="23"/>
    </row>
    <row r="8" spans="1:7" s="20" customFormat="1" ht="14" x14ac:dyDescent="0.15">
      <c r="A8" s="24"/>
      <c r="B8" s="22" t="s">
        <v>287</v>
      </c>
      <c r="C8" s="23" t="s">
        <v>3</v>
      </c>
      <c r="D8" s="23">
        <v>1</v>
      </c>
      <c r="E8" s="27">
        <v>750</v>
      </c>
      <c r="F8" s="28">
        <f t="shared" si="0"/>
        <v>750</v>
      </c>
      <c r="G8" s="23"/>
    </row>
    <row r="9" spans="1:7" s="20" customFormat="1" ht="14" x14ac:dyDescent="0.15">
      <c r="A9" s="24"/>
      <c r="B9" s="29" t="s">
        <v>288</v>
      </c>
      <c r="C9" s="23"/>
      <c r="D9" s="25"/>
      <c r="E9" s="25"/>
      <c r="F9" s="27">
        <f>SUM(F7:F8)*3%</f>
        <v>177.05540910000002</v>
      </c>
      <c r="G9" s="23"/>
    </row>
    <row r="10" spans="1:7" s="20" customFormat="1" ht="14" x14ac:dyDescent="0.15">
      <c r="A10" s="30"/>
      <c r="B10" s="31" t="s">
        <v>289</v>
      </c>
      <c r="C10" s="32" t="s">
        <v>3</v>
      </c>
      <c r="D10" s="32"/>
      <c r="E10" s="33"/>
      <c r="F10" s="33">
        <f>ROUNDUP((SUM(F7:F9)),0)</f>
        <v>6079</v>
      </c>
      <c r="G10" s="23"/>
    </row>
    <row r="11" spans="1:7" s="20" customFormat="1" ht="112" x14ac:dyDescent="0.15">
      <c r="A11" s="21">
        <f>+A6+1</f>
        <v>2</v>
      </c>
      <c r="B11" s="22" t="str">
        <f>+[2]BOQ!C10</f>
        <v>Providing and fixing frame work for partitions/ wall lining etc. made of 50x50x1.6 mm hollow MS tube, placed along the walls, ceiling and floor in a grid pattern with spacing @ 60cm centre to centre both ways (venically  &amp; horizontally)  or at required spacing near opening, with necessary welding at junctions and fixing the frame to wall/ ceiling/ floors with steel dash fasteners of 8 mm dia, 75 mm long bolt, including making provision for opening for doors, windows, electrical conduits, switch boards etc., including providing with Mo coats of approved steel primer etc. complete, all as per direction of Engineer-in-charge</v>
      </c>
      <c r="C11" s="23"/>
      <c r="D11" s="23"/>
      <c r="E11" s="23"/>
      <c r="F11" s="23"/>
      <c r="G11" s="23"/>
    </row>
    <row r="12" spans="1:7" s="20" customFormat="1" ht="14" x14ac:dyDescent="0.15">
      <c r="A12" s="24"/>
      <c r="B12" s="22" t="s">
        <v>290</v>
      </c>
      <c r="C12" s="23" t="s">
        <v>291</v>
      </c>
      <c r="D12" s="23">
        <v>1.05</v>
      </c>
      <c r="E12" s="25">
        <v>62</v>
      </c>
      <c r="F12" s="26">
        <f t="shared" ref="F12:F13" si="1">+D12*E12</f>
        <v>65.100000000000009</v>
      </c>
      <c r="G12" s="23"/>
    </row>
    <row r="13" spans="1:7" s="20" customFormat="1" ht="14" x14ac:dyDescent="0.15">
      <c r="A13" s="24"/>
      <c r="B13" s="22" t="s">
        <v>292</v>
      </c>
      <c r="C13" s="23" t="s">
        <v>291</v>
      </c>
      <c r="D13" s="23">
        <v>1.05</v>
      </c>
      <c r="E13" s="27">
        <v>8.5</v>
      </c>
      <c r="F13" s="28">
        <f t="shared" si="1"/>
        <v>8.9250000000000007</v>
      </c>
      <c r="G13" s="23"/>
    </row>
    <row r="14" spans="1:7" s="20" customFormat="1" ht="14" x14ac:dyDescent="0.15">
      <c r="A14" s="24"/>
      <c r="B14" s="29" t="s">
        <v>293</v>
      </c>
      <c r="C14" s="23"/>
      <c r="D14" s="25"/>
      <c r="E14" s="25"/>
      <c r="F14" s="27">
        <f>SUM(F12:F13)*5%</f>
        <v>3.7012500000000004</v>
      </c>
      <c r="G14" s="23"/>
    </row>
    <row r="15" spans="1:7" s="20" customFormat="1" ht="14" x14ac:dyDescent="0.15">
      <c r="A15" s="30"/>
      <c r="B15" s="31" t="s">
        <v>289</v>
      </c>
      <c r="C15" s="32" t="s">
        <v>3</v>
      </c>
      <c r="D15" s="32"/>
      <c r="E15" s="33"/>
      <c r="F15" s="33">
        <f>ROUNDUP((SUM(F12:F14)),0)</f>
        <v>78</v>
      </c>
      <c r="G15" s="23"/>
    </row>
    <row r="16" spans="1:7" s="20" customFormat="1" ht="112" x14ac:dyDescent="0.15">
      <c r="A16" s="21">
        <f>+A11+1</f>
        <v>3</v>
      </c>
      <c r="B16" s="22" t="str">
        <f>+[2]BOQ!C11</f>
        <v>Providing and fixing stainless steel ( Grade 304) railing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(for payment purpose only weight of stainless steel members shall be considered excluding fixing accessories such as nuts, bolts, fasteners etc.).</v>
      </c>
      <c r="C16" s="23"/>
      <c r="D16" s="23"/>
      <c r="E16" s="23"/>
      <c r="F16" s="23"/>
      <c r="G16" s="23"/>
    </row>
    <row r="17" spans="1:12" s="20" customFormat="1" ht="14" x14ac:dyDescent="0.15">
      <c r="A17" s="24"/>
      <c r="B17" s="22" t="s">
        <v>294</v>
      </c>
      <c r="C17" s="23" t="s">
        <v>291</v>
      </c>
      <c r="D17" s="23">
        <v>1.03</v>
      </c>
      <c r="E17" s="25">
        <v>400</v>
      </c>
      <c r="F17" s="26">
        <f t="shared" ref="F17" si="2">+D17*E17</f>
        <v>412</v>
      </c>
      <c r="G17" s="23"/>
    </row>
    <row r="18" spans="1:12" s="20" customFormat="1" ht="14" x14ac:dyDescent="0.15">
      <c r="A18" s="24"/>
      <c r="B18" s="29" t="s">
        <v>293</v>
      </c>
      <c r="C18" s="23" t="s">
        <v>291</v>
      </c>
      <c r="D18" s="25"/>
      <c r="E18" s="25"/>
      <c r="F18" s="27">
        <f>SUM(F17:F17)*5%</f>
        <v>20.6</v>
      </c>
      <c r="G18" s="23"/>
    </row>
    <row r="19" spans="1:12" s="20" customFormat="1" ht="14" x14ac:dyDescent="0.15">
      <c r="A19" s="30"/>
      <c r="B19" s="31" t="s">
        <v>289</v>
      </c>
      <c r="C19" s="32" t="s">
        <v>3</v>
      </c>
      <c r="D19" s="32"/>
      <c r="E19" s="33"/>
      <c r="F19" s="33">
        <f>ROUNDUP((SUM(F17:F18)),0)</f>
        <v>433</v>
      </c>
      <c r="G19" s="23"/>
    </row>
    <row r="20" spans="1:12" s="36" customFormat="1" x14ac:dyDescent="0.15">
      <c r="A20" s="34"/>
      <c r="B20" s="35" t="str">
        <f>+[2]BOQ!C14</f>
        <v>Providing and laying Vitrified tiles in different sizes (thickness to be specified by the manufacturer), with water absorption less than 0.08% and conforming to IS: 15622, of approved brand &amp; manufacturer,  in all colours and shade, in shining, riser of steps, laid with cement based high polymer  modified quick  set tile adhesive (water based) conforming to IS: 15477, in average 6 mm thickness, induding grouting of joints (Payment for grouting of joints to be made separately). Size of Tile 600x600 mm</v>
      </c>
      <c r="C20" s="35"/>
      <c r="D20" s="35"/>
      <c r="E20" s="35"/>
      <c r="F20" s="35"/>
      <c r="G20" s="34"/>
    </row>
    <row r="21" spans="1:12" s="36" customFormat="1" ht="15" x14ac:dyDescent="0.15">
      <c r="A21" s="34"/>
      <c r="B21" s="37" t="s">
        <v>295</v>
      </c>
      <c r="C21" s="37" t="s">
        <v>282</v>
      </c>
      <c r="D21" s="37" t="s">
        <v>296</v>
      </c>
      <c r="E21" s="37" t="s">
        <v>284</v>
      </c>
      <c r="F21" s="37" t="s">
        <v>274</v>
      </c>
      <c r="G21" s="34"/>
    </row>
    <row r="22" spans="1:12" s="36" customFormat="1" x14ac:dyDescent="0.15">
      <c r="A22" s="34"/>
      <c r="B22" s="38" t="s">
        <v>297</v>
      </c>
      <c r="C22" s="39" t="s">
        <v>298</v>
      </c>
      <c r="D22" s="40">
        <v>1.05</v>
      </c>
      <c r="E22" s="41">
        <f>62.5*10.76</f>
        <v>672.5</v>
      </c>
      <c r="F22" s="42">
        <f>D22*E22</f>
        <v>706.125</v>
      </c>
      <c r="G22" s="34"/>
      <c r="H22" s="36">
        <f>1*1*0.012</f>
        <v>1.2E-2</v>
      </c>
      <c r="I22" s="36">
        <f>+H22*1.06</f>
        <v>1.272E-2</v>
      </c>
      <c r="J22" s="36">
        <f>+I22/4</f>
        <v>3.1800000000000001E-3</v>
      </c>
      <c r="K22" s="36">
        <v>30</v>
      </c>
      <c r="L22" s="36">
        <f>+J22*K22</f>
        <v>9.5399999999999999E-2</v>
      </c>
    </row>
    <row r="23" spans="1:12" s="36" customFormat="1" x14ac:dyDescent="0.15">
      <c r="A23" s="34"/>
      <c r="B23" s="43" t="s">
        <v>299</v>
      </c>
      <c r="C23" s="39" t="s">
        <v>300</v>
      </c>
      <c r="D23" s="40">
        <f>+L22</f>
        <v>9.5399999999999999E-2</v>
      </c>
      <c r="E23" s="41">
        <v>9.4600000000000009</v>
      </c>
      <c r="F23" s="42">
        <f>D23*E23</f>
        <v>0.90248400000000006</v>
      </c>
      <c r="G23" s="34"/>
      <c r="J23" s="44">
        <f>+J22*3</f>
        <v>9.5399999999999999E-3</v>
      </c>
    </row>
    <row r="24" spans="1:12" s="36" customFormat="1" x14ac:dyDescent="0.15">
      <c r="A24" s="34"/>
      <c r="B24" s="43" t="s">
        <v>301</v>
      </c>
      <c r="C24" s="39" t="s">
        <v>3</v>
      </c>
      <c r="D24" s="40">
        <v>1.0999999999999999E-2</v>
      </c>
      <c r="E24" s="40">
        <v>1.3</v>
      </c>
      <c r="F24" s="42">
        <f>D24*E24</f>
        <v>1.43E-2</v>
      </c>
      <c r="G24" s="34"/>
    </row>
    <row r="25" spans="1:12" s="36" customFormat="1" x14ac:dyDescent="0.15">
      <c r="A25" s="34"/>
      <c r="B25" s="43" t="s">
        <v>302</v>
      </c>
      <c r="C25" s="39" t="s">
        <v>4</v>
      </c>
      <c r="D25" s="39">
        <v>1</v>
      </c>
      <c r="E25" s="40">
        <f>25*10.76</f>
        <v>269</v>
      </c>
      <c r="F25" s="42">
        <f>E25*D25</f>
        <v>269</v>
      </c>
      <c r="G25" s="34"/>
    </row>
    <row r="26" spans="1:12" s="36" customFormat="1" ht="15" x14ac:dyDescent="0.15">
      <c r="A26" s="34"/>
      <c r="B26" s="45" t="s">
        <v>303</v>
      </c>
      <c r="C26" s="46" t="s">
        <v>304</v>
      </c>
      <c r="D26" s="46"/>
      <c r="E26" s="47"/>
      <c r="F26" s="48">
        <v>25</v>
      </c>
      <c r="G26" s="34"/>
    </row>
    <row r="27" spans="1:12" s="36" customFormat="1" ht="15" x14ac:dyDescent="0.15">
      <c r="A27" s="34"/>
      <c r="B27" s="49" t="s">
        <v>305</v>
      </c>
      <c r="C27" s="49"/>
      <c r="D27" s="49"/>
      <c r="E27" s="49"/>
      <c r="F27" s="50">
        <f>SUM(F22:F26)</f>
        <v>1001.041784</v>
      </c>
      <c r="G27" s="34"/>
    </row>
    <row r="28" spans="1:12" s="36" customFormat="1" x14ac:dyDescent="0.15">
      <c r="A28" s="34"/>
      <c r="B28" s="51" t="str">
        <f>+[2]BOQ!C15</f>
        <v>Providing and fixing on wall face unplasticised Rigid PVC rain water pipes conforming to IS : 13592 Type A, including jointing with seal ring conforming to IS : 5382, leaving 10 mm_x000D_gap for thermal expansion, (i) Single socketed pipes. a) 110 mm diameter</v>
      </c>
      <c r="C28" s="51"/>
      <c r="D28" s="51"/>
      <c r="E28" s="51"/>
      <c r="F28" s="51"/>
      <c r="G28" s="34"/>
    </row>
    <row r="29" spans="1:12" s="36" customFormat="1" ht="15" x14ac:dyDescent="0.15">
      <c r="A29" s="34"/>
      <c r="B29" s="37" t="s">
        <v>295</v>
      </c>
      <c r="C29" s="37" t="s">
        <v>282</v>
      </c>
      <c r="D29" s="37" t="s">
        <v>296</v>
      </c>
      <c r="E29" s="37" t="s">
        <v>284</v>
      </c>
      <c r="F29" s="37" t="s">
        <v>274</v>
      </c>
      <c r="G29" s="34"/>
    </row>
    <row r="30" spans="1:12" s="36" customFormat="1" x14ac:dyDescent="0.15">
      <c r="A30" s="34"/>
      <c r="B30" s="43" t="s">
        <v>306</v>
      </c>
      <c r="C30" s="39" t="s">
        <v>307</v>
      </c>
      <c r="D30" s="40">
        <v>1.03</v>
      </c>
      <c r="E30" s="41">
        <v>150</v>
      </c>
      <c r="F30" s="42">
        <f>D30*E30</f>
        <v>154.5</v>
      </c>
      <c r="G30" s="34"/>
      <c r="I30" s="36">
        <f>425/3</f>
        <v>141.66666666666666</v>
      </c>
    </row>
    <row r="31" spans="1:12" s="36" customFormat="1" x14ac:dyDescent="0.15">
      <c r="A31" s="34"/>
      <c r="B31" s="43" t="s">
        <v>308</v>
      </c>
      <c r="C31" s="39" t="s">
        <v>304</v>
      </c>
      <c r="D31" s="40"/>
      <c r="E31" s="41"/>
      <c r="F31" s="42">
        <v>150</v>
      </c>
      <c r="G31" s="34"/>
    </row>
    <row r="32" spans="1:12" s="36" customFormat="1" ht="15" x14ac:dyDescent="0.15">
      <c r="A32" s="34"/>
      <c r="B32" s="52" t="s">
        <v>309</v>
      </c>
      <c r="C32" s="39"/>
      <c r="D32" s="53"/>
      <c r="E32" s="40"/>
      <c r="F32" s="48">
        <f>+F30*5%</f>
        <v>7.7250000000000005</v>
      </c>
      <c r="G32" s="34"/>
    </row>
    <row r="33" spans="1:12" s="36" customFormat="1" ht="15" x14ac:dyDescent="0.15">
      <c r="A33" s="34"/>
      <c r="B33" s="49" t="s">
        <v>310</v>
      </c>
      <c r="C33" s="49"/>
      <c r="D33" s="49"/>
      <c r="E33" s="49"/>
      <c r="F33" s="54">
        <f>SUM(F30:F32)</f>
        <v>312.22500000000002</v>
      </c>
      <c r="G33" s="34"/>
    </row>
    <row r="34" spans="1:12" s="57" customFormat="1" x14ac:dyDescent="0.15">
      <c r="A34" s="55"/>
      <c r="B34" s="56" t="str">
        <f>+[2]BOQ!C16</f>
        <v>Applying priming coats with primer of approved brand and manufacture, having low VOC (Volatile Organic Compound ) content. With water thinnable cement primer on wall surface having VOC content less than 50 gramsJitre</v>
      </c>
      <c r="C34" s="56"/>
      <c r="D34" s="56"/>
      <c r="E34" s="56"/>
      <c r="F34" s="56"/>
      <c r="G34" s="55"/>
    </row>
    <row r="35" spans="1:12" s="57" customFormat="1" x14ac:dyDescent="0.15">
      <c r="A35" s="55"/>
      <c r="B35" s="58"/>
      <c r="C35" s="59"/>
      <c r="D35" s="60"/>
      <c r="E35" s="59"/>
      <c r="F35" s="61"/>
      <c r="G35" s="55"/>
    </row>
    <row r="36" spans="1:12" s="57" customFormat="1" x14ac:dyDescent="0.15">
      <c r="A36" s="55"/>
      <c r="B36" s="58" t="s">
        <v>311</v>
      </c>
      <c r="C36" s="59" t="s">
        <v>312</v>
      </c>
      <c r="D36" s="60">
        <f>(2.2/10)*1.1</f>
        <v>0.24200000000000005</v>
      </c>
      <c r="E36" s="59">
        <v>219</v>
      </c>
      <c r="F36" s="61">
        <f>+D36*E36</f>
        <v>52.998000000000012</v>
      </c>
      <c r="G36" s="55"/>
    </row>
    <row r="37" spans="1:12" s="57" customFormat="1" x14ac:dyDescent="0.15">
      <c r="A37" s="55"/>
      <c r="B37" s="62" t="s">
        <v>313</v>
      </c>
      <c r="C37" s="63" t="s">
        <v>298</v>
      </c>
      <c r="D37" s="61">
        <v>1</v>
      </c>
      <c r="E37" s="64">
        <f>3*10.76</f>
        <v>32.28</v>
      </c>
      <c r="F37" s="61">
        <f>E37</f>
        <v>32.28</v>
      </c>
      <c r="G37" s="55"/>
      <c r="J37" s="57">
        <f>25*10.76</f>
        <v>269</v>
      </c>
      <c r="K37" s="57">
        <f>+J37/3</f>
        <v>89.666666666666671</v>
      </c>
      <c r="L37" s="57">
        <f>25/10.76</f>
        <v>2.3234200743494426</v>
      </c>
    </row>
    <row r="38" spans="1:12" s="57" customFormat="1" x14ac:dyDescent="0.15">
      <c r="A38" s="55"/>
      <c r="B38" s="62" t="s">
        <v>314</v>
      </c>
      <c r="C38" s="63" t="s">
        <v>304</v>
      </c>
      <c r="D38" s="61"/>
      <c r="E38" s="64"/>
      <c r="F38" s="61">
        <f>SUM(F36:F37)*3%</f>
        <v>2.5583400000000007</v>
      </c>
      <c r="G38" s="55"/>
    </row>
    <row r="39" spans="1:12" s="57" customFormat="1" x14ac:dyDescent="0.15">
      <c r="A39" s="55"/>
      <c r="B39" s="65" t="s">
        <v>315</v>
      </c>
      <c r="C39" s="65"/>
      <c r="D39" s="65"/>
      <c r="E39" s="65"/>
      <c r="F39" s="66">
        <f>SUM(F36:F38)</f>
        <v>87.836340000000021</v>
      </c>
      <c r="G39" s="55"/>
    </row>
    <row r="40" spans="1:12" s="57" customFormat="1" x14ac:dyDescent="0.15">
      <c r="A40" s="55"/>
      <c r="B40" s="56" t="s">
        <v>316</v>
      </c>
      <c r="C40" s="56"/>
      <c r="D40" s="56"/>
      <c r="E40" s="56"/>
      <c r="F40" s="56"/>
      <c r="G40" s="55"/>
    </row>
    <row r="41" spans="1:12" s="57" customFormat="1" x14ac:dyDescent="0.15">
      <c r="A41" s="55"/>
      <c r="B41" s="58" t="s">
        <v>317</v>
      </c>
      <c r="C41" s="59" t="s">
        <v>312</v>
      </c>
      <c r="D41" s="60">
        <f>(1.67/8)*1.1</f>
        <v>0.229625</v>
      </c>
      <c r="E41" s="59">
        <f>4990/18</f>
        <v>277.22222222222223</v>
      </c>
      <c r="F41" s="61">
        <f>+D41*E41</f>
        <v>63.657152777777775</v>
      </c>
      <c r="G41" s="55"/>
    </row>
    <row r="42" spans="1:12" s="57" customFormat="1" x14ac:dyDescent="0.15">
      <c r="A42" s="55"/>
      <c r="B42" s="62" t="s">
        <v>313</v>
      </c>
      <c r="C42" s="63" t="s">
        <v>298</v>
      </c>
      <c r="D42" s="61">
        <v>1</v>
      </c>
      <c r="E42" s="64">
        <f>12*10.76</f>
        <v>129.12</v>
      </c>
      <c r="F42" s="61">
        <f>E42</f>
        <v>129.12</v>
      </c>
      <c r="G42" s="55"/>
    </row>
    <row r="43" spans="1:12" s="57" customFormat="1" x14ac:dyDescent="0.15">
      <c r="A43" s="55"/>
      <c r="B43" s="62" t="s">
        <v>318</v>
      </c>
      <c r="C43" s="63" t="s">
        <v>304</v>
      </c>
      <c r="D43" s="61"/>
      <c r="E43" s="64"/>
      <c r="F43" s="61">
        <f>SUM(F41:F42)*3%</f>
        <v>5.7833145833333335</v>
      </c>
      <c r="G43" s="55"/>
    </row>
    <row r="44" spans="1:12" s="57" customFormat="1" x14ac:dyDescent="0.15">
      <c r="A44" s="55"/>
      <c r="B44" s="65" t="s">
        <v>319</v>
      </c>
      <c r="C44" s="65"/>
      <c r="D44" s="65"/>
      <c r="E44" s="65"/>
      <c r="F44" s="66">
        <f>SUM(F41:F43)</f>
        <v>198.56046736111111</v>
      </c>
      <c r="G44" s="55"/>
    </row>
    <row r="45" spans="1:12" s="57" customFormat="1" x14ac:dyDescent="0.15">
      <c r="A45" s="55"/>
      <c r="B45" s="56" t="str">
        <f>+[2]BOQ!C18</f>
        <v>Demolishing cement concrete manually/ by mechanical means including disposal of material within 50 metres lead as per direction of Engineer - in - charge_x000D_a) Nominal concrete 1:3:6 or richer mix (including equivalent design mix)</v>
      </c>
      <c r="C45" s="56"/>
      <c r="D45" s="56"/>
      <c r="E45" s="56"/>
      <c r="F45" s="56"/>
      <c r="G45" s="55"/>
    </row>
    <row r="46" spans="1:12" s="57" customFormat="1" x14ac:dyDescent="0.15">
      <c r="A46" s="55"/>
      <c r="B46" s="58" t="s">
        <v>320</v>
      </c>
      <c r="C46" s="59" t="s">
        <v>3</v>
      </c>
      <c r="D46" s="60">
        <v>1.05</v>
      </c>
      <c r="E46" s="59">
        <v>1360</v>
      </c>
      <c r="F46" s="61">
        <f>+D46*E46</f>
        <v>1428</v>
      </c>
      <c r="G46" s="67" t="s">
        <v>321</v>
      </c>
    </row>
    <row r="47" spans="1:12" s="57" customFormat="1" x14ac:dyDescent="0.15">
      <c r="A47" s="55"/>
      <c r="B47" s="62" t="s">
        <v>322</v>
      </c>
      <c r="C47" s="59" t="s">
        <v>3</v>
      </c>
      <c r="D47" s="60"/>
      <c r="E47" s="64"/>
      <c r="F47" s="61"/>
      <c r="G47" s="55"/>
    </row>
    <row r="48" spans="1:12" s="57" customFormat="1" x14ac:dyDescent="0.15">
      <c r="A48" s="55"/>
      <c r="B48" s="62"/>
      <c r="C48" s="63"/>
      <c r="D48" s="61"/>
      <c r="E48" s="64"/>
      <c r="F48" s="61"/>
      <c r="G48" s="55"/>
    </row>
    <row r="49" spans="1:7" s="57" customFormat="1" x14ac:dyDescent="0.15">
      <c r="A49" s="55"/>
      <c r="B49" s="65" t="s">
        <v>323</v>
      </c>
      <c r="C49" s="65"/>
      <c r="D49" s="65"/>
      <c r="E49" s="65"/>
      <c r="F49" s="66">
        <f>SUM(F46:F48)</f>
        <v>1428</v>
      </c>
      <c r="G49" s="55"/>
    </row>
    <row r="50" spans="1:7" s="57" customFormat="1" x14ac:dyDescent="0.15">
      <c r="A50" s="55"/>
      <c r="B50" s="56" t="str">
        <f>+[2]BOQ!C19</f>
        <v>Demolishing R.C.C. work manually/ by mechanical means including stacking of steel bars and disposal of unserviceable material within 50 metres lead as per direction of Engineer- in- charge.</v>
      </c>
      <c r="C50" s="56"/>
      <c r="D50" s="56"/>
      <c r="E50" s="56"/>
      <c r="F50" s="56"/>
      <c r="G50" s="55"/>
    </row>
    <row r="51" spans="1:7" s="57" customFormat="1" x14ac:dyDescent="0.15">
      <c r="A51" s="55"/>
      <c r="B51" s="58" t="s">
        <v>324</v>
      </c>
      <c r="C51" s="59" t="s">
        <v>3</v>
      </c>
      <c r="D51" s="60">
        <v>1.02</v>
      </c>
      <c r="E51" s="59">
        <v>1970</v>
      </c>
      <c r="F51" s="61">
        <f>+D51*E51</f>
        <v>2009.4</v>
      </c>
      <c r="G51" s="67" t="s">
        <v>321</v>
      </c>
    </row>
    <row r="52" spans="1:7" s="57" customFormat="1" x14ac:dyDescent="0.15">
      <c r="A52" s="55"/>
      <c r="B52" s="62" t="s">
        <v>322</v>
      </c>
      <c r="C52" s="59" t="s">
        <v>3</v>
      </c>
      <c r="D52" s="60"/>
      <c r="E52" s="64"/>
      <c r="F52" s="61"/>
      <c r="G52" s="55"/>
    </row>
    <row r="53" spans="1:7" s="57" customFormat="1" x14ac:dyDescent="0.15">
      <c r="A53" s="55"/>
      <c r="B53" s="62"/>
      <c r="C53" s="63"/>
      <c r="D53" s="61"/>
      <c r="E53" s="64"/>
      <c r="F53" s="61"/>
      <c r="G53" s="55"/>
    </row>
    <row r="54" spans="1:7" s="57" customFormat="1" x14ac:dyDescent="0.15">
      <c r="A54" s="55"/>
      <c r="B54" s="65" t="s">
        <v>323</v>
      </c>
      <c r="C54" s="65"/>
      <c r="D54" s="65"/>
      <c r="E54" s="65"/>
      <c r="F54" s="66">
        <f>SUM(F51:F53)</f>
        <v>2009.4</v>
      </c>
      <c r="G54" s="55"/>
    </row>
    <row r="55" spans="1:7" s="57" customFormat="1" x14ac:dyDescent="0.15">
      <c r="A55" s="55"/>
      <c r="B55" s="56" t="str">
        <f>+[2]BOQ!C20</f>
        <v>Demolishing brick work manually/ by mechanical means induding stacking of serviceable material and disposal of unserviceable material within 50 metres lead as per direction of Engineer-in-charge In cement mortar</v>
      </c>
      <c r="C55" s="56"/>
      <c r="D55" s="56"/>
      <c r="E55" s="56"/>
      <c r="F55" s="56"/>
      <c r="G55" s="55"/>
    </row>
    <row r="56" spans="1:7" s="57" customFormat="1" x14ac:dyDescent="0.15">
      <c r="A56" s="55"/>
      <c r="B56" s="58" t="s">
        <v>324</v>
      </c>
      <c r="C56" s="59" t="s">
        <v>3</v>
      </c>
      <c r="D56" s="60">
        <v>1.05</v>
      </c>
      <c r="E56" s="59">
        <v>1142</v>
      </c>
      <c r="F56" s="61">
        <f>+D56*E56</f>
        <v>1199.1000000000001</v>
      </c>
      <c r="G56" s="67" t="s">
        <v>321</v>
      </c>
    </row>
    <row r="57" spans="1:7" s="57" customFormat="1" x14ac:dyDescent="0.15">
      <c r="A57" s="55"/>
      <c r="B57" s="62" t="s">
        <v>322</v>
      </c>
      <c r="C57" s="59" t="s">
        <v>3</v>
      </c>
      <c r="D57" s="60"/>
      <c r="E57" s="64"/>
      <c r="F57" s="61"/>
      <c r="G57" s="55"/>
    </row>
    <row r="58" spans="1:7" s="57" customFormat="1" x14ac:dyDescent="0.15">
      <c r="A58" s="55"/>
      <c r="B58" s="62"/>
      <c r="C58" s="63"/>
      <c r="D58" s="61"/>
      <c r="E58" s="64"/>
      <c r="F58" s="61"/>
      <c r="G58" s="55"/>
    </row>
    <row r="59" spans="1:7" s="57" customFormat="1" x14ac:dyDescent="0.15">
      <c r="A59" s="55"/>
      <c r="B59" s="65" t="s">
        <v>323</v>
      </c>
      <c r="C59" s="65"/>
      <c r="D59" s="65"/>
      <c r="E59" s="65"/>
      <c r="F59" s="66">
        <f>SUM(F56:F58)</f>
        <v>1199.1000000000001</v>
      </c>
      <c r="G59" s="55"/>
    </row>
    <row r="60" spans="1:7" s="57" customFormat="1" x14ac:dyDescent="0.15">
      <c r="A60" s="55"/>
      <c r="B60" s="56" t="str">
        <f>+[2]BOQ!C21</f>
        <v>Dismantling steel work manually/ by mechanical means in built up sections without dismembering and stacking within 50 metres lead as per direction of Engineer-in-charge.</v>
      </c>
      <c r="C60" s="56"/>
      <c r="D60" s="56"/>
      <c r="E60" s="56"/>
      <c r="F60" s="56"/>
      <c r="G60" s="55"/>
    </row>
    <row r="61" spans="1:7" s="57" customFormat="1" x14ac:dyDescent="0.15">
      <c r="A61" s="55"/>
      <c r="B61" s="58" t="s">
        <v>325</v>
      </c>
      <c r="C61" s="59" t="s">
        <v>291</v>
      </c>
      <c r="D61" s="60">
        <v>1.05</v>
      </c>
      <c r="E61" s="59">
        <f>670/3</f>
        <v>223.33333333333334</v>
      </c>
      <c r="F61" s="61">
        <f>+D61*E61</f>
        <v>234.50000000000003</v>
      </c>
      <c r="G61" s="67" t="s">
        <v>321</v>
      </c>
    </row>
    <row r="62" spans="1:7" s="57" customFormat="1" x14ac:dyDescent="0.15">
      <c r="A62" s="55"/>
      <c r="B62" s="62"/>
      <c r="C62" s="59"/>
      <c r="D62" s="60"/>
      <c r="E62" s="64"/>
      <c r="F62" s="61">
        <f>F61*5%</f>
        <v>11.725000000000001</v>
      </c>
      <c r="G62" s="55"/>
    </row>
    <row r="63" spans="1:7" s="57" customFormat="1" x14ac:dyDescent="0.15">
      <c r="A63" s="55"/>
      <c r="B63" s="62"/>
      <c r="C63" s="63"/>
      <c r="D63" s="61"/>
      <c r="E63" s="64"/>
      <c r="F63" s="61"/>
      <c r="G63" s="55"/>
    </row>
    <row r="64" spans="1:7" s="57" customFormat="1" x14ac:dyDescent="0.15">
      <c r="A64" s="55"/>
      <c r="B64" s="65" t="s">
        <v>323</v>
      </c>
      <c r="C64" s="65"/>
      <c r="D64" s="65"/>
      <c r="E64" s="65"/>
      <c r="F64" s="66">
        <f>SUM(F61:F63)</f>
        <v>246.22500000000002</v>
      </c>
      <c r="G64" s="55"/>
    </row>
    <row r="65" spans="1:7" s="57" customFormat="1" x14ac:dyDescent="0.15">
      <c r="A65" s="55"/>
      <c r="B65" s="56" t="str">
        <f>+[2]BOQ!C22</f>
        <v>Dismantling tile work in floors and roofs laid in cement mortar including stacking material within 50 metres lead. For thickness of tiles 10 mm to 25 mm</v>
      </c>
      <c r="C65" s="56"/>
      <c r="D65" s="56"/>
      <c r="E65" s="56"/>
      <c r="F65" s="56"/>
      <c r="G65" s="55"/>
    </row>
    <row r="66" spans="1:7" s="57" customFormat="1" x14ac:dyDescent="0.15">
      <c r="A66" s="55"/>
      <c r="B66" s="58" t="s">
        <v>326</v>
      </c>
      <c r="C66" s="59" t="s">
        <v>298</v>
      </c>
      <c r="D66" s="60">
        <v>1.05</v>
      </c>
      <c r="E66" s="59">
        <v>45</v>
      </c>
      <c r="F66" s="61">
        <f>+D66*E66</f>
        <v>47.25</v>
      </c>
      <c r="G66" s="67" t="s">
        <v>321</v>
      </c>
    </row>
    <row r="67" spans="1:7" s="57" customFormat="1" x14ac:dyDescent="0.15">
      <c r="A67" s="55"/>
      <c r="B67" s="62"/>
      <c r="C67" s="59"/>
      <c r="D67" s="60"/>
      <c r="E67" s="64"/>
      <c r="F67" s="61"/>
      <c r="G67" s="55"/>
    </row>
    <row r="68" spans="1:7" s="57" customFormat="1" x14ac:dyDescent="0.15">
      <c r="A68" s="55"/>
      <c r="B68" s="62"/>
      <c r="C68" s="63"/>
      <c r="D68" s="61"/>
      <c r="E68" s="64"/>
      <c r="F68" s="61"/>
      <c r="G68" s="55"/>
    </row>
    <row r="69" spans="1:7" s="57" customFormat="1" x14ac:dyDescent="0.15">
      <c r="A69" s="55"/>
      <c r="B69" s="65" t="s">
        <v>323</v>
      </c>
      <c r="C69" s="65"/>
      <c r="D69" s="65"/>
      <c r="E69" s="65"/>
      <c r="F69" s="66">
        <f>SUM(F66:F68)</f>
        <v>47.25</v>
      </c>
      <c r="G69" s="55"/>
    </row>
    <row r="70" spans="1:7" x14ac:dyDescent="0.15">
      <c r="A70" s="68"/>
      <c r="B70" s="68"/>
      <c r="C70" s="68"/>
      <c r="D70" s="68"/>
      <c r="E70" s="68"/>
      <c r="F70" s="68"/>
      <c r="G70" s="68"/>
    </row>
  </sheetData>
  <mergeCells count="21">
    <mergeCell ref="B64:E64"/>
    <mergeCell ref="B65:F65"/>
    <mergeCell ref="B69:E69"/>
    <mergeCell ref="B49:E49"/>
    <mergeCell ref="B50:F50"/>
    <mergeCell ref="B54:E54"/>
    <mergeCell ref="B55:F55"/>
    <mergeCell ref="B59:E59"/>
    <mergeCell ref="B60:F60"/>
    <mergeCell ref="B33:E33"/>
    <mergeCell ref="B34:F34"/>
    <mergeCell ref="B39:E39"/>
    <mergeCell ref="B40:F40"/>
    <mergeCell ref="B44:E44"/>
    <mergeCell ref="B45:F45"/>
    <mergeCell ref="A6:A10"/>
    <mergeCell ref="A11:A15"/>
    <mergeCell ref="A16:A19"/>
    <mergeCell ref="B20:F20"/>
    <mergeCell ref="B27:E27"/>
    <mergeCell ref="B28:F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Overheads</vt:lpstr>
      <vt:lpstr>Staff Salary</vt:lpstr>
      <vt:lpstr>Utility</vt:lpstr>
      <vt:lpstr>BOQ</vt:lpstr>
      <vt:lpstr>Rate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tenderdocuments.pdf</dc:title>
  <cp:lastModifiedBy>Microsoft Office User</cp:lastModifiedBy>
  <dcterms:created xsi:type="dcterms:W3CDTF">2024-03-01T06:01:39Z</dcterms:created>
  <dcterms:modified xsi:type="dcterms:W3CDTF">2024-03-14T11:17:55Z</dcterms:modified>
</cp:coreProperties>
</file>