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4355" windowHeight="6405" firstSheet="1" activeTab="7"/>
  </bookViews>
  <sheets>
    <sheet name="Tong Du toan" sheetId="5" r:id="rId1"/>
    <sheet name="CP Phan mem" sheetId="2" r:id="rId2"/>
    <sheet name="CP PCung" sheetId="7" r:id="rId3"/>
    <sheet name="CP HT Internet" sheetId="8" r:id="rId4"/>
    <sheet name="TH Chi phi TB" sheetId="4" r:id="rId5"/>
    <sheet name="CP Dao tao" sheetId="3" r:id="rId6"/>
    <sheet name="Du toan chi tiet" sheetId="6" r:id="rId7"/>
    <sheet name="TH Chi phi" sheetId="1" r:id="rId8"/>
  </sheets>
  <calcPr calcId="124519"/>
</workbook>
</file>

<file path=xl/calcChain.xml><?xml version="1.0" encoding="utf-8"?>
<calcChain xmlns="http://schemas.openxmlformats.org/spreadsheetml/2006/main">
  <c r="F7" i="1"/>
  <c r="E7"/>
  <c r="D7"/>
  <c r="D6" i="4"/>
  <c r="D5" s="1"/>
  <c r="D11" s="1"/>
  <c r="C6"/>
  <c r="F9" i="8"/>
  <c r="F8"/>
  <c r="E9" i="7"/>
  <c r="E8"/>
  <c r="G8" i="6"/>
  <c r="H8"/>
  <c r="F8"/>
  <c r="H10"/>
  <c r="H11"/>
  <c r="H9"/>
  <c r="G10"/>
  <c r="G11"/>
  <c r="G9"/>
  <c r="F11"/>
  <c r="F10"/>
  <c r="F9"/>
  <c r="G4"/>
  <c r="H4"/>
  <c r="F4"/>
  <c r="H6"/>
  <c r="H7"/>
  <c r="H5"/>
  <c r="G6"/>
  <c r="G7"/>
  <c r="G5"/>
  <c r="F6"/>
  <c r="F7"/>
  <c r="F5"/>
  <c r="F5" i="8"/>
  <c r="F6"/>
  <c r="F4"/>
  <c r="F7" s="1"/>
  <c r="E5" i="7"/>
  <c r="E6"/>
  <c r="E4"/>
  <c r="D9" i="1"/>
  <c r="G12" i="6"/>
  <c r="G14"/>
  <c r="E17"/>
  <c r="F17" s="1"/>
  <c r="H17" s="1"/>
  <c r="E16"/>
  <c r="F16" s="1"/>
  <c r="H16" s="1"/>
  <c r="F15"/>
  <c r="E15"/>
  <c r="C5" i="5"/>
  <c r="E10" i="4"/>
  <c r="E9"/>
  <c r="E7"/>
  <c r="D9"/>
  <c r="C9"/>
  <c r="F52" i="3"/>
  <c r="F40"/>
  <c r="F51"/>
  <c r="F50"/>
  <c r="F49"/>
  <c r="F48"/>
  <c r="F47"/>
  <c r="F46"/>
  <c r="F45"/>
  <c r="F44"/>
  <c r="F43"/>
  <c r="F42"/>
  <c r="F41"/>
  <c r="F34"/>
  <c r="F23"/>
  <c r="F24"/>
  <c r="F25"/>
  <c r="F26"/>
  <c r="F27"/>
  <c r="F28"/>
  <c r="F29"/>
  <c r="F30"/>
  <c r="F31"/>
  <c r="F32"/>
  <c r="F33"/>
  <c r="F22"/>
  <c r="F16"/>
  <c r="F5"/>
  <c r="F6"/>
  <c r="F7"/>
  <c r="F8"/>
  <c r="F9"/>
  <c r="F10"/>
  <c r="F11"/>
  <c r="F12"/>
  <c r="F13"/>
  <c r="F14"/>
  <c r="F15"/>
  <c r="F4"/>
  <c r="C11" i="2"/>
  <c r="C8" i="4" s="1"/>
  <c r="E6" l="1"/>
  <c r="E7" i="7"/>
  <c r="F14" i="6"/>
  <c r="H15"/>
  <c r="H14" s="1"/>
  <c r="D8" i="1"/>
  <c r="E13" i="6"/>
  <c r="F13" s="1"/>
  <c r="H13" s="1"/>
  <c r="H12" s="1"/>
  <c r="E9" i="1"/>
  <c r="F9" s="1"/>
  <c r="F12" i="6" l="1"/>
  <c r="E8" i="4"/>
  <c r="E5" s="1"/>
  <c r="E11" s="1"/>
  <c r="C5"/>
  <c r="C11" s="1"/>
  <c r="E6" i="1"/>
  <c r="D6"/>
  <c r="D18"/>
  <c r="E18" s="1"/>
  <c r="F18" s="1"/>
  <c r="D17"/>
  <c r="E17" s="1"/>
  <c r="F17" s="1"/>
  <c r="D16"/>
  <c r="E16" s="1"/>
  <c r="F16" s="1"/>
  <c r="D15"/>
  <c r="D14"/>
  <c r="D12"/>
  <c r="F8"/>
  <c r="F6" s="1"/>
  <c r="C6" i="5" s="1"/>
  <c r="D13" i="1" l="1"/>
  <c r="D20" s="1"/>
  <c r="E20" s="1"/>
  <c r="E14"/>
  <c r="F14" s="1"/>
  <c r="E12"/>
  <c r="E15"/>
  <c r="F15" s="1"/>
  <c r="D23"/>
  <c r="F23" s="1"/>
  <c r="C10" i="5" s="1"/>
  <c r="D21" i="1" l="1"/>
  <c r="D22"/>
  <c r="E22" s="1"/>
  <c r="F22" s="1"/>
  <c r="F12"/>
  <c r="C7" i="5" s="1"/>
  <c r="F20" i="1"/>
  <c r="E13"/>
  <c r="F13"/>
  <c r="C8" i="5" s="1"/>
  <c r="D19" i="1" l="1"/>
  <c r="D24" s="1"/>
  <c r="E21"/>
  <c r="F21" s="1"/>
  <c r="E19" l="1"/>
  <c r="E24" s="1"/>
  <c r="F19"/>
  <c r="C9" i="5" s="1"/>
  <c r="C11" s="1"/>
  <c r="F24" i="1" l="1"/>
</calcChain>
</file>

<file path=xl/sharedStrings.xml><?xml version="1.0" encoding="utf-8"?>
<sst xmlns="http://schemas.openxmlformats.org/spreadsheetml/2006/main" count="264" uniqueCount="155">
  <si>
    <t>STT</t>
  </si>
  <si>
    <t>Nội dung</t>
  </si>
  <si>
    <t>Công thức</t>
  </si>
  <si>
    <t>Thuế VAT</t>
  </si>
  <si>
    <t>Căn cứ</t>
  </si>
  <si>
    <t>[1]</t>
  </si>
  <si>
    <t>[2]</t>
  </si>
  <si>
    <t>[3]</t>
  </si>
  <si>
    <t>[4]</t>
  </si>
  <si>
    <t>[5]</t>
  </si>
  <si>
    <t>[6]</t>
  </si>
  <si>
    <t>[7]</t>
  </si>
  <si>
    <t>Chi phí xây lắp (Gxl)</t>
  </si>
  <si>
    <t>Chi phí thiết bị (Gtb)</t>
  </si>
  <si>
    <t>Gxl</t>
  </si>
  <si>
    <t>Phần cứng, hạ tầng, bảo mật, phần mềm bản quyền</t>
  </si>
  <si>
    <t>Chi phí phần mềm nội bộ</t>
  </si>
  <si>
    <t>Gpc</t>
  </si>
  <si>
    <t>Gpm</t>
  </si>
  <si>
    <t>Chi phí đào tạo, chuyển giao công nghệ phần mềm</t>
  </si>
  <si>
    <t>Chi phí lắp đặt thiết bị và cài đặt, kiểm tra, hiệu chỉnh</t>
  </si>
  <si>
    <t>Chi phí tạo lập cơ sở dữ liệu phần mềm</t>
  </si>
  <si>
    <t>Chi phí quản lý (Gqlda)</t>
  </si>
  <si>
    <t>Chi phí tư vấn đầu tư (Gtv)</t>
  </si>
  <si>
    <t>Chi phí lập dự án công nghệ thông tin (lập báo cáo nghiên cứu khả thi)</t>
  </si>
  <si>
    <t>Chi phí lập thiết kế thi công, tổng dự toán</t>
  </si>
  <si>
    <t>Thẩm tra tính hiệu quả và tính khả thi của dự án đầu tư</t>
  </si>
  <si>
    <t>Chi phí lập hồ sơ mời thầu, đánh giá hồ sơ dự thầu mua sắm thiết bị, hệ thống</t>
  </si>
  <si>
    <t>Chi phí giám sát thi công xây lắp và thiết bị</t>
  </si>
  <si>
    <t>Chi phí khác (Gk)</t>
  </si>
  <si>
    <t>Lệ phí thẩm định dự án đầu tư</t>
  </si>
  <si>
    <t>Chi phí kiểm toán</t>
  </si>
  <si>
    <t>Chi phí thẩm tra, phê duyệt quyết toán dự án hoàn thành</t>
  </si>
  <si>
    <t>Chi phí dự phòng</t>
  </si>
  <si>
    <t>Tổng dự toán</t>
  </si>
  <si>
    <t>1,7% x (Gxl+Gpc)+2,13% x Gpm</t>
  </si>
  <si>
    <t>0,51%(Gpc+Gxl)+ 0,93%Gpm</t>
  </si>
  <si>
    <t>0,8%Gpc+ 1,83%Gxl+ 2,99%Gpm</t>
  </si>
  <si>
    <t>0,0616%(Gpc+Gxl)+ 0,077%Gpm</t>
  </si>
  <si>
    <t>0,1888%Gpc + 0,236%Gpm</t>
  </si>
  <si>
    <t>1,6424%(Gpc+Gxl)+ 2,053%Gpm</t>
  </si>
  <si>
    <t>0,019%(Gxl+Gtb+Gqlda+Gtv)</t>
  </si>
  <si>
    <t>5%(Gxl+Gtb+Gqlda+Gtv)</t>
  </si>
  <si>
    <t>Bảng báo giá</t>
  </si>
  <si>
    <t>Thông tư 139/2010/TT-BTC ngày 21/09/2010</t>
  </si>
  <si>
    <t>Bảng 1 Quyết định 993/QĐ-BTTTT</t>
  </si>
  <si>
    <t>Bảng 2, Quyết định 993/QĐ-BTTTT</t>
  </si>
  <si>
    <t>Bảng 3, Quyết định 993/QĐ-BTTTT</t>
  </si>
  <si>
    <t>Bảng 4, Quyết định 993/QĐ-BTTTT</t>
  </si>
  <si>
    <t>Bảng 8, Quyết định 993/QĐ-BTTTT</t>
  </si>
  <si>
    <t>Bảng 9, Quyết định 993/QĐ-BTTTT</t>
  </si>
  <si>
    <t>0,5677%x(Gxl+Gtb+Gqlda+Gtv)</t>
  </si>
  <si>
    <t>0,3387%x(Gxl+Gtb+Gqlda+Gtv)</t>
  </si>
  <si>
    <t>TT 176/2011/TT-BTC</t>
  </si>
  <si>
    <t>TT 19/2011/TT-BTC</t>
  </si>
  <si>
    <t>Giá sau thuế</t>
  </si>
  <si>
    <t>Tổng cộng</t>
  </si>
  <si>
    <t>Phân hệ quản lý Báo cáo tổng hợp</t>
  </si>
  <si>
    <t>Nội dung công việc</t>
  </si>
  <si>
    <t>Đơn vị</t>
  </si>
  <si>
    <t>Số lượng</t>
  </si>
  <si>
    <t>Đơn giá</t>
  </si>
  <si>
    <t>Thành tiền</t>
  </si>
  <si>
    <t>Chi viết, biên soạn tài liệu</t>
  </si>
  <si>
    <t>Chi sửa chữa, biên tập tổng thể</t>
  </si>
  <si>
    <t>Chi thẩm định, nhận xét tài liệu</t>
  </si>
  <si>
    <t>Chi in ấn, photo, đóng quyển</t>
  </si>
  <si>
    <t>Thù lao cho giảng viên chính
(300.000đ/buổi/3 buổi *1 lớp)</t>
  </si>
  <si>
    <t>Thù lao cho giảng viên phụ
(300.000đ/buổi/3 buổi *1 lớp)</t>
  </si>
  <si>
    <t>Chi phí thuê hội trường, phòng học, trang thiết bị phục vụ đào tạo</t>
  </si>
  <si>
    <t>Chi nước uống phục vụ lớp học</t>
  </si>
  <si>
    <t>Chi văn phòng phẩm</t>
  </si>
  <si>
    <t>Chi phục vụ khai giảng, bế giảng lớp học</t>
  </si>
  <si>
    <t>Chi hỗ trợ tiền ăn trưa cho học viên tham dự lớp học</t>
  </si>
  <si>
    <t>Chi khác</t>
  </si>
  <si>
    <t>Trang</t>
  </si>
  <si>
    <t>Quyển</t>
  </si>
  <si>
    <t>Người</t>
  </si>
  <si>
    <t>Buổi</t>
  </si>
  <si>
    <t>Lần</t>
  </si>
  <si>
    <t>1. Đào tạo vận hành quản trị hệ thống</t>
  </si>
  <si>
    <t>2. Sử dụng khai thác tài nguyên trên mạng</t>
  </si>
  <si>
    <t>Thù lao cho giảng viên chính
(300.000đ/buổi/2 buổi *1 lớp)</t>
  </si>
  <si>
    <t>Thù lao cho giảng viên phụ
(300.000đ/buổi/2 buổi *1 lớp)</t>
  </si>
  <si>
    <t>Chi hỗ trợ tiền ăn trưa cho học viên tham dự lớp học (10 người)</t>
  </si>
  <si>
    <t>3.Đào tạo sử dụng hệ thống phần mềm tổng thể bệnh viện</t>
  </si>
  <si>
    <t>Thù lao cho giảng viên chính
(300.000đ/buổi/4 buổi *1 lớp)</t>
  </si>
  <si>
    <t>Thù lao cho giảng viên phụ
(300.000đ/buổi/4 buổi *1 lớp)</t>
  </si>
  <si>
    <t xml:space="preserve">Chi hỗ trợ tiền ăn trưa cho học viên tham dự lớp học </t>
  </si>
  <si>
    <t>Tổng hợp chi phí thiết bị</t>
  </si>
  <si>
    <t>NỘI DUNG CHI PHÍ</t>
  </si>
  <si>
    <t>GIÁ TRỊ TRƯỚC THUẾ</t>
  </si>
  <si>
    <t>THUẾ VAT</t>
  </si>
  <si>
    <t>GIÁ TRỊ SAU THUẾ</t>
  </si>
  <si>
    <t>Chi phí mua sắm thiết bị</t>
  </si>
  <si>
    <t>Thiết bị phải lắp đặt và cài đặt, kiểm tra, hiệu chỉnh ; thiết bị không phải lắp đặt và cài đặt; các thiết bị phụ trợ và thiết bị ngoại vi</t>
  </si>
  <si>
    <t>Thiết bị đặc biệt là phần mềm nội bộ</t>
  </si>
  <si>
    <t>Chi phí đào tạo và chuyển giao công nghệ</t>
  </si>
  <si>
    <t>TỔNG CỘNG</t>
  </si>
  <si>
    <t>Chi phí tạo lập cơ sở dữ liệu</t>
  </si>
  <si>
    <t>Tổng hợp dự toán</t>
  </si>
  <si>
    <t>Chi phí xây lắp - Gxl</t>
  </si>
  <si>
    <t>Chi phí thiết bị - Gtb</t>
  </si>
  <si>
    <t>Chi phí quản lý dự án  -Gqlda</t>
  </si>
  <si>
    <t>Chi phí tư vấn đầu tư ứng dụng CNTT - Gtv</t>
  </si>
  <si>
    <t>Chi phí khác - Gk</t>
  </si>
  <si>
    <t>Chi phí dự phòng - Gdp</t>
  </si>
  <si>
    <t>Tổng hợp chi phí</t>
  </si>
  <si>
    <t>Chi phí 
trước thuế</t>
  </si>
  <si>
    <t>Chi phí 
sau thuế</t>
  </si>
  <si>
    <t>DỰ TOÁN CHI TIẾT</t>
  </si>
  <si>
    <t>TT</t>
  </si>
  <si>
    <t>ĐƠN VỊ</t>
  </si>
  <si>
    <t>SL</t>
  </si>
  <si>
    <t>ĐƠN GIÁ</t>
  </si>
  <si>
    <t>DIỄN GIẢI</t>
  </si>
  <si>
    <t>GIÁ 
TRƯỚC THUẾ</t>
  </si>
  <si>
    <t>THÀNH TIỀN</t>
  </si>
  <si>
    <t>I</t>
  </si>
  <si>
    <t>THIẾT BỊ PHẦN CỨNG</t>
  </si>
  <si>
    <t>II</t>
  </si>
  <si>
    <t>THIẾT BỊ MẠNG</t>
  </si>
  <si>
    <t>III</t>
  </si>
  <si>
    <t xml:space="preserve">IV </t>
  </si>
  <si>
    <t>ĐÀO TẠO</t>
  </si>
  <si>
    <t>Đào tạo quản trị, vận hành hệ thống</t>
  </si>
  <si>
    <t>Sử dụng và khai thác tài nguyên trên mạng</t>
  </si>
  <si>
    <t>Đào tạo sử dụng hệ thống phần mềm tổng thể bệnh viện</t>
  </si>
  <si>
    <t>V</t>
  </si>
  <si>
    <t>CHI PHÍ TẠO LẬP CSDL</t>
  </si>
  <si>
    <t>PHẦN MỀM ỨNG DỤNG</t>
  </si>
  <si>
    <t>PM</t>
  </si>
  <si>
    <t>Lớp</t>
  </si>
  <si>
    <t>Phân hệ quản lý Tiếp nhận bệnh nhân</t>
  </si>
  <si>
    <t>Phân hệ quản lý khám chữa bệnh Ngoại trú</t>
  </si>
  <si>
    <t>UPS SANTAK offline E2000VA (Blazer 2000)</t>
  </si>
  <si>
    <t>Tên thiết bị</t>
  </si>
  <si>
    <r>
      <rPr>
        <b/>
        <sz val="12"/>
        <color theme="1"/>
        <rFont val="Times New Roman"/>
        <family val="1"/>
      </rPr>
      <t>IBM Server X3650M4</t>
    </r>
    <r>
      <rPr>
        <sz val="12"/>
        <color theme="1"/>
        <rFont val="Times New Roman"/>
        <family val="1"/>
      </rPr>
      <t xml:space="preserve">
-1 x Intel® Xeon® 8-Core Processor E5-2650, 2.0GHz, 20MB, LGA2011
- Memory: 16GB
- HDD 2 x 600GB
- DVD ROM/ DVD RW
- 1x 750W Redundant Power Supply Unit
- Rackmount 2U Server Case
- Key + Mouse</t>
    </r>
  </si>
  <si>
    <r>
      <rPr>
        <b/>
        <sz val="12"/>
        <color theme="1"/>
        <rFont val="Times New Roman"/>
        <family val="1"/>
      </rPr>
      <t>Máy tính để bàn</t>
    </r>
    <r>
      <rPr>
        <sz val="12"/>
        <color theme="1"/>
        <rFont val="Times New Roman"/>
        <family val="1"/>
      </rPr>
      <t xml:space="preserve">
- Core i3 4th Generation, 
- HDD 500GB, Ram 4GB, Wifi,
- màn hình 19''</t>
    </r>
  </si>
  <si>
    <t>Network Equipment (Cable + Thi công + Vật tư)</t>
  </si>
  <si>
    <t xml:space="preserve">CHI PHÍ PHẦN CỨNG </t>
  </si>
  <si>
    <t>Router Internet</t>
  </si>
  <si>
    <t>Bộ</t>
  </si>
  <si>
    <t>Switch 24 Cổng RJ45 10/100/1000Mbps dùng với cáp mạng cat.5 + 4 slot 1000BASE-T/SFP</t>
  </si>
  <si>
    <t>CHI PHÍ THIẾT BỊ MẠNG</t>
  </si>
  <si>
    <t>ĐVT</t>
  </si>
  <si>
    <t>Gói</t>
  </si>
  <si>
    <t>Phần mềm quản lý tổng thể bệnh viện</t>
  </si>
  <si>
    <t>Chiếc</t>
  </si>
  <si>
    <t>Tổng thanh toán</t>
  </si>
  <si>
    <t>BÁO GIÁ PHẦN MỀM</t>
  </si>
  <si>
    <t>Phân hệ kết nối HIS-LIS</t>
  </si>
  <si>
    <t>Phân hệ quản lý Viện phí ngoại trú</t>
  </si>
  <si>
    <t>Phân hệ quản lý Dược ngoại trú</t>
  </si>
  <si>
    <t>Phân hệ quản lý khoa phòng cận lâm sàng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</si>
</sst>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_(@_)"/>
  </numFmts>
  <fonts count="8">
    <font>
      <sz val="10"/>
      <color theme="1"/>
      <name val="Vn-Sans-Serif"/>
      <family val="2"/>
    </font>
    <font>
      <sz val="10"/>
      <color theme="1"/>
      <name val="Vn-Sans-Serif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4" fillId="0" borderId="1" xfId="0" applyFont="1" applyBorder="1"/>
    <xf numFmtId="0" fontId="3" fillId="2" borderId="1" xfId="0" quotePrefix="1" applyFont="1" applyFill="1" applyBorder="1"/>
    <xf numFmtId="0" fontId="2" fillId="0" borderId="1" xfId="0" quotePrefix="1" applyFont="1" applyBorder="1"/>
    <xf numFmtId="164" fontId="3" fillId="2" borderId="1" xfId="1" applyNumberFormat="1" applyFont="1" applyFill="1" applyBorder="1"/>
    <xf numFmtId="164" fontId="2" fillId="0" borderId="1" xfId="1" applyNumberFormat="1" applyFont="1" applyBorder="1"/>
    <xf numFmtId="0" fontId="2" fillId="2" borderId="1" xfId="0" applyFont="1" applyFill="1" applyBorder="1" applyAlignment="1">
      <alignment wrapText="1"/>
    </xf>
    <xf numFmtId="43" fontId="2" fillId="0" borderId="0" xfId="1" applyFont="1"/>
    <xf numFmtId="43" fontId="2" fillId="0" borderId="0" xfId="1" applyFont="1" applyAlignment="1">
      <alignment wrapText="1"/>
    </xf>
    <xf numFmtId="164" fontId="2" fillId="0" borderId="0" xfId="1" applyNumberFormat="1" applyFont="1"/>
    <xf numFmtId="0" fontId="3" fillId="0" borderId="1" xfId="0" applyFont="1" applyBorder="1"/>
    <xf numFmtId="164" fontId="3" fillId="0" borderId="1" xfId="1" applyNumberFormat="1" applyFont="1" applyBorder="1"/>
    <xf numFmtId="0" fontId="3" fillId="2" borderId="1" xfId="0" applyFont="1" applyFill="1" applyBorder="1" applyAlignment="1">
      <alignment horizontal="center" wrapText="1"/>
    </xf>
    <xf numFmtId="164" fontId="3" fillId="2" borderId="1" xfId="1" applyNumberFormat="1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164" fontId="4" fillId="0" borderId="0" xfId="1" applyNumberFormat="1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64" fontId="2" fillId="0" borderId="1" xfId="0" applyNumberFormat="1" applyFont="1" applyBorder="1"/>
    <xf numFmtId="164" fontId="3" fillId="3" borderId="1" xfId="0" applyNumberFormat="1" applyFont="1" applyFill="1" applyBorder="1"/>
    <xf numFmtId="164" fontId="2" fillId="2" borderId="1" xfId="1" applyNumberFormat="1" applyFont="1" applyFill="1" applyBorder="1"/>
    <xf numFmtId="0" fontId="6" fillId="0" borderId="0" xfId="0" applyFont="1"/>
    <xf numFmtId="164" fontId="6" fillId="0" borderId="0" xfId="1" applyNumberFormat="1" applyFont="1"/>
    <xf numFmtId="0" fontId="6" fillId="0" borderId="1" xfId="0" applyFont="1" applyBorder="1"/>
    <xf numFmtId="0" fontId="7" fillId="0" borderId="1" xfId="0" applyFont="1" applyBorder="1"/>
    <xf numFmtId="164" fontId="7" fillId="0" borderId="1" xfId="1" applyNumberFormat="1" applyFont="1" applyBorder="1"/>
    <xf numFmtId="0" fontId="7" fillId="0" borderId="0" xfId="0" applyFont="1"/>
    <xf numFmtId="0" fontId="7" fillId="0" borderId="1" xfId="0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164" fontId="6" fillId="0" borderId="1" xfId="1" applyNumberFormat="1" applyFont="1" applyBorder="1" applyAlignment="1">
      <alignment vertical="top"/>
    </xf>
    <xf numFmtId="164" fontId="6" fillId="0" borderId="1" xfId="1" applyNumberFormat="1" applyFont="1" applyBorder="1" applyAlignment="1"/>
    <xf numFmtId="164" fontId="7" fillId="0" borderId="1" xfId="0" applyNumberFormat="1" applyFont="1" applyBorder="1"/>
    <xf numFmtId="164" fontId="7" fillId="0" borderId="1" xfId="1" applyNumberFormat="1" applyFont="1" applyBorder="1" applyAlignment="1">
      <alignment vertical="top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164" fontId="2" fillId="4" borderId="1" xfId="1" applyNumberFormat="1" applyFont="1" applyFill="1" applyBorder="1"/>
    <xf numFmtId="165" fontId="2" fillId="4" borderId="1" xfId="0" applyNumberFormat="1" applyFont="1" applyFill="1" applyBorder="1"/>
    <xf numFmtId="165" fontId="6" fillId="0" borderId="1" xfId="0" applyNumberFormat="1" applyFont="1" applyBorder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E13" sqref="E13"/>
    </sheetView>
  </sheetViews>
  <sheetFormatPr defaultRowHeight="16.5"/>
  <cols>
    <col min="1" max="1" width="9.140625" style="1"/>
    <col min="2" max="2" width="47.7109375" style="1" customWidth="1"/>
    <col min="3" max="3" width="21.7109375" style="1" bestFit="1" customWidth="1"/>
    <col min="4" max="16384" width="9.140625" style="1"/>
  </cols>
  <sheetData>
    <row r="1" spans="1:3">
      <c r="A1" s="1" t="s">
        <v>100</v>
      </c>
    </row>
    <row r="3" spans="1:3">
      <c r="A3" s="11" t="s">
        <v>0</v>
      </c>
      <c r="B3" s="11" t="s">
        <v>90</v>
      </c>
      <c r="C3" s="11" t="s">
        <v>93</v>
      </c>
    </row>
    <row r="4" spans="1:3">
      <c r="A4" s="5" t="s">
        <v>5</v>
      </c>
      <c r="B4" s="5" t="s">
        <v>6</v>
      </c>
      <c r="C4" s="5" t="s">
        <v>7</v>
      </c>
    </row>
    <row r="5" spans="1:3">
      <c r="A5" s="2">
        <v>1</v>
      </c>
      <c r="B5" s="2" t="s">
        <v>101</v>
      </c>
      <c r="C5" s="18">
        <f>+'TH Chi phi'!F5</f>
        <v>0</v>
      </c>
    </row>
    <row r="6" spans="1:3">
      <c r="A6" s="2">
        <v>2</v>
      </c>
      <c r="B6" s="2" t="s">
        <v>102</v>
      </c>
      <c r="C6" s="18">
        <f>+'TH Chi phi'!F6</f>
        <v>1503140000</v>
      </c>
    </row>
    <row r="7" spans="1:3">
      <c r="A7" s="2">
        <v>3</v>
      </c>
      <c r="B7" s="2" t="s">
        <v>103</v>
      </c>
      <c r="C7" s="18">
        <f>+'TH Chi phi'!F12</f>
        <v>7966200</v>
      </c>
    </row>
    <row r="8" spans="1:3">
      <c r="A8" s="2">
        <v>4</v>
      </c>
      <c r="B8" s="2" t="s">
        <v>104</v>
      </c>
      <c r="C8" s="18">
        <f>+'TH Chi phi'!F13</f>
        <v>23509640</v>
      </c>
    </row>
    <row r="9" spans="1:3">
      <c r="A9" s="2">
        <v>5</v>
      </c>
      <c r="B9" s="2" t="s">
        <v>105</v>
      </c>
      <c r="C9" s="18">
        <f>+'TH Chi phi'!F19</f>
        <v>14515970.98336</v>
      </c>
    </row>
    <row r="10" spans="1:3">
      <c r="A10" s="2">
        <v>6</v>
      </c>
      <c r="B10" s="2" t="s">
        <v>106</v>
      </c>
      <c r="C10" s="18">
        <f>+'TH Chi phi'!F23</f>
        <v>69005720</v>
      </c>
    </row>
    <row r="11" spans="1:3">
      <c r="A11" s="33"/>
      <c r="B11" s="11" t="s">
        <v>98</v>
      </c>
      <c r="C11" s="17">
        <f>ROUND(SUM(C5:C10),-3)</f>
        <v>1618138000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C9" sqref="C9"/>
    </sheetView>
  </sheetViews>
  <sheetFormatPr defaultRowHeight="16.5"/>
  <cols>
    <col min="1" max="1" width="6.140625" style="1" customWidth="1"/>
    <col min="2" max="2" width="53.7109375" style="1" customWidth="1"/>
    <col min="3" max="3" width="19.140625" style="22" bestFit="1" customWidth="1"/>
    <col min="4" max="16384" width="9.140625" style="1"/>
  </cols>
  <sheetData>
    <row r="1" spans="1:3">
      <c r="A1" s="61" t="s">
        <v>150</v>
      </c>
      <c r="B1" s="61"/>
      <c r="C1" s="61"/>
    </row>
    <row r="3" spans="1:3" ht="28.5" customHeight="1">
      <c r="A3" s="11" t="s">
        <v>0</v>
      </c>
      <c r="B3" s="11" t="s">
        <v>1</v>
      </c>
      <c r="C3" s="26" t="s">
        <v>55</v>
      </c>
    </row>
    <row r="4" spans="1:3" ht="28.5" customHeight="1">
      <c r="A4" s="5">
        <v>1</v>
      </c>
      <c r="B4" s="2" t="s">
        <v>133</v>
      </c>
      <c r="C4" s="18">
        <v>50000000</v>
      </c>
    </row>
    <row r="5" spans="1:3" ht="28.5" customHeight="1">
      <c r="A5" s="5">
        <v>2</v>
      </c>
      <c r="B5" s="2" t="s">
        <v>134</v>
      </c>
      <c r="C5" s="18">
        <v>50000000</v>
      </c>
    </row>
    <row r="6" spans="1:3" ht="28.5" customHeight="1">
      <c r="A6" s="5">
        <v>3</v>
      </c>
      <c r="B6" s="2" t="s">
        <v>152</v>
      </c>
      <c r="C6" s="18">
        <v>60000000</v>
      </c>
    </row>
    <row r="7" spans="1:3" ht="28.5" customHeight="1">
      <c r="A7" s="5">
        <v>5</v>
      </c>
      <c r="B7" s="2" t="s">
        <v>153</v>
      </c>
      <c r="C7" s="18">
        <v>60000000</v>
      </c>
    </row>
    <row r="8" spans="1:3" ht="28.5" customHeight="1">
      <c r="A8" s="5">
        <v>6</v>
      </c>
      <c r="B8" s="2" t="s">
        <v>57</v>
      </c>
      <c r="C8" s="18">
        <v>60000000</v>
      </c>
    </row>
    <row r="9" spans="1:3" ht="28.5" customHeight="1">
      <c r="A9" s="5">
        <v>7</v>
      </c>
      <c r="B9" s="2" t="s">
        <v>151</v>
      </c>
      <c r="C9" s="18">
        <v>30000000</v>
      </c>
    </row>
    <row r="10" spans="1:3" ht="28.5" customHeight="1">
      <c r="A10" s="5">
        <v>8</v>
      </c>
      <c r="B10" s="2" t="s">
        <v>154</v>
      </c>
      <c r="C10" s="18">
        <v>30000000</v>
      </c>
    </row>
    <row r="11" spans="1:3" ht="28.5" customHeight="1">
      <c r="A11" s="33"/>
      <c r="B11" s="11" t="s">
        <v>56</v>
      </c>
      <c r="C11" s="17">
        <f>+SUM(C4:C10)</f>
        <v>340000000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4" sqref="E4"/>
    </sheetView>
  </sheetViews>
  <sheetFormatPr defaultRowHeight="15.75"/>
  <cols>
    <col min="1" max="1" width="7.28515625" style="39" customWidth="1"/>
    <col min="2" max="2" width="54" style="39" bestFit="1" customWidth="1"/>
    <col min="3" max="3" width="9.28515625" style="39" bestFit="1" customWidth="1"/>
    <col min="4" max="5" width="16.85546875" style="40" bestFit="1" customWidth="1"/>
    <col min="6" max="16384" width="9.140625" style="39"/>
  </cols>
  <sheetData>
    <row r="1" spans="1:5">
      <c r="A1" s="62" t="s">
        <v>140</v>
      </c>
      <c r="B1" s="62"/>
      <c r="C1" s="62"/>
      <c r="D1" s="62"/>
      <c r="E1" s="62"/>
    </row>
    <row r="3" spans="1:5" s="47" customFormat="1">
      <c r="A3" s="45" t="s">
        <v>0</v>
      </c>
      <c r="B3" s="45" t="s">
        <v>136</v>
      </c>
      <c r="C3" s="45" t="s">
        <v>113</v>
      </c>
      <c r="D3" s="46" t="s">
        <v>61</v>
      </c>
      <c r="E3" s="46" t="s">
        <v>62</v>
      </c>
    </row>
    <row r="4" spans="1:5" ht="141.75">
      <c r="A4" s="51">
        <v>1</v>
      </c>
      <c r="B4" s="48" t="s">
        <v>137</v>
      </c>
      <c r="C4" s="51">
        <v>1</v>
      </c>
      <c r="D4" s="53">
        <v>95000000</v>
      </c>
      <c r="E4" s="53">
        <f>+D4*C4</f>
        <v>95000000</v>
      </c>
    </row>
    <row r="5" spans="1:5" ht="63">
      <c r="A5" s="51">
        <v>2</v>
      </c>
      <c r="B5" s="48" t="s">
        <v>138</v>
      </c>
      <c r="C5" s="51">
        <v>50</v>
      </c>
      <c r="D5" s="53">
        <v>13000000</v>
      </c>
      <c r="E5" s="53">
        <f>+D5*C5</f>
        <v>650000000</v>
      </c>
    </row>
    <row r="6" spans="1:5" ht="24" customHeight="1">
      <c r="A6" s="51">
        <v>3</v>
      </c>
      <c r="B6" s="42" t="s">
        <v>135</v>
      </c>
      <c r="C6" s="51">
        <v>51</v>
      </c>
      <c r="D6" s="53">
        <v>4000000</v>
      </c>
      <c r="E6" s="53">
        <f>+D6*C6</f>
        <v>204000000</v>
      </c>
    </row>
    <row r="7" spans="1:5" ht="25.5" customHeight="1">
      <c r="A7" s="41"/>
      <c r="B7" s="45" t="s">
        <v>56</v>
      </c>
      <c r="C7" s="49"/>
      <c r="D7" s="52"/>
      <c r="E7" s="55">
        <f>SUM(E4:E6)</f>
        <v>949000000</v>
      </c>
    </row>
    <row r="8" spans="1:5" ht="21.75" customHeight="1">
      <c r="A8" s="41"/>
      <c r="B8" s="45" t="s">
        <v>3</v>
      </c>
      <c r="C8" s="42"/>
      <c r="D8" s="43"/>
      <c r="E8" s="43">
        <f>0.1*E7</f>
        <v>94900000</v>
      </c>
    </row>
    <row r="9" spans="1:5" ht="21.75" customHeight="1">
      <c r="A9" s="41"/>
      <c r="B9" s="45" t="s">
        <v>149</v>
      </c>
      <c r="C9" s="42"/>
      <c r="D9" s="43"/>
      <c r="E9" s="43">
        <f>+E7+E8</f>
        <v>1043900000</v>
      </c>
    </row>
  </sheetData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G9" sqref="G9"/>
    </sheetView>
  </sheetViews>
  <sheetFormatPr defaultRowHeight="15.75"/>
  <cols>
    <col min="1" max="1" width="5.7109375" style="39" customWidth="1"/>
    <col min="2" max="2" width="44.7109375" style="39" bestFit="1" customWidth="1"/>
    <col min="3" max="3" width="5.42578125" style="39" customWidth="1"/>
    <col min="4" max="4" width="4.85546875" style="39" customWidth="1"/>
    <col min="5" max="5" width="12.7109375" style="39" bestFit="1" customWidth="1"/>
    <col min="6" max="6" width="14.5703125" style="39" bestFit="1" customWidth="1"/>
    <col min="7" max="16384" width="9.140625" style="39"/>
  </cols>
  <sheetData>
    <row r="1" spans="1:6">
      <c r="A1" s="62" t="s">
        <v>144</v>
      </c>
      <c r="B1" s="62"/>
      <c r="C1" s="62"/>
      <c r="D1" s="62"/>
      <c r="E1" s="62"/>
      <c r="F1" s="62"/>
    </row>
    <row r="3" spans="1:6" s="47" customFormat="1">
      <c r="A3" s="45" t="s">
        <v>0</v>
      </c>
      <c r="B3" s="45" t="s">
        <v>136</v>
      </c>
      <c r="C3" s="45" t="s">
        <v>145</v>
      </c>
      <c r="D3" s="45" t="s">
        <v>113</v>
      </c>
      <c r="E3" s="45" t="s">
        <v>61</v>
      </c>
      <c r="F3" s="45" t="s">
        <v>62</v>
      </c>
    </row>
    <row r="4" spans="1:6" ht="31.5">
      <c r="A4" s="51">
        <v>1</v>
      </c>
      <c r="B4" s="48" t="s">
        <v>143</v>
      </c>
      <c r="C4" s="51" t="s">
        <v>142</v>
      </c>
      <c r="D4" s="51">
        <v>5</v>
      </c>
      <c r="E4" s="53">
        <v>3000000</v>
      </c>
      <c r="F4" s="53">
        <f>+E4*D4</f>
        <v>15000000</v>
      </c>
    </row>
    <row r="5" spans="1:6" ht="24" customHeight="1">
      <c r="A5" s="51">
        <v>2</v>
      </c>
      <c r="B5" s="41" t="s">
        <v>141</v>
      </c>
      <c r="C5" s="51" t="s">
        <v>142</v>
      </c>
      <c r="D5" s="51">
        <v>1</v>
      </c>
      <c r="E5" s="53">
        <v>7500000</v>
      </c>
      <c r="F5" s="53">
        <f>+E5*D5</f>
        <v>7500000</v>
      </c>
    </row>
    <row r="6" spans="1:6" ht="24" customHeight="1">
      <c r="A6" s="51">
        <v>3</v>
      </c>
      <c r="B6" s="41" t="s">
        <v>139</v>
      </c>
      <c r="C6" s="51" t="s">
        <v>146</v>
      </c>
      <c r="D6" s="51">
        <v>1</v>
      </c>
      <c r="E6" s="53">
        <v>40000000</v>
      </c>
      <c r="F6" s="53">
        <f>+E6*D6</f>
        <v>40000000</v>
      </c>
    </row>
    <row r="7" spans="1:6" ht="25.5" customHeight="1">
      <c r="A7" s="42"/>
      <c r="B7" s="42" t="s">
        <v>56</v>
      </c>
      <c r="C7" s="42"/>
      <c r="D7" s="42"/>
      <c r="E7" s="42"/>
      <c r="F7" s="54">
        <f>SUM(F4:F6)</f>
        <v>62500000</v>
      </c>
    </row>
    <row r="8" spans="1:6" s="44" customFormat="1" ht="23.25" customHeight="1">
      <c r="A8" s="42"/>
      <c r="B8" s="42" t="s">
        <v>3</v>
      </c>
      <c r="C8" s="42"/>
      <c r="D8" s="42"/>
      <c r="E8" s="42"/>
      <c r="F8" s="43">
        <f>0.1*F7</f>
        <v>6250000</v>
      </c>
    </row>
    <row r="9" spans="1:6" s="44" customFormat="1" ht="23.25" customHeight="1">
      <c r="A9" s="42"/>
      <c r="B9" s="42" t="s">
        <v>149</v>
      </c>
      <c r="C9" s="42"/>
      <c r="D9" s="42"/>
      <c r="E9" s="42"/>
      <c r="F9" s="54">
        <f>+F7+F8</f>
        <v>68750000</v>
      </c>
    </row>
    <row r="10" spans="1:6" ht="23.25" customHeight="1"/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D7" sqref="D7"/>
    </sheetView>
  </sheetViews>
  <sheetFormatPr defaultRowHeight="16.5"/>
  <cols>
    <col min="1" max="1" width="6.5703125" style="1" customWidth="1"/>
    <col min="2" max="2" width="57.28515625" style="1" customWidth="1"/>
    <col min="3" max="3" width="18.140625" style="1" customWidth="1"/>
    <col min="4" max="4" width="15.85546875" style="1" bestFit="1" customWidth="1"/>
    <col min="5" max="5" width="17.85546875" style="1" bestFit="1" customWidth="1"/>
    <col min="6" max="16384" width="9.140625" style="1"/>
  </cols>
  <sheetData>
    <row r="1" spans="1:6">
      <c r="A1" s="8" t="s">
        <v>89</v>
      </c>
    </row>
    <row r="3" spans="1:6" ht="33">
      <c r="A3" s="11" t="s">
        <v>0</v>
      </c>
      <c r="B3" s="11" t="s">
        <v>90</v>
      </c>
      <c r="C3" s="25" t="s">
        <v>91</v>
      </c>
      <c r="D3" s="25" t="s">
        <v>92</v>
      </c>
      <c r="E3" s="25" t="s">
        <v>93</v>
      </c>
      <c r="F3" s="10"/>
    </row>
    <row r="4" spans="1:6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</row>
    <row r="5" spans="1:6" ht="31.5" customHeight="1">
      <c r="A5" s="6">
        <v>1</v>
      </c>
      <c r="B5" s="23" t="s">
        <v>94</v>
      </c>
      <c r="C5" s="24">
        <f>+SUM(C6:C8)</f>
        <v>1351500000</v>
      </c>
      <c r="D5" s="24">
        <f t="shared" ref="D5:E5" si="0">+SUM(D6:D8)</f>
        <v>101150000</v>
      </c>
      <c r="E5" s="24">
        <f t="shared" si="0"/>
        <v>1452650000</v>
      </c>
    </row>
    <row r="6" spans="1:6" ht="49.5">
      <c r="A6" s="30">
        <v>1.1000000000000001</v>
      </c>
      <c r="B6" s="31" t="s">
        <v>95</v>
      </c>
      <c r="C6" s="18">
        <f>+'CP PCung'!E7+'CP HT Internet'!F7</f>
        <v>1011500000</v>
      </c>
      <c r="D6" s="18">
        <f>+'CP PCung'!E8+'CP HT Internet'!F8</f>
        <v>101150000</v>
      </c>
      <c r="E6" s="18">
        <f>+C6+D6</f>
        <v>1112650000</v>
      </c>
    </row>
    <row r="7" spans="1:6" ht="25.5" customHeight="1">
      <c r="A7" s="30">
        <v>1.2</v>
      </c>
      <c r="B7" s="32" t="s">
        <v>99</v>
      </c>
      <c r="C7" s="18">
        <v>0</v>
      </c>
      <c r="D7" s="18">
        <v>0</v>
      </c>
      <c r="E7" s="18">
        <f>+C7+D7</f>
        <v>0</v>
      </c>
    </row>
    <row r="8" spans="1:6" ht="27.75" customHeight="1">
      <c r="A8" s="30">
        <v>1.3</v>
      </c>
      <c r="B8" s="32" t="s">
        <v>96</v>
      </c>
      <c r="C8" s="18">
        <f>+'CP Phan mem'!C11</f>
        <v>340000000</v>
      </c>
      <c r="D8" s="18">
        <v>0</v>
      </c>
      <c r="E8" s="18">
        <f>+C8+D8</f>
        <v>340000000</v>
      </c>
    </row>
    <row r="9" spans="1:6" ht="26.25" customHeight="1">
      <c r="A9" s="6">
        <v>2</v>
      </c>
      <c r="B9" s="23" t="s">
        <v>97</v>
      </c>
      <c r="C9" s="24">
        <f>+'CP Dao tao'!F16+'CP Dao tao'!F34+'CP Dao tao'!F52</f>
        <v>45900000</v>
      </c>
      <c r="D9" s="24">
        <f>0.1*C9</f>
        <v>4590000</v>
      </c>
      <c r="E9" s="24">
        <f>+C9+D9</f>
        <v>50490000</v>
      </c>
    </row>
    <row r="10" spans="1:6" ht="26.25" customHeight="1">
      <c r="A10" s="6">
        <v>3</v>
      </c>
      <c r="B10" s="23" t="s">
        <v>20</v>
      </c>
      <c r="C10" s="24">
        <v>0</v>
      </c>
      <c r="D10" s="24">
        <v>0</v>
      </c>
      <c r="E10" s="18">
        <f>+C10+D10</f>
        <v>0</v>
      </c>
    </row>
    <row r="11" spans="1:6" ht="26.25" customHeight="1">
      <c r="A11" s="33"/>
      <c r="B11" s="11" t="s">
        <v>98</v>
      </c>
      <c r="C11" s="17">
        <f>+C5+C9+C10</f>
        <v>1397400000</v>
      </c>
      <c r="D11" s="17">
        <f t="shared" ref="D11:E11" si="1">+D5+D9+D10</f>
        <v>105740000</v>
      </c>
      <c r="E11" s="17">
        <f t="shared" si="1"/>
        <v>1503140000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2"/>
  <sheetViews>
    <sheetView topLeftCell="A26" workbookViewId="0">
      <selection activeCell="G44" sqref="G44"/>
    </sheetView>
  </sheetViews>
  <sheetFormatPr defaultRowHeight="16.5"/>
  <cols>
    <col min="1" max="1" width="5.85546875" style="1" customWidth="1"/>
    <col min="2" max="2" width="45" style="10" customWidth="1"/>
    <col min="3" max="3" width="7.42578125" style="1" customWidth="1"/>
    <col min="4" max="4" width="10" style="1" bestFit="1" customWidth="1"/>
    <col min="5" max="5" width="13.7109375" style="22" customWidth="1"/>
    <col min="6" max="6" width="14.5703125" style="22" bestFit="1" customWidth="1"/>
    <col min="7" max="16384" width="9.140625" style="1"/>
  </cols>
  <sheetData>
    <row r="1" spans="1:6" s="27" customFormat="1" ht="17.25">
      <c r="A1" s="27" t="s">
        <v>80</v>
      </c>
      <c r="B1" s="28"/>
      <c r="E1" s="29"/>
      <c r="F1" s="29"/>
    </row>
    <row r="3" spans="1:6" ht="24.75" customHeight="1">
      <c r="A3" s="11" t="s">
        <v>0</v>
      </c>
      <c r="B3" s="25" t="s">
        <v>58</v>
      </c>
      <c r="C3" s="11" t="s">
        <v>59</v>
      </c>
      <c r="D3" s="11" t="s">
        <v>60</v>
      </c>
      <c r="E3" s="26" t="s">
        <v>61</v>
      </c>
      <c r="F3" s="26" t="s">
        <v>62</v>
      </c>
    </row>
    <row r="4" spans="1:6">
      <c r="A4" s="2">
        <v>1</v>
      </c>
      <c r="B4" s="3" t="s">
        <v>63</v>
      </c>
      <c r="C4" s="2" t="s">
        <v>75</v>
      </c>
      <c r="D4" s="5">
        <v>45</v>
      </c>
      <c r="E4" s="18">
        <v>45000</v>
      </c>
      <c r="F4" s="18">
        <f>+D4*E4</f>
        <v>2025000</v>
      </c>
    </row>
    <row r="5" spans="1:6">
      <c r="A5" s="2">
        <v>2</v>
      </c>
      <c r="B5" s="3" t="s">
        <v>64</v>
      </c>
      <c r="C5" s="2" t="s">
        <v>75</v>
      </c>
      <c r="D5" s="5">
        <v>45</v>
      </c>
      <c r="E5" s="18">
        <v>25000</v>
      </c>
      <c r="F5" s="18">
        <f t="shared" ref="F5:F15" si="0">+D5*E5</f>
        <v>1125000</v>
      </c>
    </row>
    <row r="6" spans="1:6">
      <c r="A6" s="2">
        <v>3</v>
      </c>
      <c r="B6" s="3" t="s">
        <v>65</v>
      </c>
      <c r="C6" s="2" t="s">
        <v>75</v>
      </c>
      <c r="D6" s="5">
        <v>45</v>
      </c>
      <c r="E6" s="18">
        <v>20000</v>
      </c>
      <c r="F6" s="18">
        <f t="shared" si="0"/>
        <v>900000</v>
      </c>
    </row>
    <row r="7" spans="1:6">
      <c r="A7" s="2">
        <v>4</v>
      </c>
      <c r="B7" s="3" t="s">
        <v>66</v>
      </c>
      <c r="C7" s="2" t="s">
        <v>76</v>
      </c>
      <c r="D7" s="5">
        <v>10</v>
      </c>
      <c r="E7" s="18">
        <v>50000</v>
      </c>
      <c r="F7" s="18">
        <f t="shared" si="0"/>
        <v>500000</v>
      </c>
    </row>
    <row r="8" spans="1:6" ht="33" customHeight="1">
      <c r="A8" s="2">
        <v>5</v>
      </c>
      <c r="B8" s="3" t="s">
        <v>67</v>
      </c>
      <c r="C8" s="2" t="s">
        <v>77</v>
      </c>
      <c r="D8" s="5">
        <v>3</v>
      </c>
      <c r="E8" s="18">
        <v>300000</v>
      </c>
      <c r="F8" s="18">
        <f t="shared" si="0"/>
        <v>900000</v>
      </c>
    </row>
    <row r="9" spans="1:6" ht="33" customHeight="1">
      <c r="A9" s="2">
        <v>6</v>
      </c>
      <c r="B9" s="3" t="s">
        <v>68</v>
      </c>
      <c r="C9" s="2" t="s">
        <v>77</v>
      </c>
      <c r="D9" s="5">
        <v>3</v>
      </c>
      <c r="E9" s="18">
        <v>300000</v>
      </c>
      <c r="F9" s="18">
        <f t="shared" si="0"/>
        <v>900000</v>
      </c>
    </row>
    <row r="10" spans="1:6" ht="33">
      <c r="A10" s="2">
        <v>7</v>
      </c>
      <c r="B10" s="3" t="s">
        <v>69</v>
      </c>
      <c r="C10" s="2" t="s">
        <v>78</v>
      </c>
      <c r="D10" s="5">
        <v>3</v>
      </c>
      <c r="E10" s="18">
        <v>1000000</v>
      </c>
      <c r="F10" s="18">
        <f t="shared" si="0"/>
        <v>3000000</v>
      </c>
    </row>
    <row r="11" spans="1:6">
      <c r="A11" s="2">
        <v>8</v>
      </c>
      <c r="B11" s="3" t="s">
        <v>70</v>
      </c>
      <c r="C11" s="2" t="s">
        <v>79</v>
      </c>
      <c r="D11" s="5">
        <v>3</v>
      </c>
      <c r="E11" s="18">
        <v>500000</v>
      </c>
      <c r="F11" s="18">
        <f t="shared" si="0"/>
        <v>1500000</v>
      </c>
    </row>
    <row r="12" spans="1:6">
      <c r="A12" s="2">
        <v>9</v>
      </c>
      <c r="B12" s="3" t="s">
        <v>71</v>
      </c>
      <c r="C12" s="2" t="s">
        <v>79</v>
      </c>
      <c r="D12" s="5">
        <v>3</v>
      </c>
      <c r="E12" s="18">
        <v>500000</v>
      </c>
      <c r="F12" s="18">
        <f t="shared" si="0"/>
        <v>1500000</v>
      </c>
    </row>
    <row r="13" spans="1:6">
      <c r="A13" s="2">
        <v>10</v>
      </c>
      <c r="B13" s="3" t="s">
        <v>72</v>
      </c>
      <c r="C13" s="2" t="s">
        <v>79</v>
      </c>
      <c r="D13" s="5">
        <v>2</v>
      </c>
      <c r="E13" s="18">
        <v>500000</v>
      </c>
      <c r="F13" s="18">
        <f t="shared" si="0"/>
        <v>1000000</v>
      </c>
    </row>
    <row r="14" spans="1:6" ht="33">
      <c r="A14" s="2">
        <v>11</v>
      </c>
      <c r="B14" s="3" t="s">
        <v>73</v>
      </c>
      <c r="C14" s="2" t="s">
        <v>77</v>
      </c>
      <c r="D14" s="5">
        <v>10</v>
      </c>
      <c r="E14" s="18">
        <v>100000</v>
      </c>
      <c r="F14" s="18">
        <f t="shared" si="0"/>
        <v>1000000</v>
      </c>
    </row>
    <row r="15" spans="1:6">
      <c r="A15" s="2">
        <v>12</v>
      </c>
      <c r="B15" s="3" t="s">
        <v>74</v>
      </c>
      <c r="C15" s="2"/>
      <c r="D15" s="5">
        <v>1</v>
      </c>
      <c r="E15" s="18">
        <v>1000000</v>
      </c>
      <c r="F15" s="18">
        <f t="shared" si="0"/>
        <v>1000000</v>
      </c>
    </row>
    <row r="16" spans="1:6" s="8" customFormat="1">
      <c r="A16" s="33"/>
      <c r="B16" s="12" t="s">
        <v>56</v>
      </c>
      <c r="C16" s="13"/>
      <c r="D16" s="13"/>
      <c r="E16" s="17"/>
      <c r="F16" s="17">
        <f>+SUM(F4:F15)</f>
        <v>15350000</v>
      </c>
    </row>
    <row r="19" spans="1:6" s="27" customFormat="1" ht="17.25">
      <c r="A19" s="27" t="s">
        <v>81</v>
      </c>
      <c r="B19" s="28"/>
      <c r="E19" s="29"/>
      <c r="F19" s="29"/>
    </row>
    <row r="21" spans="1:6" ht="21.75" customHeight="1">
      <c r="A21" s="11" t="s">
        <v>0</v>
      </c>
      <c r="B21" s="25" t="s">
        <v>58</v>
      </c>
      <c r="C21" s="11" t="s">
        <v>59</v>
      </c>
      <c r="D21" s="11" t="s">
        <v>60</v>
      </c>
      <c r="E21" s="26" t="s">
        <v>61</v>
      </c>
      <c r="F21" s="26" t="s">
        <v>62</v>
      </c>
    </row>
    <row r="22" spans="1:6">
      <c r="A22" s="2">
        <v>1</v>
      </c>
      <c r="B22" s="3" t="s">
        <v>63</v>
      </c>
      <c r="C22" s="2" t="s">
        <v>75</v>
      </c>
      <c r="D22" s="5">
        <v>30</v>
      </c>
      <c r="E22" s="18">
        <v>45000</v>
      </c>
      <c r="F22" s="18">
        <f>+D22*E22</f>
        <v>1350000</v>
      </c>
    </row>
    <row r="23" spans="1:6">
      <c r="A23" s="2">
        <v>2</v>
      </c>
      <c r="B23" s="3" t="s">
        <v>64</v>
      </c>
      <c r="C23" s="2" t="s">
        <v>75</v>
      </c>
      <c r="D23" s="5">
        <v>30</v>
      </c>
      <c r="E23" s="18">
        <v>25000</v>
      </c>
      <c r="F23" s="18">
        <f t="shared" ref="F23:F33" si="1">+D23*E23</f>
        <v>750000</v>
      </c>
    </row>
    <row r="24" spans="1:6">
      <c r="A24" s="2">
        <v>3</v>
      </c>
      <c r="B24" s="3" t="s">
        <v>65</v>
      </c>
      <c r="C24" s="2" t="s">
        <v>75</v>
      </c>
      <c r="D24" s="5">
        <v>30</v>
      </c>
      <c r="E24" s="18">
        <v>20000</v>
      </c>
      <c r="F24" s="18">
        <f t="shared" si="1"/>
        <v>600000</v>
      </c>
    </row>
    <row r="25" spans="1:6">
      <c r="A25" s="2">
        <v>4</v>
      </c>
      <c r="B25" s="3" t="s">
        <v>66</v>
      </c>
      <c r="C25" s="2" t="s">
        <v>76</v>
      </c>
      <c r="D25" s="5">
        <v>10</v>
      </c>
      <c r="E25" s="18">
        <v>50000</v>
      </c>
      <c r="F25" s="18">
        <f t="shared" si="1"/>
        <v>500000</v>
      </c>
    </row>
    <row r="26" spans="1:6" ht="33">
      <c r="A26" s="2">
        <v>5</v>
      </c>
      <c r="B26" s="3" t="s">
        <v>82</v>
      </c>
      <c r="C26" s="2" t="s">
        <v>77</v>
      </c>
      <c r="D26" s="5">
        <v>2</v>
      </c>
      <c r="E26" s="18">
        <v>300000</v>
      </c>
      <c r="F26" s="18">
        <f t="shared" si="1"/>
        <v>600000</v>
      </c>
    </row>
    <row r="27" spans="1:6" ht="33">
      <c r="A27" s="2">
        <v>6</v>
      </c>
      <c r="B27" s="3" t="s">
        <v>83</v>
      </c>
      <c r="C27" s="2" t="s">
        <v>77</v>
      </c>
      <c r="D27" s="5">
        <v>2</v>
      </c>
      <c r="E27" s="18">
        <v>300000</v>
      </c>
      <c r="F27" s="18">
        <f t="shared" si="1"/>
        <v>600000</v>
      </c>
    </row>
    <row r="28" spans="1:6" ht="33">
      <c r="A28" s="2">
        <v>7</v>
      </c>
      <c r="B28" s="3" t="s">
        <v>69</v>
      </c>
      <c r="C28" s="2" t="s">
        <v>78</v>
      </c>
      <c r="D28" s="5">
        <v>2</v>
      </c>
      <c r="E28" s="18">
        <v>1000000</v>
      </c>
      <c r="F28" s="18">
        <f t="shared" si="1"/>
        <v>2000000</v>
      </c>
    </row>
    <row r="29" spans="1:6">
      <c r="A29" s="2">
        <v>8</v>
      </c>
      <c r="B29" s="3" t="s">
        <v>70</v>
      </c>
      <c r="C29" s="2" t="s">
        <v>79</v>
      </c>
      <c r="D29" s="5">
        <v>2</v>
      </c>
      <c r="E29" s="18">
        <v>500000</v>
      </c>
      <c r="F29" s="18">
        <f t="shared" si="1"/>
        <v>1000000</v>
      </c>
    </row>
    <row r="30" spans="1:6">
      <c r="A30" s="2">
        <v>9</v>
      </c>
      <c r="B30" s="3" t="s">
        <v>71</v>
      </c>
      <c r="C30" s="2" t="s">
        <v>79</v>
      </c>
      <c r="D30" s="5">
        <v>2</v>
      </c>
      <c r="E30" s="18">
        <v>500000</v>
      </c>
      <c r="F30" s="18">
        <f t="shared" si="1"/>
        <v>1000000</v>
      </c>
    </row>
    <row r="31" spans="1:6">
      <c r="A31" s="2">
        <v>10</v>
      </c>
      <c r="B31" s="3" t="s">
        <v>72</v>
      </c>
      <c r="C31" s="2" t="s">
        <v>79</v>
      </c>
      <c r="D31" s="5">
        <v>2</v>
      </c>
      <c r="E31" s="18">
        <v>500000</v>
      </c>
      <c r="F31" s="18">
        <f t="shared" si="1"/>
        <v>1000000</v>
      </c>
    </row>
    <row r="32" spans="1:6" ht="33">
      <c r="A32" s="2">
        <v>11</v>
      </c>
      <c r="B32" s="3" t="s">
        <v>84</v>
      </c>
      <c r="C32" s="2" t="s">
        <v>77</v>
      </c>
      <c r="D32" s="5">
        <v>10</v>
      </c>
      <c r="E32" s="18">
        <v>100000</v>
      </c>
      <c r="F32" s="18">
        <f t="shared" si="1"/>
        <v>1000000</v>
      </c>
    </row>
    <row r="33" spans="1:6">
      <c r="A33" s="2">
        <v>12</v>
      </c>
      <c r="B33" s="3" t="s">
        <v>74</v>
      </c>
      <c r="C33" s="2"/>
      <c r="D33" s="5">
        <v>1</v>
      </c>
      <c r="E33" s="18">
        <v>1000000</v>
      </c>
      <c r="F33" s="18">
        <f t="shared" si="1"/>
        <v>1000000</v>
      </c>
    </row>
    <row r="34" spans="1:6">
      <c r="A34" s="33"/>
      <c r="B34" s="12" t="s">
        <v>56</v>
      </c>
      <c r="C34" s="33"/>
      <c r="D34" s="33"/>
      <c r="E34" s="38"/>
      <c r="F34" s="17">
        <f>SUM(F22:F33)</f>
        <v>11400000</v>
      </c>
    </row>
    <row r="37" spans="1:6" s="27" customFormat="1" ht="17.25">
      <c r="A37" s="27" t="s">
        <v>85</v>
      </c>
      <c r="B37" s="28"/>
      <c r="E37" s="29"/>
      <c r="F37" s="29"/>
    </row>
    <row r="39" spans="1:6" ht="21" customHeight="1">
      <c r="A39" s="11" t="s">
        <v>0</v>
      </c>
      <c r="B39" s="25" t="s">
        <v>58</v>
      </c>
      <c r="C39" s="11" t="s">
        <v>59</v>
      </c>
      <c r="D39" s="11" t="s">
        <v>60</v>
      </c>
      <c r="E39" s="26" t="s">
        <v>61</v>
      </c>
      <c r="F39" s="26" t="s">
        <v>62</v>
      </c>
    </row>
    <row r="40" spans="1:6">
      <c r="A40" s="2">
        <v>1</v>
      </c>
      <c r="B40" s="3" t="s">
        <v>63</v>
      </c>
      <c r="C40" s="2" t="s">
        <v>75</v>
      </c>
      <c r="D40" s="5">
        <v>50</v>
      </c>
      <c r="E40" s="18">
        <v>45000</v>
      </c>
      <c r="F40" s="18">
        <f>+D40*E40</f>
        <v>2250000</v>
      </c>
    </row>
    <row r="41" spans="1:6">
      <c r="A41" s="2">
        <v>2</v>
      </c>
      <c r="B41" s="3" t="s">
        <v>64</v>
      </c>
      <c r="C41" s="2" t="s">
        <v>75</v>
      </c>
      <c r="D41" s="5">
        <v>50</v>
      </c>
      <c r="E41" s="18">
        <v>25000</v>
      </c>
      <c r="F41" s="18">
        <f t="shared" ref="F41:F51" si="2">+D41*E41</f>
        <v>1250000</v>
      </c>
    </row>
    <row r="42" spans="1:6">
      <c r="A42" s="2">
        <v>3</v>
      </c>
      <c r="B42" s="3" t="s">
        <v>65</v>
      </c>
      <c r="C42" s="2" t="s">
        <v>75</v>
      </c>
      <c r="D42" s="5">
        <v>50</v>
      </c>
      <c r="E42" s="18">
        <v>20000</v>
      </c>
      <c r="F42" s="18">
        <f t="shared" si="2"/>
        <v>1000000</v>
      </c>
    </row>
    <row r="43" spans="1:6">
      <c r="A43" s="2">
        <v>4</v>
      </c>
      <c r="B43" s="3" t="s">
        <v>66</v>
      </c>
      <c r="C43" s="2" t="s">
        <v>76</v>
      </c>
      <c r="D43" s="5">
        <v>15</v>
      </c>
      <c r="E43" s="18">
        <v>50000</v>
      </c>
      <c r="F43" s="18">
        <f t="shared" si="2"/>
        <v>750000</v>
      </c>
    </row>
    <row r="44" spans="1:6" ht="33">
      <c r="A44" s="2">
        <v>5</v>
      </c>
      <c r="B44" s="3" t="s">
        <v>86</v>
      </c>
      <c r="C44" s="2" t="s">
        <v>77</v>
      </c>
      <c r="D44" s="5">
        <v>4</v>
      </c>
      <c r="E44" s="18">
        <v>300000</v>
      </c>
      <c r="F44" s="18">
        <f t="shared" si="2"/>
        <v>1200000</v>
      </c>
    </row>
    <row r="45" spans="1:6" ht="33">
      <c r="A45" s="2">
        <v>6</v>
      </c>
      <c r="B45" s="3" t="s">
        <v>87</v>
      </c>
      <c r="C45" s="2" t="s">
        <v>77</v>
      </c>
      <c r="D45" s="5">
        <v>4</v>
      </c>
      <c r="E45" s="18">
        <v>300000</v>
      </c>
      <c r="F45" s="18">
        <f t="shared" si="2"/>
        <v>1200000</v>
      </c>
    </row>
    <row r="46" spans="1:6" ht="33">
      <c r="A46" s="2">
        <v>7</v>
      </c>
      <c r="B46" s="3" t="s">
        <v>69</v>
      </c>
      <c r="C46" s="2" t="s">
        <v>78</v>
      </c>
      <c r="D46" s="5">
        <v>4</v>
      </c>
      <c r="E46" s="18">
        <v>1000000</v>
      </c>
      <c r="F46" s="18">
        <f t="shared" si="2"/>
        <v>4000000</v>
      </c>
    </row>
    <row r="47" spans="1:6">
      <c r="A47" s="2">
        <v>8</v>
      </c>
      <c r="B47" s="3" t="s">
        <v>70</v>
      </c>
      <c r="C47" s="2" t="s">
        <v>79</v>
      </c>
      <c r="D47" s="5">
        <v>4</v>
      </c>
      <c r="E47" s="18">
        <v>500000</v>
      </c>
      <c r="F47" s="18">
        <f t="shared" si="2"/>
        <v>2000000</v>
      </c>
    </row>
    <row r="48" spans="1:6">
      <c r="A48" s="2">
        <v>9</v>
      </c>
      <c r="B48" s="3" t="s">
        <v>71</v>
      </c>
      <c r="C48" s="2" t="s">
        <v>79</v>
      </c>
      <c r="D48" s="5">
        <v>4</v>
      </c>
      <c r="E48" s="18">
        <v>500000</v>
      </c>
      <c r="F48" s="18">
        <f t="shared" si="2"/>
        <v>2000000</v>
      </c>
    </row>
    <row r="49" spans="1:6">
      <c r="A49" s="2">
        <v>10</v>
      </c>
      <c r="B49" s="3" t="s">
        <v>72</v>
      </c>
      <c r="C49" s="2" t="s">
        <v>79</v>
      </c>
      <c r="D49" s="5">
        <v>2</v>
      </c>
      <c r="E49" s="18">
        <v>500000</v>
      </c>
      <c r="F49" s="18">
        <f t="shared" si="2"/>
        <v>1000000</v>
      </c>
    </row>
    <row r="50" spans="1:6" ht="33">
      <c r="A50" s="2">
        <v>11</v>
      </c>
      <c r="B50" s="3" t="s">
        <v>88</v>
      </c>
      <c r="C50" s="2" t="s">
        <v>77</v>
      </c>
      <c r="D50" s="5">
        <v>15</v>
      </c>
      <c r="E50" s="18">
        <v>100000</v>
      </c>
      <c r="F50" s="18">
        <f t="shared" si="2"/>
        <v>1500000</v>
      </c>
    </row>
    <row r="51" spans="1:6">
      <c r="A51" s="2">
        <v>12</v>
      </c>
      <c r="B51" s="3" t="s">
        <v>74</v>
      </c>
      <c r="C51" s="2"/>
      <c r="D51" s="5">
        <v>1</v>
      </c>
      <c r="E51" s="18">
        <v>1000000</v>
      </c>
      <c r="F51" s="18">
        <f t="shared" si="2"/>
        <v>1000000</v>
      </c>
    </row>
    <row r="52" spans="1:6" ht="23.25" customHeight="1">
      <c r="A52" s="33"/>
      <c r="B52" s="12" t="s">
        <v>56</v>
      </c>
      <c r="C52" s="33"/>
      <c r="D52" s="33"/>
      <c r="E52" s="38"/>
      <c r="F52" s="17">
        <f>SUM(F40:F51)</f>
        <v>19150000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H10" sqref="H10"/>
    </sheetView>
  </sheetViews>
  <sheetFormatPr defaultRowHeight="16.5"/>
  <cols>
    <col min="1" max="1" width="6.140625" style="1" customWidth="1"/>
    <col min="2" max="2" width="55.85546875" style="1" bestFit="1" customWidth="1"/>
    <col min="3" max="3" width="9.140625" style="1"/>
    <col min="4" max="4" width="7" style="1" customWidth="1"/>
    <col min="5" max="6" width="17.42578125" style="1" customWidth="1"/>
    <col min="7" max="7" width="15.140625" style="1" customWidth="1"/>
    <col min="8" max="8" width="17.5703125" style="1" customWidth="1"/>
    <col min="9" max="9" width="11.5703125" style="1" bestFit="1" customWidth="1"/>
    <col min="10" max="16384" width="9.140625" style="1"/>
  </cols>
  <sheetData>
    <row r="1" spans="1:8">
      <c r="A1" s="1" t="s">
        <v>110</v>
      </c>
    </row>
    <row r="3" spans="1:8" ht="33">
      <c r="A3" s="11" t="s">
        <v>111</v>
      </c>
      <c r="B3" s="11" t="s">
        <v>115</v>
      </c>
      <c r="C3" s="11" t="s">
        <v>112</v>
      </c>
      <c r="D3" s="11" t="s">
        <v>113</v>
      </c>
      <c r="E3" s="11" t="s">
        <v>114</v>
      </c>
      <c r="F3" s="25" t="s">
        <v>116</v>
      </c>
      <c r="G3" s="11" t="s">
        <v>92</v>
      </c>
      <c r="H3" s="11" t="s">
        <v>117</v>
      </c>
    </row>
    <row r="4" spans="1:8" ht="30" customHeight="1">
      <c r="A4" s="34" t="s">
        <v>118</v>
      </c>
      <c r="B4" s="35" t="s">
        <v>119</v>
      </c>
      <c r="C4" s="35"/>
      <c r="D4" s="35"/>
      <c r="E4" s="35"/>
      <c r="F4" s="37">
        <f>+SUM(F5:F7)</f>
        <v>949000000</v>
      </c>
      <c r="G4" s="37">
        <f t="shared" ref="G4:H4" si="0">+SUM(G5:G7)</f>
        <v>94900000</v>
      </c>
      <c r="H4" s="37">
        <f t="shared" si="0"/>
        <v>1043900000</v>
      </c>
    </row>
    <row r="5" spans="1:8" ht="30" customHeight="1">
      <c r="A5" s="50">
        <v>1</v>
      </c>
      <c r="B5" s="48" t="s">
        <v>137</v>
      </c>
      <c r="C5" s="56" t="s">
        <v>142</v>
      </c>
      <c r="D5" s="57">
        <v>1</v>
      </c>
      <c r="E5" s="53">
        <v>95000000</v>
      </c>
      <c r="F5" s="58">
        <f>+E5*D5</f>
        <v>95000000</v>
      </c>
      <c r="G5" s="59">
        <f>0.1*F5</f>
        <v>9500000</v>
      </c>
      <c r="H5" s="59">
        <f>+F5+G5</f>
        <v>104500000</v>
      </c>
    </row>
    <row r="6" spans="1:8" ht="30" customHeight="1">
      <c r="A6" s="50">
        <v>2</v>
      </c>
      <c r="B6" s="48" t="s">
        <v>138</v>
      </c>
      <c r="C6" s="56" t="s">
        <v>148</v>
      </c>
      <c r="D6" s="57">
        <v>50</v>
      </c>
      <c r="E6" s="53">
        <v>13000000</v>
      </c>
      <c r="F6" s="58">
        <f t="shared" ref="F6:F7" si="1">+E6*D6</f>
        <v>650000000</v>
      </c>
      <c r="G6" s="59">
        <f t="shared" ref="G6:G7" si="2">0.1*F6</f>
        <v>65000000</v>
      </c>
      <c r="H6" s="59">
        <f t="shared" ref="H6:H7" si="3">+F6+G6</f>
        <v>715000000</v>
      </c>
    </row>
    <row r="7" spans="1:8" ht="30" customHeight="1">
      <c r="A7" s="51">
        <v>3</v>
      </c>
      <c r="B7" s="41" t="s">
        <v>135</v>
      </c>
      <c r="C7" s="56" t="s">
        <v>148</v>
      </c>
      <c r="D7" s="57">
        <v>51</v>
      </c>
      <c r="E7" s="53">
        <v>4000000</v>
      </c>
      <c r="F7" s="58">
        <f t="shared" si="1"/>
        <v>204000000</v>
      </c>
      <c r="G7" s="59">
        <f t="shared" si="2"/>
        <v>20400000</v>
      </c>
      <c r="H7" s="59">
        <f t="shared" si="3"/>
        <v>224400000</v>
      </c>
    </row>
    <row r="8" spans="1:8" ht="30" customHeight="1">
      <c r="A8" s="34" t="s">
        <v>120</v>
      </c>
      <c r="B8" s="35" t="s">
        <v>121</v>
      </c>
      <c r="C8" s="35"/>
      <c r="D8" s="35"/>
      <c r="E8" s="35"/>
      <c r="F8" s="37">
        <f>+SUM(F9:F11)</f>
        <v>62500000</v>
      </c>
      <c r="G8" s="37">
        <f t="shared" ref="G8:H8" si="4">+SUM(G9:G11)</f>
        <v>6250000</v>
      </c>
      <c r="H8" s="37">
        <f t="shared" si="4"/>
        <v>68750000</v>
      </c>
    </row>
    <row r="9" spans="1:8" s="39" customFormat="1" ht="31.5">
      <c r="A9" s="51">
        <v>1</v>
      </c>
      <c r="B9" s="48" t="s">
        <v>143</v>
      </c>
      <c r="C9" s="51" t="s">
        <v>142</v>
      </c>
      <c r="D9" s="51">
        <v>5</v>
      </c>
      <c r="E9" s="53">
        <v>3000000</v>
      </c>
      <c r="F9" s="53">
        <f>+E9*D9</f>
        <v>15000000</v>
      </c>
      <c r="G9" s="60">
        <f>0.1*F9</f>
        <v>1500000</v>
      </c>
      <c r="H9" s="60">
        <f>+F9+G9</f>
        <v>16500000</v>
      </c>
    </row>
    <row r="10" spans="1:8" s="39" customFormat="1" ht="24" customHeight="1">
      <c r="A10" s="51">
        <v>2</v>
      </c>
      <c r="B10" s="41" t="s">
        <v>141</v>
      </c>
      <c r="C10" s="51" t="s">
        <v>142</v>
      </c>
      <c r="D10" s="51">
        <v>1</v>
      </c>
      <c r="E10" s="53">
        <v>7500000</v>
      </c>
      <c r="F10" s="53">
        <f>+E10*D10</f>
        <v>7500000</v>
      </c>
      <c r="G10" s="60">
        <f t="shared" ref="G10:G11" si="5">0.1*F10</f>
        <v>750000</v>
      </c>
      <c r="H10" s="60">
        <f t="shared" ref="H10:H11" si="6">+F10+G10</f>
        <v>8250000</v>
      </c>
    </row>
    <row r="11" spans="1:8" s="39" customFormat="1" ht="24" customHeight="1">
      <c r="A11" s="51">
        <v>3</v>
      </c>
      <c r="B11" s="41" t="s">
        <v>139</v>
      </c>
      <c r="C11" s="51" t="s">
        <v>146</v>
      </c>
      <c r="D11" s="51">
        <v>1</v>
      </c>
      <c r="E11" s="53">
        <v>40000000</v>
      </c>
      <c r="F11" s="53">
        <f>+E11*D11</f>
        <v>40000000</v>
      </c>
      <c r="G11" s="60">
        <f t="shared" si="5"/>
        <v>4000000</v>
      </c>
      <c r="H11" s="60">
        <f t="shared" si="6"/>
        <v>44000000</v>
      </c>
    </row>
    <row r="12" spans="1:8" ht="30" customHeight="1">
      <c r="A12" s="34" t="s">
        <v>122</v>
      </c>
      <c r="B12" s="35" t="s">
        <v>130</v>
      </c>
      <c r="C12" s="35"/>
      <c r="D12" s="35"/>
      <c r="E12" s="35"/>
      <c r="F12" s="37">
        <f>+SUM(F13)</f>
        <v>340000000</v>
      </c>
      <c r="G12" s="37">
        <f t="shared" ref="G12:H12" si="7">+SUM(G13)</f>
        <v>0</v>
      </c>
      <c r="H12" s="37">
        <f t="shared" si="7"/>
        <v>340000000</v>
      </c>
    </row>
    <row r="13" spans="1:8" ht="30" customHeight="1">
      <c r="A13" s="5">
        <v>1</v>
      </c>
      <c r="B13" s="2" t="s">
        <v>147</v>
      </c>
      <c r="C13" s="5" t="s">
        <v>131</v>
      </c>
      <c r="D13" s="5">
        <v>1</v>
      </c>
      <c r="E13" s="18">
        <f>+'CP Phan mem'!C11</f>
        <v>340000000</v>
      </c>
      <c r="F13" s="36">
        <f>+D13*E13</f>
        <v>340000000</v>
      </c>
      <c r="G13" s="2">
        <v>0</v>
      </c>
      <c r="H13" s="36">
        <f>+F13+G13</f>
        <v>340000000</v>
      </c>
    </row>
    <row r="14" spans="1:8" ht="30" customHeight="1">
      <c r="A14" s="34" t="s">
        <v>123</v>
      </c>
      <c r="B14" s="35" t="s">
        <v>124</v>
      </c>
      <c r="C14" s="34"/>
      <c r="D14" s="34"/>
      <c r="E14" s="35"/>
      <c r="F14" s="37">
        <f>+SUM(F15:F17)</f>
        <v>45900000</v>
      </c>
      <c r="G14" s="37">
        <f>+SUM(G15:G17)</f>
        <v>0</v>
      </c>
      <c r="H14" s="37">
        <f>+SUM(H15:H17)</f>
        <v>45900000</v>
      </c>
    </row>
    <row r="15" spans="1:8" ht="30" customHeight="1">
      <c r="A15" s="5">
        <v>1</v>
      </c>
      <c r="B15" s="2" t="s">
        <v>125</v>
      </c>
      <c r="C15" s="5" t="s">
        <v>132</v>
      </c>
      <c r="D15" s="5">
        <v>1</v>
      </c>
      <c r="E15" s="18">
        <f>+'CP Dao tao'!F16</f>
        <v>15350000</v>
      </c>
      <c r="F15" s="36">
        <f t="shared" ref="F15:F17" si="8">+D15*E15</f>
        <v>15350000</v>
      </c>
      <c r="G15" s="2">
        <v>0</v>
      </c>
      <c r="H15" s="36">
        <f>+F15+G15</f>
        <v>15350000</v>
      </c>
    </row>
    <row r="16" spans="1:8" ht="30" customHeight="1">
      <c r="A16" s="5">
        <v>2</v>
      </c>
      <c r="B16" s="2" t="s">
        <v>126</v>
      </c>
      <c r="C16" s="5" t="s">
        <v>132</v>
      </c>
      <c r="D16" s="5">
        <v>1</v>
      </c>
      <c r="E16" s="18">
        <f>+'CP Dao tao'!F34</f>
        <v>11400000</v>
      </c>
      <c r="F16" s="36">
        <f t="shared" si="8"/>
        <v>11400000</v>
      </c>
      <c r="G16" s="2">
        <v>0</v>
      </c>
      <c r="H16" s="36">
        <f t="shared" ref="H16:H17" si="9">+F16+G16</f>
        <v>11400000</v>
      </c>
    </row>
    <row r="17" spans="1:8" ht="30" customHeight="1">
      <c r="A17" s="5">
        <v>3</v>
      </c>
      <c r="B17" s="2" t="s">
        <v>127</v>
      </c>
      <c r="C17" s="5" t="s">
        <v>132</v>
      </c>
      <c r="D17" s="5">
        <v>1</v>
      </c>
      <c r="E17" s="18">
        <f>+'CP Dao tao'!F52</f>
        <v>19150000</v>
      </c>
      <c r="F17" s="36">
        <f t="shared" si="8"/>
        <v>19150000</v>
      </c>
      <c r="G17" s="2">
        <v>0</v>
      </c>
      <c r="H17" s="36">
        <f t="shared" si="9"/>
        <v>19150000</v>
      </c>
    </row>
    <row r="18" spans="1:8" ht="30" customHeight="1">
      <c r="A18" s="34" t="s">
        <v>128</v>
      </c>
      <c r="B18" s="35" t="s">
        <v>129</v>
      </c>
      <c r="C18" s="35"/>
      <c r="D18" s="35"/>
      <c r="E18" s="35"/>
      <c r="F18" s="35"/>
      <c r="G18" s="35"/>
      <c r="H18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>
      <selection activeCell="C7" sqref="C7"/>
    </sheetView>
  </sheetViews>
  <sheetFormatPr defaultRowHeight="16.5"/>
  <cols>
    <col min="1" max="1" width="5.5703125" style="9" customWidth="1"/>
    <col min="2" max="2" width="35.5703125" style="10" customWidth="1"/>
    <col min="3" max="3" width="37.140625" style="1" bestFit="1" customWidth="1"/>
    <col min="4" max="4" width="17.85546875" style="1" bestFit="1" customWidth="1"/>
    <col min="5" max="5" width="15.85546875" style="1" bestFit="1" customWidth="1"/>
    <col min="6" max="6" width="17.85546875" style="1" bestFit="1" customWidth="1"/>
    <col min="7" max="7" width="31.28515625" style="10" customWidth="1"/>
    <col min="8" max="8" width="9.140625" style="1"/>
    <col min="9" max="9" width="10.28515625" style="1" bestFit="1" customWidth="1"/>
    <col min="10" max="16384" width="9.140625" style="1"/>
  </cols>
  <sheetData>
    <row r="1" spans="1:7">
      <c r="A1" s="63" t="s">
        <v>107</v>
      </c>
      <c r="B1" s="63"/>
      <c r="C1" s="63"/>
      <c r="D1" s="63"/>
      <c r="E1" s="63"/>
      <c r="F1" s="63"/>
      <c r="G1" s="63"/>
    </row>
    <row r="3" spans="1:7" s="8" customFormat="1" ht="35.25" customHeight="1">
      <c r="A3" s="6" t="s">
        <v>0</v>
      </c>
      <c r="B3" s="7" t="s">
        <v>1</v>
      </c>
      <c r="C3" s="6" t="s">
        <v>2</v>
      </c>
      <c r="D3" s="7" t="s">
        <v>108</v>
      </c>
      <c r="E3" s="7" t="s">
        <v>3</v>
      </c>
      <c r="F3" s="7" t="s">
        <v>109</v>
      </c>
      <c r="G3" s="7" t="s">
        <v>4</v>
      </c>
    </row>
    <row r="4" spans="1:7" s="9" customFormat="1" ht="22.5" customHeight="1">
      <c r="A4" s="5" t="s">
        <v>5</v>
      </c>
      <c r="B4" s="4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4" t="s">
        <v>11</v>
      </c>
    </row>
    <row r="5" spans="1:7" ht="36.75" customHeight="1">
      <c r="A5" s="11">
        <v>1</v>
      </c>
      <c r="B5" s="12" t="s">
        <v>12</v>
      </c>
      <c r="C5" s="13" t="s">
        <v>14</v>
      </c>
      <c r="D5" s="17">
        <v>0</v>
      </c>
      <c r="E5" s="17">
        <v>0</v>
      </c>
      <c r="F5" s="17">
        <v>0</v>
      </c>
      <c r="G5" s="12"/>
    </row>
    <row r="6" spans="1:7" ht="36.75" customHeight="1">
      <c r="A6" s="11">
        <v>2</v>
      </c>
      <c r="B6" s="12" t="s">
        <v>13</v>
      </c>
      <c r="C6" s="13"/>
      <c r="D6" s="17">
        <f>+SUM(D7:D11)</f>
        <v>1397400000</v>
      </c>
      <c r="E6" s="17">
        <f t="shared" ref="E6:F6" si="0">+SUM(E7:E11)</f>
        <v>105740000</v>
      </c>
      <c r="F6" s="17">
        <f t="shared" si="0"/>
        <v>1503140000</v>
      </c>
      <c r="G6" s="12"/>
    </row>
    <row r="7" spans="1:7" ht="36.75" customHeight="1">
      <c r="A7" s="5">
        <v>2.1</v>
      </c>
      <c r="B7" s="3" t="s">
        <v>15</v>
      </c>
      <c r="C7" s="14" t="s">
        <v>17</v>
      </c>
      <c r="D7" s="18">
        <f>+'TH Chi phi TB'!C6</f>
        <v>1011500000</v>
      </c>
      <c r="E7" s="18">
        <f>+'TH Chi phi TB'!D6</f>
        <v>101150000</v>
      </c>
      <c r="F7" s="18">
        <f>+D7+E7</f>
        <v>1112650000</v>
      </c>
      <c r="G7" s="3" t="s">
        <v>43</v>
      </c>
    </row>
    <row r="8" spans="1:7" ht="36.75" customHeight="1">
      <c r="A8" s="5">
        <v>2.2000000000000002</v>
      </c>
      <c r="B8" s="3" t="s">
        <v>16</v>
      </c>
      <c r="C8" s="14" t="s">
        <v>18</v>
      </c>
      <c r="D8" s="18">
        <f>+'CP Phan mem'!C11</f>
        <v>340000000</v>
      </c>
      <c r="E8" s="18">
        <v>0</v>
      </c>
      <c r="F8" s="18">
        <f>+D8+E8</f>
        <v>340000000</v>
      </c>
      <c r="G8" s="3" t="s">
        <v>43</v>
      </c>
    </row>
    <row r="9" spans="1:7" ht="36.75" customHeight="1">
      <c r="A9" s="5">
        <v>2.2999999999999998</v>
      </c>
      <c r="B9" s="3" t="s">
        <v>19</v>
      </c>
      <c r="C9" s="2"/>
      <c r="D9" s="18">
        <f>+'CP Dao tao'!F16+'CP Dao tao'!F34+'CP Dao tao'!F52</f>
        <v>45900000</v>
      </c>
      <c r="E9" s="18">
        <f>0.1*D9</f>
        <v>4590000</v>
      </c>
      <c r="F9" s="18">
        <f>+D9+E9</f>
        <v>50490000</v>
      </c>
      <c r="G9" s="3" t="s">
        <v>44</v>
      </c>
    </row>
    <row r="10" spans="1:7" ht="36.75" customHeight="1">
      <c r="A10" s="5">
        <v>2.4</v>
      </c>
      <c r="B10" s="3" t="s">
        <v>20</v>
      </c>
      <c r="C10" s="2"/>
      <c r="D10" s="18">
        <v>0</v>
      </c>
      <c r="E10" s="18">
        <v>0</v>
      </c>
      <c r="F10" s="18"/>
      <c r="G10" s="3"/>
    </row>
    <row r="11" spans="1:7" ht="36.75" customHeight="1">
      <c r="A11" s="5">
        <v>2.5</v>
      </c>
      <c r="B11" s="3" t="s">
        <v>21</v>
      </c>
      <c r="C11" s="2"/>
      <c r="D11" s="18">
        <v>0</v>
      </c>
      <c r="E11" s="18">
        <v>0</v>
      </c>
      <c r="F11" s="18"/>
      <c r="G11" s="3"/>
    </row>
    <row r="12" spans="1:7" s="8" customFormat="1" ht="36.75" customHeight="1">
      <c r="A12" s="11">
        <v>3</v>
      </c>
      <c r="B12" s="12" t="s">
        <v>22</v>
      </c>
      <c r="C12" s="15" t="s">
        <v>35</v>
      </c>
      <c r="D12" s="17">
        <f>2.13%*D8</f>
        <v>7242000</v>
      </c>
      <c r="E12" s="17">
        <f>0.1*D12</f>
        <v>724200</v>
      </c>
      <c r="F12" s="17">
        <f>+D12+E12</f>
        <v>7966200</v>
      </c>
      <c r="G12" s="19" t="s">
        <v>45</v>
      </c>
    </row>
    <row r="13" spans="1:7" ht="36.75" customHeight="1">
      <c r="A13" s="11">
        <v>4</v>
      </c>
      <c r="B13" s="12" t="s">
        <v>23</v>
      </c>
      <c r="C13" s="13"/>
      <c r="D13" s="17">
        <f>+SUM(D14:D18)</f>
        <v>21372400</v>
      </c>
      <c r="E13" s="17">
        <f t="shared" ref="E13:F13" si="1">+SUM(E14:E18)</f>
        <v>2137240</v>
      </c>
      <c r="F13" s="17">
        <f t="shared" si="1"/>
        <v>23509640</v>
      </c>
      <c r="G13" s="12"/>
    </row>
    <row r="14" spans="1:7" ht="36.75" customHeight="1">
      <c r="A14" s="5">
        <v>4.0999999999999996</v>
      </c>
      <c r="B14" s="3" t="s">
        <v>24</v>
      </c>
      <c r="C14" s="16" t="s">
        <v>36</v>
      </c>
      <c r="D14" s="18">
        <f>0.93%*D8</f>
        <v>3162000.0000000005</v>
      </c>
      <c r="E14" s="18">
        <f>0.1*D14</f>
        <v>316200.00000000006</v>
      </c>
      <c r="F14" s="18">
        <f>+D14+E14</f>
        <v>3478200.0000000005</v>
      </c>
      <c r="G14" s="3" t="s">
        <v>46</v>
      </c>
    </row>
    <row r="15" spans="1:7" ht="36.75" customHeight="1">
      <c r="A15" s="5">
        <v>4.2</v>
      </c>
      <c r="B15" s="3" t="s">
        <v>25</v>
      </c>
      <c r="C15" s="16" t="s">
        <v>37</v>
      </c>
      <c r="D15" s="18">
        <f>2.99%*D8</f>
        <v>10166000.000000002</v>
      </c>
      <c r="E15" s="18">
        <f>0.1*D15</f>
        <v>1016600.0000000002</v>
      </c>
      <c r="F15" s="18">
        <f>+D15+E15</f>
        <v>11182600.000000002</v>
      </c>
      <c r="G15" s="3" t="s">
        <v>47</v>
      </c>
    </row>
    <row r="16" spans="1:7" ht="36.75" customHeight="1">
      <c r="A16" s="5">
        <v>4.3</v>
      </c>
      <c r="B16" s="3" t="s">
        <v>26</v>
      </c>
      <c r="C16" s="16" t="s">
        <v>38</v>
      </c>
      <c r="D16" s="18">
        <f>0.077%*D8</f>
        <v>261800</v>
      </c>
      <c r="E16" s="18">
        <f t="shared" ref="E16:E18" si="2">0.1*D16</f>
        <v>26180</v>
      </c>
      <c r="F16" s="18">
        <f t="shared" ref="F16:F18" si="3">+D16+E16</f>
        <v>287980</v>
      </c>
      <c r="G16" s="3" t="s">
        <v>48</v>
      </c>
    </row>
    <row r="17" spans="1:8" ht="49.5">
      <c r="A17" s="5">
        <v>4.4000000000000004</v>
      </c>
      <c r="B17" s="3" t="s">
        <v>27</v>
      </c>
      <c r="C17" s="16" t="s">
        <v>39</v>
      </c>
      <c r="D17" s="18">
        <f>0.236%*D8</f>
        <v>802399.99999999988</v>
      </c>
      <c r="E17" s="18">
        <f t="shared" si="2"/>
        <v>80240</v>
      </c>
      <c r="F17" s="18">
        <f t="shared" si="3"/>
        <v>882639.99999999988</v>
      </c>
      <c r="G17" s="3" t="s">
        <v>49</v>
      </c>
    </row>
    <row r="18" spans="1:8" ht="36.75" customHeight="1">
      <c r="A18" s="5">
        <v>4.5</v>
      </c>
      <c r="B18" s="3" t="s">
        <v>28</v>
      </c>
      <c r="C18" s="16" t="s">
        <v>40</v>
      </c>
      <c r="D18" s="18">
        <f>2.053%*D8</f>
        <v>6980200</v>
      </c>
      <c r="E18" s="18">
        <f t="shared" si="2"/>
        <v>698020</v>
      </c>
      <c r="F18" s="18">
        <f t="shared" si="3"/>
        <v>7678220</v>
      </c>
      <c r="G18" s="3" t="s">
        <v>50</v>
      </c>
    </row>
    <row r="19" spans="1:8" ht="36.75" customHeight="1">
      <c r="A19" s="11">
        <v>5</v>
      </c>
      <c r="B19" s="12" t="s">
        <v>29</v>
      </c>
      <c r="C19" s="13"/>
      <c r="D19" s="17">
        <f>+SUM(D20:D22)</f>
        <v>13196337.257599998</v>
      </c>
      <c r="E19" s="17">
        <f t="shared" ref="E19" si="4">+SUM(E20:E22)</f>
        <v>1319633.7257599998</v>
      </c>
      <c r="F19" s="17">
        <f>+SUM(F20:F22)</f>
        <v>14515970.98336</v>
      </c>
      <c r="G19" s="12"/>
    </row>
    <row r="20" spans="1:8" ht="36.75" customHeight="1">
      <c r="A20" s="5">
        <v>5.0999999999999996</v>
      </c>
      <c r="B20" s="3" t="s">
        <v>30</v>
      </c>
      <c r="C20" s="16" t="s">
        <v>41</v>
      </c>
      <c r="D20" s="18">
        <f>0.019%*($D$5+$D$6+$D$12+$D$13)</f>
        <v>270942.73599999998</v>
      </c>
      <c r="E20" s="18">
        <f>0.1*D20</f>
        <v>27094.2736</v>
      </c>
      <c r="F20" s="18">
        <f>+D20+E20</f>
        <v>298037.00959999999</v>
      </c>
      <c r="G20" s="3" t="s">
        <v>53</v>
      </c>
    </row>
    <row r="21" spans="1:8" ht="36.75" customHeight="1">
      <c r="A21" s="5">
        <v>5.2</v>
      </c>
      <c r="B21" s="3" t="s">
        <v>31</v>
      </c>
      <c r="C21" s="16" t="s">
        <v>51</v>
      </c>
      <c r="D21" s="18">
        <f>0.5677%*($D$5+$D$6+$D$12+$D$13)</f>
        <v>8095483.7487999992</v>
      </c>
      <c r="E21" s="18">
        <f t="shared" ref="E21:E22" si="5">0.1*D21</f>
        <v>809548.37488000002</v>
      </c>
      <c r="F21" s="18">
        <f t="shared" ref="F21:F22" si="6">+D21+E21</f>
        <v>8905032.1236799993</v>
      </c>
      <c r="G21" s="3" t="s">
        <v>54</v>
      </c>
    </row>
    <row r="22" spans="1:8" ht="36.75" customHeight="1">
      <c r="A22" s="5">
        <v>5.3</v>
      </c>
      <c r="B22" s="3" t="s">
        <v>32</v>
      </c>
      <c r="C22" s="16" t="s">
        <v>52</v>
      </c>
      <c r="D22" s="18">
        <f>0.3387%*($D$5+$D$6+$D$12+$D$13)</f>
        <v>4829910.7727999995</v>
      </c>
      <c r="E22" s="18">
        <f t="shared" si="5"/>
        <v>482991.07727999997</v>
      </c>
      <c r="F22" s="18">
        <f t="shared" si="6"/>
        <v>5312901.8500799993</v>
      </c>
      <c r="G22" s="3" t="s">
        <v>54</v>
      </c>
    </row>
    <row r="23" spans="1:8" ht="36.75" customHeight="1">
      <c r="A23" s="11">
        <v>6</v>
      </c>
      <c r="B23" s="12" t="s">
        <v>33</v>
      </c>
      <c r="C23" s="12" t="s">
        <v>42</v>
      </c>
      <c r="D23" s="17">
        <f>5%*(D5+D7+D8+D12+D13)</f>
        <v>69005720</v>
      </c>
      <c r="E23" s="17"/>
      <c r="F23" s="17">
        <f>+D23+E23</f>
        <v>69005720</v>
      </c>
      <c r="G23" s="12"/>
    </row>
    <row r="24" spans="1:8" ht="36.75" customHeight="1">
      <c r="A24" s="11"/>
      <c r="B24" s="12" t="s">
        <v>34</v>
      </c>
      <c r="C24" s="13"/>
      <c r="D24" s="17">
        <f>+D5+D6+D12+D13+D19+D23</f>
        <v>1508216457.2576001</v>
      </c>
      <c r="E24" s="17">
        <f>+E5+E6+E12+E13+E19+E23</f>
        <v>109921073.72576</v>
      </c>
      <c r="F24" s="17">
        <f>ROUND(F5+F6+F12+F13+F19+F23, -3)</f>
        <v>1618138000</v>
      </c>
      <c r="G24" s="12"/>
    </row>
    <row r="26" spans="1:8">
      <c r="G26" s="21"/>
      <c r="H26" s="20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Tong Du toan</vt:lpstr>
      <vt:lpstr>CP Phan mem</vt:lpstr>
      <vt:lpstr>CP PCung</vt:lpstr>
      <vt:lpstr>CP HT Internet</vt:lpstr>
      <vt:lpstr>TH Chi phi TB</vt:lpstr>
      <vt:lpstr>CP Dao tao</vt:lpstr>
      <vt:lpstr>Du toan chi tiet</vt:lpstr>
      <vt:lpstr>TH Chi phi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Ketoan</dc:creator>
  <cp:lastModifiedBy>KKYBBNL</cp:lastModifiedBy>
  <dcterms:created xsi:type="dcterms:W3CDTF">2014-11-12T09:10:04Z</dcterms:created>
  <dcterms:modified xsi:type="dcterms:W3CDTF">2015-05-11T11:12:20Z</dcterms:modified>
</cp:coreProperties>
</file>