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mwhite\Documents\GitHub\DaneCountyOpioidSimulation\DataSources\"/>
    </mc:Choice>
  </mc:AlternateContent>
  <xr:revisionPtr revIDLastSave="0" documentId="13_ncr:1_{73D7821A-8E31-4B04-BA9F-74D67E8F3032}" xr6:coauthVersionLast="36" xr6:coauthVersionMax="47" xr10:uidLastSave="{00000000-0000-0000-0000-000000000000}"/>
  <bookViews>
    <workbookView xWindow="1845" yWindow="1875" windowWidth="17745" windowHeight="15465" activeTab="2" xr2:uid="{4FC92B0C-2FA7-465F-A4EE-8295F6CDA06C}"/>
  </bookViews>
  <sheets>
    <sheet name="Summary" sheetId="10" r:id="rId1"/>
    <sheet name="Arrivals" sheetId="14" r:id="rId2"/>
    <sheet name="deaths" sheetId="1" r:id="rId3"/>
    <sheet name="ALLDeaths" sheetId="12" r:id="rId4"/>
    <sheet name="HE" sheetId="2" r:id="rId5"/>
    <sheet name="Arrests" sheetId="3" r:id="rId6"/>
    <sheet name="Treat" sheetId="4" r:id="rId7"/>
    <sheet name="Sheet1" sheetId="15" r:id="rId8"/>
    <sheet name="Inactive" sheetId="11" r:id="rId9"/>
    <sheet name="LAW 2008" sheetId="5" r:id="rId10"/>
    <sheet name="Partial_Missing_LN" sheetId="9" r:id="rId11"/>
    <sheet name="MissingData_LN" sheetId="6" r:id="rId12"/>
    <sheet name="Nunes et al" sheetId="8" r:id="rId13"/>
    <sheet name="MARI Arrest analysis" sheetId="7" r:id="rId14"/>
    <sheet name="NaturalDeath" sheetId="13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5" i="1"/>
  <c r="F5" i="1"/>
  <c r="G5" i="1" s="1"/>
  <c r="E5" i="1"/>
  <c r="E6" i="1"/>
  <c r="R16" i="1"/>
  <c r="R22" i="1"/>
  <c r="M2" i="1"/>
  <c r="G7" i="1" s="1"/>
  <c r="K15" i="1"/>
  <c r="G6" i="1"/>
  <c r="G9" i="1"/>
  <c r="G10" i="1"/>
  <c r="G11" i="1"/>
  <c r="G12" i="1"/>
  <c r="G15" i="1"/>
  <c r="G16" i="1"/>
  <c r="G17" i="1"/>
  <c r="G18" i="1"/>
  <c r="J1" i="1"/>
  <c r="Q15" i="1"/>
  <c r="G14" i="1" l="1"/>
  <c r="G8" i="1"/>
  <c r="G19" i="1"/>
  <c r="G13" i="1"/>
  <c r="Q22" i="1"/>
  <c r="R23" i="1"/>
  <c r="Q23" i="1"/>
  <c r="R21" i="1"/>
  <c r="Q19" i="1"/>
  <c r="Q21" i="1"/>
  <c r="AE6" i="6"/>
  <c r="AJ18" i="6"/>
  <c r="AJ17" i="6"/>
  <c r="AJ14" i="6"/>
  <c r="AJ13" i="6"/>
  <c r="AJ12" i="6"/>
  <c r="AJ11" i="6"/>
  <c r="AJ10" i="6"/>
  <c r="AJ7" i="6"/>
  <c r="AK17" i="6"/>
  <c r="B25" i="9" l="1"/>
  <c r="I1" i="1"/>
  <c r="AK7" i="6"/>
  <c r="AK10" i="6" s="1"/>
  <c r="AB6" i="6"/>
  <c r="AC7" i="6"/>
  <c r="K9" i="8"/>
  <c r="K10" i="8"/>
  <c r="J10" i="8"/>
  <c r="L10" i="8" s="1"/>
  <c r="J9" i="8"/>
  <c r="L5" i="8"/>
  <c r="AC6" i="6" s="1"/>
  <c r="AC14" i="6" s="1"/>
  <c r="L6" i="8"/>
  <c r="J6" i="8"/>
  <c r="J5" i="8"/>
  <c r="K6" i="8"/>
  <c r="K5" i="8"/>
  <c r="K7" i="8"/>
  <c r="J7" i="8"/>
  <c r="X6" i="6"/>
  <c r="X14" i="6" s="1"/>
  <c r="W11" i="6"/>
  <c r="C14" i="6"/>
  <c r="AK14" i="6"/>
  <c r="AK11" i="6"/>
  <c r="AW14" i="6"/>
  <c r="AV14" i="6"/>
  <c r="AW11" i="6"/>
  <c r="AW12" i="6" s="1"/>
  <c r="AW13" i="6" s="1"/>
  <c r="AV11" i="6"/>
  <c r="AW10" i="6"/>
  <c r="AV10" i="6"/>
  <c r="AC10" i="6"/>
  <c r="X10" i="6"/>
  <c r="W10" i="6"/>
  <c r="R14" i="6"/>
  <c r="Q14" i="6"/>
  <c r="R11" i="6"/>
  <c r="Q11" i="6"/>
  <c r="R10" i="6"/>
  <c r="Q10" i="6"/>
  <c r="M14" i="6"/>
  <c r="L14" i="6"/>
  <c r="M11" i="6"/>
  <c r="L11" i="6"/>
  <c r="M10" i="6"/>
  <c r="L10" i="6"/>
  <c r="I14" i="6"/>
  <c r="H14" i="6"/>
  <c r="I11" i="6"/>
  <c r="H11" i="6"/>
  <c r="I10" i="6"/>
  <c r="H10" i="6"/>
  <c r="C10" i="6"/>
  <c r="D14" i="6"/>
  <c r="D11" i="6"/>
  <c r="D10" i="6"/>
  <c r="AG6" i="6"/>
  <c r="AG11" i="6" s="1"/>
  <c r="AF6" i="6"/>
  <c r="AF11" i="6" s="1"/>
  <c r="AG10" i="6"/>
  <c r="AF10" i="6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4"/>
  <c r="G19" i="14" s="1"/>
  <c r="F16" i="14"/>
  <c r="F17" i="14"/>
  <c r="G17" i="14" s="1"/>
  <c r="F18" i="14"/>
  <c r="G18" i="14" s="1"/>
  <c r="F15" i="14"/>
  <c r="G15" i="14" s="1"/>
  <c r="I1" i="14" s="1"/>
  <c r="K3" i="10" s="1"/>
  <c r="G16" i="14"/>
  <c r="L9" i="8" l="1"/>
  <c r="AV12" i="6"/>
  <c r="AV13" i="6" s="1"/>
  <c r="AW17" i="6"/>
  <c r="AW18" i="6" s="1"/>
  <c r="AK12" i="6"/>
  <c r="AK13" i="6" s="1"/>
  <c r="AC11" i="6"/>
  <c r="AC12" i="6" s="1"/>
  <c r="AC13" i="6" s="1"/>
  <c r="AC17" i="6" s="1"/>
  <c r="AC18" i="6" s="1"/>
  <c r="L7" i="8"/>
  <c r="AB14" i="6" s="1"/>
  <c r="W12" i="6"/>
  <c r="W13" i="6" s="1"/>
  <c r="X11" i="6"/>
  <c r="X12" i="6" s="1"/>
  <c r="X13" i="6" s="1"/>
  <c r="X17" i="6" s="1"/>
  <c r="X18" i="6" s="1"/>
  <c r="W14" i="6"/>
  <c r="R12" i="6"/>
  <c r="R13" i="6" s="1"/>
  <c r="R17" i="6" s="1"/>
  <c r="R18" i="6" s="1"/>
  <c r="C11" i="6"/>
  <c r="C12" i="6" s="1"/>
  <c r="C13" i="6" s="1"/>
  <c r="C17" i="6" s="1"/>
  <c r="C18" i="6" s="1"/>
  <c r="AV17" i="6"/>
  <c r="AV18" i="6" s="1"/>
  <c r="L12" i="6"/>
  <c r="L13" i="6" s="1"/>
  <c r="L17" i="6" s="1"/>
  <c r="L18" i="6" s="1"/>
  <c r="Q12" i="6"/>
  <c r="Q13" i="6" s="1"/>
  <c r="Q17" i="6" s="1"/>
  <c r="Q18" i="6" s="1"/>
  <c r="M12" i="6"/>
  <c r="M13" i="6" s="1"/>
  <c r="M17" i="6" s="1"/>
  <c r="M18" i="6" s="1"/>
  <c r="D12" i="6"/>
  <c r="D13" i="6" s="1"/>
  <c r="D17" i="6" s="1"/>
  <c r="I12" i="6"/>
  <c r="I13" i="6" s="1"/>
  <c r="I17" i="6" s="1"/>
  <c r="I18" i="6" s="1"/>
  <c r="H12" i="6"/>
  <c r="H13" i="6" s="1"/>
  <c r="H17" i="6" s="1"/>
  <c r="H18" i="6" s="1"/>
  <c r="AG12" i="6"/>
  <c r="AG13" i="6" s="1"/>
  <c r="AG14" i="6"/>
  <c r="AF14" i="6"/>
  <c r="AF12" i="6"/>
  <c r="AF13" i="6" s="1"/>
  <c r="W17" i="6" l="1"/>
  <c r="W18" i="6" s="1"/>
  <c r="AK18" i="6"/>
  <c r="AB11" i="6"/>
  <c r="D18" i="6"/>
  <c r="AF17" i="6"/>
  <c r="AF18" i="6" s="1"/>
  <c r="AG17" i="6"/>
  <c r="AG18" i="6" s="1"/>
  <c r="AS14" i="6"/>
  <c r="AR14" i="6"/>
  <c r="AQ14" i="6"/>
  <c r="AS11" i="6"/>
  <c r="AR11" i="6"/>
  <c r="AQ11" i="6"/>
  <c r="AS10" i="6"/>
  <c r="AR10" i="6"/>
  <c r="AQ10" i="6"/>
  <c r="AO14" i="6"/>
  <c r="AO11" i="6"/>
  <c r="AO10" i="6"/>
  <c r="AN14" i="6"/>
  <c r="AN11" i="6"/>
  <c r="AN10" i="6"/>
  <c r="AR12" i="6" l="1"/>
  <c r="AR13" i="6" s="1"/>
  <c r="AR17" i="6" s="1"/>
  <c r="AS12" i="6"/>
  <c r="AS13" i="6" s="1"/>
  <c r="AS17" i="6" s="1"/>
  <c r="AQ12" i="6"/>
  <c r="AQ13" i="6" s="1"/>
  <c r="AQ17" i="6" s="1"/>
  <c r="AO12" i="6"/>
  <c r="AO13" i="6" s="1"/>
  <c r="AO17" i="6" s="1"/>
  <c r="AN12" i="6"/>
  <c r="AN13" i="6" s="1"/>
  <c r="AN17" i="6" s="1"/>
  <c r="I2" i="1"/>
  <c r="F15" i="2"/>
  <c r="G15" i="2" s="1"/>
  <c r="N42" i="9"/>
  <c r="J38" i="9"/>
  <c r="J46" i="9" s="1"/>
  <c r="J42" i="9"/>
  <c r="F42" i="9"/>
  <c r="E15" i="1" l="1"/>
  <c r="AN18" i="6"/>
  <c r="AR18" i="6"/>
  <c r="AO18" i="6"/>
  <c r="AQ18" i="6"/>
  <c r="AS18" i="6"/>
  <c r="F38" i="9"/>
  <c r="F46" i="9" s="1"/>
  <c r="J43" i="9"/>
  <c r="J44" i="9" s="1"/>
  <c r="J45" i="9" s="1"/>
  <c r="J50" i="9" s="1"/>
  <c r="J49" i="9" s="1"/>
  <c r="E7" i="1"/>
  <c r="E13" i="1"/>
  <c r="E14" i="1"/>
  <c r="E17" i="1"/>
  <c r="E11" i="1"/>
  <c r="E10" i="1"/>
  <c r="E8" i="1"/>
  <c r="E18" i="1"/>
  <c r="E16" i="1"/>
  <c r="E12" i="1"/>
  <c r="E9" i="1"/>
  <c r="E19" i="1"/>
  <c r="H16" i="1" l="1"/>
  <c r="H6" i="1"/>
  <c r="H8" i="1"/>
  <c r="H19" i="1"/>
  <c r="S19" i="1" s="1"/>
  <c r="H15" i="1"/>
  <c r="H18" i="1"/>
  <c r="H10" i="1"/>
  <c r="H9" i="1"/>
  <c r="H12" i="1"/>
  <c r="H14" i="1"/>
  <c r="H11" i="1"/>
  <c r="H17" i="1"/>
  <c r="H13" i="1"/>
  <c r="H5" i="1"/>
  <c r="H7" i="1"/>
  <c r="F43" i="9"/>
  <c r="F44" i="9" s="1"/>
  <c r="F45" i="9" s="1"/>
  <c r="F50" i="9" s="1"/>
  <c r="F49" i="9" s="1"/>
  <c r="B38" i="9"/>
  <c r="B40" i="9"/>
  <c r="B42" i="9"/>
  <c r="N7" i="9"/>
  <c r="B7" i="9"/>
  <c r="B10" i="9" s="1"/>
  <c r="F7" i="9"/>
  <c r="J7" i="9"/>
  <c r="F21" i="13"/>
  <c r="C21" i="13"/>
  <c r="I21" i="13"/>
  <c r="H21" i="13"/>
  <c r="AU14" i="6"/>
  <c r="AU11" i="6"/>
  <c r="AU10" i="6"/>
  <c r="AM14" i="6"/>
  <c r="AM11" i="6"/>
  <c r="AM10" i="6"/>
  <c r="L15" i="1" l="1"/>
  <c r="M15" i="1" s="1"/>
  <c r="AU12" i="6"/>
  <c r="AU13" i="6" s="1"/>
  <c r="AU17" i="6" s="1"/>
  <c r="AU18" i="6" s="1"/>
  <c r="AM12" i="6"/>
  <c r="AM13" i="6" s="1"/>
  <c r="AM17" i="6" s="1"/>
  <c r="AI14" i="6"/>
  <c r="AI11" i="6"/>
  <c r="AE14" i="6"/>
  <c r="AE11" i="6"/>
  <c r="U10" i="6"/>
  <c r="P10" i="6"/>
  <c r="K10" i="6"/>
  <c r="G14" i="6"/>
  <c r="G11" i="6"/>
  <c r="G10" i="6"/>
  <c r="B11" i="6"/>
  <c r="B10" i="6"/>
  <c r="B14" i="6"/>
  <c r="B14" i="5"/>
  <c r="B11" i="5"/>
  <c r="E51" i="10"/>
  <c r="D51" i="10" s="1"/>
  <c r="E50" i="10"/>
  <c r="D50" i="10" s="1"/>
  <c r="H39" i="10"/>
  <c r="H38" i="10"/>
  <c r="E47" i="10"/>
  <c r="B47" i="10" s="1"/>
  <c r="E46" i="10"/>
  <c r="B46" i="10" s="1"/>
  <c r="H37" i="10"/>
  <c r="R7" i="9"/>
  <c r="R6" i="9"/>
  <c r="H14" i="5"/>
  <c r="H13" i="5"/>
  <c r="H12" i="5"/>
  <c r="H11" i="5"/>
  <c r="H10" i="5"/>
  <c r="E18" i="5"/>
  <c r="B10" i="5"/>
  <c r="AD27" i="6"/>
  <c r="R30" i="9"/>
  <c r="B12" i="6" l="1"/>
  <c r="B13" i="6" s="1"/>
  <c r="B17" i="6" s="1"/>
  <c r="AM18" i="6"/>
  <c r="G12" i="6"/>
  <c r="G13" i="6" s="1"/>
  <c r="G17" i="6" s="1"/>
  <c r="H17" i="5"/>
  <c r="H18" i="5" s="1"/>
  <c r="B12" i="5"/>
  <c r="B13" i="5" s="1"/>
  <c r="B17" i="5" s="1"/>
  <c r="K19" i="1"/>
  <c r="L19" i="1" l="1"/>
  <c r="B18" i="6"/>
  <c r="E13" i="10" s="1"/>
  <c r="F13" i="10"/>
  <c r="G18" i="6"/>
  <c r="E14" i="10" s="1"/>
  <c r="F14" i="10"/>
  <c r="K4" i="10"/>
  <c r="K8" i="10" s="1"/>
  <c r="K12" i="10"/>
  <c r="K11" i="8"/>
  <c r="AH20" i="6"/>
  <c r="AI10" i="6" s="1"/>
  <c r="AI12" i="6" s="1"/>
  <c r="AI13" i="6" s="1"/>
  <c r="AI17" i="6" s="1"/>
  <c r="AE7" i="6"/>
  <c r="AE10" i="6" s="1"/>
  <c r="AE12" i="6" s="1"/>
  <c r="AE13" i="6" s="1"/>
  <c r="AE17" i="6" s="1"/>
  <c r="AE18" i="6" l="1"/>
  <c r="F11" i="10"/>
  <c r="AI18" i="6"/>
  <c r="E19" i="10" s="1"/>
  <c r="F19" i="10"/>
  <c r="B43" i="9"/>
  <c r="B44" i="9" s="1"/>
  <c r="B45" i="9" s="1"/>
  <c r="B46" i="9"/>
  <c r="R13" i="9"/>
  <c r="R14" i="9" s="1"/>
  <c r="R25" i="9"/>
  <c r="E12" i="10" s="1"/>
  <c r="F13" i="12"/>
  <c r="J13" i="12" s="1"/>
  <c r="F25" i="12"/>
  <c r="G25" i="12" s="1"/>
  <c r="R20" i="9"/>
  <c r="R21" i="9"/>
  <c r="E5" i="12"/>
  <c r="F5" i="12" s="1"/>
  <c r="G5" i="12" s="1"/>
  <c r="E9" i="12"/>
  <c r="F9" i="12" s="1"/>
  <c r="J9" i="12" s="1"/>
  <c r="E8" i="12"/>
  <c r="F8" i="12" s="1"/>
  <c r="E13" i="12"/>
  <c r="E17" i="12"/>
  <c r="F17" i="12" s="1"/>
  <c r="E21" i="12"/>
  <c r="F21" i="12" s="1"/>
  <c r="E25" i="12"/>
  <c r="E6" i="12"/>
  <c r="F6" i="12" s="1"/>
  <c r="E7" i="12"/>
  <c r="F7" i="12" s="1"/>
  <c r="E10" i="12"/>
  <c r="F10" i="12" s="1"/>
  <c r="E11" i="12"/>
  <c r="F11" i="12" s="1"/>
  <c r="J11" i="12" s="1"/>
  <c r="E12" i="12"/>
  <c r="F12" i="12" s="1"/>
  <c r="J12" i="12" s="1"/>
  <c r="E14" i="12"/>
  <c r="F14" i="12" s="1"/>
  <c r="G14" i="12" s="1"/>
  <c r="E15" i="12"/>
  <c r="F15" i="12" s="1"/>
  <c r="G15" i="12" s="1"/>
  <c r="E16" i="12"/>
  <c r="F16" i="12" s="1"/>
  <c r="G16" i="12" s="1"/>
  <c r="E18" i="12"/>
  <c r="F18" i="12" s="1"/>
  <c r="E19" i="12"/>
  <c r="F19" i="12" s="1"/>
  <c r="E20" i="12"/>
  <c r="F20" i="12" s="1"/>
  <c r="G20" i="12" s="1"/>
  <c r="E22" i="12"/>
  <c r="F22" i="12" s="1"/>
  <c r="E23" i="12"/>
  <c r="F23" i="12" s="1"/>
  <c r="E24" i="12"/>
  <c r="F24" i="12" s="1"/>
  <c r="E4" i="12"/>
  <c r="F4" i="12" s="1"/>
  <c r="J4" i="12" s="1"/>
  <c r="I11" i="10"/>
  <c r="H11" i="10"/>
  <c r="G11" i="10"/>
  <c r="I19" i="10"/>
  <c r="H19" i="10"/>
  <c r="G19" i="10"/>
  <c r="I16" i="10"/>
  <c r="I18" i="10"/>
  <c r="G17" i="10"/>
  <c r="G16" i="10"/>
  <c r="G18" i="10"/>
  <c r="I15" i="10"/>
  <c r="G15" i="10"/>
  <c r="I14" i="10"/>
  <c r="H14" i="10"/>
  <c r="G14" i="10"/>
  <c r="I13" i="10"/>
  <c r="H13" i="10"/>
  <c r="G13" i="10"/>
  <c r="G7" i="10"/>
  <c r="G6" i="10"/>
  <c r="G5" i="10"/>
  <c r="G4" i="10"/>
  <c r="K18" i="1"/>
  <c r="K17" i="1"/>
  <c r="K16" i="1"/>
  <c r="Q16" i="1" l="1"/>
  <c r="L16" i="1"/>
  <c r="S16" i="1"/>
  <c r="L17" i="1"/>
  <c r="Q17" i="1"/>
  <c r="R17" i="1"/>
  <c r="S17" i="1"/>
  <c r="L18" i="1"/>
  <c r="Q18" i="1"/>
  <c r="R18" i="1"/>
  <c r="S18" i="1"/>
  <c r="S23" i="1" s="1"/>
  <c r="R15" i="1"/>
  <c r="S15" i="1"/>
  <c r="E11" i="10"/>
  <c r="B50" i="9"/>
  <c r="B49" i="9" s="1"/>
  <c r="G8" i="12"/>
  <c r="J8" i="12"/>
  <c r="G23" i="12"/>
  <c r="J23" i="12"/>
  <c r="J21" i="12"/>
  <c r="L2" i="12"/>
  <c r="G21" i="12"/>
  <c r="J10" i="12"/>
  <c r="G10" i="12"/>
  <c r="G7" i="12"/>
  <c r="H7" i="12" s="1"/>
  <c r="J7" i="12"/>
  <c r="G19" i="12"/>
  <c r="J19" i="12"/>
  <c r="G17" i="12"/>
  <c r="J17" i="12"/>
  <c r="G24" i="12"/>
  <c r="J24" i="12"/>
  <c r="J6" i="12"/>
  <c r="G6" i="12"/>
  <c r="G22" i="12"/>
  <c r="J22" i="12"/>
  <c r="J18" i="12"/>
  <c r="G18" i="12"/>
  <c r="G13" i="12"/>
  <c r="G12" i="12"/>
  <c r="G11" i="12"/>
  <c r="G9" i="12"/>
  <c r="M19" i="1"/>
  <c r="J25" i="12"/>
  <c r="J20" i="12"/>
  <c r="J16" i="12"/>
  <c r="J15" i="12"/>
  <c r="J14" i="12"/>
  <c r="G4" i="12"/>
  <c r="J10" i="9"/>
  <c r="N20" i="9"/>
  <c r="J20" i="9"/>
  <c r="F20" i="9"/>
  <c r="B20" i="9"/>
  <c r="F10" i="9"/>
  <c r="N10" i="9"/>
  <c r="S22" i="1" l="1"/>
  <c r="S21" i="1"/>
  <c r="F25" i="9"/>
  <c r="G20" i="9"/>
  <c r="J25" i="9"/>
  <c r="K20" i="9"/>
  <c r="N25" i="9"/>
  <c r="O20" i="9"/>
  <c r="C20" i="9"/>
  <c r="H9" i="12"/>
  <c r="H17" i="12"/>
  <c r="H22" i="12"/>
  <c r="H20" i="12"/>
  <c r="H6" i="12"/>
  <c r="H10" i="12"/>
  <c r="H4" i="12"/>
  <c r="H21" i="12"/>
  <c r="H14" i="12"/>
  <c r="H18" i="12"/>
  <c r="H11" i="12"/>
  <c r="R22" i="9"/>
  <c r="H12" i="12"/>
  <c r="H13" i="12"/>
  <c r="H19" i="12"/>
  <c r="H24" i="12"/>
  <c r="H25" i="12"/>
  <c r="H23" i="12"/>
  <c r="H15" i="12"/>
  <c r="H16" i="12"/>
  <c r="H8" i="12"/>
  <c r="H5" i="12"/>
  <c r="G6" i="4"/>
  <c r="H6" i="4" l="1"/>
  <c r="I6" i="4" s="1"/>
  <c r="O25" i="9"/>
  <c r="P20" i="9"/>
  <c r="P25" i="9" s="1"/>
  <c r="K25" i="9"/>
  <c r="L20" i="9"/>
  <c r="L25" i="9" s="1"/>
  <c r="G25" i="9"/>
  <c r="H20" i="9"/>
  <c r="H25" i="9" s="1"/>
  <c r="D20" i="9"/>
  <c r="D25" i="9" s="1"/>
  <c r="C25" i="9"/>
  <c r="R26" i="9"/>
  <c r="F12" i="10" s="1"/>
  <c r="G5" i="3"/>
  <c r="H5" i="3" s="1"/>
  <c r="I5" i="3" s="1"/>
  <c r="J5" i="3" s="1"/>
  <c r="M18" i="1"/>
  <c r="M17" i="1"/>
  <c r="M16" i="1"/>
  <c r="K14" i="1"/>
  <c r="K13" i="1"/>
  <c r="K12" i="1"/>
  <c r="K11" i="1"/>
  <c r="K10" i="1"/>
  <c r="K9" i="1"/>
  <c r="K8" i="1"/>
  <c r="K7" i="1"/>
  <c r="K6" i="1"/>
  <c r="K5" i="1"/>
  <c r="J11" i="8"/>
  <c r="L11" i="8" s="1"/>
  <c r="Z7" i="6"/>
  <c r="AB7" i="6" s="1"/>
  <c r="AB10" i="6" s="1"/>
  <c r="AB12" i="6" s="1"/>
  <c r="AB13" i="6" s="1"/>
  <c r="AB17" i="6" s="1"/>
  <c r="AB18" i="6" s="1"/>
  <c r="G9" i="4"/>
  <c r="H9" i="4" s="1"/>
  <c r="I9" i="4" s="1"/>
  <c r="J9" i="4" s="1"/>
  <c r="K9" i="4" s="1"/>
  <c r="G8" i="4"/>
  <c r="H8" i="4" s="1"/>
  <c r="G7" i="4"/>
  <c r="N38" i="9" s="1"/>
  <c r="G5" i="4"/>
  <c r="I5" i="4" s="1"/>
  <c r="J5" i="4" s="1"/>
  <c r="K5" i="4" s="1"/>
  <c r="G8" i="3"/>
  <c r="H8" i="3" s="1"/>
  <c r="G7" i="3"/>
  <c r="H7" i="3" s="1"/>
  <c r="G6" i="3"/>
  <c r="G4" i="3"/>
  <c r="H4" i="3" s="1"/>
  <c r="I4" i="3" s="1"/>
  <c r="J4" i="3" s="1"/>
  <c r="G5" i="2"/>
  <c r="H5" i="2" s="1"/>
  <c r="I5" i="2" s="1"/>
  <c r="J5" i="2" s="1"/>
  <c r="F18" i="2"/>
  <c r="F17" i="2"/>
  <c r="F16" i="2"/>
  <c r="H15" i="2"/>
  <c r="F14" i="2"/>
  <c r="F13" i="2"/>
  <c r="F12" i="2"/>
  <c r="F11" i="2"/>
  <c r="F10" i="2"/>
  <c r="F9" i="2"/>
  <c r="F8" i="2"/>
  <c r="F7" i="2"/>
  <c r="F6" i="2"/>
  <c r="F4" i="2"/>
  <c r="L3" i="1" l="1"/>
  <c r="N15" i="1" s="1"/>
  <c r="L13" i="1"/>
  <c r="M13" i="1" s="1"/>
  <c r="N13" i="1" s="1"/>
  <c r="Q13" i="1"/>
  <c r="R13" i="1"/>
  <c r="S13" i="1"/>
  <c r="L11" i="1"/>
  <c r="M11" i="1" s="1"/>
  <c r="N11" i="1" s="1"/>
  <c r="Q11" i="1"/>
  <c r="R11" i="1"/>
  <c r="S11" i="1"/>
  <c r="L12" i="1"/>
  <c r="M12" i="1" s="1"/>
  <c r="N12" i="1" s="1"/>
  <c r="Q12" i="1"/>
  <c r="R12" i="1"/>
  <c r="S12" i="1"/>
  <c r="L8" i="1"/>
  <c r="M8" i="1" s="1"/>
  <c r="N8" i="1" s="1"/>
  <c r="Q8" i="1"/>
  <c r="R8" i="1"/>
  <c r="S8" i="1"/>
  <c r="L14" i="1"/>
  <c r="M14" i="1" s="1"/>
  <c r="N14" i="1" s="1"/>
  <c r="Q14" i="1"/>
  <c r="R14" i="1"/>
  <c r="S14" i="1"/>
  <c r="L5" i="1"/>
  <c r="M5" i="1" s="1"/>
  <c r="N5" i="1" s="1"/>
  <c r="Q5" i="1"/>
  <c r="R5" i="1"/>
  <c r="S5" i="1"/>
  <c r="L6" i="1"/>
  <c r="M6" i="1" s="1"/>
  <c r="N6" i="1" s="1"/>
  <c r="Q6" i="1"/>
  <c r="R6" i="1"/>
  <c r="S6" i="1"/>
  <c r="L7" i="1"/>
  <c r="M7" i="1" s="1"/>
  <c r="N7" i="1" s="1"/>
  <c r="Q7" i="1"/>
  <c r="R7" i="1"/>
  <c r="S7" i="1"/>
  <c r="L9" i="1"/>
  <c r="M9" i="1" s="1"/>
  <c r="N9" i="1" s="1"/>
  <c r="Q9" i="1"/>
  <c r="R9" i="1"/>
  <c r="S9" i="1"/>
  <c r="L10" i="1"/>
  <c r="M10" i="1" s="1"/>
  <c r="N10" i="1" s="1"/>
  <c r="Q10" i="1"/>
  <c r="R10" i="1"/>
  <c r="S10" i="1"/>
  <c r="N43" i="9"/>
  <c r="N44" i="9" s="1"/>
  <c r="N45" i="9" s="1"/>
  <c r="N46" i="9"/>
  <c r="C21" i="9"/>
  <c r="C29" i="9" s="1"/>
  <c r="D21" i="9"/>
  <c r="D29" i="9" s="1"/>
  <c r="I17" i="10"/>
  <c r="Z10" i="6"/>
  <c r="H7" i="4"/>
  <c r="I7" i="4" s="1"/>
  <c r="J7" i="4" s="1"/>
  <c r="I7" i="3"/>
  <c r="J7" i="3" s="1"/>
  <c r="I8" i="3"/>
  <c r="J8" i="3" s="1"/>
  <c r="H6" i="3"/>
  <c r="I6" i="3" s="1"/>
  <c r="J6" i="3" s="1"/>
  <c r="L21" i="9" s="1"/>
  <c r="G6" i="2"/>
  <c r="H6" i="2" s="1"/>
  <c r="I6" i="2" s="1"/>
  <c r="J6" i="2" s="1"/>
  <c r="G12" i="2"/>
  <c r="H12" i="2" s="1"/>
  <c r="I12" i="2" s="1"/>
  <c r="J12" i="2" s="1"/>
  <c r="G13" i="2"/>
  <c r="H13" i="2" s="1"/>
  <c r="I13" i="2" s="1"/>
  <c r="J13" i="2" s="1"/>
  <c r="G14" i="2"/>
  <c r="H14" i="2" s="1"/>
  <c r="I14" i="2" s="1"/>
  <c r="J14" i="2" s="1"/>
  <c r="G9" i="2"/>
  <c r="G10" i="2"/>
  <c r="H10" i="2" s="1"/>
  <c r="I10" i="2" s="1"/>
  <c r="J10" i="2" s="1"/>
  <c r="G18" i="2"/>
  <c r="H18" i="2" s="1"/>
  <c r="I18" i="2" s="1"/>
  <c r="G7" i="2"/>
  <c r="H7" i="2" s="1"/>
  <c r="I7" i="2" s="1"/>
  <c r="J7" i="2" s="1"/>
  <c r="G4" i="2"/>
  <c r="H4" i="2" s="1"/>
  <c r="I4" i="2" s="1"/>
  <c r="J4" i="2" s="1"/>
  <c r="G11" i="2"/>
  <c r="H11" i="2" s="1"/>
  <c r="I11" i="2" s="1"/>
  <c r="J11" i="2" s="1"/>
  <c r="G17" i="2"/>
  <c r="G16" i="2"/>
  <c r="G8" i="2"/>
  <c r="H8" i="2" s="1"/>
  <c r="I8" i="2" s="1"/>
  <c r="J8" i="2" s="1"/>
  <c r="I15" i="2"/>
  <c r="J6" i="4"/>
  <c r="I8" i="4"/>
  <c r="J8" i="4" s="1"/>
  <c r="K8" i="4" s="1"/>
  <c r="K4" i="3"/>
  <c r="L29" i="9" l="1"/>
  <c r="L26" i="9"/>
  <c r="L30" i="9" s="1"/>
  <c r="K21" i="9"/>
  <c r="I2" i="4"/>
  <c r="E7" i="10" s="1"/>
  <c r="P21" i="9"/>
  <c r="O21" i="9"/>
  <c r="N50" i="9"/>
  <c r="N49" i="9" s="1"/>
  <c r="D26" i="9"/>
  <c r="D30" i="9" s="1"/>
  <c r="C26" i="9"/>
  <c r="C30" i="9" s="1"/>
  <c r="N19" i="1"/>
  <c r="E4" i="10"/>
  <c r="B5" i="9"/>
  <c r="N17" i="1"/>
  <c r="H2" i="3"/>
  <c r="H16" i="2"/>
  <c r="I16" i="2" s="1"/>
  <c r="H9" i="2"/>
  <c r="I9" i="2" s="1"/>
  <c r="J9" i="2" s="1"/>
  <c r="H17" i="2"/>
  <c r="I17" i="2" s="1"/>
  <c r="G1" i="2" s="1"/>
  <c r="F5" i="9" s="1"/>
  <c r="F21" i="9" s="1"/>
  <c r="N16" i="1"/>
  <c r="N18" i="1"/>
  <c r="P29" i="9" l="1"/>
  <c r="P26" i="9"/>
  <c r="P30" i="9" s="1"/>
  <c r="H21" i="9"/>
  <c r="G21" i="9"/>
  <c r="O26" i="9"/>
  <c r="O30" i="9" s="1"/>
  <c r="O29" i="9"/>
  <c r="K29" i="9"/>
  <c r="K26" i="9"/>
  <c r="K30" i="9" s="1"/>
  <c r="E6" i="10"/>
  <c r="K5" i="3"/>
  <c r="K7" i="3"/>
  <c r="K8" i="3"/>
  <c r="K6" i="3"/>
  <c r="E5" i="10"/>
  <c r="J5" i="9"/>
  <c r="K6" i="4"/>
  <c r="N5" i="9"/>
  <c r="K7" i="4"/>
  <c r="B13" i="9"/>
  <c r="B21" i="9" s="1"/>
  <c r="B26" i="9" s="1"/>
  <c r="B30" i="9" s="1"/>
  <c r="N3" i="1" s="1"/>
  <c r="B14" i="9"/>
  <c r="G29" i="9" l="1"/>
  <c r="G26" i="9"/>
  <c r="G30" i="9" s="1"/>
  <c r="H29" i="9"/>
  <c r="H26" i="9"/>
  <c r="H30" i="9" s="1"/>
  <c r="B29" i="9"/>
  <c r="F13" i="9"/>
  <c r="K2" i="3"/>
  <c r="J21" i="9"/>
  <c r="J13" i="9"/>
  <c r="J14" i="9"/>
  <c r="N13" i="9"/>
  <c r="N21" i="9"/>
  <c r="N14" i="9"/>
  <c r="F14" i="9"/>
  <c r="J16" i="2"/>
  <c r="J18" i="2"/>
  <c r="J15" i="2"/>
  <c r="J17" i="2"/>
  <c r="T26" i="6"/>
  <c r="U6" i="6"/>
  <c r="Z6" i="6"/>
  <c r="P6" i="6"/>
  <c r="F4" i="10" l="1"/>
  <c r="N2" i="12"/>
  <c r="H16" i="10"/>
  <c r="U14" i="6"/>
  <c r="U11" i="6"/>
  <c r="U12" i="6" s="1"/>
  <c r="U13" i="6" s="1"/>
  <c r="H17" i="10"/>
  <c r="Z11" i="6"/>
  <c r="Z12" i="6" s="1"/>
  <c r="Z13" i="6" s="1"/>
  <c r="Z14" i="6"/>
  <c r="H18" i="10"/>
  <c r="P14" i="6"/>
  <c r="P11" i="6"/>
  <c r="P12" i="6" s="1"/>
  <c r="P13" i="6" s="1"/>
  <c r="J29" i="9"/>
  <c r="J26" i="9"/>
  <c r="J30" i="9" s="1"/>
  <c r="N29" i="9"/>
  <c r="N26" i="9"/>
  <c r="N30" i="9" s="1"/>
  <c r="K2" i="4" s="1"/>
  <c r="F7" i="10" s="1"/>
  <c r="F29" i="9"/>
  <c r="F26" i="9"/>
  <c r="F30" i="9" s="1"/>
  <c r="T27" i="6"/>
  <c r="U20" i="6"/>
  <c r="T20" i="6"/>
  <c r="K6" i="6"/>
  <c r="J2" i="3" l="1"/>
  <c r="F6" i="10" s="1"/>
  <c r="H15" i="10"/>
  <c r="K14" i="6"/>
  <c r="K11" i="6"/>
  <c r="K12" i="6" s="1"/>
  <c r="K13" i="6" s="1"/>
  <c r="Z17" i="6"/>
  <c r="U17" i="6"/>
  <c r="P17" i="6"/>
  <c r="I1" i="2"/>
  <c r="F5" i="10" s="1"/>
  <c r="P18" i="6" l="1"/>
  <c r="E18" i="10" s="1"/>
  <c r="F18" i="10"/>
  <c r="U18" i="6"/>
  <c r="E16" i="10" s="1"/>
  <c r="F16" i="10"/>
  <c r="Z18" i="6"/>
  <c r="E17" i="10" s="1"/>
  <c r="F17" i="10"/>
  <c r="K17" i="6"/>
  <c r="K18" i="6" l="1"/>
  <c r="E15" i="10" s="1"/>
  <c r="F15" i="10"/>
  <c r="B18" i="5"/>
</calcChain>
</file>

<file path=xl/sharedStrings.xml><?xml version="1.0" encoding="utf-8"?>
<sst xmlns="http://schemas.openxmlformats.org/spreadsheetml/2006/main" count="875" uniqueCount="345">
  <si>
    <t>******Dane County Deaths Table. Source: CDC Wonder***********</t>
  </si>
  <si>
    <t>Year</t>
  </si>
  <si>
    <t>Population</t>
  </si>
  <si>
    <t>DeathsALL</t>
  </si>
  <si>
    <t>ln(K)</t>
  </si>
  <si>
    <t>mu bar</t>
  </si>
  <si>
    <t>(ln(K)-mu bar)^2</t>
  </si>
  <si>
    <t>sigma bar</t>
  </si>
  <si>
    <t xml:space="preserve">ALL HE </t>
  </si>
  <si>
    <t>-------------------- Dane County Opioid Arrest Summary ---------------------------------</t>
  </si>
  <si>
    <t>*******Source: SRS Wisconsin Drug Offense Data ***********</t>
  </si>
  <si>
    <t>ArrestCount</t>
  </si>
  <si>
    <t>********** Source: Wisconsin DHS, Opioids: Treatment Data by County Dashboard **********</t>
  </si>
  <si>
    <t>Total Individuals</t>
  </si>
  <si>
    <t>PrescriptionPrevalence</t>
  </si>
  <si>
    <t>Heroin Prevalence</t>
  </si>
  <si>
    <t>most likely value (m)</t>
  </si>
  <si>
    <t>quantile percent (zq)</t>
  </si>
  <si>
    <t>quantile number (xq)</t>
  </si>
  <si>
    <t>location parameter (minimum value)</t>
  </si>
  <si>
    <t>Law page 373 ex 6.24</t>
  </si>
  <si>
    <t>sigma</t>
  </si>
  <si>
    <t>mu</t>
  </si>
  <si>
    <t>FINAL ESTIMATES</t>
  </si>
  <si>
    <t>BEST GUESSTIMATES</t>
  </si>
  <si>
    <t>INTERMEDIATE CALCS</t>
  </si>
  <si>
    <t>c</t>
  </si>
  <si>
    <t>sqrt term</t>
  </si>
  <si>
    <t>zq^2</t>
  </si>
  <si>
    <t>sqrt sum</t>
  </si>
  <si>
    <t>LN Estimate</t>
  </si>
  <si>
    <t>WEIBELL Estimate</t>
  </si>
  <si>
    <t>Law page 373 ex 6.25</t>
  </si>
  <si>
    <t>alpha</t>
  </si>
  <si>
    <t>beta</t>
  </si>
  <si>
    <t>https://www.real-statistics.com/distribution-fitting/distribution-fitting-via-maximum-likelihood/fitting-weibull-parameters-mle/</t>
  </si>
  <si>
    <t>https://www.real-statistics.com/distribution-fitting/distribution-fitting-via-maximum-likelihood/fitting-weibull-parameters-mle-newtons-method/</t>
  </si>
  <si>
    <t>RELAPSE After ARREST</t>
  </si>
  <si>
    <t>TIME in Hospital</t>
  </si>
  <si>
    <t>TIME in Jail/Prision</t>
  </si>
  <si>
    <t>TIME in Treatment</t>
  </si>
  <si>
    <t>RELAPSE After Hospital</t>
  </si>
  <si>
    <t>RELAPSE After Treatment</t>
  </si>
  <si>
    <t>count  mode</t>
  </si>
  <si>
    <t>mode</t>
  </si>
  <si>
    <t xml:space="preserve"># HC </t>
  </si>
  <si>
    <t>90 pecentile</t>
  </si>
  <si>
    <t>Total days in Jail Post 0-12 Months</t>
  </si>
  <si>
    <t>Total Days in Jail for Post Booking 1</t>
  </si>
  <si>
    <t>HC</t>
  </si>
  <si>
    <t>MARI group</t>
  </si>
  <si>
    <t>#MARI</t>
  </si>
  <si>
    <t>indidvudals</t>
  </si>
  <si>
    <t>indidvuals</t>
  </si>
  <si>
    <t>days in jail</t>
  </si>
  <si>
    <t>&lt;160</t>
  </si>
  <si>
    <t>&lt;57</t>
  </si>
  <si>
    <t>&lt;35</t>
  </si>
  <si>
    <t>&lt;5</t>
  </si>
  <si>
    <t>&lt;this is a guestimate</t>
  </si>
  <si>
    <t>&lt;median</t>
  </si>
  <si>
    <t>MARI Arrest Analysis Tab</t>
  </si>
  <si>
    <t>\citep{singh_national_2020}</t>
  </si>
  <si>
    <t>\cite{DHS2017}</t>
  </si>
  <si>
    <t>&lt;Bukten</t>
  </si>
  <si>
    <t>bunting</t>
  </si>
  <si>
    <t>chamberlin table 2</t>
  </si>
  <si>
    <t>relapsed and used heroin and opioids within 2 to 14 weeks after release</t>
  </si>
  <si>
    <t>&lt;days</t>
  </si>
  <si>
    <t>bunting 40% of polyuse opioid users, who were enrolled in treatment relapased within the 365 study period</t>
  </si>
  <si>
    <t>90 days</t>
  </si>
  <si>
    <t>&lt;indivduals who were released and recieeved counceing during prision.jial and were interested in methadone</t>
  </si>
  <si>
    <t>kinlock</t>
  </si>
  <si>
    <t>\citet{bukten_high_2017, kinlock}</t>
  </si>
  <si>
    <t>&lt;use for no after jail treatmetn, low due to these peole went to treatment center to be entered</t>
  </si>
  <si>
    <t>&lt;use for agter jail treatment post release programming</t>
  </si>
  <si>
    <t>&gt;alt</t>
  </si>
  <si>
    <t>&gt;base</t>
  </si>
  <si>
    <t>365 days</t>
  </si>
  <si>
    <t>&gt;look at study for percent using that is seeking treatment with jail history</t>
  </si>
  <si>
    <t>two types of treatment and split by long and short inpatient and outpatietn care</t>
  </si>
  <si>
    <t>nuees et al</t>
  </si>
  <si>
    <t>Cumulative any opioid use at 5 weeks⁎</t>
  </si>
  <si>
    <t>Short-term inpatient</t>
  </si>
  <si>
    <t>Long-term inpatient</t>
  </si>
  <si>
    <t>Outpatient</t>
  </si>
  <si>
    <t>N</t>
  </si>
  <si>
    <t>pecent</t>
  </si>
  <si>
    <t>yes</t>
  </si>
  <si>
    <t>total</t>
  </si>
  <si>
    <t>TAU</t>
  </si>
  <si>
    <t>xr-ntx +tau</t>
  </si>
  <si>
    <t>)Cumulative any opioid use at end of study/26 weeks⁎⁎</t>
  </si>
  <si>
    <t>nuenes et all, SEE TAB</t>
  </si>
  <si>
    <t>&lt;had largest drop after 4 weeks for short term inpatient and outpatietn</t>
  </si>
  <si>
    <t>&lt;better to use higher quartile</t>
  </si>
  <si>
    <t>edward 2016 had 30% at 90days, small study of patients after hospital relase</t>
  </si>
  <si>
    <t>speculate similar to Arrest if these is no follow up treatmetn</t>
  </si>
  <si>
    <t>chutuape2001one</t>
  </si>
  <si>
    <t>26% admisted to using on day of discharge</t>
  </si>
  <si>
    <t>n=116, 21.3% did not use after 30 days self report</t>
  </si>
  <si>
    <t>urine analyizzed in subsample Is closer to 12-15%</t>
  </si>
  <si>
    <t>Number of Discharges</t>
  </si>
  <si>
    <t xml:space="preserve">PrescriptionPrevalence total </t>
  </si>
  <si>
    <t>Heroin Prevalence total</t>
  </si>
  <si>
    <t xml:space="preserve">Total Prevalence </t>
  </si>
  <si>
    <t>days for a using indiv to HE</t>
  </si>
  <si>
    <t>both arms</t>
  </si>
  <si>
    <t>min sigma cal</t>
  </si>
  <si>
    <t>HEs per year per prevalence</t>
  </si>
  <si>
    <t>Arrests per prevalence per year</t>
  </si>
  <si>
    <t>days for a prevalence to Arrest</t>
  </si>
  <si>
    <t>Treats per prevalencel per year</t>
  </si>
  <si>
    <t>days for prevalence to Treats</t>
  </si>
  <si>
    <t>(mu)</t>
  </si>
  <si>
    <t>ln(X_q - lambd)</t>
  </si>
  <si>
    <t>Event Individal Death</t>
  </si>
  <si>
    <t>Event Individal HE</t>
  </si>
  <si>
    <t>Event Individal Arrest</t>
  </si>
  <si>
    <t>Event Individal Treatmetn</t>
  </si>
  <si>
    <t>ln(m- lambd)</t>
  </si>
  <si>
    <t>mu-ln(m- lambd)</t>
  </si>
  <si>
    <t>WE ARE USING THE BELOW CALCULATIONS SINCE THE MOST LIKELY VALUE IS EASIER FOR US TO ESTIMATE!!!</t>
  </si>
  <si>
    <t xml:space="preserve">P(Death | not HE) = 1 - P(Death | HE) via law of total probability
</t>
  </si>
  <si>
    <t xml:space="preserve">https://www.ncbi.nlm.nih.gov/pmc/articles/PMC5802515/ </t>
  </si>
  <si>
    <t xml:space="preserve">P(Death | HE ) is (7.3%-9.81 % of ICU Overdse patients died) according to clinical study </t>
  </si>
  <si>
    <t>deaths minus approx number that died while in HE</t>
  </si>
  <si>
    <t>Total Prevalence</t>
  </si>
  <si>
    <t>Expected days until next death</t>
  </si>
  <si>
    <t>Summary of Parameters used in the simulation</t>
  </si>
  <si>
    <t>1 - P(Death | HE)</t>
  </si>
  <si>
    <t>Arc (2)</t>
  </si>
  <si>
    <t>Arc</t>
  </si>
  <si>
    <t>Distribution</t>
  </si>
  <si>
    <t xml:space="preserve"> mu parameter</t>
  </si>
  <si>
    <t>sigma parameter</t>
  </si>
  <si>
    <t>Arc (3)</t>
  </si>
  <si>
    <t>Arc (4)</t>
  </si>
  <si>
    <t>Arc (5)</t>
  </si>
  <si>
    <t>Arc (6)</t>
  </si>
  <si>
    <t>Arc (7)</t>
  </si>
  <si>
    <t>Arc (8)</t>
  </si>
  <si>
    <t>Arc (9)</t>
  </si>
  <si>
    <t>Arc (A)</t>
  </si>
  <si>
    <t>Arc (B)</t>
  </si>
  <si>
    <t>Arc (C)</t>
  </si>
  <si>
    <t>Arc (D)</t>
  </si>
  <si>
    <t>Arc (E)</t>
  </si>
  <si>
    <t>Arc (F)</t>
  </si>
  <si>
    <t>Arc (G)</t>
  </si>
  <si>
    <t>Arc (1)</t>
  </si>
  <si>
    <t>lambda</t>
  </si>
  <si>
    <t>NA</t>
  </si>
  <si>
    <t>Exponential - Days until next Opioid use Arrival</t>
  </si>
  <si>
    <t xml:space="preserve">Lognormal - Days until Individual Using Opioids Expereinces next Opioid Death </t>
  </si>
  <si>
    <t>Lognormal - Days until Individual Using Opioids Expereinces next Hospital Encounter</t>
  </si>
  <si>
    <t>Lognormal - Days until Individual Using Opioids Expereinces next Opioid Related Arrest</t>
  </si>
  <si>
    <t>Years used</t>
  </si>
  <si>
    <t>N years</t>
  </si>
  <si>
    <t>2016-2019</t>
  </si>
  <si>
    <t>Lognormal - Days until Individual Using Opioids Expereinces next OUD Treatment</t>
  </si>
  <si>
    <t>2016-2017</t>
  </si>
  <si>
    <t>Most likely value</t>
  </si>
  <si>
    <t>Probability - P(Death | HE)</t>
  </si>
  <si>
    <t>Probability</t>
  </si>
  <si>
    <t>Probability - P(Opioid Related Arrest | HE)</t>
  </si>
  <si>
    <t>Probability - P(OUD Treatment| HE)</t>
  </si>
  <si>
    <t>Lognormal - Days until Individual Using Opioids Expereinces Inactive Opioid Use</t>
  </si>
  <si>
    <t>Lognormal - Service time in Days of a Hospital Encounter</t>
  </si>
  <si>
    <t>Quantile %</t>
  </si>
  <si>
    <t>Quantile Value</t>
  </si>
  <si>
    <t>Lognormal - Service time in Days of a Arrest/ In the Criminal Justice System</t>
  </si>
  <si>
    <t>Lognormal - Service time in Days of OUD Treatment</t>
  </si>
  <si>
    <t>Lognormal - Days of Inactive Opioid Use given the Individual was most recently released from the hospital</t>
  </si>
  <si>
    <t>Lognormal - Days of Inactive Opioid Use given the Individual was most recently released from criminal Justice System</t>
  </si>
  <si>
    <t>Lognormal - Days of Inactive Opioid Use given the Individual was most recently released from the Treatment</t>
  </si>
  <si>
    <t>Lognormal - Days of Inactive Opioid Use given the Individual was most recently actively using Opioids</t>
  </si>
  <si>
    <t>other parameter  type</t>
  </si>
  <si>
    <t>other parameter  value</t>
  </si>
  <si>
    <t>2015-2019</t>
  </si>
  <si>
    <t>-------------------- Dane County approx Initiation Data Summary ---------------------------------</t>
  </si>
  <si>
    <t>*******Source: NSDUH***********</t>
  </si>
  <si>
    <t>-------------------- Dane County approx Use Data Summary ---------------------------------</t>
  </si>
  <si>
    <t>Dane County Heroin initation estimate (number of people)</t>
  </si>
  <si>
    <t>Dane County  Pain Reliever initiation estimate (number of people)</t>
  </si>
  <si>
    <t>Dane County Heroin initation rate estimate per 100,000 population</t>
  </si>
  <si>
    <t>Dane County  Pain Reliever initiation rate estimate per 100,000 population</t>
  </si>
  <si>
    <t>Dane County Opioid Initiation estimate (number of people)</t>
  </si>
  <si>
    <t>Days per Year</t>
  </si>
  <si>
    <t>Dane County Opioid Initiation estimate (number of people) per day</t>
  </si>
  <si>
    <t>13  2015</t>
  </si>
  <si>
    <t>14  2016</t>
  </si>
  <si>
    <t>15  2017</t>
  </si>
  <si>
    <t>16  2018</t>
  </si>
  <si>
    <t>17  2019</t>
  </si>
  <si>
    <t>rate of fi</t>
  </si>
  <si>
    <t>rst time drug use, i.e., Average days until next initiat</t>
  </si>
  <si>
    <t>ion for 2015 and 2016:  10.865867525440182</t>
  </si>
  <si>
    <t>Dane County Heroin use estimate (number of people)</t>
  </si>
  <si>
    <t>Dane County Pain Reliever use estimate (number of people)</t>
  </si>
  <si>
    <t>Dane County Pain Reliver use rate estimate per 100,000 population</t>
  </si>
  <si>
    <t>Dane County Heroin use rate estimate per 100,000 population</t>
  </si>
  <si>
    <t>Dane County use rate estimate per 100,000 population</t>
  </si>
  <si>
    <t>Dane County use estimate (number of people)</t>
  </si>
  <si>
    <t>Dane County use estimate (number of people) LOWER CI</t>
  </si>
  <si>
    <t>Dane County use estimate (number of people) UPPER CI</t>
  </si>
  <si>
    <t>Dane County Opioid use estimate (number of people)</t>
  </si>
  <si>
    <t>RELAPSE After Inactive only</t>
  </si>
  <si>
    <t>DEATHS IS TOO HIGH SINCE WE ARE ALSO ADDING DEATHS AFTER HOSPITAL ENCOUNTERS, substract by following percent.  Origal deaths from DC_all, and around 10-20% of deaths occurred in the hospital</t>
  </si>
  <si>
    <t>Arc (10)</t>
  </si>
  <si>
    <t>NonOpioidDeaths</t>
  </si>
  <si>
    <t>deaths per day</t>
  </si>
  <si>
    <t>Days until next death per individual</t>
  </si>
  <si>
    <t>Event Individal nonopioidDeath</t>
  </si>
  <si>
    <t>Density Function min (a)</t>
  </si>
  <si>
    <t>Density Function max (b)</t>
  </si>
  <si>
    <t>mean (mu)</t>
  </si>
  <si>
    <t>mode (m)</t>
  </si>
  <si>
    <t>alpha1</t>
  </si>
  <si>
    <t>alpha 2</t>
  </si>
  <si>
    <t>alpha2</t>
  </si>
  <si>
    <t>alpha 1</t>
  </si>
  <si>
    <t>Lewer et all 2020 supp</t>
  </si>
  <si>
    <t>&lt;tablw S3</t>
  </si>
  <si>
    <t>&lt;estimated using survival curves</t>
  </si>
  <si>
    <t>Bauer 2019,</t>
  </si>
  <si>
    <t>Rivera 2018</t>
  </si>
  <si>
    <t>note has code</t>
  </si>
  <si>
    <t>(16.7%-50.6%) in 2016</t>
  </si>
  <si>
    <t>30.2 (22.9-37.5) 2002-2016</t>
  </si>
  <si>
    <t>Bauer 2019, Rivera 2018</t>
  </si>
  <si>
    <t>Individuals Developing
Heroin Dependence,
Estimated % (CI), used NDSUH data</t>
  </si>
  <si>
    <t>heroin problems and experiences now begin to coalesce into a HUD syndrome within 90-120 days
after first heroin use. Uses NSDUH data</t>
  </si>
  <si>
    <t>TIME to inactive first time heroin not PO</t>
  </si>
  <si>
    <t>&lt;expected life years</t>
  </si>
  <si>
    <t>venniro 2017</t>
  </si>
  <si>
    <t>study of rates n=21 showed that involunart and voluntary abstrinates of heroin levels was simualr in rates, suggests depends more on other external factors (in this case amount of food avaiable as alternative)</t>
  </si>
  <si>
    <t>&lt;26 weeks followup</t>
  </si>
  <si>
    <t xml:space="preserve">Exponential - Days until Individual Expereinces next nonOpioid Death </t>
  </si>
  <si>
    <t>EXPONENTIAL ESTIMATION FROM lide epectancy file</t>
  </si>
  <si>
    <t>https://journals.plos.org/plosone/article?id=10.1371/journal.pone.0229174</t>
  </si>
  <si>
    <t>larger study 2.36% all 2.18% in Midwest  died during hospitalization.</t>
  </si>
  <si>
    <t>Event Individal Opioid death</t>
  </si>
  <si>
    <t>low</t>
  </si>
  <si>
    <t>high</t>
  </si>
  <si>
    <t xml:space="preserve"> - zq</t>
  </si>
  <si>
    <t>in book example</t>
  </si>
  <si>
    <t>Beta Estimate</t>
  </si>
  <si>
    <t>Mean (mu)</t>
  </si>
  <si>
    <t>min (a)</t>
  </si>
  <si>
    <t>max (b)</t>
  </si>
  <si>
    <t>mu -a</t>
  </si>
  <si>
    <t>2m-a-b</t>
  </si>
  <si>
    <t>m-mu</t>
  </si>
  <si>
    <t>b-a</t>
  </si>
  <si>
    <t>b-mu</t>
  </si>
  <si>
    <t>DOE</t>
  </si>
  <si>
    <t>Arc 9</t>
  </si>
  <si>
    <t>Arc G</t>
  </si>
  <si>
    <t>L</t>
  </si>
  <si>
    <t>H</t>
  </si>
  <si>
    <t>done, everything too low after year 1, expect OD detah too high, year 1 is too high for some varibels and ok for others</t>
  </si>
  <si>
    <t>Low value</t>
  </si>
  <si>
    <t>High value</t>
  </si>
  <si>
    <t>Other tests</t>
  </si>
  <si>
    <t>done, everything too high(but lowerr than L,L) except prevalence is too low.</t>
  </si>
  <si>
    <t>done  everything too high, except prevalence is good</t>
  </si>
  <si>
    <t>done, everything too high( and higher than LL), prevalence Is only thing in ok range</t>
  </si>
  <si>
    <t>Arc G needs to have longer average time than Arc 9</t>
  </si>
  <si>
    <t>Runs</t>
  </si>
  <si>
    <t>Years</t>
  </si>
  <si>
    <t>y</t>
  </si>
  <si>
    <t>y2</t>
  </si>
  <si>
    <t>For calculationg cumulative PI confidence</t>
  </si>
  <si>
    <t>arrests high, prev low, deaths high, everyhng else ok</t>
  </si>
  <si>
    <t>Arc 1</t>
  </si>
  <si>
    <t>Arc 2</t>
  </si>
  <si>
    <t>&lt;-now its an age based distribution</t>
  </si>
  <si>
    <t>Age of Initiation</t>
  </si>
  <si>
    <t>Figure 2 Histograms of age at cohort entry</t>
  </si>
  <si>
    <t>Non-drug related death</t>
  </si>
  <si>
    <t>5 Causes of death before age 75</t>
  </si>
  <si>
    <t>Sex</t>
  </si>
  <si>
    <t>Cause</t>
  </si>
  <si>
    <t>(%)</t>
  </si>
  <si>
    <t>Number of deaths</t>
  </si>
  <si>
    <t xml:space="preserve">deaths in cohort </t>
  </si>
  <si>
    <t xml:space="preserve"> Mean age at death</t>
  </si>
  <si>
    <t xml:space="preserve"> Number of deaths in a life table of 100,000 </t>
  </si>
  <si>
    <t xml:space="preserve"> Mean age at death in life table analysis </t>
  </si>
  <si>
    <t xml:space="preserve">eaths in a life table of 100,000 </t>
  </si>
  <si>
    <t>Years of life lost per person in life table analysis (</t>
  </si>
  <si>
    <t>Years of life lost per person in life table analysis</t>
  </si>
  <si>
    <t xml:space="preserve"> Male </t>
  </si>
  <si>
    <t xml:space="preserve">Drug-related </t>
  </si>
  <si>
    <t>Non-Communicable diseases</t>
  </si>
  <si>
    <t>Accidents</t>
  </si>
  <si>
    <t>Infections</t>
  </si>
  <si>
    <t>Mental Health and Suicide</t>
  </si>
  <si>
    <t>Other</t>
  </si>
  <si>
    <t>TBC</t>
  </si>
  <si>
    <t>Female</t>
  </si>
  <si>
    <t xml:space="preserve"> non-drug related dearths</t>
  </si>
  <si>
    <t>Total</t>
  </si>
  <si>
    <t>Mean Age</t>
  </si>
  <si>
    <t>Number of deaths in life table of 100000</t>
  </si>
  <si>
    <t>Mean Age in of death  in life table</t>
  </si>
  <si>
    <t>Years of life lost epr person</t>
  </si>
  <si>
    <t>Instead use missing data estimates</t>
  </si>
  <si>
    <t>Number of OD death individuals</t>
  </si>
  <si>
    <t xml:space="preserve"> Table S4: Summary of causes of death from Lewer 2020</t>
  </si>
  <si>
    <t>Average Prevalence</t>
  </si>
  <si>
    <t>base</t>
  </si>
  <si>
    <t>Age of Prevalence</t>
  </si>
  <si>
    <t>Base Case</t>
  </si>
  <si>
    <t>Min</t>
  </si>
  <si>
    <t>Max</t>
  </si>
  <si>
    <t>Total initation</t>
  </si>
  <si>
    <t>avg lambda</t>
  </si>
  <si>
    <t>HE each year</t>
  </si>
  <si>
    <t>approx deaths with HE</t>
  </si>
  <si>
    <t>baseline</t>
  </si>
  <si>
    <t>BASELINE</t>
  </si>
  <si>
    <t>LOW</t>
  </si>
  <si>
    <t>High</t>
  </si>
  <si>
    <t>Baseline</t>
  </si>
  <si>
    <t>ALL rate</t>
  </si>
  <si>
    <t>Midwest</t>
  </si>
  <si>
    <t>other</t>
  </si>
  <si>
    <t>edwards 2016</t>
  </si>
  <si>
    <t>kintock</t>
  </si>
  <si>
    <t>guess</t>
  </si>
  <si>
    <t>tau</t>
  </si>
  <si>
    <t>tau +</t>
  </si>
  <si>
    <t>ARC G</t>
  </si>
  <si>
    <t>ARC E</t>
  </si>
  <si>
    <t>ARC D</t>
  </si>
  <si>
    <t>alternative  estimate using avereage OD deahts/Aaverage yearly Prevalence estimate</t>
  </si>
  <si>
    <t>OD/PREvalence</t>
  </si>
  <si>
    <t>Averg all years</t>
  </si>
  <si>
    <t xml:space="preserve">OD minus HE deaths /PREvalence </t>
  </si>
  <si>
    <t>OD minus HE deaths /PREvalence v2</t>
  </si>
  <si>
    <t>Average 2016-2018</t>
  </si>
  <si>
    <t>Avergate 2019-2020</t>
  </si>
  <si>
    <t>percent died in 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</si>
</sst>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00"/>
    <numFmt numFmtId="165" formatCode="0.0000000000000"/>
    <numFmt numFmtId="166" formatCode="0.000000000000000"/>
    <numFmt numFmtId="167" formatCode="0.0000000000000000"/>
    <numFmt numFmtId="168" formatCode="0.000000000000000000"/>
    <numFmt numFmtId="169" formatCode="0.00000000"/>
    <numFmt numFmtId="170" formatCode="0.0000"/>
    <numFmt numFmtId="171" formatCode="0.0"/>
    <numFmt numFmtId="172" formatCode="0.0%"/>
    <numFmt numFmtId="173" formatCode="#,##0.0"/>
    <numFmt numFmtId="174" formatCode="_(* #,##0.0000_);_(* \(#,##0.0000\);_(* &quot;-&quot;??_);_(@_)"/>
    <numFmt numFmtId="175" formatCode="#,##0.00000000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IBM Plex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Alignment="1">
      <alignment wrapText="1"/>
    </xf>
    <xf numFmtId="0" fontId="1" fillId="0" borderId="0" xfId="1"/>
    <xf numFmtId="0" fontId="4" fillId="3" borderId="1" xfId="3" applyFill="1" applyBorder="1" applyAlignment="1">
      <alignment wrapText="1"/>
    </xf>
    <xf numFmtId="0" fontId="4" fillId="3" borderId="1" xfId="3" applyFill="1" applyBorder="1" applyAlignment="1">
      <alignment wrapText="1"/>
    </xf>
    <xf numFmtId="0" fontId="4" fillId="3" borderId="1" xfId="3" applyFill="1" applyBorder="1" applyAlignment="1">
      <alignment wrapText="1"/>
    </xf>
    <xf numFmtId="0" fontId="0" fillId="0" borderId="0" xfId="0" applyNumberFormat="1"/>
    <xf numFmtId="164" fontId="0" fillId="0" borderId="0" xfId="0" applyNumberFormat="1"/>
    <xf numFmtId="0" fontId="5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2" borderId="0" xfId="0" applyFill="1" applyBorder="1"/>
    <xf numFmtId="0" fontId="3" fillId="0" borderId="0" xfId="0" applyFont="1" applyBorder="1"/>
    <xf numFmtId="10" fontId="0" fillId="0" borderId="0" xfId="2" applyNumberFormat="1" applyFont="1" applyBorder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165" fontId="0" fillId="0" borderId="0" xfId="0" applyNumberFormat="1"/>
    <xf numFmtId="0" fontId="7" fillId="2" borderId="0" xfId="0" applyFont="1" applyFill="1" applyAlignment="1">
      <alignment wrapText="1"/>
    </xf>
    <xf numFmtId="169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8" fillId="2" borderId="0" xfId="0" applyFont="1" applyFill="1"/>
    <xf numFmtId="0" fontId="1" fillId="0" borderId="0" xfId="1" applyAlignment="1">
      <alignment vertical="center" wrapText="1"/>
    </xf>
    <xf numFmtId="0" fontId="3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170" fontId="0" fillId="2" borderId="1" xfId="0" applyNumberFormat="1" applyFill="1" applyBorder="1"/>
    <xf numFmtId="170" fontId="0" fillId="0" borderId="1" xfId="0" applyNumberFormat="1" applyBorder="1"/>
    <xf numFmtId="10" fontId="0" fillId="2" borderId="1" xfId="2" applyNumberFormat="1" applyFont="1" applyFill="1" applyBorder="1"/>
    <xf numFmtId="10" fontId="0" fillId="2" borderId="1" xfId="2" applyNumberFormat="1" applyFont="1" applyFill="1" applyBorder="1" applyAlignment="1">
      <alignment wrapText="1"/>
    </xf>
    <xf numFmtId="0" fontId="8" fillId="2" borderId="0" xfId="0" applyFont="1" applyFill="1" applyAlignment="1">
      <alignment horizontal="center" wrapText="1"/>
    </xf>
    <xf numFmtId="9" fontId="0" fillId="2" borderId="1" xfId="2" applyFont="1" applyFill="1" applyBorder="1" applyAlignment="1">
      <alignment wrapText="1"/>
    </xf>
    <xf numFmtId="9" fontId="0" fillId="0" borderId="0" xfId="0" applyNumberFormat="1"/>
    <xf numFmtId="10" fontId="0" fillId="0" borderId="0" xfId="0" applyNumberFormat="1"/>
    <xf numFmtId="168" fontId="0" fillId="0" borderId="0" xfId="0" applyNumberFormat="1"/>
    <xf numFmtId="0" fontId="0" fillId="0" borderId="1" xfId="0" applyFill="1" applyBorder="1" applyAlignment="1">
      <alignment wrapText="1"/>
    </xf>
    <xf numFmtId="171" fontId="0" fillId="0" borderId="0" xfId="0" applyNumberFormat="1"/>
    <xf numFmtId="0" fontId="3" fillId="0" borderId="0" xfId="0" applyFont="1" applyFill="1"/>
    <xf numFmtId="170" fontId="0" fillId="0" borderId="0" xfId="2" applyNumberFormat="1" applyFont="1" applyBorder="1"/>
    <xf numFmtId="0" fontId="9" fillId="0" borderId="0" xfId="0" applyFont="1"/>
    <xf numFmtId="0" fontId="0" fillId="0" borderId="0" xfId="0" applyFill="1" applyBorder="1"/>
    <xf numFmtId="0" fontId="0" fillId="2" borderId="1" xfId="2" applyNumberFormat="1" applyFont="1" applyFill="1" applyBorder="1"/>
    <xf numFmtId="170" fontId="0" fillId="5" borderId="1" xfId="0" applyNumberFormat="1" applyFill="1" applyBorder="1"/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172" fontId="0" fillId="0" borderId="0" xfId="2" applyNumberFormat="1" applyFont="1"/>
    <xf numFmtId="10" fontId="0" fillId="0" borderId="0" xfId="2" applyNumberFormat="1" applyFont="1"/>
    <xf numFmtId="0" fontId="0" fillId="6" borderId="0" xfId="0" applyFill="1"/>
    <xf numFmtId="169" fontId="0" fillId="6" borderId="0" xfId="0" applyNumberForma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7" borderId="1" xfId="0" applyFill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3" fillId="0" borderId="7" xfId="0" applyFont="1" applyBorder="1"/>
    <xf numFmtId="0" fontId="0" fillId="0" borderId="7" xfId="0" applyFont="1" applyBorder="1" applyAlignment="1">
      <alignment wrapText="1"/>
    </xf>
    <xf numFmtId="0" fontId="0" fillId="0" borderId="0" xfId="0" applyAlignment="1">
      <alignment horizontal="left"/>
    </xf>
    <xf numFmtId="3" fontId="0" fillId="0" borderId="0" xfId="0" applyNumberFormat="1"/>
    <xf numFmtId="9" fontId="0" fillId="0" borderId="0" xfId="2" applyFont="1"/>
    <xf numFmtId="173" fontId="0" fillId="0" borderId="0" xfId="0" applyNumberFormat="1"/>
    <xf numFmtId="1" fontId="0" fillId="0" borderId="0" xfId="0" applyNumberFormat="1"/>
    <xf numFmtId="174" fontId="0" fillId="2" borderId="1" xfId="4" applyNumberFormat="1" applyFon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75" fontId="0" fillId="0" borderId="0" xfId="0" applyNumberFormat="1" applyBorder="1"/>
    <xf numFmtId="0" fontId="0" fillId="0" borderId="8" xfId="0" applyBorder="1"/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5">
    <cellStyle name="Comma" xfId="4" builtinId="3"/>
    <cellStyle name="Hyperlink" xfId="1" builtinId="8"/>
    <cellStyle name="Normal" xfId="0" builtinId="0"/>
    <cellStyle name="Normal 2" xfId="3" xr:uid="{00000000-0005-0000-0000-00003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distribution-fitting/distribution-fitting-via-maximum-likelihood/fitting-weibull-parameters-mle-newtons-method/" TargetMode="External"/><Relationship Id="rId1" Type="http://schemas.openxmlformats.org/officeDocument/2006/relationships/hyperlink" Target="https://www.real-statistics.com/distribution-fitting/distribution-fitting-via-maximum-likelihood/fitting-weibull-parameters-mle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ournals.plos.org/plosone/article?id=10.1371/journal.pone.0229174" TargetMode="External"/><Relationship Id="rId1" Type="http://schemas.openxmlformats.org/officeDocument/2006/relationships/hyperlink" Target="https://www.ncbi.nlm.nih.gov/pmc/articles/PMC5802515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29F1-CAB7-4844-8CEF-65CA10B228FA}">
  <sheetPr codeName="Sheet10"/>
  <dimension ref="A1:N51"/>
  <sheetViews>
    <sheetView zoomScale="130" zoomScaleNormal="130" workbookViewId="0">
      <pane xSplit="1" topLeftCell="D1" activePane="topRight" state="frozen"/>
      <selection pane="topRight" activeCell="E4" sqref="E4"/>
    </sheetView>
  </sheetViews>
  <sheetFormatPr defaultRowHeight="15"/>
  <cols>
    <col min="2" max="2" width="61.140625" customWidth="1"/>
    <col min="3" max="3" width="13.140625" customWidth="1"/>
    <col min="4" max="4" width="11" customWidth="1"/>
    <col min="5" max="5" width="21.140625" customWidth="1"/>
    <col min="6" max="6" width="20.85546875" bestFit="1" customWidth="1"/>
    <col min="7" max="9" width="11.42578125" style="3" customWidth="1"/>
    <col min="10" max="10" width="18.42578125" customWidth="1"/>
    <col min="11" max="11" width="20.42578125" customWidth="1"/>
  </cols>
  <sheetData>
    <row r="1" spans="1:12">
      <c r="B1" t="s">
        <v>129</v>
      </c>
    </row>
    <row r="2" spans="1:12" ht="30">
      <c r="A2" s="31" t="s">
        <v>132</v>
      </c>
      <c r="B2" s="31" t="s">
        <v>133</v>
      </c>
      <c r="C2" s="31" t="s">
        <v>158</v>
      </c>
      <c r="D2" s="32" t="s">
        <v>157</v>
      </c>
      <c r="E2" s="31" t="s">
        <v>134</v>
      </c>
      <c r="F2" s="31" t="s">
        <v>135</v>
      </c>
      <c r="G2" s="31" t="s">
        <v>162</v>
      </c>
      <c r="H2" s="31" t="s">
        <v>169</v>
      </c>
      <c r="I2" s="31" t="s">
        <v>170</v>
      </c>
      <c r="J2" s="31" t="s">
        <v>177</v>
      </c>
      <c r="K2" s="31" t="s">
        <v>178</v>
      </c>
    </row>
    <row r="3" spans="1:12">
      <c r="A3" s="32" t="s">
        <v>150</v>
      </c>
      <c r="B3" s="31" t="s">
        <v>153</v>
      </c>
      <c r="C3" s="32">
        <v>5</v>
      </c>
      <c r="D3" s="32" t="s">
        <v>179</v>
      </c>
      <c r="E3" s="32" t="s">
        <v>152</v>
      </c>
      <c r="F3" s="32" t="s">
        <v>152</v>
      </c>
      <c r="G3" s="31" t="s">
        <v>152</v>
      </c>
      <c r="H3" s="31" t="s">
        <v>152</v>
      </c>
      <c r="I3" s="31" t="s">
        <v>152</v>
      </c>
      <c r="J3" s="32" t="s">
        <v>151</v>
      </c>
      <c r="K3" s="34">
        <f>Arrivals!I1</f>
        <v>10.865784705434635</v>
      </c>
    </row>
    <row r="4" spans="1:12" ht="30">
      <c r="A4" s="32" t="s">
        <v>131</v>
      </c>
      <c r="B4" s="59" t="s">
        <v>154</v>
      </c>
      <c r="C4" s="32">
        <v>4</v>
      </c>
      <c r="D4" s="32" t="s">
        <v>159</v>
      </c>
      <c r="E4" s="69">
        <f>deaths!L3</f>
        <v>12.483677127174243</v>
      </c>
      <c r="F4" s="35">
        <f>deaths!N3</f>
        <v>3.5332247490322835</v>
      </c>
      <c r="G4" s="33">
        <f>Partial_Missing_LN!B22</f>
        <v>1</v>
      </c>
      <c r="H4" s="31" t="s">
        <v>152</v>
      </c>
      <c r="I4" s="31" t="s">
        <v>152</v>
      </c>
      <c r="J4" s="32" t="s">
        <v>130</v>
      </c>
      <c r="K4" s="36">
        <f>deaths!I2</f>
        <v>0.9</v>
      </c>
    </row>
    <row r="5" spans="1:12" ht="30">
      <c r="A5" s="32" t="s">
        <v>136</v>
      </c>
      <c r="B5" s="59" t="s">
        <v>155</v>
      </c>
      <c r="C5" s="32">
        <v>4</v>
      </c>
      <c r="D5" s="32" t="s">
        <v>159</v>
      </c>
      <c r="E5" s="69">
        <f>HE!G1</f>
        <v>9.0727557968556489</v>
      </c>
      <c r="F5" s="35">
        <f>HE!I1</f>
        <v>3.0121015581908339</v>
      </c>
      <c r="G5" s="33">
        <f>Partial_Missing_LN!F22</f>
        <v>1</v>
      </c>
      <c r="H5" s="31" t="s">
        <v>152</v>
      </c>
      <c r="I5" s="31" t="s">
        <v>152</v>
      </c>
      <c r="J5" s="32" t="s">
        <v>152</v>
      </c>
      <c r="K5" s="32" t="s">
        <v>152</v>
      </c>
    </row>
    <row r="6" spans="1:12" ht="30">
      <c r="A6" s="32" t="s">
        <v>137</v>
      </c>
      <c r="B6" s="59" t="s">
        <v>156</v>
      </c>
      <c r="C6" s="32">
        <v>4</v>
      </c>
      <c r="D6" s="32" t="s">
        <v>159</v>
      </c>
      <c r="E6" s="69">
        <f>Arrests!H2</f>
        <v>10.043651505694388</v>
      </c>
      <c r="F6" s="35">
        <f>Arrests!J2</f>
        <v>2.3545364374679196</v>
      </c>
      <c r="G6" s="33">
        <f>Partial_Missing_LN!J22</f>
        <v>90</v>
      </c>
      <c r="H6" s="31" t="s">
        <v>152</v>
      </c>
      <c r="I6" s="31" t="s">
        <v>152</v>
      </c>
      <c r="J6" s="32" t="s">
        <v>152</v>
      </c>
      <c r="K6" s="32" t="s">
        <v>152</v>
      </c>
    </row>
    <row r="7" spans="1:12" ht="30">
      <c r="A7" s="32" t="s">
        <v>138</v>
      </c>
      <c r="B7" s="59" t="s">
        <v>160</v>
      </c>
      <c r="C7" s="32">
        <v>2</v>
      </c>
      <c r="D7" s="32" t="s">
        <v>161</v>
      </c>
      <c r="E7" s="69">
        <f>Treat!I2</f>
        <v>8.6869256502269749</v>
      </c>
      <c r="F7" s="35">
        <f>Treat!K2</f>
        <v>2.0462443597715083</v>
      </c>
      <c r="G7" s="33">
        <f>Partial_Missing_LN!N22</f>
        <v>90</v>
      </c>
      <c r="H7" s="31" t="s">
        <v>152</v>
      </c>
      <c r="I7" s="31" t="s">
        <v>152</v>
      </c>
      <c r="J7" s="32" t="s">
        <v>152</v>
      </c>
      <c r="K7" s="32" t="s">
        <v>152</v>
      </c>
    </row>
    <row r="8" spans="1:12">
      <c r="A8" s="32" t="s">
        <v>139</v>
      </c>
      <c r="B8" s="31" t="s">
        <v>163</v>
      </c>
      <c r="C8" s="32" t="s">
        <v>152</v>
      </c>
      <c r="D8" s="32" t="s">
        <v>152</v>
      </c>
      <c r="E8" s="32" t="s">
        <v>152</v>
      </c>
      <c r="F8" s="32" t="s">
        <v>152</v>
      </c>
      <c r="G8" s="31" t="s">
        <v>152</v>
      </c>
      <c r="H8" s="31" t="s">
        <v>152</v>
      </c>
      <c r="I8" s="31" t="s">
        <v>152</v>
      </c>
      <c r="J8" s="32" t="s">
        <v>164</v>
      </c>
      <c r="K8" s="36">
        <f>1- K4</f>
        <v>9.9999999999999978E-2</v>
      </c>
    </row>
    <row r="9" spans="1:12">
      <c r="A9" s="32" t="s">
        <v>140</v>
      </c>
      <c r="B9" s="31" t="s">
        <v>165</v>
      </c>
      <c r="C9" s="32" t="s">
        <v>152</v>
      </c>
      <c r="D9" s="32" t="s">
        <v>152</v>
      </c>
      <c r="E9" s="32" t="s">
        <v>152</v>
      </c>
      <c r="F9" s="32" t="s">
        <v>152</v>
      </c>
      <c r="G9" s="31" t="s">
        <v>152</v>
      </c>
      <c r="H9" s="31" t="s">
        <v>152</v>
      </c>
      <c r="I9" s="31" t="s">
        <v>152</v>
      </c>
      <c r="J9" s="32" t="s">
        <v>164</v>
      </c>
      <c r="K9" s="36">
        <v>0.01</v>
      </c>
    </row>
    <row r="10" spans="1:12">
      <c r="A10" s="32" t="s">
        <v>141</v>
      </c>
      <c r="B10" s="31" t="s">
        <v>166</v>
      </c>
      <c r="C10" s="32" t="s">
        <v>152</v>
      </c>
      <c r="D10" s="32" t="s">
        <v>152</v>
      </c>
      <c r="E10" s="32" t="s">
        <v>152</v>
      </c>
      <c r="F10" s="32" t="s">
        <v>152</v>
      </c>
      <c r="G10" s="31" t="s">
        <v>152</v>
      </c>
      <c r="H10" s="31" t="s">
        <v>152</v>
      </c>
      <c r="I10" s="31" t="s">
        <v>152</v>
      </c>
      <c r="J10" s="32" t="s">
        <v>164</v>
      </c>
      <c r="K10" s="36">
        <v>0.22270000000000001</v>
      </c>
    </row>
    <row r="11" spans="1:12" ht="30">
      <c r="A11" s="32" t="s">
        <v>142</v>
      </c>
      <c r="B11" s="59" t="s">
        <v>167</v>
      </c>
      <c r="C11" s="32"/>
      <c r="D11" s="32"/>
      <c r="E11" s="35">
        <f>MissingData_LN!AE18</f>
        <v>3.8283759222658924</v>
      </c>
      <c r="F11" s="35">
        <f>MissingData_LN!AE17</f>
        <v>1.9566236026037027</v>
      </c>
      <c r="G11" s="33">
        <f>MissingData_LN!AE5</f>
        <v>1</v>
      </c>
      <c r="H11" s="33">
        <f>MissingData_LN!AE6</f>
        <v>0.68799999999999994</v>
      </c>
      <c r="I11" s="33">
        <f>MissingData_LN!AE7</f>
        <v>120</v>
      </c>
      <c r="J11" s="32"/>
      <c r="K11" s="32"/>
    </row>
    <row r="12" spans="1:12" ht="30">
      <c r="A12" s="32" t="s">
        <v>209</v>
      </c>
      <c r="B12" s="31" t="s">
        <v>238</v>
      </c>
      <c r="C12" s="32"/>
      <c r="D12" s="32"/>
      <c r="E12" s="50">
        <f>Partial_Missing_LN!R25</f>
        <v>1</v>
      </c>
      <c r="F12" s="50">
        <f>Partial_Missing_LN!R26</f>
        <v>-0.99487158154502386</v>
      </c>
      <c r="G12" s="43"/>
      <c r="H12" s="31"/>
      <c r="I12" s="31"/>
      <c r="J12" s="32" t="s">
        <v>151</v>
      </c>
      <c r="K12" s="49">
        <f>Partial_Missing_LN!R30</f>
        <v>4.9634713327267974E-5</v>
      </c>
      <c r="L12" t="s">
        <v>277</v>
      </c>
    </row>
    <row r="13" spans="1:12">
      <c r="A13" s="32" t="s">
        <v>143</v>
      </c>
      <c r="B13" s="31" t="s">
        <v>168</v>
      </c>
      <c r="C13" s="32" t="s">
        <v>152</v>
      </c>
      <c r="D13" s="32" t="s">
        <v>152</v>
      </c>
      <c r="E13" s="35">
        <f>MissingData_LN!B18</f>
        <v>0.81594475165454616</v>
      </c>
      <c r="F13" s="35">
        <f>MissingData_LN!B17</f>
        <v>0.47765896490323212</v>
      </c>
      <c r="G13" s="33">
        <f>MissingData_LN!B5</f>
        <v>1.8</v>
      </c>
      <c r="H13" s="37">
        <f>MissingData_LN!B6</f>
        <v>0.72299999999999998</v>
      </c>
      <c r="I13" s="33">
        <f>MissingData_LN!B7</f>
        <v>3</v>
      </c>
      <c r="J13" s="32" t="s">
        <v>152</v>
      </c>
      <c r="K13" s="32" t="s">
        <v>152</v>
      </c>
    </row>
    <row r="14" spans="1:12" ht="30">
      <c r="A14" s="32" t="s">
        <v>144</v>
      </c>
      <c r="B14" s="59" t="s">
        <v>171</v>
      </c>
      <c r="C14" s="32" t="s">
        <v>152</v>
      </c>
      <c r="D14" s="32" t="s">
        <v>152</v>
      </c>
      <c r="E14" s="35">
        <f>MissingData_LN!G18</f>
        <v>2.1596955581468809</v>
      </c>
      <c r="F14" s="35">
        <f>MissingData_LN!G17</f>
        <v>1.4695902687983753</v>
      </c>
      <c r="G14" s="33">
        <f>MissingData_LN!G5</f>
        <v>1</v>
      </c>
      <c r="H14" s="37">
        <f>MissingData_LN!G6</f>
        <v>0.9</v>
      </c>
      <c r="I14" s="33">
        <f>MissingData_LN!G7</f>
        <v>57</v>
      </c>
      <c r="J14" s="32" t="s">
        <v>152</v>
      </c>
      <c r="K14" s="32" t="s">
        <v>152</v>
      </c>
    </row>
    <row r="15" spans="1:12">
      <c r="A15" s="32" t="s">
        <v>145</v>
      </c>
      <c r="B15" s="59" t="s">
        <v>172</v>
      </c>
      <c r="C15" s="32" t="s">
        <v>152</v>
      </c>
      <c r="D15" s="32" t="s">
        <v>152</v>
      </c>
      <c r="E15" s="35">
        <f>MissingData_LN!K18</f>
        <v>4.7823658534827356</v>
      </c>
      <c r="F15" s="35">
        <f>MissingData_LN!K17</f>
        <v>1.1752312418501223</v>
      </c>
      <c r="G15" s="33">
        <f>MissingData_LN!K5</f>
        <v>30</v>
      </c>
      <c r="H15" s="37">
        <f>MissingData_LN!K6</f>
        <v>0.40500000000000003</v>
      </c>
      <c r="I15" s="33">
        <f>MissingData_LN!K7</f>
        <v>90</v>
      </c>
      <c r="J15" s="32" t="s">
        <v>152</v>
      </c>
      <c r="K15" s="32" t="s">
        <v>152</v>
      </c>
    </row>
    <row r="16" spans="1:12" ht="30">
      <c r="A16" s="32" t="s">
        <v>146</v>
      </c>
      <c r="B16" s="59" t="s">
        <v>174</v>
      </c>
      <c r="C16" s="32" t="s">
        <v>152</v>
      </c>
      <c r="D16" s="32" t="s">
        <v>152</v>
      </c>
      <c r="E16" s="35">
        <f>MissingData_LN!U18</f>
        <v>3.2874106661587748</v>
      </c>
      <c r="F16" s="35">
        <f>MissingData_LN!U17</f>
        <v>1.6106717497984588</v>
      </c>
      <c r="G16" s="33">
        <f>MissingData_LN!U5</f>
        <v>2</v>
      </c>
      <c r="H16" s="37">
        <f>MissingData_LN!U6</f>
        <v>0.77419354838709675</v>
      </c>
      <c r="I16" s="33">
        <f>MissingData_LN!U7</f>
        <v>90</v>
      </c>
      <c r="J16" s="32" t="s">
        <v>152</v>
      </c>
      <c r="K16" s="32" t="s">
        <v>152</v>
      </c>
    </row>
    <row r="17" spans="1:11" ht="30">
      <c r="A17" s="32" t="s">
        <v>147</v>
      </c>
      <c r="B17" s="59" t="s">
        <v>175</v>
      </c>
      <c r="C17" s="32" t="s">
        <v>152</v>
      </c>
      <c r="D17" s="32" t="s">
        <v>152</v>
      </c>
      <c r="E17" s="35">
        <f>MissingData_LN!Z18</f>
        <v>4.5228519519897299</v>
      </c>
      <c r="F17" s="35">
        <f>MissingData_LN!Z17</f>
        <v>1.0911679255799842</v>
      </c>
      <c r="G17" s="33">
        <f>MissingData_LN!Z5</f>
        <v>28</v>
      </c>
      <c r="H17" s="37">
        <f>MissingData_LN!Z6</f>
        <v>0.73376623376623373</v>
      </c>
      <c r="I17" s="33">
        <f>MissingData_LN!Z7</f>
        <v>182</v>
      </c>
      <c r="J17" s="32" t="s">
        <v>152</v>
      </c>
      <c r="K17" s="32" t="s">
        <v>152</v>
      </c>
    </row>
    <row r="18" spans="1:11" ht="30">
      <c r="A18" s="32" t="s">
        <v>148</v>
      </c>
      <c r="B18" s="59" t="s">
        <v>173</v>
      </c>
      <c r="C18" s="32" t="s">
        <v>152</v>
      </c>
      <c r="D18" s="32" t="s">
        <v>152</v>
      </c>
      <c r="E18" s="35">
        <f>MissingData_LN!P18</f>
        <v>1.9528424579772368</v>
      </c>
      <c r="F18" s="35">
        <f>MissingData_LN!P17</f>
        <v>1.3974413969742119</v>
      </c>
      <c r="G18" s="33">
        <f>MissingData_LN!P5</f>
        <v>1</v>
      </c>
      <c r="H18" s="37">
        <f>MissingData_LN!P6</f>
        <v>0.85</v>
      </c>
      <c r="I18" s="33">
        <f>MissingData_LN!P7</f>
        <v>30</v>
      </c>
      <c r="J18" s="32" t="s">
        <v>152</v>
      </c>
      <c r="K18" s="32" t="s">
        <v>152</v>
      </c>
    </row>
    <row r="19" spans="1:11" ht="30">
      <c r="A19" s="32" t="s">
        <v>149</v>
      </c>
      <c r="B19" s="59" t="s">
        <v>176</v>
      </c>
      <c r="C19" s="32"/>
      <c r="D19" s="32"/>
      <c r="E19" s="35">
        <f>MissingData_LN!AI18</f>
        <v>6.6039129127568339</v>
      </c>
      <c r="F19" s="35">
        <f>MissingData_LN!AI17</f>
        <v>2.1582406639903531</v>
      </c>
      <c r="G19" s="33">
        <f>MissingData_LN!AI5</f>
        <v>7</v>
      </c>
      <c r="H19" s="39">
        <f>MissingData_LN!AI6</f>
        <v>0.2</v>
      </c>
      <c r="I19" s="33">
        <f>MissingData_LN!AI7</f>
        <v>120</v>
      </c>
      <c r="J19" s="32" t="s">
        <v>152</v>
      </c>
      <c r="K19" s="32" t="s">
        <v>152</v>
      </c>
    </row>
    <row r="27" spans="1:11">
      <c r="B27" t="s">
        <v>256</v>
      </c>
      <c r="C27" t="s">
        <v>257</v>
      </c>
      <c r="D27" t="s">
        <v>258</v>
      </c>
    </row>
    <row r="28" spans="1:11">
      <c r="B28" t="s">
        <v>266</v>
      </c>
      <c r="C28" t="s">
        <v>259</v>
      </c>
      <c r="D28" t="s">
        <v>259</v>
      </c>
    </row>
    <row r="29" spans="1:11">
      <c r="B29" t="s">
        <v>261</v>
      </c>
      <c r="C29" t="s">
        <v>259</v>
      </c>
      <c r="D29" t="s">
        <v>260</v>
      </c>
    </row>
    <row r="30" spans="1:11">
      <c r="C30" t="s">
        <v>260</v>
      </c>
      <c r="D30" t="s">
        <v>259</v>
      </c>
    </row>
    <row r="31" spans="1:11">
      <c r="B31" t="s">
        <v>265</v>
      </c>
      <c r="C31" t="s">
        <v>260</v>
      </c>
      <c r="D31" t="s">
        <v>260</v>
      </c>
    </row>
    <row r="32" spans="1:11">
      <c r="C32" t="s">
        <v>257</v>
      </c>
      <c r="D32" t="s">
        <v>257</v>
      </c>
      <c r="E32" t="s">
        <v>257</v>
      </c>
      <c r="F32" t="s">
        <v>258</v>
      </c>
      <c r="G32" t="s">
        <v>258</v>
      </c>
      <c r="H32" t="s">
        <v>258</v>
      </c>
    </row>
    <row r="33" spans="1:14">
      <c r="B33" t="s">
        <v>262</v>
      </c>
      <c r="C33">
        <v>1</v>
      </c>
      <c r="D33">
        <v>0.49399999999999999</v>
      </c>
      <c r="E33">
        <v>120</v>
      </c>
      <c r="F33">
        <v>7</v>
      </c>
      <c r="G33" s="3">
        <v>0.2</v>
      </c>
      <c r="H33" s="3">
        <v>120</v>
      </c>
    </row>
    <row r="34" spans="1:14">
      <c r="B34" t="s">
        <v>263</v>
      </c>
      <c r="C34">
        <v>30</v>
      </c>
      <c r="D34" s="3">
        <v>0.9</v>
      </c>
      <c r="E34" s="3">
        <v>20125.275000000001</v>
      </c>
      <c r="F34">
        <v>30</v>
      </c>
      <c r="G34" s="3">
        <v>0.9</v>
      </c>
      <c r="H34" s="3">
        <v>20125.275000000001</v>
      </c>
    </row>
    <row r="35" spans="1:14">
      <c r="B35" t="s">
        <v>264</v>
      </c>
      <c r="C35" t="s">
        <v>257</v>
      </c>
      <c r="D35" t="s">
        <v>257</v>
      </c>
      <c r="E35" t="s">
        <v>257</v>
      </c>
      <c r="F35" t="s">
        <v>258</v>
      </c>
      <c r="G35" t="s">
        <v>258</v>
      </c>
      <c r="H35" t="s">
        <v>258</v>
      </c>
    </row>
    <row r="36" spans="1:14">
      <c r="A36">
        <v>1</v>
      </c>
      <c r="B36" t="s">
        <v>267</v>
      </c>
      <c r="C36">
        <v>1</v>
      </c>
      <c r="D36">
        <v>0.49399999999999999</v>
      </c>
      <c r="E36">
        <v>120</v>
      </c>
      <c r="F36">
        <v>1</v>
      </c>
      <c r="G36">
        <v>0.49399999999999999</v>
      </c>
      <c r="H36">
        <v>120</v>
      </c>
      <c r="I36" t="s">
        <v>268</v>
      </c>
    </row>
    <row r="37" spans="1:14">
      <c r="A37">
        <v>2</v>
      </c>
      <c r="B37" t="s">
        <v>274</v>
      </c>
      <c r="C37">
        <v>1</v>
      </c>
      <c r="D37">
        <v>0.49399999999999999</v>
      </c>
      <c r="E37">
        <v>120</v>
      </c>
      <c r="F37">
        <v>30</v>
      </c>
      <c r="G37" s="3">
        <v>0.9</v>
      </c>
      <c r="H37" s="3">
        <f>20125.275/10</f>
        <v>2012.5275000000001</v>
      </c>
    </row>
    <row r="38" spans="1:14">
      <c r="A38">
        <v>3</v>
      </c>
      <c r="B38" t="s">
        <v>266</v>
      </c>
      <c r="C38">
        <v>1</v>
      </c>
      <c r="D38">
        <v>0.49399999999999999</v>
      </c>
      <c r="E38">
        <v>120</v>
      </c>
      <c r="F38">
        <v>30</v>
      </c>
      <c r="G38" s="3">
        <v>0.9</v>
      </c>
      <c r="H38" s="3">
        <f>20125.275/100</f>
        <v>201.25275000000002</v>
      </c>
      <c r="I38" s="3" t="s">
        <v>275</v>
      </c>
      <c r="J38" s="3" t="s">
        <v>275</v>
      </c>
      <c r="K38" s="3" t="s">
        <v>275</v>
      </c>
      <c r="L38" s="3" t="s">
        <v>276</v>
      </c>
      <c r="M38" s="3" t="s">
        <v>276</v>
      </c>
      <c r="N38" s="3" t="s">
        <v>276</v>
      </c>
    </row>
    <row r="39" spans="1:14">
      <c r="A39">
        <v>4</v>
      </c>
      <c r="C39">
        <v>1</v>
      </c>
      <c r="D39">
        <v>0.49399999999999999</v>
      </c>
      <c r="E39">
        <v>120</v>
      </c>
      <c r="F39">
        <v>30</v>
      </c>
      <c r="G39" s="3">
        <v>0.9</v>
      </c>
      <c r="H39" s="3">
        <f>20125.275/10</f>
        <v>2012.5275000000001</v>
      </c>
    </row>
    <row r="44" spans="1:14">
      <c r="B44" t="s">
        <v>273</v>
      </c>
    </row>
    <row r="45" spans="1:14">
      <c r="B45" s="58" t="s">
        <v>269</v>
      </c>
      <c r="C45" t="s">
        <v>270</v>
      </c>
      <c r="D45" s="3" t="s">
        <v>271</v>
      </c>
      <c r="E45" s="3" t="s">
        <v>272</v>
      </c>
    </row>
    <row r="46" spans="1:14">
      <c r="B46" s="57">
        <f>E46/(1-E46)</f>
        <v>398.99999999999079</v>
      </c>
      <c r="C46">
        <v>20</v>
      </c>
      <c r="D46" s="3">
        <v>0.95</v>
      </c>
      <c r="E46" s="3">
        <f>((C46-1)+D46)/C46</f>
        <v>0.99749999999999994</v>
      </c>
    </row>
    <row r="47" spans="1:14">
      <c r="B47" s="57">
        <f>E47/(1-E47)</f>
        <v>598.99999999998613</v>
      </c>
      <c r="C47">
        <v>30</v>
      </c>
      <c r="D47" s="3">
        <v>0.95</v>
      </c>
      <c r="E47" s="3">
        <f>((C47-1)+D47)/C47</f>
        <v>0.99833333333333329</v>
      </c>
    </row>
    <row r="50" spans="2:5">
      <c r="B50">
        <v>5</v>
      </c>
      <c r="C50">
        <v>20</v>
      </c>
      <c r="D50">
        <f>1-C50*(1-E50)</f>
        <v>-2.3333333333333326</v>
      </c>
      <c r="E50">
        <f>B50/(B50+1)</f>
        <v>0.83333333333333337</v>
      </c>
    </row>
    <row r="51" spans="2:5">
      <c r="B51">
        <v>100</v>
      </c>
      <c r="C51">
        <v>20</v>
      </c>
      <c r="D51">
        <f>1-C51*(1-E51)</f>
        <v>0.8019801980198018</v>
      </c>
      <c r="E51">
        <f>B51/(B51+1)</f>
        <v>0.99009900990099009</v>
      </c>
    </row>
  </sheetData>
  <sortState ref="A3:K19">
    <sortCondition ref="A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5361-00E3-4C36-A3D6-8FABEB59EE7F}">
  <sheetPr codeName="Sheet5"/>
  <dimension ref="A1:J18"/>
  <sheetViews>
    <sheetView workbookViewId="0">
      <selection activeCell="C18" sqref="C18"/>
    </sheetView>
  </sheetViews>
  <sheetFormatPr defaultRowHeight="15"/>
  <cols>
    <col min="1" max="1" width="22.42578125" customWidth="1"/>
    <col min="4" max="4" width="20.42578125" customWidth="1"/>
    <col min="7" max="7" width="20.140625" bestFit="1" customWidth="1"/>
    <col min="8" max="8" width="12.5703125" bestFit="1" customWidth="1"/>
  </cols>
  <sheetData>
    <row r="1" spans="1:10">
      <c r="A1" s="79" t="s">
        <v>30</v>
      </c>
      <c r="B1" s="79"/>
      <c r="D1" s="79" t="s">
        <v>31</v>
      </c>
      <c r="E1" s="79"/>
      <c r="G1" s="79" t="s">
        <v>247</v>
      </c>
      <c r="H1" s="79"/>
    </row>
    <row r="2" spans="1:10">
      <c r="A2" s="79" t="s">
        <v>20</v>
      </c>
      <c r="B2" s="79"/>
      <c r="D2" s="79" t="s">
        <v>32</v>
      </c>
      <c r="E2" s="79"/>
      <c r="G2" s="79" t="s">
        <v>32</v>
      </c>
      <c r="H2" s="79"/>
    </row>
    <row r="3" spans="1:10">
      <c r="A3" t="s">
        <v>24</v>
      </c>
      <c r="D3" t="s">
        <v>24</v>
      </c>
      <c r="G3" t="s">
        <v>24</v>
      </c>
    </row>
    <row r="4" spans="1:10" ht="30">
      <c r="A4" s="3" t="s">
        <v>19</v>
      </c>
      <c r="B4">
        <v>1</v>
      </c>
      <c r="D4" s="3" t="s">
        <v>19</v>
      </c>
      <c r="E4">
        <v>1</v>
      </c>
      <c r="G4" s="3" t="s">
        <v>248</v>
      </c>
      <c r="H4">
        <v>0.9</v>
      </c>
    </row>
    <row r="5" spans="1:10">
      <c r="A5" t="s">
        <v>16</v>
      </c>
      <c r="B5">
        <v>4</v>
      </c>
      <c r="D5" t="s">
        <v>16</v>
      </c>
      <c r="E5">
        <v>4</v>
      </c>
      <c r="G5" t="s">
        <v>16</v>
      </c>
      <c r="H5">
        <v>0.2</v>
      </c>
    </row>
    <row r="6" spans="1:10">
      <c r="A6" t="s">
        <v>17</v>
      </c>
      <c r="B6">
        <v>0.9</v>
      </c>
      <c r="D6" t="s">
        <v>17</v>
      </c>
      <c r="E6">
        <v>0.9</v>
      </c>
      <c r="G6" t="s">
        <v>249</v>
      </c>
      <c r="H6">
        <v>0</v>
      </c>
    </row>
    <row r="7" spans="1:10">
      <c r="A7" t="s">
        <v>18</v>
      </c>
      <c r="B7">
        <v>10</v>
      </c>
      <c r="D7" t="s">
        <v>18</v>
      </c>
      <c r="E7">
        <v>10</v>
      </c>
      <c r="G7" t="s">
        <v>250</v>
      </c>
      <c r="H7">
        <v>2.5</v>
      </c>
    </row>
    <row r="9" spans="1:10">
      <c r="A9" t="s">
        <v>25</v>
      </c>
      <c r="D9" t="s">
        <v>25</v>
      </c>
      <c r="G9" t="s">
        <v>25</v>
      </c>
    </row>
    <row r="10" spans="1:10">
      <c r="A10" t="s">
        <v>26</v>
      </c>
      <c r="B10">
        <f>LN((B5-B4)/(B7-B4))</f>
        <v>-1.0986122886681098</v>
      </c>
      <c r="D10" s="4" t="s">
        <v>35</v>
      </c>
      <c r="G10" t="s">
        <v>251</v>
      </c>
      <c r="H10">
        <f>H4-H6</f>
        <v>0.9</v>
      </c>
    </row>
    <row r="11" spans="1:10">
      <c r="A11" t="s">
        <v>28</v>
      </c>
      <c r="B11">
        <f>_xlfn.NORM.INV(B6,0,1)^2</f>
        <v>1.6423744151498167</v>
      </c>
      <c r="D11" s="4" t="s">
        <v>36</v>
      </c>
      <c r="G11" t="s">
        <v>252</v>
      </c>
      <c r="H11">
        <f>2*H5-H6-H7</f>
        <v>-2.1</v>
      </c>
    </row>
    <row r="12" spans="1:10">
      <c r="A12" t="s">
        <v>29</v>
      </c>
      <c r="B12">
        <f>B11-(4*B10)</f>
        <v>6.0368235698222561</v>
      </c>
      <c r="G12" t="s">
        <v>253</v>
      </c>
      <c r="H12">
        <f>H5-H4</f>
        <v>-0.7</v>
      </c>
    </row>
    <row r="13" spans="1:10">
      <c r="A13" t="s">
        <v>27</v>
      </c>
      <c r="B13">
        <f>SQRT(B12)</f>
        <v>2.4569948249482043</v>
      </c>
      <c r="G13" t="s">
        <v>254</v>
      </c>
      <c r="H13">
        <f>H7-H6</f>
        <v>2.5</v>
      </c>
      <c r="J13">
        <v>0.92788000000000004</v>
      </c>
    </row>
    <row r="14" spans="1:10">
      <c r="A14" t="s">
        <v>245</v>
      </c>
      <c r="B14">
        <f>_xlfn.NORM.INV(B6,0,1)*-1</f>
        <v>-1.2815515655446006</v>
      </c>
      <c r="G14" t="s">
        <v>255</v>
      </c>
      <c r="H14">
        <f>H7-H4</f>
        <v>1.6</v>
      </c>
    </row>
    <row r="15" spans="1:10">
      <c r="J15">
        <v>0.85372999999999999</v>
      </c>
    </row>
    <row r="16" spans="1:10">
      <c r="A16" t="s">
        <v>23</v>
      </c>
      <c r="C16" t="s">
        <v>246</v>
      </c>
      <c r="D16" t="s">
        <v>23</v>
      </c>
      <c r="G16" t="s">
        <v>23</v>
      </c>
    </row>
    <row r="17" spans="1:8">
      <c r="A17" t="s">
        <v>21</v>
      </c>
      <c r="B17">
        <f>(B14+B13)/2</f>
        <v>0.58772162970180186</v>
      </c>
      <c r="C17">
        <v>0.58799999999999997</v>
      </c>
      <c r="D17" t="s">
        <v>33</v>
      </c>
      <c r="E17">
        <v>1.627</v>
      </c>
      <c r="G17" t="s">
        <v>218</v>
      </c>
      <c r="H17">
        <f>(H10*H11)/(H12*H13)</f>
        <v>1.08</v>
      </c>
    </row>
    <row r="18" spans="1:8">
      <c r="A18" t="s">
        <v>22</v>
      </c>
      <c r="B18">
        <f>LN(B5-B4)+(B17^2)</f>
        <v>1.4440290026874516</v>
      </c>
      <c r="C18">
        <v>1.444</v>
      </c>
      <c r="D18" t="s">
        <v>34</v>
      </c>
      <c r="E18">
        <f>(E5-E4)/(((E17-1)/E17)^(1/E17))</f>
        <v>5.3907733365525177</v>
      </c>
      <c r="G18" t="s">
        <v>220</v>
      </c>
      <c r="H18">
        <f>(H14*H17)/H10</f>
        <v>1.9200000000000002</v>
      </c>
    </row>
  </sheetData>
  <mergeCells count="6">
    <mergeCell ref="A2:B2"/>
    <mergeCell ref="A1:B1"/>
    <mergeCell ref="D1:E1"/>
    <mergeCell ref="D2:E2"/>
    <mergeCell ref="G1:H1"/>
    <mergeCell ref="G2:H2"/>
  </mergeCells>
  <hyperlinks>
    <hyperlink ref="D10" r:id="rId1" xr:uid="{7C2ADF7E-44CD-412A-8029-C53E5DFCE3F5}"/>
    <hyperlink ref="D11" r:id="rId2" xr:uid="{D74AD391-29F5-48D0-ABAA-307653A0768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7548-A108-493C-B048-EAD007960A1A}">
  <sheetPr codeName="Sheet9"/>
  <dimension ref="A1:S55"/>
  <sheetViews>
    <sheetView workbookViewId="0">
      <selection activeCell="B21" sqref="B21"/>
    </sheetView>
  </sheetViews>
  <sheetFormatPr defaultRowHeight="15"/>
  <cols>
    <col min="1" max="1" width="20.140625" bestFit="1" customWidth="1"/>
    <col min="2" max="2" width="12.5703125" bestFit="1" customWidth="1"/>
    <col min="3" max="4" width="12.5703125" customWidth="1"/>
    <col min="5" max="5" width="20.140625" bestFit="1" customWidth="1"/>
    <col min="6" max="6" width="10.42578125" bestFit="1" customWidth="1"/>
    <col min="7" max="7" width="10.42578125" customWidth="1"/>
    <col min="9" max="9" width="20.140625" bestFit="1" customWidth="1"/>
    <col min="13" max="13" width="20.140625" bestFit="1" customWidth="1"/>
    <col min="17" max="17" width="19.5703125" customWidth="1"/>
    <col min="18" max="18" width="10.85546875" customWidth="1"/>
  </cols>
  <sheetData>
    <row r="1" spans="1:19">
      <c r="A1" s="79" t="s">
        <v>242</v>
      </c>
      <c r="B1" s="79"/>
      <c r="C1" s="70"/>
      <c r="D1" s="70"/>
      <c r="E1" s="79" t="s">
        <v>117</v>
      </c>
      <c r="F1" s="79"/>
      <c r="G1" s="70"/>
      <c r="I1" s="79" t="s">
        <v>118</v>
      </c>
      <c r="J1" s="79"/>
      <c r="K1" s="70"/>
      <c r="M1" s="79" t="s">
        <v>119</v>
      </c>
      <c r="N1" s="79"/>
      <c r="O1" s="70"/>
      <c r="Q1" s="79" t="s">
        <v>213</v>
      </c>
      <c r="R1" s="79"/>
    </row>
    <row r="2" spans="1:19">
      <c r="A2" s="79"/>
      <c r="B2" s="79"/>
      <c r="C2" s="70"/>
      <c r="D2" s="70"/>
      <c r="E2" s="79"/>
      <c r="F2" s="79"/>
      <c r="G2" s="70"/>
      <c r="I2" s="79"/>
      <c r="J2" s="79"/>
      <c r="K2" s="70"/>
      <c r="M2" s="79"/>
      <c r="N2" s="79"/>
      <c r="O2" s="70"/>
      <c r="Q2" s="79" t="s">
        <v>222</v>
      </c>
      <c r="R2" s="79"/>
    </row>
    <row r="3" spans="1:19">
      <c r="A3" t="s">
        <v>24</v>
      </c>
      <c r="E3" t="s">
        <v>24</v>
      </c>
      <c r="I3" t="s">
        <v>24</v>
      </c>
      <c r="M3" t="s">
        <v>24</v>
      </c>
      <c r="Q3" t="s">
        <v>24</v>
      </c>
    </row>
    <row r="4" spans="1:19" ht="30">
      <c r="A4" s="3" t="s">
        <v>19</v>
      </c>
      <c r="B4">
        <v>0</v>
      </c>
      <c r="E4" s="3" t="s">
        <v>19</v>
      </c>
      <c r="F4">
        <v>0</v>
      </c>
      <c r="I4" s="3" t="s">
        <v>19</v>
      </c>
      <c r="J4">
        <v>0</v>
      </c>
      <c r="M4" s="3" t="s">
        <v>19</v>
      </c>
      <c r="N4">
        <v>0</v>
      </c>
      <c r="Q4" s="3" t="s">
        <v>214</v>
      </c>
      <c r="R4">
        <v>0</v>
      </c>
    </row>
    <row r="5" spans="1:19" ht="30">
      <c r="A5" t="s">
        <v>114</v>
      </c>
      <c r="B5">
        <f>deaths!L3</f>
        <v>12.483677127174243</v>
      </c>
      <c r="E5" t="s">
        <v>114</v>
      </c>
      <c r="F5">
        <f>HE!G1</f>
        <v>9.0727557968556489</v>
      </c>
      <c r="I5" t="s">
        <v>114</v>
      </c>
      <c r="J5">
        <f>Arrests!H2</f>
        <v>10.043651505694388</v>
      </c>
      <c r="M5" t="s">
        <v>114</v>
      </c>
      <c r="N5">
        <f>Treat!I2</f>
        <v>8.6869256502269749</v>
      </c>
      <c r="Q5" s="3" t="s">
        <v>215</v>
      </c>
      <c r="R5">
        <v>92</v>
      </c>
    </row>
    <row r="6" spans="1:19">
      <c r="A6" t="s">
        <v>17</v>
      </c>
      <c r="B6">
        <v>0.7</v>
      </c>
      <c r="E6" t="s">
        <v>17</v>
      </c>
      <c r="F6">
        <v>0.7</v>
      </c>
      <c r="I6" t="s">
        <v>17</v>
      </c>
      <c r="J6">
        <v>0.7</v>
      </c>
      <c r="M6" t="s">
        <v>17</v>
      </c>
      <c r="N6">
        <v>0.7</v>
      </c>
      <c r="Q6" t="s">
        <v>216</v>
      </c>
      <c r="R6" s="44">
        <f>((47.52+50.71)/2)*365.25</f>
        <v>17939.25375</v>
      </c>
      <c r="S6" t="s">
        <v>223</v>
      </c>
    </row>
    <row r="7" spans="1:19">
      <c r="A7" t="s">
        <v>18</v>
      </c>
      <c r="B7">
        <f>365.25*100</f>
        <v>36525</v>
      </c>
      <c r="E7" t="s">
        <v>18</v>
      </c>
      <c r="F7">
        <f>365.25*100</f>
        <v>36525</v>
      </c>
      <c r="I7" t="s">
        <v>18</v>
      </c>
      <c r="J7">
        <f>365.25*100</f>
        <v>36525</v>
      </c>
      <c r="M7" t="s">
        <v>18</v>
      </c>
      <c r="N7">
        <f>365.25*100</f>
        <v>36525</v>
      </c>
      <c r="Q7" t="s">
        <v>217</v>
      </c>
      <c r="R7">
        <f>(((68-18)+(70-18))/2)*365.25</f>
        <v>18627.75</v>
      </c>
      <c r="S7" t="s">
        <v>224</v>
      </c>
    </row>
    <row r="9" spans="1:19">
      <c r="A9" t="s">
        <v>25</v>
      </c>
      <c r="E9" t="s">
        <v>25</v>
      </c>
      <c r="I9" t="s">
        <v>25</v>
      </c>
      <c r="M9" t="s">
        <v>25</v>
      </c>
      <c r="Q9" t="s">
        <v>25</v>
      </c>
    </row>
    <row r="10" spans="1:19">
      <c r="A10" t="s">
        <v>115</v>
      </c>
      <c r="B10">
        <f>LN(B7-B4)</f>
        <v>10.5057522366189</v>
      </c>
      <c r="E10" t="s">
        <v>115</v>
      </c>
      <c r="F10">
        <f>LN(F7-F4)</f>
        <v>10.5057522366189</v>
      </c>
      <c r="I10" t="s">
        <v>115</v>
      </c>
      <c r="J10">
        <f>LN(J7-J4)</f>
        <v>10.5057522366189</v>
      </c>
      <c r="M10" t="s">
        <v>115</v>
      </c>
      <c r="N10">
        <f>LN(N7-N4)</f>
        <v>10.5057522366189</v>
      </c>
    </row>
    <row r="12" spans="1:19">
      <c r="A12" t="s">
        <v>23</v>
      </c>
      <c r="E12" t="s">
        <v>23</v>
      </c>
      <c r="I12" t="s">
        <v>23</v>
      </c>
      <c r="M12" t="s">
        <v>23</v>
      </c>
      <c r="Q12" t="s">
        <v>23</v>
      </c>
    </row>
    <row r="13" spans="1:19">
      <c r="A13" t="s">
        <v>22</v>
      </c>
      <c r="B13" s="55">
        <f>B5</f>
        <v>12.483677127174243</v>
      </c>
      <c r="C13" s="55"/>
      <c r="D13" s="55"/>
      <c r="E13" t="s">
        <v>22</v>
      </c>
      <c r="F13" s="55">
        <f>F5</f>
        <v>9.0727557968556489</v>
      </c>
      <c r="G13" s="55"/>
      <c r="I13" t="s">
        <v>22</v>
      </c>
      <c r="J13" s="55">
        <f>J5</f>
        <v>10.043651505694388</v>
      </c>
      <c r="K13" s="55"/>
      <c r="M13" t="s">
        <v>22</v>
      </c>
      <c r="N13" s="55">
        <f>N5</f>
        <v>8.6869256502269749</v>
      </c>
      <c r="O13" s="55"/>
      <c r="Q13" t="s">
        <v>218</v>
      </c>
      <c r="R13" s="56">
        <f>((R6-R4)*(2*R7-R4-R5))/((R7-R6)*(R5-R4))</f>
        <v>10525.229515050165</v>
      </c>
    </row>
    <row r="14" spans="1:19">
      <c r="A14" t="s">
        <v>21</v>
      </c>
      <c r="B14" s="55">
        <f>(B10-B5)/B6</f>
        <v>-2.825606986507633</v>
      </c>
      <c r="C14" s="55"/>
      <c r="D14" s="55"/>
      <c r="E14" t="s">
        <v>21</v>
      </c>
      <c r="F14" s="55">
        <f>(F10-F5)/F6</f>
        <v>2.0471377710903584</v>
      </c>
      <c r="G14" s="55"/>
      <c r="I14" t="s">
        <v>21</v>
      </c>
      <c r="J14" s="55">
        <f>(J10-J5)/J6</f>
        <v>0.66014390132073086</v>
      </c>
      <c r="K14" s="55"/>
      <c r="M14" t="s">
        <v>21</v>
      </c>
      <c r="N14" s="55">
        <f>(N10-N5)/N6</f>
        <v>2.598323694845607</v>
      </c>
      <c r="O14" s="55"/>
      <c r="Q14" t="s">
        <v>219</v>
      </c>
      <c r="R14" s="55">
        <f>((R5-R6)*R13)/(R6-R4)</f>
        <v>-10471.251733762323</v>
      </c>
    </row>
    <row r="16" spans="1:19">
      <c r="A16" s="30" t="s">
        <v>122</v>
      </c>
      <c r="B16" s="30"/>
      <c r="C16" s="30"/>
      <c r="D16" s="30"/>
      <c r="E16" s="30"/>
      <c r="F16" s="30"/>
      <c r="G16" s="30"/>
      <c r="H16" s="30"/>
      <c r="I16" s="30"/>
    </row>
    <row r="17" spans="1:18">
      <c r="A17" s="79" t="s">
        <v>116</v>
      </c>
      <c r="B17" s="79"/>
      <c r="C17" s="70"/>
      <c r="D17" s="70"/>
      <c r="E17" s="79" t="s">
        <v>117</v>
      </c>
      <c r="F17" s="79"/>
      <c r="G17" s="70"/>
      <c r="I17" s="79" t="s">
        <v>118</v>
      </c>
      <c r="J17" s="79"/>
      <c r="K17" s="70"/>
      <c r="M17" s="79" t="s">
        <v>119</v>
      </c>
      <c r="N17" s="79"/>
      <c r="O17" s="70"/>
      <c r="Q17" s="79" t="s">
        <v>213</v>
      </c>
      <c r="R17" s="79"/>
    </row>
    <row r="18" spans="1:18">
      <c r="A18" s="79"/>
      <c r="B18" s="79"/>
      <c r="C18" s="70"/>
      <c r="D18" s="70"/>
      <c r="E18" s="79"/>
      <c r="F18" s="79"/>
      <c r="G18" s="70"/>
      <c r="I18" s="79"/>
      <c r="J18" s="79"/>
      <c r="K18" s="70"/>
      <c r="M18" s="79"/>
      <c r="N18" s="79"/>
      <c r="O18" s="70"/>
      <c r="Q18" s="79"/>
      <c r="R18" s="79"/>
    </row>
    <row r="19" spans="1:18">
      <c r="A19" t="s">
        <v>24</v>
      </c>
      <c r="B19" t="s">
        <v>314</v>
      </c>
      <c r="C19" t="s">
        <v>315</v>
      </c>
      <c r="D19" t="s">
        <v>316</v>
      </c>
      <c r="E19" t="s">
        <v>24</v>
      </c>
      <c r="F19" t="s">
        <v>314</v>
      </c>
      <c r="G19" t="s">
        <v>315</v>
      </c>
      <c r="H19" t="s">
        <v>316</v>
      </c>
      <c r="I19" t="s">
        <v>24</v>
      </c>
      <c r="J19" t="s">
        <v>314</v>
      </c>
      <c r="K19" t="s">
        <v>315</v>
      </c>
      <c r="L19" t="s">
        <v>316</v>
      </c>
      <c r="M19" t="s">
        <v>24</v>
      </c>
      <c r="N19" t="s">
        <v>314</v>
      </c>
      <c r="O19" t="s">
        <v>315</v>
      </c>
      <c r="P19" t="s">
        <v>316</v>
      </c>
      <c r="Q19" t="s">
        <v>24</v>
      </c>
    </row>
    <row r="20" spans="1:18" ht="30">
      <c r="A20" s="3" t="s">
        <v>19</v>
      </c>
      <c r="B20">
        <f>B4</f>
        <v>0</v>
      </c>
      <c r="C20">
        <f>B20</f>
        <v>0</v>
      </c>
      <c r="D20">
        <f>C20</f>
        <v>0</v>
      </c>
      <c r="E20" s="3" t="s">
        <v>19</v>
      </c>
      <c r="F20">
        <f>F4</f>
        <v>0</v>
      </c>
      <c r="G20">
        <f>F20</f>
        <v>0</v>
      </c>
      <c r="H20">
        <f>G20</f>
        <v>0</v>
      </c>
      <c r="I20" s="3" t="s">
        <v>19</v>
      </c>
      <c r="J20">
        <f>J4</f>
        <v>0</v>
      </c>
      <c r="K20">
        <f>J20</f>
        <v>0</v>
      </c>
      <c r="L20">
        <f>K20</f>
        <v>0</v>
      </c>
      <c r="M20" s="3" t="s">
        <v>19</v>
      </c>
      <c r="N20">
        <f>N4</f>
        <v>0</v>
      </c>
      <c r="O20">
        <f>N20</f>
        <v>0</v>
      </c>
      <c r="P20">
        <f>O20</f>
        <v>0</v>
      </c>
      <c r="Q20" s="3" t="s">
        <v>214</v>
      </c>
      <c r="R20">
        <f>R4</f>
        <v>0</v>
      </c>
    </row>
    <row r="21" spans="1:18" ht="30">
      <c r="A21" t="s">
        <v>114</v>
      </c>
      <c r="B21">
        <f>B13</f>
        <v>12.483677127174243</v>
      </c>
      <c r="C21">
        <f>MIN(deaths!M15:M19)</f>
        <v>11.642101295699602</v>
      </c>
      <c r="D21">
        <f>MAX(deaths!M15:M19)</f>
        <v>12.789044147228351</v>
      </c>
      <c r="E21" t="s">
        <v>114</v>
      </c>
      <c r="F21">
        <f>F5</f>
        <v>9.0727557968556489</v>
      </c>
      <c r="G21">
        <f>MIN(HE!I15:I18)</f>
        <v>8.6233723892183605</v>
      </c>
      <c r="H21">
        <f>MAX(HE!I15:I18)</f>
        <v>9.1118759362185777</v>
      </c>
      <c r="I21" t="s">
        <v>114</v>
      </c>
      <c r="J21">
        <f>J5</f>
        <v>10.043651505694388</v>
      </c>
      <c r="K21">
        <f>MIN(Arrests!J5:J8)</f>
        <v>9.7715026970993168</v>
      </c>
      <c r="L21">
        <f>MAX(Arrests!J5:J8)</f>
        <v>10.139613228870392</v>
      </c>
      <c r="M21" t="s">
        <v>114</v>
      </c>
      <c r="N21">
        <f>N5</f>
        <v>8.6869256502269749</v>
      </c>
      <c r="O21">
        <f>MIN(Treat!J6:J7)</f>
        <v>8.4584698069539321</v>
      </c>
      <c r="P21">
        <f>MAX(Treat!J6:J7)</f>
        <v>8.9153814935000177</v>
      </c>
      <c r="Q21" s="3" t="s">
        <v>215</v>
      </c>
      <c r="R21">
        <f>R5</f>
        <v>92</v>
      </c>
    </row>
    <row r="22" spans="1:18">
      <c r="A22" t="s">
        <v>16</v>
      </c>
      <c r="B22" s="1">
        <v>1</v>
      </c>
      <c r="C22" s="1">
        <v>1</v>
      </c>
      <c r="D22" s="1">
        <v>1</v>
      </c>
      <c r="E22" t="s">
        <v>16</v>
      </c>
      <c r="F22" s="1">
        <v>1</v>
      </c>
      <c r="G22" s="1">
        <v>1</v>
      </c>
      <c r="H22" s="1">
        <v>1</v>
      </c>
      <c r="I22" t="s">
        <v>16</v>
      </c>
      <c r="J22" s="1">
        <v>90</v>
      </c>
      <c r="K22" s="1">
        <v>365.25</v>
      </c>
      <c r="L22" s="1">
        <v>1</v>
      </c>
      <c r="M22" t="s">
        <v>16</v>
      </c>
      <c r="N22" s="1">
        <v>90</v>
      </c>
      <c r="O22" s="1">
        <v>365.25</v>
      </c>
      <c r="P22" s="1">
        <v>1</v>
      </c>
      <c r="Q22" t="s">
        <v>216</v>
      </c>
      <c r="R22">
        <f>R6</f>
        <v>17939.25375</v>
      </c>
    </row>
    <row r="23" spans="1:18">
      <c r="Q23" t="s">
        <v>218</v>
      </c>
      <c r="R23">
        <v>1</v>
      </c>
    </row>
    <row r="24" spans="1:18">
      <c r="A24" t="s">
        <v>25</v>
      </c>
      <c r="E24" t="s">
        <v>25</v>
      </c>
      <c r="I24" t="s">
        <v>25</v>
      </c>
      <c r="M24" t="s">
        <v>25</v>
      </c>
      <c r="Q24" t="s">
        <v>23</v>
      </c>
    </row>
    <row r="25" spans="1:18">
      <c r="A25" t="s">
        <v>120</v>
      </c>
      <c r="B25">
        <f>LN(B22-B20)</f>
        <v>0</v>
      </c>
      <c r="C25">
        <f>LN(C22-C20)</f>
        <v>0</v>
      </c>
      <c r="D25">
        <f>LN(D22-D20)</f>
        <v>0</v>
      </c>
      <c r="E25" t="s">
        <v>120</v>
      </c>
      <c r="F25">
        <f>LN(F22-F20)</f>
        <v>0</v>
      </c>
      <c r="G25">
        <f>LN(G22-G20)</f>
        <v>0</v>
      </c>
      <c r="H25">
        <f>LN(H22-H20)</f>
        <v>0</v>
      </c>
      <c r="I25" t="s">
        <v>120</v>
      </c>
      <c r="J25">
        <f>LN(J22-J20)</f>
        <v>4.499809670330265</v>
      </c>
      <c r="K25">
        <f>LN(K22-K20)</f>
        <v>5.9005820506308089</v>
      </c>
      <c r="L25">
        <f>LN(L22-L20)</f>
        <v>0</v>
      </c>
      <c r="M25" t="s">
        <v>120</v>
      </c>
      <c r="N25">
        <f>LN(N22-N20)</f>
        <v>4.499809670330265</v>
      </c>
      <c r="O25">
        <f>LN(O22-O20)</f>
        <v>5.9005820506308089</v>
      </c>
      <c r="P25">
        <f>LN(P22-P20)</f>
        <v>0</v>
      </c>
      <c r="Q25" t="s">
        <v>221</v>
      </c>
      <c r="R25" s="1">
        <f>R23</f>
        <v>1</v>
      </c>
    </row>
    <row r="26" spans="1:18">
      <c r="A26" t="s">
        <v>121</v>
      </c>
      <c r="B26">
        <f>B21-B25</f>
        <v>12.483677127174243</v>
      </c>
      <c r="C26">
        <f>C21-C25</f>
        <v>11.642101295699602</v>
      </c>
      <c r="D26">
        <f>D21-D25</f>
        <v>12.789044147228351</v>
      </c>
      <c r="E26" t="s">
        <v>121</v>
      </c>
      <c r="F26">
        <f>F21-F25</f>
        <v>9.0727557968556489</v>
      </c>
      <c r="G26">
        <f>G21-G25</f>
        <v>8.6233723892183605</v>
      </c>
      <c r="H26">
        <f>H21-H25</f>
        <v>9.1118759362185777</v>
      </c>
      <c r="I26" t="s">
        <v>121</v>
      </c>
      <c r="J26">
        <f>J21-J25</f>
        <v>5.5438418353641232</v>
      </c>
      <c r="K26">
        <f>K21-K25</f>
        <v>3.870920646468508</v>
      </c>
      <c r="L26">
        <f>L21-L25</f>
        <v>10.139613228870392</v>
      </c>
      <c r="M26" t="s">
        <v>121</v>
      </c>
      <c r="N26">
        <f>N21-N25</f>
        <v>4.1871159798967099</v>
      </c>
      <c r="O26">
        <f>O21-O25</f>
        <v>2.5578877563231233</v>
      </c>
      <c r="P26">
        <f>P21-P25</f>
        <v>8.9153814935000177</v>
      </c>
      <c r="Q26" t="s">
        <v>219</v>
      </c>
      <c r="R26" s="1">
        <f>((R21-R22)*R23)/(R22-R20)</f>
        <v>-0.99487158154502386</v>
      </c>
    </row>
    <row r="28" spans="1:18">
      <c r="A28" t="s">
        <v>23</v>
      </c>
      <c r="E28" t="s">
        <v>23</v>
      </c>
      <c r="I28" t="s">
        <v>23</v>
      </c>
      <c r="M28" t="s">
        <v>23</v>
      </c>
      <c r="Q28" t="s">
        <v>239</v>
      </c>
    </row>
    <row r="29" spans="1:18">
      <c r="A29" t="s">
        <v>22</v>
      </c>
      <c r="B29" s="1">
        <f>B21</f>
        <v>12.483677127174243</v>
      </c>
      <c r="C29" s="1">
        <f>C21</f>
        <v>11.642101295699602</v>
      </c>
      <c r="D29" s="1">
        <f>D21</f>
        <v>12.789044147228351</v>
      </c>
      <c r="E29" t="s">
        <v>22</v>
      </c>
      <c r="F29" s="1">
        <f>F21</f>
        <v>9.0727557968556489</v>
      </c>
      <c r="G29" s="1">
        <f>G21</f>
        <v>8.6233723892183605</v>
      </c>
      <c r="H29" s="1">
        <f>H21</f>
        <v>9.1118759362185777</v>
      </c>
      <c r="I29" t="s">
        <v>22</v>
      </c>
      <c r="J29" s="1">
        <f>J21</f>
        <v>10.043651505694388</v>
      </c>
      <c r="K29" s="1">
        <f>K21</f>
        <v>9.7715026970993168</v>
      </c>
      <c r="L29" s="1">
        <f>L21</f>
        <v>10.139613228870392</v>
      </c>
      <c r="M29" t="s">
        <v>22</v>
      </c>
      <c r="N29" s="1">
        <f>N21</f>
        <v>8.6869256502269749</v>
      </c>
      <c r="O29" s="1">
        <f>O21</f>
        <v>8.4584698069539321</v>
      </c>
      <c r="P29" s="1">
        <f>P21</f>
        <v>8.9153814935000177</v>
      </c>
      <c r="Q29" t="s">
        <v>22</v>
      </c>
      <c r="R29">
        <v>55.16</v>
      </c>
    </row>
    <row r="30" spans="1:18">
      <c r="A30" t="s">
        <v>21</v>
      </c>
      <c r="B30" s="1">
        <f>SQRT(B26)</f>
        <v>3.5332247490322835</v>
      </c>
      <c r="C30" s="1">
        <f>SQRT(C26)</f>
        <v>3.4120523582881317</v>
      </c>
      <c r="D30" s="1">
        <f>SQRT(D26)</f>
        <v>3.5761773092547231</v>
      </c>
      <c r="E30" t="s">
        <v>21</v>
      </c>
      <c r="F30" s="1">
        <f>SQRT(F26)</f>
        <v>3.0121015581908339</v>
      </c>
      <c r="G30" s="1">
        <f>SQRT(G26)</f>
        <v>2.936557915182052</v>
      </c>
      <c r="H30" s="1">
        <f>SQRT(H26)</f>
        <v>3.0185884012595321</v>
      </c>
      <c r="I30" t="s">
        <v>21</v>
      </c>
      <c r="J30" s="1">
        <f>SQRT(J26)</f>
        <v>2.3545364374679196</v>
      </c>
      <c r="K30" s="1">
        <f>SQRT(K26)</f>
        <v>1.967465538826159</v>
      </c>
      <c r="L30" s="1">
        <f>SQRT(L26)</f>
        <v>3.1842759347880629</v>
      </c>
      <c r="M30" t="s">
        <v>21</v>
      </c>
      <c r="N30" s="1">
        <f>SQRT(N26)</f>
        <v>2.0462443597715083</v>
      </c>
      <c r="O30" s="1">
        <f>SQRT(O26)</f>
        <v>1.5993397876383628</v>
      </c>
      <c r="P30" s="1">
        <f>SQRT(P26)</f>
        <v>2.985863609326457</v>
      </c>
      <c r="Q30" t="s">
        <v>151</v>
      </c>
      <c r="R30">
        <f>1/(R29*365.25)</f>
        <v>4.9634713327267974E-5</v>
      </c>
    </row>
    <row r="32" spans="1:18">
      <c r="A32" s="30" t="s">
        <v>308</v>
      </c>
      <c r="B32" s="30"/>
      <c r="C32" s="30"/>
      <c r="D32" s="30"/>
      <c r="E32" s="30"/>
      <c r="F32" s="30"/>
      <c r="G32" s="30"/>
      <c r="H32" s="30"/>
      <c r="I32" s="30"/>
      <c r="Q32" s="79"/>
      <c r="R32" s="79"/>
    </row>
    <row r="33" spans="1:18">
      <c r="A33" s="79" t="s">
        <v>242</v>
      </c>
      <c r="B33" s="79"/>
      <c r="C33" s="70"/>
      <c r="D33" s="70"/>
      <c r="E33" s="79" t="s">
        <v>117</v>
      </c>
      <c r="F33" s="79"/>
      <c r="G33" s="70"/>
      <c r="I33" s="79" t="s">
        <v>118</v>
      </c>
      <c r="J33" s="79"/>
      <c r="K33" s="70"/>
      <c r="M33" s="79" t="s">
        <v>119</v>
      </c>
      <c r="N33" s="79"/>
      <c r="O33" s="70"/>
      <c r="Q33" s="79"/>
      <c r="R33" s="79"/>
    </row>
    <row r="34" spans="1:18">
      <c r="A34" s="79"/>
      <c r="B34" s="79"/>
      <c r="C34" s="70"/>
      <c r="D34" s="70"/>
      <c r="E34" s="79"/>
      <c r="F34" s="79"/>
      <c r="G34" s="70"/>
      <c r="I34" s="79"/>
      <c r="J34" s="79"/>
      <c r="K34" s="70"/>
      <c r="M34" s="79"/>
      <c r="N34" s="79"/>
      <c r="O34" s="70"/>
      <c r="Q34" s="79"/>
      <c r="R34" s="79"/>
    </row>
    <row r="35" spans="1:18">
      <c r="A35" s="2" t="s">
        <v>24</v>
      </c>
      <c r="B35" s="2"/>
      <c r="C35" s="2"/>
      <c r="D35" s="2"/>
      <c r="E35" s="2" t="s">
        <v>24</v>
      </c>
      <c r="F35" s="2"/>
      <c r="G35" s="2"/>
      <c r="I35" s="2" t="s">
        <v>24</v>
      </c>
      <c r="J35" s="2"/>
      <c r="K35" s="2"/>
      <c r="M35" s="2" t="s">
        <v>24</v>
      </c>
      <c r="N35" s="2"/>
      <c r="O35" s="2"/>
    </row>
    <row r="36" spans="1:18" ht="30">
      <c r="A36" s="15" t="s">
        <v>19</v>
      </c>
      <c r="B36" s="2">
        <v>0</v>
      </c>
      <c r="C36" s="2"/>
      <c r="D36" s="2"/>
      <c r="E36" s="15" t="s">
        <v>19</v>
      </c>
      <c r="F36" s="2">
        <v>0</v>
      </c>
      <c r="G36" s="2"/>
      <c r="I36" s="15" t="s">
        <v>19</v>
      </c>
      <c r="J36" s="2">
        <v>0</v>
      </c>
      <c r="K36" s="2"/>
      <c r="M36" s="15" t="s">
        <v>19</v>
      </c>
      <c r="N36" s="2">
        <v>0</v>
      </c>
      <c r="O36" s="2"/>
      <c r="Q36" s="3"/>
      <c r="R36" s="44"/>
    </row>
    <row r="37" spans="1:18">
      <c r="A37" s="2" t="s">
        <v>16</v>
      </c>
      <c r="B37" s="2">
        <v>1</v>
      </c>
      <c r="C37" s="2"/>
      <c r="D37" s="2"/>
      <c r="E37" s="2" t="s">
        <v>16</v>
      </c>
      <c r="F37" s="2">
        <v>1</v>
      </c>
      <c r="G37" s="2"/>
      <c r="I37" s="2" t="s">
        <v>16</v>
      </c>
      <c r="J37" s="2">
        <v>1</v>
      </c>
      <c r="K37" s="2"/>
      <c r="M37" s="2" t="s">
        <v>16</v>
      </c>
      <c r="N37" s="2">
        <v>665</v>
      </c>
      <c r="O37" s="2"/>
    </row>
    <row r="38" spans="1:18">
      <c r="A38" s="2" t="s">
        <v>17</v>
      </c>
      <c r="B38" s="2" t="e">
        <f>AVERAGE(deaths!E15:E18)/#REF!</f>
        <v>#REF!</v>
      </c>
      <c r="C38" s="2"/>
      <c r="D38" s="2"/>
      <c r="E38" s="2" t="s">
        <v>17</v>
      </c>
      <c r="F38" s="74" t="e">
        <f>AVERAGE(HE!B12:B18)/#REF!</f>
        <v>#REF!</v>
      </c>
      <c r="G38" s="74"/>
      <c r="I38" s="2" t="s">
        <v>17</v>
      </c>
      <c r="J38" s="2" t="e">
        <f>AVERAGE(Arrests!C4:C8)/#REF!</f>
        <v>#REF!</v>
      </c>
      <c r="K38" s="2"/>
      <c r="M38" s="2" t="s">
        <v>17</v>
      </c>
      <c r="N38" s="2">
        <f>AVERAGE(Treat!C6:C7)/AVERAGE(Treat!G6:G7)</f>
        <v>6.0289179499269624E-2</v>
      </c>
      <c r="O38" s="2"/>
    </row>
    <row r="39" spans="1:18">
      <c r="A39" s="2" t="s">
        <v>18</v>
      </c>
      <c r="B39" s="2">
        <v>365.25</v>
      </c>
      <c r="C39" s="2"/>
      <c r="D39" s="2"/>
      <c r="E39" s="2" t="s">
        <v>18</v>
      </c>
      <c r="F39" s="2">
        <v>365.25</v>
      </c>
      <c r="G39" s="2"/>
      <c r="I39" s="2" t="s">
        <v>18</v>
      </c>
      <c r="J39" s="2">
        <v>365.25</v>
      </c>
      <c r="K39" s="2"/>
      <c r="M39" s="2" t="s">
        <v>18</v>
      </c>
      <c r="N39" s="2">
        <v>365.25</v>
      </c>
      <c r="O39" s="2"/>
    </row>
    <row r="40" spans="1:18">
      <c r="A40" s="48" t="s">
        <v>309</v>
      </c>
      <c r="B40" s="2">
        <f>AVERAGE(deaths!E9:E19)</f>
        <v>69.13636363636364</v>
      </c>
      <c r="C40" s="2"/>
      <c r="D40" s="2"/>
      <c r="E40" s="48" t="s">
        <v>309</v>
      </c>
      <c r="F40" s="2"/>
      <c r="G40" s="2"/>
      <c r="I40" s="48" t="s">
        <v>309</v>
      </c>
      <c r="J40" s="2"/>
      <c r="K40" s="2"/>
      <c r="M40" s="48" t="s">
        <v>309</v>
      </c>
      <c r="N40" s="2"/>
      <c r="O40" s="2"/>
    </row>
    <row r="41" spans="1:18">
      <c r="A41" s="2" t="s">
        <v>25</v>
      </c>
      <c r="B41" s="2"/>
      <c r="C41" s="2"/>
      <c r="D41" s="2"/>
      <c r="E41" s="2" t="s">
        <v>25</v>
      </c>
      <c r="F41" s="2"/>
      <c r="G41" s="2"/>
      <c r="I41" s="2" t="s">
        <v>25</v>
      </c>
      <c r="J41" s="2"/>
      <c r="K41" s="2"/>
      <c r="M41" s="2" t="s">
        <v>25</v>
      </c>
      <c r="N41" s="2"/>
      <c r="O41" s="2"/>
    </row>
    <row r="42" spans="1:18">
      <c r="A42" s="2" t="s">
        <v>26</v>
      </c>
      <c r="B42" s="2">
        <f>LN((B37-B36)/(B39-B36))</f>
        <v>-5.9005820506308089</v>
      </c>
      <c r="C42" s="2"/>
      <c r="D42" s="2"/>
      <c r="E42" s="2" t="s">
        <v>26</v>
      </c>
      <c r="F42" s="2">
        <f>LN((F37-F36)/(F39-F36))</f>
        <v>-5.9005820506308089</v>
      </c>
      <c r="G42" s="2"/>
      <c r="I42" s="2" t="s">
        <v>26</v>
      </c>
      <c r="J42" s="2">
        <f>LN((J37-J36)/(J39-J36))</f>
        <v>-5.9005820506308089</v>
      </c>
      <c r="K42" s="2"/>
      <c r="M42" s="2" t="s">
        <v>26</v>
      </c>
      <c r="N42" s="2">
        <f>LN((N37-N36)/(N39-N36))</f>
        <v>0.59920499002504524</v>
      </c>
      <c r="O42" s="2"/>
    </row>
    <row r="43" spans="1:18">
      <c r="A43" s="2" t="s">
        <v>28</v>
      </c>
      <c r="B43" s="2" t="e">
        <f>_xlfn.NORM.INV(B38,0,1)^2</f>
        <v>#REF!</v>
      </c>
      <c r="C43" s="2"/>
      <c r="D43" s="2"/>
      <c r="E43" s="2" t="s">
        <v>28</v>
      </c>
      <c r="F43" s="2" t="e">
        <f>_xlfn.NORM.INV(F38,0,1)^2</f>
        <v>#REF!</v>
      </c>
      <c r="G43" s="2"/>
      <c r="I43" s="2" t="s">
        <v>28</v>
      </c>
      <c r="J43" s="2" t="e">
        <f>_xlfn.NORM.INV(J38,0,1)^2</f>
        <v>#REF!</v>
      </c>
      <c r="K43" s="2"/>
      <c r="M43" s="2" t="s">
        <v>28</v>
      </c>
      <c r="N43" s="2">
        <f>_xlfn.NORM.INV(N38,0,1)^2</f>
        <v>2.4097923560995294</v>
      </c>
      <c r="O43" s="2"/>
    </row>
    <row r="44" spans="1:18">
      <c r="A44" s="2" t="s">
        <v>29</v>
      </c>
      <c r="B44" s="2" t="e">
        <f>B43-(4*B42)</f>
        <v>#REF!</v>
      </c>
      <c r="C44" s="2"/>
      <c r="D44" s="2"/>
      <c r="E44" s="2" t="s">
        <v>29</v>
      </c>
      <c r="F44" s="2" t="e">
        <f>F43-(4*F42)</f>
        <v>#REF!</v>
      </c>
      <c r="G44" s="2"/>
      <c r="I44" s="2" t="s">
        <v>29</v>
      </c>
      <c r="J44" s="2" t="e">
        <f>J43-(4*J42)</f>
        <v>#REF!</v>
      </c>
      <c r="K44" s="2"/>
      <c r="M44" s="2" t="s">
        <v>29</v>
      </c>
      <c r="N44" s="2">
        <f>N43-(4*N42)</f>
        <v>1.2972395999348407E-2</v>
      </c>
      <c r="O44" s="2"/>
    </row>
    <row r="45" spans="1:18">
      <c r="A45" s="2" t="s">
        <v>27</v>
      </c>
      <c r="B45" s="2" t="e">
        <f>SQRT(B44)</f>
        <v>#REF!</v>
      </c>
      <c r="C45" s="2"/>
      <c r="D45" s="2"/>
      <c r="E45" s="2" t="s">
        <v>27</v>
      </c>
      <c r="F45" s="2" t="e">
        <f>SQRT(F44)</f>
        <v>#REF!</v>
      </c>
      <c r="G45" s="2"/>
      <c r="I45" s="2" t="s">
        <v>27</v>
      </c>
      <c r="J45" s="2" t="e">
        <f>SQRT(J44)</f>
        <v>#REF!</v>
      </c>
      <c r="K45" s="2"/>
      <c r="M45" s="2" t="s">
        <v>27</v>
      </c>
      <c r="N45" s="2">
        <f>SQRT(N44)</f>
        <v>0.11389642663116524</v>
      </c>
      <c r="O45" s="2"/>
    </row>
    <row r="46" spans="1:18">
      <c r="A46" s="2" t="s">
        <v>245</v>
      </c>
      <c r="B46" s="2" t="e">
        <f>_xlfn.NORM.INV(B38,0,1)*-1</f>
        <v>#REF!</v>
      </c>
      <c r="C46" s="2"/>
      <c r="D46" s="2"/>
      <c r="E46" s="2" t="s">
        <v>245</v>
      </c>
      <c r="F46" s="2" t="e">
        <f>_xlfn.NORM.INV(F38,0,1)*-1</f>
        <v>#REF!</v>
      </c>
      <c r="G46" s="2"/>
      <c r="I46" s="2" t="s">
        <v>245</v>
      </c>
      <c r="J46" s="2" t="e">
        <f>_xlfn.NORM.INV(J38,0,1)*-1</f>
        <v>#REF!</v>
      </c>
      <c r="K46" s="2"/>
      <c r="M46" s="2" t="s">
        <v>245</v>
      </c>
      <c r="N46" s="2">
        <f>_xlfn.NORM.INV(N38,0,1)*-1</f>
        <v>1.5523505905881987</v>
      </c>
      <c r="O46" s="2"/>
    </row>
    <row r="47" spans="1:18">
      <c r="A47" s="2"/>
      <c r="B47" s="2"/>
      <c r="C47" s="2"/>
      <c r="D47" s="2"/>
      <c r="E47" s="2"/>
      <c r="F47" s="2"/>
      <c r="G47" s="2"/>
      <c r="I47" s="2"/>
      <c r="J47" s="2"/>
      <c r="K47" s="2"/>
      <c r="M47" s="2"/>
      <c r="N47" s="2"/>
      <c r="O47" s="2"/>
    </row>
    <row r="48" spans="1:18">
      <c r="A48" s="2" t="s">
        <v>23</v>
      </c>
      <c r="B48" s="2"/>
      <c r="C48" s="2"/>
      <c r="D48" s="2"/>
      <c r="E48" s="2" t="s">
        <v>23</v>
      </c>
      <c r="F48" s="2"/>
      <c r="G48" s="2"/>
      <c r="I48" s="2" t="s">
        <v>23</v>
      </c>
      <c r="J48" s="2"/>
      <c r="K48" s="2"/>
      <c r="M48" s="2" t="s">
        <v>23</v>
      </c>
      <c r="N48" s="2"/>
      <c r="O48" s="2"/>
    </row>
    <row r="49" spans="1:15">
      <c r="A49" s="2" t="s">
        <v>22</v>
      </c>
      <c r="B49" s="16" t="e">
        <f>LN(B37-B36)+(B50^2)</f>
        <v>#REF!</v>
      </c>
      <c r="C49" s="16"/>
      <c r="D49" s="16"/>
      <c r="E49" s="2" t="s">
        <v>22</v>
      </c>
      <c r="F49" s="16" t="e">
        <f>LN(F37-F36)+(F50^2)</f>
        <v>#REF!</v>
      </c>
      <c r="G49" s="16"/>
      <c r="I49" s="2" t="s">
        <v>22</v>
      </c>
      <c r="J49" s="16" t="e">
        <f>LN(J37-J36)+(J50^2)</f>
        <v>#REF!</v>
      </c>
      <c r="K49" s="16"/>
      <c r="M49" s="2" t="s">
        <v>22</v>
      </c>
      <c r="N49" s="16">
        <f>LN(N37-N36)+(N50^2)</f>
        <v>7.193881821253961</v>
      </c>
      <c r="O49" s="16"/>
    </row>
    <row r="50" spans="1:15">
      <c r="A50" s="2" t="s">
        <v>21</v>
      </c>
      <c r="B50" s="16" t="e">
        <f>(B46+B45)/2</f>
        <v>#REF!</v>
      </c>
      <c r="C50" s="16"/>
      <c r="D50" s="16"/>
      <c r="E50" s="2" t="s">
        <v>21</v>
      </c>
      <c r="F50" s="16" t="e">
        <f>(F46+F45)/2</f>
        <v>#REF!</v>
      </c>
      <c r="G50" s="16"/>
      <c r="I50" s="2" t="s">
        <v>21</v>
      </c>
      <c r="J50" s="16" t="e">
        <f>(J46+J45)/2</f>
        <v>#REF!</v>
      </c>
      <c r="K50" s="16"/>
      <c r="M50" s="2" t="s">
        <v>21</v>
      </c>
      <c r="N50" s="16">
        <f>(N46+N45)/2</f>
        <v>0.83312350860968198</v>
      </c>
      <c r="O50" s="16"/>
    </row>
    <row r="55" spans="1:15">
      <c r="B55" t="s">
        <v>311</v>
      </c>
    </row>
  </sheetData>
  <mergeCells count="31">
    <mergeCell ref="I2:J2"/>
    <mergeCell ref="Q1:R1"/>
    <mergeCell ref="Q2:R2"/>
    <mergeCell ref="M1:N1"/>
    <mergeCell ref="M2:N2"/>
    <mergeCell ref="A1:B1"/>
    <mergeCell ref="A2:B2"/>
    <mergeCell ref="Q32:R32"/>
    <mergeCell ref="Q17:R17"/>
    <mergeCell ref="Q18:R18"/>
    <mergeCell ref="A18:B18"/>
    <mergeCell ref="E18:F18"/>
    <mergeCell ref="I18:J18"/>
    <mergeCell ref="M18:N18"/>
    <mergeCell ref="A17:B17"/>
    <mergeCell ref="E17:F17"/>
    <mergeCell ref="I17:J17"/>
    <mergeCell ref="M17:N17"/>
    <mergeCell ref="E1:F1"/>
    <mergeCell ref="E2:F2"/>
    <mergeCell ref="I1:J1"/>
    <mergeCell ref="A33:B33"/>
    <mergeCell ref="E33:F33"/>
    <mergeCell ref="I33:J33"/>
    <mergeCell ref="M33:N33"/>
    <mergeCell ref="Q33:R33"/>
    <mergeCell ref="A34:B34"/>
    <mergeCell ref="E34:F34"/>
    <mergeCell ref="I34:J34"/>
    <mergeCell ref="M34:N34"/>
    <mergeCell ref="Q34:R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228A-D406-4373-B33E-14F787872A7D}">
  <sheetPr codeName="Sheet6"/>
  <dimension ref="A1:AX309"/>
  <sheetViews>
    <sheetView zoomScale="85" zoomScaleNormal="85" workbookViewId="0">
      <selection activeCell="AF16" sqref="AF16"/>
    </sheetView>
  </sheetViews>
  <sheetFormatPr defaultRowHeight="15"/>
  <cols>
    <col min="1" max="1" width="20.140625" bestFit="1" customWidth="1"/>
    <col min="6" max="6" width="21.5703125" customWidth="1"/>
    <col min="10" max="10" width="20.140625" bestFit="1" customWidth="1"/>
    <col min="15" max="15" width="20.140625" style="14" bestFit="1" customWidth="1"/>
    <col min="16" max="16" width="9.140625" style="2"/>
    <col min="17" max="18" width="8.85546875" style="2"/>
    <col min="19" max="19" width="9.140625" style="2"/>
    <col min="20" max="20" width="20.140625" style="2" bestFit="1" customWidth="1"/>
    <col min="21" max="21" width="12.5703125" style="2" bestFit="1" customWidth="1"/>
    <col min="22" max="22" width="9.140625" style="2"/>
    <col min="23" max="24" width="8.85546875" style="2"/>
    <col min="25" max="25" width="20.140625" style="2" bestFit="1" customWidth="1"/>
    <col min="26" max="27" width="9.140625" style="2"/>
    <col min="28" max="28" width="8.85546875" style="2"/>
    <col min="29" max="29" width="8.85546875" style="75"/>
    <col min="30" max="30" width="20.140625" bestFit="1" customWidth="1"/>
    <col min="31" max="31" width="12.5703125" bestFit="1" customWidth="1"/>
    <col min="32" max="32" width="12.5703125" customWidth="1"/>
    <col min="33" max="33" width="8.5703125" bestFit="1" customWidth="1"/>
    <col min="34" max="34" width="20.140625" bestFit="1" customWidth="1"/>
    <col min="35" max="35" width="12.5703125" bestFit="1" customWidth="1"/>
    <col min="36" max="36" width="12.5703125" customWidth="1"/>
    <col min="37" max="37" width="12" customWidth="1"/>
    <col min="38" max="38" width="20.140625" bestFit="1" customWidth="1"/>
    <col min="39" max="39" width="12.5703125" bestFit="1" customWidth="1"/>
    <col min="40" max="40" width="12.5703125" customWidth="1"/>
    <col min="42" max="42" width="20.140625" customWidth="1"/>
    <col min="46" max="46" width="20.140625" bestFit="1" customWidth="1"/>
    <col min="47" max="47" width="12.5703125" bestFit="1" customWidth="1"/>
  </cols>
  <sheetData>
    <row r="1" spans="1:50">
      <c r="A1" s="79" t="s">
        <v>38</v>
      </c>
      <c r="B1" s="79"/>
      <c r="C1" s="70"/>
      <c r="D1" s="70"/>
      <c r="F1" s="79" t="s">
        <v>39</v>
      </c>
      <c r="G1" s="79"/>
      <c r="H1" s="70"/>
      <c r="I1" s="4"/>
      <c r="J1" s="79" t="s">
        <v>40</v>
      </c>
      <c r="K1" s="79"/>
      <c r="L1" s="70"/>
      <c r="M1" s="70"/>
      <c r="O1" s="80" t="s">
        <v>41</v>
      </c>
      <c r="P1" s="81"/>
      <c r="Q1" s="71"/>
      <c r="R1" s="71"/>
      <c r="S1" s="13"/>
      <c r="T1" s="81" t="s">
        <v>37</v>
      </c>
      <c r="U1" s="81"/>
      <c r="V1" s="83" t="s">
        <v>336</v>
      </c>
      <c r="W1" s="83"/>
      <c r="X1" s="13"/>
      <c r="Y1" s="81" t="s">
        <v>42</v>
      </c>
      <c r="Z1" s="81"/>
      <c r="AA1" s="83" t="s">
        <v>335</v>
      </c>
      <c r="AB1" s="83"/>
      <c r="AD1" s="81" t="s">
        <v>233</v>
      </c>
      <c r="AE1" s="81"/>
      <c r="AF1" s="71"/>
      <c r="AG1" s="13"/>
      <c r="AH1" s="81" t="s">
        <v>207</v>
      </c>
      <c r="AI1" s="81"/>
      <c r="AJ1" s="83" t="s">
        <v>334</v>
      </c>
      <c r="AK1" s="83"/>
      <c r="AL1" s="83" t="s">
        <v>278</v>
      </c>
      <c r="AM1" s="83"/>
      <c r="AN1" s="83"/>
      <c r="AO1" s="83"/>
      <c r="AP1" s="83" t="s">
        <v>313</v>
      </c>
      <c r="AQ1" s="83"/>
      <c r="AR1" s="83"/>
      <c r="AS1" s="83"/>
      <c r="AT1" s="83" t="s">
        <v>280</v>
      </c>
      <c r="AU1" s="83"/>
      <c r="AV1" s="83"/>
      <c r="AW1" s="83"/>
      <c r="AX1" s="83"/>
    </row>
    <row r="2" spans="1:50">
      <c r="A2" s="79" t="s">
        <v>62</v>
      </c>
      <c r="B2" s="79"/>
      <c r="C2" s="70"/>
      <c r="D2" s="70"/>
      <c r="F2" s="79" t="s">
        <v>61</v>
      </c>
      <c r="G2" s="79"/>
      <c r="H2" s="70"/>
      <c r="I2" s="4"/>
      <c r="J2" s="79" t="s">
        <v>63</v>
      </c>
      <c r="K2" s="79"/>
      <c r="L2" s="70"/>
      <c r="M2" s="70"/>
      <c r="O2" s="82" t="s">
        <v>98</v>
      </c>
      <c r="P2" s="83"/>
      <c r="Q2" s="72"/>
      <c r="R2" s="72"/>
      <c r="T2" s="83" t="s">
        <v>73</v>
      </c>
      <c r="U2" s="83"/>
      <c r="Y2" s="83" t="s">
        <v>93</v>
      </c>
      <c r="Z2" s="83"/>
      <c r="AD2" s="83" t="s">
        <v>230</v>
      </c>
      <c r="AE2" s="83"/>
      <c r="AF2" s="72"/>
      <c r="AG2" s="2"/>
      <c r="AJ2" s="72"/>
      <c r="AK2" s="4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</row>
    <row r="3" spans="1:50">
      <c r="A3" t="s">
        <v>24</v>
      </c>
      <c r="B3" t="s">
        <v>322</v>
      </c>
      <c r="C3" t="s">
        <v>323</v>
      </c>
      <c r="D3" t="s">
        <v>324</v>
      </c>
      <c r="F3" t="s">
        <v>24</v>
      </c>
      <c r="G3" t="s">
        <v>325</v>
      </c>
      <c r="H3" t="s">
        <v>323</v>
      </c>
      <c r="I3" t="s">
        <v>324</v>
      </c>
      <c r="J3" t="s">
        <v>24</v>
      </c>
      <c r="K3" t="s">
        <v>325</v>
      </c>
      <c r="L3" t="s">
        <v>323</v>
      </c>
      <c r="M3" t="s">
        <v>324</v>
      </c>
      <c r="O3" s="60" t="s">
        <v>24</v>
      </c>
      <c r="P3" t="s">
        <v>325</v>
      </c>
      <c r="Q3" t="s">
        <v>323</v>
      </c>
      <c r="R3" t="s">
        <v>324</v>
      </c>
      <c r="T3" s="2" t="s">
        <v>24</v>
      </c>
      <c r="W3" t="s">
        <v>323</v>
      </c>
      <c r="X3" t="s">
        <v>324</v>
      </c>
      <c r="Y3" s="2" t="s">
        <v>24</v>
      </c>
      <c r="AB3" t="s">
        <v>323</v>
      </c>
      <c r="AC3" t="s">
        <v>324</v>
      </c>
      <c r="AD3" s="2" t="s">
        <v>24</v>
      </c>
      <c r="AE3" s="2" t="s">
        <v>321</v>
      </c>
      <c r="AF3" s="48" t="s">
        <v>243</v>
      </c>
      <c r="AG3" s="48" t="s">
        <v>244</v>
      </c>
      <c r="AH3" s="2" t="s">
        <v>24</v>
      </c>
      <c r="AI3" s="48" t="s">
        <v>325</v>
      </c>
      <c r="AJ3" t="s">
        <v>323</v>
      </c>
      <c r="AK3" t="s">
        <v>324</v>
      </c>
      <c r="AL3" s="2" t="s">
        <v>24</v>
      </c>
      <c r="AM3" s="2" t="s">
        <v>312</v>
      </c>
      <c r="AN3" s="48" t="s">
        <v>243</v>
      </c>
      <c r="AO3" s="48" t="s">
        <v>244</v>
      </c>
      <c r="AP3" s="2" t="s">
        <v>24</v>
      </c>
      <c r="AQ3" s="2" t="s">
        <v>312</v>
      </c>
      <c r="AR3" s="48" t="s">
        <v>243</v>
      </c>
      <c r="AS3" s="48" t="s">
        <v>244</v>
      </c>
      <c r="AT3" s="2" t="s">
        <v>24</v>
      </c>
      <c r="AU3" s="2"/>
      <c r="AV3" t="s">
        <v>323</v>
      </c>
      <c r="AW3" t="s">
        <v>324</v>
      </c>
      <c r="AX3" s="2"/>
    </row>
    <row r="4" spans="1:50" ht="30">
      <c r="A4" s="3" t="s">
        <v>19</v>
      </c>
      <c r="B4">
        <v>0</v>
      </c>
      <c r="C4">
        <v>0</v>
      </c>
      <c r="D4">
        <v>0</v>
      </c>
      <c r="F4" s="3" t="s">
        <v>19</v>
      </c>
      <c r="G4">
        <v>0</v>
      </c>
      <c r="H4">
        <v>0</v>
      </c>
      <c r="I4">
        <v>0</v>
      </c>
      <c r="J4" s="3" t="s">
        <v>19</v>
      </c>
      <c r="K4">
        <v>0</v>
      </c>
      <c r="L4">
        <v>0</v>
      </c>
      <c r="M4">
        <v>0</v>
      </c>
      <c r="O4" s="61" t="s">
        <v>19</v>
      </c>
      <c r="P4" s="2">
        <v>0</v>
      </c>
      <c r="Q4">
        <v>0</v>
      </c>
      <c r="R4">
        <v>0</v>
      </c>
      <c r="T4" s="15" t="s">
        <v>19</v>
      </c>
      <c r="U4" s="2">
        <v>0</v>
      </c>
      <c r="W4">
        <v>0</v>
      </c>
      <c r="X4">
        <v>0</v>
      </c>
      <c r="Y4" s="15" t="s">
        <v>19</v>
      </c>
      <c r="Z4" s="2">
        <v>0</v>
      </c>
      <c r="AB4">
        <v>0</v>
      </c>
      <c r="AC4">
        <v>0</v>
      </c>
      <c r="AD4" s="15" t="s">
        <v>19</v>
      </c>
      <c r="AE4" s="2">
        <v>0</v>
      </c>
      <c r="AF4" s="2">
        <v>0</v>
      </c>
      <c r="AG4" s="2">
        <v>0</v>
      </c>
      <c r="AH4" s="15" t="s">
        <v>19</v>
      </c>
      <c r="AI4" s="2">
        <v>0</v>
      </c>
      <c r="AJ4">
        <v>0</v>
      </c>
      <c r="AK4">
        <v>0</v>
      </c>
      <c r="AL4" s="15" t="s">
        <v>19</v>
      </c>
      <c r="AM4" s="2">
        <v>12</v>
      </c>
      <c r="AN4" s="2">
        <v>12</v>
      </c>
      <c r="AO4" s="2">
        <v>12</v>
      </c>
      <c r="AP4" s="15" t="s">
        <v>19</v>
      </c>
      <c r="AQ4" s="2">
        <v>12</v>
      </c>
      <c r="AR4" s="2">
        <v>12</v>
      </c>
      <c r="AS4" s="2">
        <v>12</v>
      </c>
      <c r="AT4" s="15" t="s">
        <v>19</v>
      </c>
      <c r="AU4" s="2">
        <v>0</v>
      </c>
      <c r="AV4">
        <v>0</v>
      </c>
      <c r="AW4">
        <v>0</v>
      </c>
      <c r="AX4" s="2"/>
    </row>
    <row r="5" spans="1:50">
      <c r="A5" t="s">
        <v>16</v>
      </c>
      <c r="B5">
        <v>1.8</v>
      </c>
      <c r="C5">
        <v>1</v>
      </c>
      <c r="D5">
        <v>2</v>
      </c>
      <c r="E5" t="s">
        <v>60</v>
      </c>
      <c r="F5" t="s">
        <v>16</v>
      </c>
      <c r="G5">
        <v>1</v>
      </c>
      <c r="H5">
        <v>2</v>
      </c>
      <c r="I5">
        <v>1</v>
      </c>
      <c r="J5" t="s">
        <v>16</v>
      </c>
      <c r="K5">
        <v>30</v>
      </c>
      <c r="L5">
        <v>1</v>
      </c>
      <c r="M5">
        <v>1</v>
      </c>
      <c r="N5" t="s">
        <v>59</v>
      </c>
      <c r="O5" s="60" t="s">
        <v>16</v>
      </c>
      <c r="P5" s="2">
        <v>1</v>
      </c>
      <c r="Q5" s="48">
        <v>0.5</v>
      </c>
      <c r="R5" s="48">
        <v>1</v>
      </c>
      <c r="T5" s="2" t="s">
        <v>16</v>
      </c>
      <c r="U5" s="2">
        <v>2</v>
      </c>
      <c r="V5" s="2" t="s">
        <v>64</v>
      </c>
      <c r="W5">
        <v>1</v>
      </c>
      <c r="X5">
        <v>1</v>
      </c>
      <c r="Y5" s="2" t="s">
        <v>16</v>
      </c>
      <c r="Z5" s="2">
        <v>28</v>
      </c>
      <c r="AA5" s="2" t="s">
        <v>94</v>
      </c>
      <c r="AB5" s="48">
        <v>28</v>
      </c>
      <c r="AC5" s="48">
        <v>28</v>
      </c>
      <c r="AD5" s="2" t="s">
        <v>16</v>
      </c>
      <c r="AE5" s="2">
        <v>1</v>
      </c>
      <c r="AF5" s="2">
        <v>1</v>
      </c>
      <c r="AG5" s="2">
        <v>1</v>
      </c>
      <c r="AH5" s="2" t="s">
        <v>16</v>
      </c>
      <c r="AI5" s="2">
        <v>7</v>
      </c>
      <c r="AJ5" s="48">
        <v>7</v>
      </c>
      <c r="AK5" s="48">
        <v>2</v>
      </c>
      <c r="AL5" s="2" t="s">
        <v>16</v>
      </c>
      <c r="AM5" s="2">
        <v>25</v>
      </c>
      <c r="AN5" s="2">
        <v>22</v>
      </c>
      <c r="AO5" s="2">
        <v>28</v>
      </c>
      <c r="AP5" s="2" t="s">
        <v>16</v>
      </c>
      <c r="AQ5" s="2">
        <v>30</v>
      </c>
      <c r="AR5" s="2">
        <v>29</v>
      </c>
      <c r="AS5" s="2">
        <v>42</v>
      </c>
      <c r="AT5" s="2" t="s">
        <v>16</v>
      </c>
      <c r="AU5" s="2">
        <v>25</v>
      </c>
      <c r="AX5" s="2"/>
    </row>
    <row r="6" spans="1:50">
      <c r="A6" t="s">
        <v>17</v>
      </c>
      <c r="B6">
        <v>0.72299999999999998</v>
      </c>
      <c r="C6">
        <v>0.66700000000000004</v>
      </c>
      <c r="D6">
        <v>0.63819999999999999</v>
      </c>
      <c r="F6" t="s">
        <v>17</v>
      </c>
      <c r="G6">
        <v>0.9</v>
      </c>
      <c r="H6">
        <v>0.7</v>
      </c>
      <c r="I6">
        <v>0.75</v>
      </c>
      <c r="J6" t="s">
        <v>17</v>
      </c>
      <c r="K6">
        <f>1-0.595</f>
        <v>0.40500000000000003</v>
      </c>
      <c r="L6">
        <v>0.3</v>
      </c>
      <c r="M6">
        <v>0.75</v>
      </c>
      <c r="O6" s="60" t="s">
        <v>17</v>
      </c>
      <c r="P6" s="2">
        <f>1-0.15</f>
        <v>0.85</v>
      </c>
      <c r="Q6">
        <v>0.26</v>
      </c>
      <c r="R6">
        <v>0.6</v>
      </c>
      <c r="T6" s="2" t="s">
        <v>17</v>
      </c>
      <c r="U6" s="2">
        <f>T26</f>
        <v>0.77419354838709675</v>
      </c>
      <c r="W6" s="2">
        <v>0.9</v>
      </c>
      <c r="X6">
        <f>T23</f>
        <v>0.40500000000000003</v>
      </c>
      <c r="Y6" s="2" t="s">
        <v>17</v>
      </c>
      <c r="Z6" s="2">
        <f>'Nunes et al'!L11</f>
        <v>0.73376623376623373</v>
      </c>
      <c r="AA6" s="2" t="s">
        <v>95</v>
      </c>
      <c r="AB6">
        <f>'Nunes et al'!G10/'Nunes et al'!H10</f>
        <v>0.59183673469387754</v>
      </c>
      <c r="AC6">
        <f>'Nunes et al'!L5</f>
        <v>0.43870967741935485</v>
      </c>
      <c r="AD6" s="2" t="s">
        <v>17</v>
      </c>
      <c r="AE6" s="46">
        <f>1-AD20</f>
        <v>0.68799999999999994</v>
      </c>
      <c r="AF6" s="46">
        <f>1-0.167</f>
        <v>0.83299999999999996</v>
      </c>
      <c r="AG6" s="46">
        <f>1-0.506</f>
        <v>0.49399999999999999</v>
      </c>
      <c r="AH6" s="2" t="s">
        <v>17</v>
      </c>
      <c r="AI6" s="2">
        <v>0.2</v>
      </c>
      <c r="AJ6">
        <v>0.99999000000000005</v>
      </c>
      <c r="AK6">
        <v>0.6</v>
      </c>
      <c r="AL6" s="2" t="s">
        <v>17</v>
      </c>
      <c r="AM6" s="2">
        <v>0.75</v>
      </c>
      <c r="AN6" s="2">
        <v>0.75</v>
      </c>
      <c r="AO6" s="2">
        <v>0.75</v>
      </c>
      <c r="AP6" s="2" t="s">
        <v>17</v>
      </c>
      <c r="AQ6" s="2">
        <v>0.75</v>
      </c>
      <c r="AR6" s="2">
        <v>0.75</v>
      </c>
      <c r="AS6" s="2">
        <v>0.75</v>
      </c>
      <c r="AT6" s="2" t="s">
        <v>17</v>
      </c>
      <c r="AU6" s="2">
        <v>0.75</v>
      </c>
      <c r="AX6" s="2"/>
    </row>
    <row r="7" spans="1:50">
      <c r="A7" t="s">
        <v>18</v>
      </c>
      <c r="B7">
        <v>3</v>
      </c>
      <c r="C7">
        <v>3</v>
      </c>
      <c r="D7">
        <v>3</v>
      </c>
      <c r="F7" t="s">
        <v>18</v>
      </c>
      <c r="G7">
        <v>57</v>
      </c>
      <c r="H7">
        <v>365.25</v>
      </c>
      <c r="I7">
        <v>7</v>
      </c>
      <c r="J7" t="s">
        <v>18</v>
      </c>
      <c r="K7">
        <v>90</v>
      </c>
      <c r="L7">
        <v>90</v>
      </c>
      <c r="M7">
        <v>7</v>
      </c>
      <c r="O7" s="60" t="s">
        <v>18</v>
      </c>
      <c r="P7" s="2">
        <v>30</v>
      </c>
      <c r="Q7" s="48">
        <v>1</v>
      </c>
      <c r="R7" s="48">
        <v>30</v>
      </c>
      <c r="T7" s="2" t="s">
        <v>18</v>
      </c>
      <c r="U7" s="2">
        <v>90</v>
      </c>
      <c r="W7">
        <v>30</v>
      </c>
      <c r="X7">
        <v>365</v>
      </c>
      <c r="Y7" s="2" t="s">
        <v>18</v>
      </c>
      <c r="Z7" s="2">
        <f>7*26</f>
        <v>182</v>
      </c>
      <c r="AA7" s="2" t="s">
        <v>237</v>
      </c>
      <c r="AB7">
        <f>Z7</f>
        <v>182</v>
      </c>
      <c r="AC7">
        <f>5*7</f>
        <v>35</v>
      </c>
      <c r="AD7" s="2" t="s">
        <v>18</v>
      </c>
      <c r="AE7" s="2">
        <f>AE20</f>
        <v>120</v>
      </c>
      <c r="AF7" s="2">
        <v>90</v>
      </c>
      <c r="AG7" s="2">
        <v>120</v>
      </c>
      <c r="AH7" s="2" t="s">
        <v>18</v>
      </c>
      <c r="AI7" s="2">
        <v>120</v>
      </c>
      <c r="AJ7">
        <f>20125.275</f>
        <v>20125.275000000001</v>
      </c>
      <c r="AK7">
        <f>20125.275/10</f>
        <v>2012.5275000000001</v>
      </c>
      <c r="AL7" s="2" t="s">
        <v>18</v>
      </c>
      <c r="AM7" s="2">
        <v>37.9</v>
      </c>
      <c r="AN7" s="2">
        <v>37.9</v>
      </c>
      <c r="AO7" s="2">
        <v>37.9</v>
      </c>
      <c r="AP7" s="2" t="s">
        <v>18</v>
      </c>
      <c r="AQ7" s="2">
        <v>42.4</v>
      </c>
      <c r="AR7" s="2">
        <v>42.4</v>
      </c>
      <c r="AS7" s="2">
        <v>42.4</v>
      </c>
      <c r="AT7" s="2" t="s">
        <v>18</v>
      </c>
      <c r="AU7" s="2">
        <v>37.9</v>
      </c>
      <c r="AX7" s="2"/>
    </row>
    <row r="8" spans="1:50">
      <c r="B8" t="s">
        <v>327</v>
      </c>
      <c r="C8" t="s">
        <v>328</v>
      </c>
      <c r="D8" t="s">
        <v>326</v>
      </c>
      <c r="L8" t="s">
        <v>329</v>
      </c>
      <c r="O8" s="60"/>
      <c r="Q8"/>
      <c r="R8"/>
      <c r="U8" s="2" t="s">
        <v>330</v>
      </c>
      <c r="W8" t="s">
        <v>331</v>
      </c>
      <c r="X8" t="s">
        <v>65</v>
      </c>
      <c r="AB8"/>
      <c r="AC8"/>
      <c r="AD8" s="2"/>
      <c r="AE8" s="2"/>
      <c r="AF8" s="2"/>
      <c r="AG8" s="2"/>
      <c r="AH8" s="2"/>
      <c r="AI8" s="2"/>
      <c r="AL8" s="2"/>
      <c r="AM8" s="2"/>
      <c r="AN8" s="2"/>
      <c r="AP8" s="2"/>
      <c r="AQ8" s="2"/>
      <c r="AR8" s="2"/>
      <c r="AT8" s="2"/>
      <c r="AU8" s="2"/>
      <c r="AX8" s="2"/>
    </row>
    <row r="9" spans="1:50">
      <c r="A9" t="s">
        <v>25</v>
      </c>
      <c r="F9" t="s">
        <v>25</v>
      </c>
      <c r="J9" t="s">
        <v>25</v>
      </c>
      <c r="O9" s="60" t="s">
        <v>25</v>
      </c>
      <c r="Q9"/>
      <c r="R9"/>
      <c r="T9" s="2" t="s">
        <v>25</v>
      </c>
      <c r="W9"/>
      <c r="X9"/>
      <c r="Y9" s="2" t="s">
        <v>25</v>
      </c>
      <c r="AB9"/>
      <c r="AC9"/>
      <c r="AD9" s="2" t="s">
        <v>25</v>
      </c>
      <c r="AE9" s="2"/>
      <c r="AF9" s="2"/>
      <c r="AG9" s="2"/>
      <c r="AH9" s="2" t="s">
        <v>25</v>
      </c>
      <c r="AI9" s="2"/>
      <c r="AL9" s="2" t="s">
        <v>25</v>
      </c>
      <c r="AM9" s="2"/>
      <c r="AN9" s="2"/>
      <c r="AP9" s="2" t="s">
        <v>25</v>
      </c>
      <c r="AQ9" s="2"/>
      <c r="AR9" s="2"/>
      <c r="AT9" s="2" t="s">
        <v>25</v>
      </c>
      <c r="AU9" s="2"/>
      <c r="AX9" s="2"/>
    </row>
    <row r="10" spans="1:50">
      <c r="A10" t="s">
        <v>26</v>
      </c>
      <c r="B10">
        <f>LN((B5-B4)/(B7-B4))</f>
        <v>-0.51082562376599072</v>
      </c>
      <c r="C10">
        <f>LN((C5-C4)/(C7-C4))</f>
        <v>-1.0986122886681098</v>
      </c>
      <c r="D10">
        <f>LN((D5-D4)/(D7-D4))</f>
        <v>-0.40546510810816444</v>
      </c>
      <c r="F10" t="s">
        <v>26</v>
      </c>
      <c r="G10">
        <f>LN((G5-G4)/(G7-G4))</f>
        <v>-4.0430512678345503</v>
      </c>
      <c r="H10">
        <f>LN((H5-H4)/(H7-H4))</f>
        <v>-5.2074348700708635</v>
      </c>
      <c r="I10">
        <f>LN((I5-I4)/(I7-I4))</f>
        <v>-1.9459101490553135</v>
      </c>
      <c r="J10" t="s">
        <v>26</v>
      </c>
      <c r="K10">
        <f>LN((K5-K4)/(K7-K4))</f>
        <v>-1.0986122886681098</v>
      </c>
      <c r="L10">
        <f>LN((L5-L4)/(L7-L4))</f>
        <v>-4.499809670330265</v>
      </c>
      <c r="M10">
        <f>LN((M5-M4)/(M7-M4))</f>
        <v>-1.9459101490553135</v>
      </c>
      <c r="O10" s="60" t="s">
        <v>26</v>
      </c>
      <c r="P10" s="2">
        <f>LN((P5-P4)/(P7-P4))</f>
        <v>-3.4011973816621555</v>
      </c>
      <c r="Q10">
        <f>LN((Q5-Q4)/(Q7-Q4))</f>
        <v>-0.69314718055994529</v>
      </c>
      <c r="R10">
        <f>LN((R5-R4)/(R7-R4))</f>
        <v>-3.4011973816621555</v>
      </c>
      <c r="T10" s="2" t="s">
        <v>26</v>
      </c>
      <c r="U10" s="2">
        <f>LN((U5-U4)/(U7-U4))</f>
        <v>-3.8066624897703196</v>
      </c>
      <c r="W10">
        <f>LN((W5-W4)/(W7-W4))</f>
        <v>-3.4011973816621555</v>
      </c>
      <c r="X10">
        <f>LN((X5-X4)/(X7-X4))</f>
        <v>-5.8998973535824915</v>
      </c>
      <c r="Y10" s="2" t="s">
        <v>26</v>
      </c>
      <c r="Z10" s="2">
        <f>LN((Z5-Z4)/(Z7-Z4))</f>
        <v>-1.8718021769015913</v>
      </c>
      <c r="AB10">
        <f>LN((AB5-AB4)/(AB7-AB4))</f>
        <v>-1.8718021769015913</v>
      </c>
      <c r="AC10">
        <f>LN((AC5-AC4)/(AC7-AC4))</f>
        <v>-0.22314355131420971</v>
      </c>
      <c r="AD10" s="2" t="s">
        <v>26</v>
      </c>
      <c r="AE10" s="2">
        <f>LN((AE5-AE4)/(AE7-AE4))</f>
        <v>-4.7874917427820458</v>
      </c>
      <c r="AF10" s="2">
        <f>LN((AF5-AF4)/(AF7-AF4))</f>
        <v>-4.499809670330265</v>
      </c>
      <c r="AG10" s="2">
        <f>LN((AG5-AG4)/(AG7-AG4))</f>
        <v>-4.7874917427820458</v>
      </c>
      <c r="AH10" s="2" t="s">
        <v>26</v>
      </c>
      <c r="AI10" s="2">
        <f>LN((AI5-AI4)/(AI7-AI4))</f>
        <v>-2.8415815937267328</v>
      </c>
      <c r="AJ10">
        <f>LN((AJ5-AJ4)/(AJ7-AJ4))</f>
        <v>-7.9638216177343644</v>
      </c>
      <c r="AK10">
        <f>LN((AK5-AK4)/(AK7-AK4))</f>
        <v>-6.9139994932356865</v>
      </c>
      <c r="AL10" s="2" t="s">
        <v>26</v>
      </c>
      <c r="AM10" s="2">
        <f>LN((AM5-AM4)/(AM7-AM4))</f>
        <v>-0.68929361124395538</v>
      </c>
      <c r="AN10" s="2">
        <f>LN((AN5-AN4)/(AN7-AN4))</f>
        <v>-0.95165787571144633</v>
      </c>
      <c r="AO10" s="2">
        <f>LN((AO5-AO4)/(AO7-AO4))</f>
        <v>-0.48165424646571087</v>
      </c>
      <c r="AP10" s="2" t="s">
        <v>26</v>
      </c>
      <c r="AQ10" s="2">
        <f>LN((AQ5-AQ4)/(AQ7-AQ4))</f>
        <v>-0.52407085051601121</v>
      </c>
      <c r="AR10" s="2">
        <f>LN((AR5-AR4)/(AR7-AR4))</f>
        <v>-0.5812292643559599</v>
      </c>
      <c r="AS10" s="2">
        <f>LN((AS5-AS4)/(AS7-AS4))</f>
        <v>-1.3245226750020567E-2</v>
      </c>
      <c r="AT10" s="2" t="s">
        <v>26</v>
      </c>
      <c r="AU10" s="2">
        <f>LN((AU5-AU4)/(AU7-AU4))</f>
        <v>-0.41607528722017995</v>
      </c>
      <c r="AV10" t="e">
        <f>LN((AV5-AV4)/(AV7-AV4))</f>
        <v>#DIV/0!</v>
      </c>
      <c r="AW10" t="e">
        <f>LN((AW5-AW4)/(AW7-AW4))</f>
        <v>#DIV/0!</v>
      </c>
      <c r="AX10" s="2"/>
    </row>
    <row r="11" spans="1:50">
      <c r="A11" t="s">
        <v>28</v>
      </c>
      <c r="B11">
        <f>_xlfn.NORM.INV(B6,0,1)^2</f>
        <v>0.35019988823808079</v>
      </c>
      <c r="C11">
        <f>_xlfn.NORM.INV(C6,0,1)^2</f>
        <v>0.18631674939335408</v>
      </c>
      <c r="D11">
        <f>_xlfn.NORM.INV(D6,0,1)^2</f>
        <v>0.12506945316237655</v>
      </c>
      <c r="F11" t="s">
        <v>28</v>
      </c>
      <c r="G11">
        <f>_xlfn.NORM.INV(G6,0,1)^2</f>
        <v>1.6423744151498167</v>
      </c>
      <c r="H11">
        <f>_xlfn.NORM.INV(H6,0,1)^2</f>
        <v>0.27499589772845606</v>
      </c>
      <c r="I11">
        <f>_xlfn.NORM.INV(I6,0,1)^2</f>
        <v>0.454936423119573</v>
      </c>
      <c r="J11" t="s">
        <v>28</v>
      </c>
      <c r="K11">
        <f>_xlfn.NORM.INV(K6,0,1)^2</f>
        <v>5.7804676450842009E-2</v>
      </c>
      <c r="L11">
        <f>_xlfn.NORM.INV(L6,0,1)^2</f>
        <v>0.27499589772845617</v>
      </c>
      <c r="M11">
        <f>_xlfn.NORM.INV(M6,0,1)^2</f>
        <v>0.454936423119573</v>
      </c>
      <c r="O11" s="60" t="s">
        <v>28</v>
      </c>
      <c r="P11" s="2">
        <f>_xlfn.NORM.INV(P6,0,1)^2</f>
        <v>1.074194170857586</v>
      </c>
      <c r="Q11">
        <f>_xlfn.NORM.INV(Q6,0,1)^2</f>
        <v>0.41389331064017665</v>
      </c>
      <c r="R11">
        <f>_xlfn.NORM.INV(R6,0,1)^2</f>
        <v>6.4184754667301572E-2</v>
      </c>
      <c r="T11" s="2" t="s">
        <v>28</v>
      </c>
      <c r="U11" s="2">
        <f>_xlfn.NORM.INV(U6,0,1)^2</f>
        <v>0.5666006377053584</v>
      </c>
      <c r="W11">
        <f>_xlfn.NORM.INV(W6,0,1)^2</f>
        <v>1.6423744151498167</v>
      </c>
      <c r="X11">
        <f>_xlfn.NORM.INV(X6,0,1)^2</f>
        <v>5.7804676450842009E-2</v>
      </c>
      <c r="Y11" s="2" t="s">
        <v>28</v>
      </c>
      <c r="Z11" s="2">
        <f>_xlfn.NORM.INV(Z6,0,1)^2</f>
        <v>0.38968023349081893</v>
      </c>
      <c r="AB11">
        <f>_xlfn.NORM.INV(AB6,0,1)^2</f>
        <v>5.395041831967911E-2</v>
      </c>
      <c r="AC11">
        <f>_xlfn.NORM.INV(AC6,0,1)^2</f>
        <v>2.3790427247149314E-2</v>
      </c>
      <c r="AD11" s="2" t="s">
        <v>28</v>
      </c>
      <c r="AE11" s="2">
        <f>_xlfn.NORM.INV(AE6,0,1)^2</f>
        <v>0.24028548288954715</v>
      </c>
      <c r="AF11" s="2">
        <f>_xlfn.NORM.INV(AF6,0,1)^2</f>
        <v>0.93332659785612859</v>
      </c>
      <c r="AG11" s="2">
        <f>_xlfn.NORM.INV(AG6,0,1)^2</f>
        <v>2.2621172740671346E-4</v>
      </c>
      <c r="AH11" s="2" t="s">
        <v>28</v>
      </c>
      <c r="AI11" s="2">
        <f>_xlfn.NORM.INV(AI6,0,1)^2</f>
        <v>0.70832630080079428</v>
      </c>
      <c r="AJ11">
        <f>_xlfn.NORM.INV(AJ6,0,1)^2</f>
        <v>18.189293484096321</v>
      </c>
      <c r="AK11">
        <f>_xlfn.NORM.INV(AK6,0,1)^2</f>
        <v>6.4184754667301572E-2</v>
      </c>
      <c r="AL11" s="2" t="s">
        <v>28</v>
      </c>
      <c r="AM11" s="2">
        <f>_xlfn.NORM.INV(AM6,0,1)^2</f>
        <v>0.454936423119573</v>
      </c>
      <c r="AN11" s="2">
        <f>_xlfn.NORM.INV(AN6,0,1)^2</f>
        <v>0.454936423119573</v>
      </c>
      <c r="AO11" s="2">
        <f>_xlfn.NORM.INV(AO6,0,1)^2</f>
        <v>0.454936423119573</v>
      </c>
      <c r="AP11" s="2" t="s">
        <v>28</v>
      </c>
      <c r="AQ11" s="2">
        <f>_xlfn.NORM.INV(AQ6,0,1)^2</f>
        <v>0.454936423119573</v>
      </c>
      <c r="AR11" s="2">
        <f>_xlfn.NORM.INV(AR6,0,1)^2</f>
        <v>0.454936423119573</v>
      </c>
      <c r="AS11" s="2">
        <f>_xlfn.NORM.INV(AS6,0,1)^2</f>
        <v>0.454936423119573</v>
      </c>
      <c r="AT11" s="2" t="s">
        <v>28</v>
      </c>
      <c r="AU11" s="2">
        <f>_xlfn.NORM.INV(AU6,0,1)^2</f>
        <v>0.454936423119573</v>
      </c>
      <c r="AV11" t="e">
        <f>_xlfn.NORM.INV(AV6,0,1)^2</f>
        <v>#NUM!</v>
      </c>
      <c r="AW11" t="e">
        <f>_xlfn.NORM.INV(AW6,0,1)^2</f>
        <v>#NUM!</v>
      </c>
      <c r="AX11" s="2"/>
    </row>
    <row r="12" spans="1:50">
      <c r="A12" t="s">
        <v>29</v>
      </c>
      <c r="B12">
        <f>B11-(4*B10)</f>
        <v>2.3935023833020437</v>
      </c>
      <c r="C12">
        <f>C11-(4*C10)</f>
        <v>4.5807659040657933</v>
      </c>
      <c r="D12">
        <f>D11-(4*D10)</f>
        <v>1.7469298855950344</v>
      </c>
      <c r="F12" t="s">
        <v>29</v>
      </c>
      <c r="G12">
        <f>G11-(4*G10)</f>
        <v>17.814579486488018</v>
      </c>
      <c r="H12">
        <f>H11-(4*H10)</f>
        <v>21.10473537801191</v>
      </c>
      <c r="I12">
        <f>I11-(4*I10)</f>
        <v>8.238577019340827</v>
      </c>
      <c r="J12" t="s">
        <v>29</v>
      </c>
      <c r="K12">
        <f>K11-(4*K10)</f>
        <v>4.4522538311232811</v>
      </c>
      <c r="L12">
        <f>L11-(4*L10)</f>
        <v>18.274234579049516</v>
      </c>
      <c r="M12">
        <f>M11-(4*M10)</f>
        <v>8.238577019340827</v>
      </c>
      <c r="O12" s="60" t="s">
        <v>29</v>
      </c>
      <c r="P12" s="2">
        <f>P11-(4*P10)</f>
        <v>14.678983697506208</v>
      </c>
      <c r="Q12">
        <f>Q11-(4*Q10)</f>
        <v>3.1864820328799577</v>
      </c>
      <c r="R12">
        <f>R11-(4*R10)</f>
        <v>13.668974281315924</v>
      </c>
      <c r="T12" s="2" t="s">
        <v>29</v>
      </c>
      <c r="U12" s="2">
        <f>U11-(4*U10)</f>
        <v>15.793250596786637</v>
      </c>
      <c r="W12">
        <f>W11-(4*W10)</f>
        <v>15.247163941798439</v>
      </c>
      <c r="X12">
        <f>X11-(4*X10)</f>
        <v>23.657394090780809</v>
      </c>
      <c r="Y12" s="2" t="s">
        <v>29</v>
      </c>
      <c r="Z12" s="2">
        <f>Z11-(4*Z10)</f>
        <v>7.8768889410971843</v>
      </c>
      <c r="AB12">
        <f>AB11-(4*AB10)</f>
        <v>7.5411591259260442</v>
      </c>
      <c r="AC12">
        <f>AC11-(4*AC10)</f>
        <v>0.91636463250398814</v>
      </c>
      <c r="AD12" s="2" t="s">
        <v>29</v>
      </c>
      <c r="AE12" s="2">
        <f>AE11-(4*AE10)</f>
        <v>19.39025245401773</v>
      </c>
      <c r="AF12" s="2">
        <f>AF11-(4*AF10)</f>
        <v>18.93256527917719</v>
      </c>
      <c r="AG12" s="2">
        <f>AG11-(4*AG10)</f>
        <v>19.150193182855588</v>
      </c>
      <c r="AH12" s="2" t="s">
        <v>29</v>
      </c>
      <c r="AI12" s="2">
        <f>AI11-(4*AI10)</f>
        <v>12.074652675707725</v>
      </c>
      <c r="AJ12">
        <f>AJ11-(4*AJ10)</f>
        <v>50.044579955033782</v>
      </c>
      <c r="AK12">
        <f>AK11-(4*AK10)</f>
        <v>27.720182727610048</v>
      </c>
      <c r="AL12" s="2" t="s">
        <v>29</v>
      </c>
      <c r="AM12" s="2">
        <f>AM11-(4*AM10)</f>
        <v>3.2121108680953947</v>
      </c>
      <c r="AN12" s="2">
        <f>AN11-(4*AN10)</f>
        <v>4.2615679259653581</v>
      </c>
      <c r="AO12" s="2">
        <f>AO11-(4*AO10)</f>
        <v>2.3815534089824166</v>
      </c>
      <c r="AP12" s="2" t="s">
        <v>29</v>
      </c>
      <c r="AQ12" s="2">
        <f>AQ11-(4*AQ10)</f>
        <v>2.551219825183618</v>
      </c>
      <c r="AR12" s="2">
        <f>AR11-(4*AR10)</f>
        <v>2.7798534805434127</v>
      </c>
      <c r="AS12" s="2">
        <f>AS11-(4*AS10)</f>
        <v>0.50791733011965523</v>
      </c>
      <c r="AT12" s="2" t="s">
        <v>29</v>
      </c>
      <c r="AU12" s="2">
        <f>AU11-(4*AU10)</f>
        <v>2.1192375720002929</v>
      </c>
      <c r="AV12" t="e">
        <f>AV11-(4*AV10)</f>
        <v>#NUM!</v>
      </c>
      <c r="AW12" t="e">
        <f>AW11-(4*AW10)</f>
        <v>#NUM!</v>
      </c>
      <c r="AX12" s="2"/>
    </row>
    <row r="13" spans="1:50">
      <c r="A13" t="s">
        <v>27</v>
      </c>
      <c r="B13">
        <f>SQRT(B12)</f>
        <v>1.5470948203979107</v>
      </c>
      <c r="C13">
        <f>SQRT(C12)</f>
        <v>2.1402723901564009</v>
      </c>
      <c r="D13">
        <f>SQRT(D12)</f>
        <v>1.3217147519775341</v>
      </c>
      <c r="F13" t="s">
        <v>27</v>
      </c>
      <c r="G13">
        <f>SQRT(G12)</f>
        <v>4.2207321031413514</v>
      </c>
      <c r="H13">
        <f>SQRT(H12)</f>
        <v>4.5939890485298189</v>
      </c>
      <c r="I13">
        <f>SQRT(I12)</f>
        <v>2.8702921487787312</v>
      </c>
      <c r="J13" t="s">
        <v>27</v>
      </c>
      <c r="K13">
        <f>SQRT(K12)</f>
        <v>2.1100364525579365</v>
      </c>
      <c r="L13">
        <f>SQRT(L12)</f>
        <v>4.2748373745733899</v>
      </c>
      <c r="M13">
        <f>SQRT(M12)</f>
        <v>2.8702921487787312</v>
      </c>
      <c r="O13" s="60" t="s">
        <v>27</v>
      </c>
      <c r="P13" s="2">
        <f>SQRT(P12)</f>
        <v>3.8313161834422136</v>
      </c>
      <c r="Q13">
        <f>SQRT(Q12)</f>
        <v>1.7850719965536286</v>
      </c>
      <c r="R13">
        <f>SQRT(R12)</f>
        <v>3.6971575948714879</v>
      </c>
      <c r="T13" s="2" t="s">
        <v>27</v>
      </c>
      <c r="U13" s="2">
        <f>SQRT(U12)</f>
        <v>3.9740722938550874</v>
      </c>
      <c r="W13">
        <f>SQRT(W12)</f>
        <v>3.9047617010258691</v>
      </c>
      <c r="X13">
        <f>SQRT(X12)</f>
        <v>4.8638867267629502</v>
      </c>
      <c r="Y13" s="2" t="s">
        <v>27</v>
      </c>
      <c r="Z13" s="2">
        <f>SQRT(Z12)</f>
        <v>2.806579580396249</v>
      </c>
      <c r="AB13">
        <f>SQRT(AB12)</f>
        <v>2.746117099820407</v>
      </c>
      <c r="AC13">
        <f>SQRT(AC12)</f>
        <v>0.9572693625641574</v>
      </c>
      <c r="AD13" s="2" t="s">
        <v>27</v>
      </c>
      <c r="AE13" s="2">
        <f>SQRT(AE12)</f>
        <v>4.4034364369226147</v>
      </c>
      <c r="AF13" s="2">
        <f>SQRT(AF12)</f>
        <v>4.3511567748332389</v>
      </c>
      <c r="AG13" s="2">
        <f>SQRT(AG12)</f>
        <v>4.376093369988304</v>
      </c>
      <c r="AH13" s="2" t="s">
        <v>27</v>
      </c>
      <c r="AI13" s="2">
        <f>SQRT(AI12)</f>
        <v>3.4748600944077914</v>
      </c>
      <c r="AJ13">
        <f>SQRT(AJ12)</f>
        <v>7.0742193883872293</v>
      </c>
      <c r="AK13">
        <f>SQRT(AK12)</f>
        <v>5.2649959855264896</v>
      </c>
      <c r="AL13" s="2" t="s">
        <v>27</v>
      </c>
      <c r="AM13" s="2">
        <f>SQRT(AM12)</f>
        <v>1.7922362757447452</v>
      </c>
      <c r="AN13" s="2">
        <f>SQRT(AN12)</f>
        <v>2.0643565404177058</v>
      </c>
      <c r="AO13" s="2">
        <f>SQRT(AO12)</f>
        <v>1.543228242672618</v>
      </c>
      <c r="AP13" s="2" t="s">
        <v>27</v>
      </c>
      <c r="AQ13" s="2">
        <f>SQRT(AQ12)</f>
        <v>1.5972538386817601</v>
      </c>
      <c r="AR13" s="2">
        <f>SQRT(AR12)</f>
        <v>1.6672892612091679</v>
      </c>
      <c r="AS13" s="2">
        <f>SQRT(AS12)</f>
        <v>0.71268319056903207</v>
      </c>
      <c r="AT13" s="2" t="s">
        <v>27</v>
      </c>
      <c r="AU13" s="2">
        <f>SQRT(AU12)</f>
        <v>1.4557601354619836</v>
      </c>
      <c r="AV13" t="e">
        <f>SQRT(AV12)</f>
        <v>#NUM!</v>
      </c>
      <c r="AW13" t="e">
        <f>SQRT(AW12)</f>
        <v>#NUM!</v>
      </c>
      <c r="AX13" s="2"/>
    </row>
    <row r="14" spans="1:50">
      <c r="A14" t="s">
        <v>245</v>
      </c>
      <c r="B14">
        <f>_xlfn.NORM.INV(B6,0,1)*-1</f>
        <v>-0.59177689059144645</v>
      </c>
      <c r="C14">
        <f>_xlfn.NORM.INV(C6,0,1)*-1</f>
        <v>-0.43164423938395619</v>
      </c>
      <c r="D14">
        <f>_xlfn.NORM.INV(D6,0,1)*-1</f>
        <v>-0.35365159855764339</v>
      </c>
      <c r="F14" t="s">
        <v>245</v>
      </c>
      <c r="G14">
        <f>_xlfn.NORM.INV(G6,0,1)*-1</f>
        <v>-1.2815515655446006</v>
      </c>
      <c r="H14">
        <f>_xlfn.NORM.INV(H6,0,1)*-1</f>
        <v>-0.52440051270804078</v>
      </c>
      <c r="I14">
        <f>_xlfn.NORM.INV(I6,0,1)*-1</f>
        <v>-0.67448975019608193</v>
      </c>
      <c r="J14" t="s">
        <v>245</v>
      </c>
      <c r="K14">
        <f>_xlfn.NORM.INV(K6,0,1)*-1</f>
        <v>0.2404260311423079</v>
      </c>
      <c r="L14">
        <f>_xlfn.NORM.INV(L6,0,1)*-1</f>
        <v>0.52440051270804089</v>
      </c>
      <c r="M14">
        <f>_xlfn.NORM.INV(M6,0,1)*-1</f>
        <v>-0.67448975019608193</v>
      </c>
      <c r="O14" s="60" t="s">
        <v>245</v>
      </c>
      <c r="P14" s="2">
        <f>_xlfn.NORM.INV(P6,0,1)*-1</f>
        <v>-1.0364333894937898</v>
      </c>
      <c r="Q14">
        <f>_xlfn.NORM.INV(Q6,0,1)*-1</f>
        <v>0.64334540539291696</v>
      </c>
      <c r="R14">
        <f>_xlfn.NORM.INV(R6,0,1)*-1</f>
        <v>-0.25334710313579978</v>
      </c>
      <c r="T14" s="2" t="s">
        <v>245</v>
      </c>
      <c r="U14" s="2">
        <f>_xlfn.NORM.INV(U6,0,1)*-1</f>
        <v>-0.75272879425816996</v>
      </c>
      <c r="W14">
        <f>_xlfn.NORM.INV(W6,0,1)*-1</f>
        <v>-1.2815515655446006</v>
      </c>
      <c r="X14">
        <f>_xlfn.NORM.INV(X6,0,1)*-1</f>
        <v>0.2404260311423079</v>
      </c>
      <c r="Y14" s="2" t="s">
        <v>245</v>
      </c>
      <c r="Z14" s="2">
        <f>_xlfn.NORM.INV(Z6,0,1)*-1</f>
        <v>-0.62424372923628069</v>
      </c>
      <c r="AB14">
        <f>_xlfn.NORM.INV(AB6,0,1)*-1</f>
        <v>-0.23227229348262593</v>
      </c>
      <c r="AC14">
        <f>_xlfn.NORM.INV(AC6,0,1)*-1</f>
        <v>0.15424145761483621</v>
      </c>
      <c r="AD14" s="2" t="s">
        <v>245</v>
      </c>
      <c r="AE14" s="2">
        <f>_xlfn.NORM.INV(AE6,0,1)*-1</f>
        <v>-0.49018923171520928</v>
      </c>
      <c r="AF14" s="2">
        <f>_xlfn.NORM.INV(AF6,0,1)*-1</f>
        <v>-0.96608829713237321</v>
      </c>
      <c r="AG14" s="2">
        <f>_xlfn.NORM.INV(AG6,0,1)*-1</f>
        <v>1.504033667863567E-2</v>
      </c>
      <c r="AH14" s="2" t="s">
        <v>245</v>
      </c>
      <c r="AI14" s="2">
        <f>_xlfn.NORM.INV(AI6,0,1)*-1</f>
        <v>0.84162123357291452</v>
      </c>
      <c r="AJ14">
        <f>_xlfn.NORM.INV(AJ6,0,1)*-1</f>
        <v>-4.2648907939238399</v>
      </c>
      <c r="AK14">
        <f>_xlfn.NORM.INV(AK6,0,1)*-1</f>
        <v>-0.25334710313579978</v>
      </c>
      <c r="AL14" s="2" t="s">
        <v>245</v>
      </c>
      <c r="AM14" s="2">
        <f>_xlfn.NORM.INV(AM6,0,1)*-1</f>
        <v>-0.67448975019608193</v>
      </c>
      <c r="AN14" s="2">
        <f>_xlfn.NORM.INV(AN6,0,1)*-1</f>
        <v>-0.67448975019608193</v>
      </c>
      <c r="AO14" s="2">
        <f>_xlfn.NORM.INV(AO6,0,1)*-1</f>
        <v>-0.67448975019608193</v>
      </c>
      <c r="AP14" s="2" t="s">
        <v>245</v>
      </c>
      <c r="AQ14" s="2">
        <f>_xlfn.NORM.INV(AQ6,0,1)*-1</f>
        <v>-0.67448975019608193</v>
      </c>
      <c r="AR14" s="2">
        <f>_xlfn.NORM.INV(AR6,0,1)*-1</f>
        <v>-0.67448975019608193</v>
      </c>
      <c r="AS14" s="2">
        <f>_xlfn.NORM.INV(AS6,0,1)*-1</f>
        <v>-0.67448975019608193</v>
      </c>
      <c r="AT14" s="2" t="s">
        <v>245</v>
      </c>
      <c r="AU14" s="2">
        <f>_xlfn.NORM.INV(AU6,0,1)*-1</f>
        <v>-0.67448975019608193</v>
      </c>
      <c r="AV14" t="e">
        <f>_xlfn.NORM.INV(AV6,0,1)*-1</f>
        <v>#NUM!</v>
      </c>
      <c r="AW14" t="e">
        <f>_xlfn.NORM.INV(AW6,0,1)*-1</f>
        <v>#NUM!</v>
      </c>
      <c r="AX14" s="2"/>
    </row>
    <row r="15" spans="1:50">
      <c r="O15" s="60"/>
      <c r="Q15"/>
      <c r="R15"/>
      <c r="W15"/>
      <c r="X15"/>
      <c r="AB15"/>
      <c r="AC15"/>
      <c r="AD15" s="2"/>
      <c r="AE15" s="2"/>
      <c r="AF15" s="2"/>
      <c r="AG15" s="2"/>
      <c r="AH15" s="2"/>
      <c r="AI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X15" s="2"/>
    </row>
    <row r="16" spans="1:50">
      <c r="A16" t="s">
        <v>23</v>
      </c>
      <c r="F16" t="s">
        <v>23</v>
      </c>
      <c r="J16" t="s">
        <v>23</v>
      </c>
      <c r="O16" s="60" t="s">
        <v>23</v>
      </c>
      <c r="Q16"/>
      <c r="R16"/>
      <c r="T16" s="2" t="s">
        <v>23</v>
      </c>
      <c r="W16"/>
      <c r="X16"/>
      <c r="Y16" s="2" t="s">
        <v>23</v>
      </c>
      <c r="AB16"/>
      <c r="AC16"/>
      <c r="AD16" s="2" t="s">
        <v>23</v>
      </c>
      <c r="AE16" s="2"/>
      <c r="AF16" s="2"/>
      <c r="AG16" s="2"/>
      <c r="AH16" s="2" t="s">
        <v>23</v>
      </c>
      <c r="AI16" s="2"/>
      <c r="AL16" s="2" t="s">
        <v>23</v>
      </c>
      <c r="AM16" s="2"/>
      <c r="AN16" s="2"/>
      <c r="AO16" s="2"/>
      <c r="AP16" s="2" t="s">
        <v>23</v>
      </c>
      <c r="AQ16" s="2"/>
      <c r="AR16" s="2"/>
      <c r="AS16" s="2"/>
      <c r="AT16" s="2" t="s">
        <v>23</v>
      </c>
      <c r="AU16" s="2"/>
      <c r="AX16" s="2"/>
    </row>
    <row r="17" spans="1:50">
      <c r="A17" t="s">
        <v>21</v>
      </c>
      <c r="B17" s="1">
        <f>(B14+B13)/2</f>
        <v>0.47765896490323212</v>
      </c>
      <c r="C17" s="1">
        <f>(C14+C13)/2</f>
        <v>0.85431407538622239</v>
      </c>
      <c r="D17" s="1">
        <f>(D14+D13)/2</f>
        <v>0.48403157670994534</v>
      </c>
      <c r="F17" t="s">
        <v>21</v>
      </c>
      <c r="G17" s="1">
        <f>(G14+G13)/2</f>
        <v>1.4695902687983753</v>
      </c>
      <c r="H17" s="1">
        <f>(H14+H13)/2</f>
        <v>2.0347942679108892</v>
      </c>
      <c r="I17" s="1">
        <f>(I14+I13)/2</f>
        <v>1.0979011992913246</v>
      </c>
      <c r="J17" t="s">
        <v>21</v>
      </c>
      <c r="K17" s="1">
        <f>(K14+K13)/2</f>
        <v>1.1752312418501223</v>
      </c>
      <c r="L17" s="1">
        <f>(L14+L13)/2</f>
        <v>2.3996189436407152</v>
      </c>
      <c r="M17" s="1">
        <f>(M14+M13)/2</f>
        <v>1.0979011992913246</v>
      </c>
      <c r="O17" s="60" t="s">
        <v>21</v>
      </c>
      <c r="P17" s="16">
        <f>(P14+P13)/2</f>
        <v>1.3974413969742119</v>
      </c>
      <c r="Q17" s="1">
        <f>(Q14+Q13)/2</f>
        <v>1.2142087009732727</v>
      </c>
      <c r="R17" s="1">
        <f>(R14+R13)/2</f>
        <v>1.7219052458678441</v>
      </c>
      <c r="T17" s="2" t="s">
        <v>21</v>
      </c>
      <c r="U17" s="16">
        <f>(U14+U13)/2</f>
        <v>1.6106717497984588</v>
      </c>
      <c r="W17" s="1">
        <f>(W14+W13)/2</f>
        <v>1.3116050677406341</v>
      </c>
      <c r="X17" s="1">
        <f>(X14+X13)/2</f>
        <v>2.5521563789526289</v>
      </c>
      <c r="Y17" s="2" t="s">
        <v>21</v>
      </c>
      <c r="Z17" s="16">
        <f>(Z14+Z13)/2</f>
        <v>1.0911679255799842</v>
      </c>
      <c r="AB17" s="1">
        <f>(AB14+AB13)/2</f>
        <v>1.2569224031688906</v>
      </c>
      <c r="AC17" s="1">
        <f>(AC14+AC13)/2</f>
        <v>0.5557554100894968</v>
      </c>
      <c r="AD17" s="2" t="s">
        <v>21</v>
      </c>
      <c r="AE17" s="16">
        <f>(AE14+AE13)/2</f>
        <v>1.9566236026037027</v>
      </c>
      <c r="AF17" s="16">
        <f>(AF14+AF13)/2</f>
        <v>1.692534238850433</v>
      </c>
      <c r="AG17" s="16">
        <f>(AG14+AG13)/2</f>
        <v>2.19556685333347</v>
      </c>
      <c r="AH17" s="2" t="s">
        <v>21</v>
      </c>
      <c r="AI17" s="16">
        <f>(AI14+AI13)/2</f>
        <v>2.1582406639903531</v>
      </c>
      <c r="AJ17" s="1">
        <f>(AJ14+AJ13)/2</f>
        <v>1.4046642972316947</v>
      </c>
      <c r="AK17" s="1">
        <f>(AK14+AK13)/2</f>
        <v>2.5058244411953448</v>
      </c>
      <c r="AL17" s="2" t="s">
        <v>21</v>
      </c>
      <c r="AM17" s="16">
        <f>(AM14+AM13)/2</f>
        <v>0.55887326277433158</v>
      </c>
      <c r="AN17" s="16">
        <f>(AN14+AN13)/2</f>
        <v>0.69493339511081187</v>
      </c>
      <c r="AO17" s="16">
        <f>(AO14+AO13)/2</f>
        <v>0.43436924623826806</v>
      </c>
      <c r="AP17" s="2" t="s">
        <v>21</v>
      </c>
      <c r="AQ17" s="16">
        <f>(AQ14+AQ13)/2</f>
        <v>0.46138204424283907</v>
      </c>
      <c r="AR17" s="16">
        <f>(AR14+AR13)/2</f>
        <v>0.49639975550654297</v>
      </c>
      <c r="AS17" s="16">
        <f>(AS14+AS13)/2</f>
        <v>1.9096720186475069E-2</v>
      </c>
      <c r="AT17" s="2" t="s">
        <v>21</v>
      </c>
      <c r="AU17" s="16">
        <f>(AU14+AU13)/2</f>
        <v>0.39063519263295082</v>
      </c>
      <c r="AV17" s="1" t="e">
        <f>(AV14+AV13)/2</f>
        <v>#NUM!</v>
      </c>
      <c r="AW17" s="1" t="e">
        <f>(AW14+AW13)/2</f>
        <v>#NUM!</v>
      </c>
      <c r="AX17" s="16"/>
    </row>
    <row r="18" spans="1:50">
      <c r="A18" t="s">
        <v>22</v>
      </c>
      <c r="B18" s="1">
        <f>LN(B5-B4)+(B17^2)</f>
        <v>0.81594475165454616</v>
      </c>
      <c r="C18" s="1">
        <f>LN(C5-C4)+(C17^2)</f>
        <v>0.72985253940301609</v>
      </c>
      <c r="D18" s="1">
        <f>LN(D5-D4)+(D17^2)</f>
        <v>0.92743374781226096</v>
      </c>
      <c r="F18" t="s">
        <v>22</v>
      </c>
      <c r="G18" s="1">
        <f>LN(G5-G4)+(G17^2)</f>
        <v>2.1596955581468809</v>
      </c>
      <c r="H18" s="1">
        <f>LN(H5-H4)+(H17^2)</f>
        <v>4.8335348932829572</v>
      </c>
      <c r="I18" s="1">
        <f>LN(I5-I4)+(I17^2)</f>
        <v>1.2053870434053289</v>
      </c>
      <c r="J18" t="s">
        <v>22</v>
      </c>
      <c r="K18" s="1">
        <f>LN(K5-K4)+(K17^2)</f>
        <v>4.7823658534827356</v>
      </c>
      <c r="L18" s="1">
        <f>LN(L5-L4)+(L17^2)</f>
        <v>5.7581710746793817</v>
      </c>
      <c r="M18" s="1">
        <f>LN(M5-M4)+(M17^2)</f>
        <v>1.2053870434053289</v>
      </c>
      <c r="O18" s="60" t="s">
        <v>22</v>
      </c>
      <c r="P18" s="16">
        <f>LN(P5-P4)+(P17^2)</f>
        <v>1.9528424579772368</v>
      </c>
      <c r="Q18" s="1">
        <f>LN(Q5-Q4)+(Q17^2)</f>
        <v>0.78115558895925707</v>
      </c>
      <c r="R18" s="1">
        <f>LN(R5-R4)+(R17^2)</f>
        <v>2.9649576757472005</v>
      </c>
      <c r="T18" s="2" t="s">
        <v>22</v>
      </c>
      <c r="U18" s="16">
        <f>LN(U5-U4)+(U17^2)</f>
        <v>3.2874106661587748</v>
      </c>
      <c r="W18" s="1">
        <f>LN(W5-W4)+(W17^2)</f>
        <v>1.7203078537229135</v>
      </c>
      <c r="X18" s="1">
        <f>LN(X5-X4)+(X17^2)</f>
        <v>6.5135021826285948</v>
      </c>
      <c r="Y18" s="2" t="s">
        <v>22</v>
      </c>
      <c r="Z18" s="16">
        <f>LN(Z5-Z4)+(Z17^2)</f>
        <v>4.5228519519897299</v>
      </c>
      <c r="AB18" s="1">
        <f>LN(AB5-AB4)+(AB17^2)</f>
        <v>4.9120584377630632</v>
      </c>
      <c r="AC18" s="1">
        <f>LN(AC5-AC4)+(AC17^2)</f>
        <v>3.6410685860189487</v>
      </c>
      <c r="AD18" s="2" t="s">
        <v>22</v>
      </c>
      <c r="AE18" s="16">
        <f>LN(AE5-AE4)+(AE17^2)</f>
        <v>3.8283759222658924</v>
      </c>
      <c r="AF18" s="16">
        <f>LN(AF5-AF4)+(AF17^2)</f>
        <v>2.8646721496810144</v>
      </c>
      <c r="AG18" s="16">
        <f>LN(AG5-AG4)+(AG17^2)</f>
        <v>4.8205138074566349</v>
      </c>
      <c r="AH18" s="2" t="s">
        <v>22</v>
      </c>
      <c r="AI18" s="16">
        <f>LN(AI5-AI4)+(AI17^2)</f>
        <v>6.6039129127568339</v>
      </c>
      <c r="AJ18" s="1">
        <f>LN(AJ5-AJ4)+(AJ17^2)</f>
        <v>3.918991936972724</v>
      </c>
      <c r="AK18" s="1">
        <f>LN(AK5-AK4)+(AK17^2)</f>
        <v>6.972303310651907</v>
      </c>
      <c r="AL18" s="2" t="s">
        <v>22</v>
      </c>
      <c r="AM18" s="16">
        <f>LN(AM5-AM4)+(AM17^2)</f>
        <v>2.877288681305564</v>
      </c>
      <c r="AN18" s="16">
        <f>LN(AN5-AN4)+(AN17^2)</f>
        <v>2.7855175166342856</v>
      </c>
      <c r="AO18" s="16">
        <f>LN(AO5-AO4)+(AO17^2)</f>
        <v>2.9612653643173825</v>
      </c>
      <c r="AP18" s="2" t="s">
        <v>22</v>
      </c>
      <c r="AQ18" s="16">
        <f>LN(AQ5-AQ4)+(AQ17^2)</f>
        <v>3.1032451486458656</v>
      </c>
      <c r="AR18" s="16">
        <f>LN(AR5-AR4)+(AR17^2)</f>
        <v>3.0796260613231716</v>
      </c>
      <c r="AS18" s="16">
        <f>LN(AS5-AS4)+(AS17^2)</f>
        <v>3.4015620663840358</v>
      </c>
      <c r="AT18" s="2" t="s">
        <v>22</v>
      </c>
      <c r="AU18" s="16">
        <f>LN(AU5-AU4)+(AU17^2)</f>
        <v>3.371471678591583</v>
      </c>
      <c r="AV18" s="1" t="e">
        <f>LN(AV5-AV4)+(AV17^2)</f>
        <v>#NUM!</v>
      </c>
      <c r="AW18" s="1" t="e">
        <f>LN(AW5-AW4)+(AW17^2)</f>
        <v>#NUM!</v>
      </c>
      <c r="AX18" s="16"/>
    </row>
    <row r="19" spans="1:50" ht="75">
      <c r="O19" s="60"/>
      <c r="T19" s="17" t="s">
        <v>66</v>
      </c>
      <c r="U19" s="2" t="s">
        <v>74</v>
      </c>
      <c r="Y19" s="15" t="s">
        <v>80</v>
      </c>
      <c r="AD19" s="45" t="s">
        <v>226</v>
      </c>
      <c r="AE19" s="45" t="s">
        <v>225</v>
      </c>
      <c r="AF19" s="45"/>
      <c r="AG19" s="26"/>
      <c r="AH19" s="47" t="s">
        <v>222</v>
      </c>
      <c r="AI19" s="26"/>
      <c r="AJ19" s="26"/>
      <c r="AK19" s="26"/>
      <c r="AL19" s="47" t="s">
        <v>222</v>
      </c>
      <c r="AM19" s="26"/>
      <c r="AN19" s="26"/>
      <c r="AO19" s="26"/>
      <c r="AP19" s="47" t="s">
        <v>222</v>
      </c>
      <c r="AQ19" s="26"/>
      <c r="AR19" s="26"/>
      <c r="AS19" s="26"/>
      <c r="AT19" s="47" t="s">
        <v>222</v>
      </c>
      <c r="AU19" s="26"/>
    </row>
    <row r="20" spans="1:50">
      <c r="O20" s="62" t="s">
        <v>97</v>
      </c>
      <c r="S20" s="2" t="s">
        <v>79</v>
      </c>
      <c r="T20" s="18">
        <f>32/(263+32)</f>
        <v>0.10847457627118644</v>
      </c>
      <c r="U20" s="2">
        <f>7*14</f>
        <v>98</v>
      </c>
      <c r="V20" s="2" t="s">
        <v>68</v>
      </c>
      <c r="AD20" s="41">
        <v>0.312</v>
      </c>
      <c r="AE20">
        <v>120</v>
      </c>
      <c r="AG20" t="s">
        <v>68</v>
      </c>
      <c r="AH20" s="2">
        <f>365.25*55.1</f>
        <v>20125.275000000001</v>
      </c>
      <c r="AI20" t="s">
        <v>234</v>
      </c>
      <c r="AL20" s="48" t="s">
        <v>279</v>
      </c>
      <c r="AP20" s="48" t="s">
        <v>279</v>
      </c>
      <c r="AT20" s="48" t="s">
        <v>279</v>
      </c>
    </row>
    <row r="21" spans="1:50" ht="210">
      <c r="J21" s="3" t="s">
        <v>96</v>
      </c>
      <c r="O21" s="60"/>
      <c r="T21" s="15" t="s">
        <v>67</v>
      </c>
      <c r="AD21" s="3" t="s">
        <v>231</v>
      </c>
      <c r="AE21" s="3" t="s">
        <v>232</v>
      </c>
      <c r="AF21" s="3"/>
      <c r="AH21" s="48" t="s">
        <v>235</v>
      </c>
    </row>
    <row r="22" spans="1:50" ht="27" customHeight="1">
      <c r="O22" s="62" t="s">
        <v>98</v>
      </c>
      <c r="S22" s="2" t="s">
        <v>76</v>
      </c>
      <c r="T22" s="17" t="s">
        <v>65</v>
      </c>
      <c r="U22" s="84" t="s">
        <v>75</v>
      </c>
      <c r="V22" s="84"/>
      <c r="W22" s="84"/>
      <c r="X22" s="84"/>
      <c r="Y22" s="84"/>
      <c r="Z22" s="84"/>
      <c r="AA22" s="85"/>
      <c r="AB22" s="73"/>
      <c r="AC22" s="76"/>
      <c r="AD22" t="s">
        <v>228</v>
      </c>
      <c r="AE22" t="s">
        <v>227</v>
      </c>
      <c r="AH22" s="48" t="s">
        <v>236</v>
      </c>
    </row>
    <row r="23" spans="1:50">
      <c r="O23" s="60" t="s">
        <v>100</v>
      </c>
      <c r="T23" s="2">
        <v>0.40500000000000003</v>
      </c>
      <c r="U23" s="2" t="s">
        <v>78</v>
      </c>
      <c r="AD23" t="s">
        <v>229</v>
      </c>
    </row>
    <row r="24" spans="1:50" ht="90">
      <c r="O24" s="63" t="s">
        <v>101</v>
      </c>
      <c r="T24" s="15" t="s">
        <v>69</v>
      </c>
      <c r="AD24" t="s">
        <v>243</v>
      </c>
    </row>
    <row r="25" spans="1:50" ht="40.5" customHeight="1">
      <c r="O25" s="63" t="s">
        <v>99</v>
      </c>
      <c r="S25" s="2" t="s">
        <v>77</v>
      </c>
      <c r="T25" s="17" t="s">
        <v>72</v>
      </c>
      <c r="U25" s="84" t="s">
        <v>71</v>
      </c>
      <c r="V25" s="84"/>
      <c r="W25" s="84"/>
      <c r="X25" s="84"/>
      <c r="Y25" s="84"/>
      <c r="Z25" s="84"/>
      <c r="AA25" s="85"/>
      <c r="AB25" s="73"/>
      <c r="AC25" s="76"/>
      <c r="AD25" s="54">
        <v>0.16700000000000001</v>
      </c>
    </row>
    <row r="26" spans="1:50">
      <c r="O26" s="60"/>
      <c r="T26" s="2">
        <f>48/62</f>
        <v>0.77419354838709675</v>
      </c>
      <c r="U26" s="2" t="s">
        <v>70</v>
      </c>
      <c r="AD26" t="s">
        <v>244</v>
      </c>
    </row>
    <row r="27" spans="1:50">
      <c r="O27" s="60"/>
      <c r="S27" s="2" t="s">
        <v>76</v>
      </c>
      <c r="T27" s="2">
        <f>36/66</f>
        <v>0.54545454545454541</v>
      </c>
      <c r="U27" s="2" t="s">
        <v>70</v>
      </c>
      <c r="AD27" s="53">
        <f>0.506</f>
        <v>0.50600000000000001</v>
      </c>
    </row>
    <row r="28" spans="1:50">
      <c r="O28" s="60"/>
    </row>
    <row r="29" spans="1:50">
      <c r="O29" s="60"/>
    </row>
    <row r="30" spans="1:50">
      <c r="O30" s="60"/>
    </row>
    <row r="31" spans="1:50">
      <c r="O31" s="60"/>
    </row>
    <row r="32" spans="1:50">
      <c r="O32" s="60"/>
    </row>
    <row r="33" spans="15:15">
      <c r="O33" s="60"/>
    </row>
    <row r="34" spans="15:15">
      <c r="O34" s="60"/>
    </row>
    <row r="35" spans="15:15">
      <c r="O35" s="60"/>
    </row>
    <row r="36" spans="15:15">
      <c r="O36" s="60"/>
    </row>
    <row r="37" spans="15:15">
      <c r="O37" s="60"/>
    </row>
    <row r="38" spans="15:15">
      <c r="O38" s="60"/>
    </row>
    <row r="39" spans="15:15">
      <c r="O39" s="60"/>
    </row>
    <row r="40" spans="15:15">
      <c r="O40" s="60"/>
    </row>
    <row r="41" spans="15:15">
      <c r="O41" s="60"/>
    </row>
    <row r="42" spans="15:15">
      <c r="O42" s="60"/>
    </row>
    <row r="43" spans="15:15">
      <c r="O43" s="60"/>
    </row>
    <row r="44" spans="15:15">
      <c r="O44" s="60"/>
    </row>
    <row r="45" spans="15:15">
      <c r="O45" s="60"/>
    </row>
    <row r="46" spans="15:15">
      <c r="O46" s="60"/>
    </row>
    <row r="47" spans="15:15">
      <c r="O47" s="60"/>
    </row>
    <row r="48" spans="15:15">
      <c r="O48" s="60"/>
    </row>
    <row r="49" spans="15:15">
      <c r="O49" s="60"/>
    </row>
    <row r="50" spans="15:15">
      <c r="O50" s="60"/>
    </row>
    <row r="51" spans="15:15">
      <c r="O51" s="60"/>
    </row>
    <row r="52" spans="15:15">
      <c r="O52" s="60"/>
    </row>
    <row r="53" spans="15:15">
      <c r="O53" s="60"/>
    </row>
    <row r="54" spans="15:15">
      <c r="O54" s="60"/>
    </row>
    <row r="55" spans="15:15">
      <c r="O55" s="60"/>
    </row>
    <row r="56" spans="15:15">
      <c r="O56" s="60"/>
    </row>
    <row r="57" spans="15:15">
      <c r="O57" s="60"/>
    </row>
    <row r="58" spans="15:15">
      <c r="O58" s="60"/>
    </row>
    <row r="59" spans="15:15">
      <c r="O59" s="60"/>
    </row>
    <row r="60" spans="15:15">
      <c r="O60" s="60"/>
    </row>
    <row r="61" spans="15:15">
      <c r="O61" s="60"/>
    </row>
    <row r="62" spans="15:15">
      <c r="O62" s="60"/>
    </row>
    <row r="63" spans="15:15">
      <c r="O63" s="60"/>
    </row>
    <row r="64" spans="15:15">
      <c r="O64" s="60"/>
    </row>
    <row r="65" spans="15:15">
      <c r="O65" s="60"/>
    </row>
    <row r="66" spans="15:15">
      <c r="O66" s="60"/>
    </row>
    <row r="67" spans="15:15">
      <c r="O67" s="60"/>
    </row>
    <row r="68" spans="15:15">
      <c r="O68" s="60"/>
    </row>
    <row r="69" spans="15:15">
      <c r="O69" s="60"/>
    </row>
    <row r="70" spans="15:15">
      <c r="O70" s="60"/>
    </row>
    <row r="71" spans="15:15">
      <c r="O71" s="60"/>
    </row>
    <row r="72" spans="15:15">
      <c r="O72" s="60"/>
    </row>
    <row r="73" spans="15:15">
      <c r="O73" s="60"/>
    </row>
    <row r="74" spans="15:15">
      <c r="O74" s="60"/>
    </row>
    <row r="75" spans="15:15">
      <c r="O75" s="60"/>
    </row>
    <row r="76" spans="15:15">
      <c r="O76" s="60"/>
    </row>
    <row r="77" spans="15:15">
      <c r="O77" s="60"/>
    </row>
    <row r="78" spans="15:15">
      <c r="O78" s="60"/>
    </row>
    <row r="79" spans="15:15">
      <c r="O79" s="60"/>
    </row>
    <row r="80" spans="15:15">
      <c r="O80" s="60"/>
    </row>
    <row r="81" spans="15:15">
      <c r="O81" s="60"/>
    </row>
    <row r="82" spans="15:15">
      <c r="O82" s="60"/>
    </row>
    <row r="83" spans="15:15">
      <c r="O83" s="60"/>
    </row>
    <row r="84" spans="15:15">
      <c r="O84" s="60"/>
    </row>
    <row r="85" spans="15:15">
      <c r="O85" s="60"/>
    </row>
    <row r="86" spans="15:15">
      <c r="O86" s="60"/>
    </row>
    <row r="87" spans="15:15">
      <c r="O87" s="60"/>
    </row>
    <row r="88" spans="15:15">
      <c r="O88" s="60"/>
    </row>
    <row r="89" spans="15:15">
      <c r="O89" s="60"/>
    </row>
    <row r="90" spans="15:15">
      <c r="O90" s="60"/>
    </row>
    <row r="91" spans="15:15">
      <c r="O91" s="60"/>
    </row>
    <row r="92" spans="15:15">
      <c r="O92" s="60"/>
    </row>
    <row r="93" spans="15:15">
      <c r="O93" s="60"/>
    </row>
    <row r="94" spans="15:15">
      <c r="O94" s="60"/>
    </row>
    <row r="95" spans="15:15">
      <c r="O95" s="60"/>
    </row>
    <row r="96" spans="15:15">
      <c r="O96" s="60"/>
    </row>
    <row r="97" spans="15:15">
      <c r="O97" s="60"/>
    </row>
    <row r="98" spans="15:15">
      <c r="O98" s="60"/>
    </row>
    <row r="99" spans="15:15">
      <c r="O99" s="60"/>
    </row>
    <row r="100" spans="15:15">
      <c r="O100" s="60"/>
    </row>
    <row r="101" spans="15:15">
      <c r="O101" s="60"/>
    </row>
    <row r="102" spans="15:15">
      <c r="O102" s="60"/>
    </row>
    <row r="103" spans="15:15">
      <c r="O103" s="60"/>
    </row>
    <row r="104" spans="15:15">
      <c r="O104" s="60"/>
    </row>
    <row r="105" spans="15:15">
      <c r="O105" s="60"/>
    </row>
    <row r="106" spans="15:15">
      <c r="O106" s="60"/>
    </row>
    <row r="107" spans="15:15">
      <c r="O107" s="60"/>
    </row>
    <row r="108" spans="15:15">
      <c r="O108" s="60"/>
    </row>
    <row r="109" spans="15:15">
      <c r="O109" s="60"/>
    </row>
    <row r="110" spans="15:15">
      <c r="O110" s="60"/>
    </row>
    <row r="111" spans="15:15">
      <c r="O111" s="60"/>
    </row>
    <row r="112" spans="15:15">
      <c r="O112" s="60"/>
    </row>
    <row r="113" spans="15:15">
      <c r="O113" s="60"/>
    </row>
    <row r="114" spans="15:15">
      <c r="O114" s="60"/>
    </row>
    <row r="115" spans="15:15">
      <c r="O115" s="60"/>
    </row>
    <row r="116" spans="15:15">
      <c r="O116" s="60"/>
    </row>
    <row r="117" spans="15:15">
      <c r="O117" s="60"/>
    </row>
    <row r="118" spans="15:15">
      <c r="O118" s="60"/>
    </row>
    <row r="119" spans="15:15">
      <c r="O119" s="60"/>
    </row>
    <row r="120" spans="15:15">
      <c r="O120" s="60"/>
    </row>
    <row r="121" spans="15:15">
      <c r="O121" s="60"/>
    </row>
    <row r="122" spans="15:15">
      <c r="O122" s="60"/>
    </row>
    <row r="123" spans="15:15">
      <c r="O123" s="60"/>
    </row>
    <row r="124" spans="15:15">
      <c r="O124" s="60"/>
    </row>
    <row r="125" spans="15:15">
      <c r="O125" s="60"/>
    </row>
    <row r="126" spans="15:15">
      <c r="O126" s="60"/>
    </row>
    <row r="127" spans="15:15">
      <c r="O127" s="60"/>
    </row>
    <row r="128" spans="15:15">
      <c r="O128" s="60"/>
    </row>
    <row r="129" spans="15:15">
      <c r="O129" s="60"/>
    </row>
    <row r="130" spans="15:15">
      <c r="O130" s="60"/>
    </row>
    <row r="131" spans="15:15">
      <c r="O131" s="60"/>
    </row>
    <row r="132" spans="15:15">
      <c r="O132" s="60"/>
    </row>
    <row r="133" spans="15:15">
      <c r="O133" s="60"/>
    </row>
    <row r="134" spans="15:15">
      <c r="O134" s="60"/>
    </row>
    <row r="135" spans="15:15">
      <c r="O135" s="60"/>
    </row>
    <row r="136" spans="15:15">
      <c r="O136" s="60"/>
    </row>
    <row r="137" spans="15:15">
      <c r="O137" s="60"/>
    </row>
    <row r="138" spans="15:15">
      <c r="O138" s="60"/>
    </row>
    <row r="139" spans="15:15">
      <c r="O139" s="60"/>
    </row>
    <row r="140" spans="15:15">
      <c r="O140" s="60"/>
    </row>
    <row r="141" spans="15:15">
      <c r="O141" s="60"/>
    </row>
    <row r="142" spans="15:15">
      <c r="O142" s="60"/>
    </row>
    <row r="143" spans="15:15">
      <c r="O143" s="60"/>
    </row>
    <row r="144" spans="15:15">
      <c r="O144" s="60"/>
    </row>
    <row r="145" spans="15:15">
      <c r="O145" s="60"/>
    </row>
    <row r="146" spans="15:15">
      <c r="O146" s="60"/>
    </row>
    <row r="147" spans="15:15">
      <c r="O147" s="60"/>
    </row>
    <row r="148" spans="15:15">
      <c r="O148" s="60"/>
    </row>
    <row r="149" spans="15:15">
      <c r="O149" s="60"/>
    </row>
    <row r="150" spans="15:15">
      <c r="O150" s="60"/>
    </row>
    <row r="151" spans="15:15">
      <c r="O151" s="60"/>
    </row>
    <row r="152" spans="15:15">
      <c r="O152" s="60"/>
    </row>
    <row r="153" spans="15:15">
      <c r="O153" s="60"/>
    </row>
    <row r="154" spans="15:15">
      <c r="O154" s="60"/>
    </row>
    <row r="155" spans="15:15">
      <c r="O155" s="60"/>
    </row>
    <row r="156" spans="15:15">
      <c r="O156" s="60"/>
    </row>
    <row r="157" spans="15:15">
      <c r="O157" s="60"/>
    </row>
    <row r="158" spans="15:15">
      <c r="O158" s="60"/>
    </row>
    <row r="159" spans="15:15">
      <c r="O159" s="60"/>
    </row>
    <row r="160" spans="15:15">
      <c r="O160" s="60"/>
    </row>
    <row r="161" spans="15:15">
      <c r="O161" s="60"/>
    </row>
    <row r="162" spans="15:15">
      <c r="O162" s="60"/>
    </row>
    <row r="163" spans="15:15">
      <c r="O163" s="60"/>
    </row>
    <row r="164" spans="15:15">
      <c r="O164" s="60"/>
    </row>
    <row r="165" spans="15:15">
      <c r="O165" s="60"/>
    </row>
    <row r="166" spans="15:15">
      <c r="O166" s="60"/>
    </row>
    <row r="167" spans="15:15">
      <c r="O167" s="60"/>
    </row>
    <row r="168" spans="15:15">
      <c r="O168" s="60"/>
    </row>
    <row r="169" spans="15:15">
      <c r="O169" s="60"/>
    </row>
    <row r="170" spans="15:15">
      <c r="O170" s="60"/>
    </row>
    <row r="171" spans="15:15">
      <c r="O171" s="60"/>
    </row>
    <row r="172" spans="15:15">
      <c r="O172" s="60"/>
    </row>
    <row r="173" spans="15:15">
      <c r="O173" s="60"/>
    </row>
    <row r="174" spans="15:15">
      <c r="O174" s="60"/>
    </row>
    <row r="175" spans="15:15">
      <c r="O175" s="60"/>
    </row>
    <row r="176" spans="15:15">
      <c r="O176" s="60"/>
    </row>
    <row r="177" spans="15:15">
      <c r="O177" s="60"/>
    </row>
    <row r="178" spans="15:15">
      <c r="O178" s="60"/>
    </row>
    <row r="179" spans="15:15">
      <c r="O179" s="60"/>
    </row>
    <row r="180" spans="15:15">
      <c r="O180" s="60"/>
    </row>
    <row r="181" spans="15:15">
      <c r="O181" s="60"/>
    </row>
    <row r="182" spans="15:15">
      <c r="O182" s="60"/>
    </row>
    <row r="183" spans="15:15">
      <c r="O183" s="60"/>
    </row>
    <row r="184" spans="15:15">
      <c r="O184" s="60"/>
    </row>
    <row r="185" spans="15:15">
      <c r="O185" s="60"/>
    </row>
    <row r="186" spans="15:15">
      <c r="O186" s="60"/>
    </row>
    <row r="187" spans="15:15">
      <c r="O187" s="60"/>
    </row>
    <row r="188" spans="15:15">
      <c r="O188" s="60"/>
    </row>
    <row r="189" spans="15:15">
      <c r="O189" s="60"/>
    </row>
    <row r="190" spans="15:15">
      <c r="O190" s="60"/>
    </row>
    <row r="191" spans="15:15">
      <c r="O191" s="60"/>
    </row>
    <row r="192" spans="15:15">
      <c r="O192" s="60"/>
    </row>
    <row r="193" spans="15:15">
      <c r="O193" s="60"/>
    </row>
    <row r="194" spans="15:15">
      <c r="O194" s="60"/>
    </row>
    <row r="195" spans="15:15">
      <c r="O195" s="60"/>
    </row>
    <row r="196" spans="15:15">
      <c r="O196" s="60"/>
    </row>
    <row r="197" spans="15:15">
      <c r="O197" s="60"/>
    </row>
    <row r="198" spans="15:15">
      <c r="O198" s="60"/>
    </row>
    <row r="199" spans="15:15">
      <c r="O199" s="60"/>
    </row>
    <row r="200" spans="15:15">
      <c r="O200" s="60"/>
    </row>
    <row r="201" spans="15:15">
      <c r="O201" s="60"/>
    </row>
    <row r="202" spans="15:15">
      <c r="O202" s="60"/>
    </row>
    <row r="203" spans="15:15">
      <c r="O203" s="60"/>
    </row>
    <row r="204" spans="15:15">
      <c r="O204" s="60"/>
    </row>
    <row r="205" spans="15:15">
      <c r="O205" s="60"/>
    </row>
    <row r="206" spans="15:15">
      <c r="O206" s="60"/>
    </row>
    <row r="207" spans="15:15">
      <c r="O207" s="60"/>
    </row>
    <row r="208" spans="15:15">
      <c r="O208" s="60"/>
    </row>
    <row r="209" spans="15:15">
      <c r="O209" s="60"/>
    </row>
    <row r="210" spans="15:15">
      <c r="O210" s="60"/>
    </row>
    <row r="211" spans="15:15">
      <c r="O211" s="60"/>
    </row>
    <row r="212" spans="15:15">
      <c r="O212" s="60"/>
    </row>
    <row r="213" spans="15:15">
      <c r="O213" s="60"/>
    </row>
    <row r="214" spans="15:15">
      <c r="O214" s="60"/>
    </row>
    <row r="215" spans="15:15">
      <c r="O215" s="60"/>
    </row>
    <row r="216" spans="15:15">
      <c r="O216" s="60"/>
    </row>
    <row r="217" spans="15:15">
      <c r="O217" s="60"/>
    </row>
    <row r="218" spans="15:15">
      <c r="O218" s="60"/>
    </row>
    <row r="219" spans="15:15">
      <c r="O219" s="60"/>
    </row>
    <row r="220" spans="15:15">
      <c r="O220" s="60"/>
    </row>
    <row r="221" spans="15:15">
      <c r="O221" s="60"/>
    </row>
    <row r="222" spans="15:15">
      <c r="O222" s="60"/>
    </row>
    <row r="223" spans="15:15">
      <c r="O223" s="60"/>
    </row>
    <row r="224" spans="15:15">
      <c r="O224" s="60"/>
    </row>
    <row r="225" spans="15:15">
      <c r="O225" s="60"/>
    </row>
    <row r="226" spans="15:15">
      <c r="O226" s="60"/>
    </row>
    <row r="227" spans="15:15">
      <c r="O227" s="60"/>
    </row>
    <row r="228" spans="15:15">
      <c r="O228" s="60"/>
    </row>
    <row r="229" spans="15:15">
      <c r="O229" s="60"/>
    </row>
    <row r="230" spans="15:15">
      <c r="O230" s="60"/>
    </row>
    <row r="231" spans="15:15">
      <c r="O231" s="60"/>
    </row>
    <row r="232" spans="15:15">
      <c r="O232" s="60"/>
    </row>
    <row r="233" spans="15:15">
      <c r="O233" s="60"/>
    </row>
    <row r="234" spans="15:15">
      <c r="O234" s="60"/>
    </row>
    <row r="235" spans="15:15">
      <c r="O235" s="60"/>
    </row>
    <row r="236" spans="15:15">
      <c r="O236" s="60"/>
    </row>
    <row r="237" spans="15:15">
      <c r="O237" s="60"/>
    </row>
    <row r="238" spans="15:15">
      <c r="O238" s="60"/>
    </row>
    <row r="239" spans="15:15">
      <c r="O239" s="60"/>
    </row>
    <row r="240" spans="15:15">
      <c r="O240" s="60"/>
    </row>
    <row r="241" spans="15:15">
      <c r="O241" s="60"/>
    </row>
    <row r="242" spans="15:15">
      <c r="O242" s="60"/>
    </row>
    <row r="243" spans="15:15">
      <c r="O243" s="60"/>
    </row>
    <row r="244" spans="15:15">
      <c r="O244" s="60"/>
    </row>
    <row r="245" spans="15:15">
      <c r="O245" s="60"/>
    </row>
    <row r="246" spans="15:15">
      <c r="O246" s="60"/>
    </row>
    <row r="247" spans="15:15">
      <c r="O247" s="60"/>
    </row>
    <row r="248" spans="15:15">
      <c r="O248" s="60"/>
    </row>
    <row r="249" spans="15:15">
      <c r="O249" s="60"/>
    </row>
    <row r="250" spans="15:15">
      <c r="O250" s="60"/>
    </row>
    <row r="251" spans="15:15">
      <c r="O251" s="60"/>
    </row>
    <row r="252" spans="15:15">
      <c r="O252" s="60"/>
    </row>
    <row r="253" spans="15:15">
      <c r="O253" s="60"/>
    </row>
    <row r="254" spans="15:15">
      <c r="O254" s="60"/>
    </row>
    <row r="255" spans="15:15">
      <c r="O255" s="60"/>
    </row>
    <row r="256" spans="15:15">
      <c r="O256" s="60"/>
    </row>
    <row r="257" spans="15:15">
      <c r="O257" s="60"/>
    </row>
    <row r="258" spans="15:15">
      <c r="O258" s="60"/>
    </row>
    <row r="259" spans="15:15">
      <c r="O259" s="60"/>
    </row>
    <row r="260" spans="15:15">
      <c r="O260" s="60"/>
    </row>
    <row r="261" spans="15:15">
      <c r="O261" s="60"/>
    </row>
    <row r="262" spans="15:15">
      <c r="O262" s="60"/>
    </row>
    <row r="263" spans="15:15">
      <c r="O263" s="60"/>
    </row>
    <row r="264" spans="15:15">
      <c r="O264" s="60"/>
    </row>
    <row r="265" spans="15:15">
      <c r="O265" s="60"/>
    </row>
    <row r="266" spans="15:15">
      <c r="O266" s="60"/>
    </row>
    <row r="267" spans="15:15">
      <c r="O267" s="60"/>
    </row>
    <row r="268" spans="15:15">
      <c r="O268" s="60"/>
    </row>
    <row r="269" spans="15:15">
      <c r="O269" s="60"/>
    </row>
    <row r="270" spans="15:15">
      <c r="O270" s="60"/>
    </row>
    <row r="271" spans="15:15">
      <c r="O271" s="60"/>
    </row>
    <row r="272" spans="15:15">
      <c r="O272" s="60"/>
    </row>
    <row r="273" spans="15:15">
      <c r="O273" s="60"/>
    </row>
    <row r="274" spans="15:15">
      <c r="O274" s="60"/>
    </row>
    <row r="275" spans="15:15">
      <c r="O275" s="60"/>
    </row>
    <row r="276" spans="15:15">
      <c r="O276" s="60"/>
    </row>
    <row r="277" spans="15:15">
      <c r="O277" s="60"/>
    </row>
    <row r="278" spans="15:15">
      <c r="O278" s="60"/>
    </row>
    <row r="279" spans="15:15">
      <c r="O279" s="60"/>
    </row>
    <row r="280" spans="15:15">
      <c r="O280" s="60"/>
    </row>
    <row r="281" spans="15:15">
      <c r="O281" s="60"/>
    </row>
    <row r="282" spans="15:15">
      <c r="O282" s="60"/>
    </row>
    <row r="283" spans="15:15">
      <c r="O283" s="60"/>
    </row>
    <row r="284" spans="15:15">
      <c r="O284" s="60"/>
    </row>
    <row r="285" spans="15:15">
      <c r="O285" s="60"/>
    </row>
    <row r="286" spans="15:15">
      <c r="O286" s="60"/>
    </row>
    <row r="287" spans="15:15">
      <c r="O287" s="60"/>
    </row>
    <row r="288" spans="15:15">
      <c r="O288" s="60"/>
    </row>
    <row r="289" spans="15:15">
      <c r="O289" s="60"/>
    </row>
    <row r="290" spans="15:15">
      <c r="O290" s="60"/>
    </row>
    <row r="291" spans="15:15">
      <c r="O291" s="60"/>
    </row>
    <row r="292" spans="15:15">
      <c r="O292" s="60"/>
    </row>
    <row r="293" spans="15:15">
      <c r="O293" s="60"/>
    </row>
    <row r="294" spans="15:15">
      <c r="O294" s="60"/>
    </row>
    <row r="295" spans="15:15">
      <c r="O295" s="60"/>
    </row>
    <row r="296" spans="15:15">
      <c r="O296" s="60"/>
    </row>
    <row r="297" spans="15:15">
      <c r="O297" s="60"/>
    </row>
    <row r="298" spans="15:15">
      <c r="O298" s="60"/>
    </row>
    <row r="299" spans="15:15">
      <c r="O299" s="60"/>
    </row>
    <row r="300" spans="15:15">
      <c r="O300" s="60"/>
    </row>
    <row r="301" spans="15:15">
      <c r="O301" s="60"/>
    </row>
    <row r="302" spans="15:15">
      <c r="O302" s="60"/>
    </row>
    <row r="303" spans="15:15">
      <c r="O303" s="60"/>
    </row>
    <row r="304" spans="15:15">
      <c r="O304" s="60"/>
    </row>
    <row r="305" spans="15:15">
      <c r="O305" s="60"/>
    </row>
    <row r="306" spans="15:15">
      <c r="O306" s="60"/>
    </row>
    <row r="307" spans="15:15">
      <c r="O307" s="60"/>
    </row>
    <row r="308" spans="15:15">
      <c r="O308" s="60"/>
    </row>
    <row r="309" spans="15:15">
      <c r="O309" s="60"/>
    </row>
  </sheetData>
  <mergeCells count="23">
    <mergeCell ref="U22:AA22"/>
    <mergeCell ref="U25:AA25"/>
    <mergeCell ref="AD1:AE1"/>
    <mergeCell ref="AH1:AI1"/>
    <mergeCell ref="AD2:AE2"/>
    <mergeCell ref="T1:U1"/>
    <mergeCell ref="T2:U2"/>
    <mergeCell ref="Y1:Z1"/>
    <mergeCell ref="Y2:Z2"/>
    <mergeCell ref="AL1:AO2"/>
    <mergeCell ref="AT1:AX2"/>
    <mergeCell ref="AP1:AS2"/>
    <mergeCell ref="AA1:AB1"/>
    <mergeCell ref="V1:W1"/>
    <mergeCell ref="AJ1:AK1"/>
    <mergeCell ref="O1:P1"/>
    <mergeCell ref="O2:P2"/>
    <mergeCell ref="A1:B1"/>
    <mergeCell ref="F1:G1"/>
    <mergeCell ref="A2:B2"/>
    <mergeCell ref="F2:G2"/>
    <mergeCell ref="J1:K1"/>
    <mergeCell ref="J2:K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754-CC09-4224-A2D9-229036E9F5BE}">
  <sheetPr codeName="Sheet7"/>
  <dimension ref="A1:L11"/>
  <sheetViews>
    <sheetView topLeftCell="B1" workbookViewId="0">
      <selection activeCell="L6" sqref="L6"/>
    </sheetView>
  </sheetViews>
  <sheetFormatPr defaultRowHeight="15"/>
  <cols>
    <col min="1" max="1" width="70.42578125" bestFit="1" customWidth="1"/>
  </cols>
  <sheetData>
    <row r="1" spans="1:12">
      <c r="A1" t="s">
        <v>81</v>
      </c>
    </row>
    <row r="2" spans="1:12">
      <c r="C2" s="79" t="s">
        <v>90</v>
      </c>
      <c r="D2" s="79"/>
      <c r="E2" s="79"/>
      <c r="F2" s="79" t="s">
        <v>91</v>
      </c>
      <c r="G2" s="79"/>
      <c r="H2" s="79"/>
    </row>
    <row r="3" spans="1:12">
      <c r="A3" t="s">
        <v>82</v>
      </c>
      <c r="B3" t="s">
        <v>86</v>
      </c>
      <c r="C3" t="s">
        <v>87</v>
      </c>
      <c r="D3" t="s">
        <v>88</v>
      </c>
      <c r="E3" t="s">
        <v>89</v>
      </c>
      <c r="F3" t="s">
        <v>87</v>
      </c>
      <c r="G3" t="s">
        <v>88</v>
      </c>
      <c r="H3" t="s">
        <v>89</v>
      </c>
    </row>
    <row r="4" spans="1:12">
      <c r="A4" t="s">
        <v>83</v>
      </c>
      <c r="B4">
        <v>59</v>
      </c>
      <c r="C4">
        <v>70</v>
      </c>
      <c r="D4">
        <v>21</v>
      </c>
      <c r="E4">
        <v>30</v>
      </c>
      <c r="F4">
        <v>31</v>
      </c>
      <c r="G4">
        <v>9</v>
      </c>
      <c r="H4">
        <v>29</v>
      </c>
    </row>
    <row r="5" spans="1:12">
      <c r="A5" t="s">
        <v>84</v>
      </c>
      <c r="B5">
        <v>48</v>
      </c>
      <c r="C5">
        <v>18</v>
      </c>
      <c r="D5" s="8">
        <v>4</v>
      </c>
      <c r="E5">
        <v>22</v>
      </c>
      <c r="F5">
        <v>19</v>
      </c>
      <c r="G5" s="8">
        <v>5</v>
      </c>
      <c r="H5">
        <v>26</v>
      </c>
      <c r="I5" t="s">
        <v>332</v>
      </c>
      <c r="J5">
        <f>SUM(D4:D6)</f>
        <v>68</v>
      </c>
      <c r="K5">
        <f>SUM(E4:E6)</f>
        <v>155</v>
      </c>
      <c r="L5">
        <f t="shared" ref="L5:L6" si="0">J5/K5</f>
        <v>0.43870967741935485</v>
      </c>
    </row>
    <row r="6" spans="1:12">
      <c r="A6" t="s">
        <v>85</v>
      </c>
      <c r="B6">
        <v>201</v>
      </c>
      <c r="C6">
        <v>42</v>
      </c>
      <c r="D6">
        <v>43</v>
      </c>
      <c r="E6">
        <v>103</v>
      </c>
      <c r="F6">
        <v>16</v>
      </c>
      <c r="G6">
        <v>16</v>
      </c>
      <c r="H6">
        <v>98</v>
      </c>
      <c r="I6" t="s">
        <v>333</v>
      </c>
      <c r="J6">
        <f>SUM(G4:G6)</f>
        <v>30</v>
      </c>
      <c r="K6">
        <f>SUM(H4:H6)</f>
        <v>153</v>
      </c>
      <c r="L6">
        <f t="shared" si="0"/>
        <v>0.19607843137254902</v>
      </c>
    </row>
    <row r="7" spans="1:12">
      <c r="A7" t="s">
        <v>92</v>
      </c>
      <c r="I7" t="s">
        <v>107</v>
      </c>
      <c r="J7">
        <f>SUM(G4:G6,D4:D6)</f>
        <v>98</v>
      </c>
      <c r="K7">
        <f>SUM(H4:H6,E4:E6)</f>
        <v>308</v>
      </c>
      <c r="L7">
        <f>J7/K7</f>
        <v>0.31818181818181818</v>
      </c>
    </row>
    <row r="8" spans="1:12">
      <c r="A8" t="s">
        <v>83</v>
      </c>
      <c r="B8">
        <v>59</v>
      </c>
      <c r="C8">
        <v>93</v>
      </c>
      <c r="D8">
        <v>28</v>
      </c>
      <c r="E8">
        <v>30</v>
      </c>
      <c r="F8">
        <v>93</v>
      </c>
      <c r="G8">
        <v>27</v>
      </c>
      <c r="H8">
        <v>29</v>
      </c>
    </row>
    <row r="9" spans="1:12">
      <c r="A9" t="s">
        <v>84</v>
      </c>
      <c r="B9">
        <v>48</v>
      </c>
      <c r="C9">
        <v>86</v>
      </c>
      <c r="D9">
        <v>19</v>
      </c>
      <c r="E9">
        <v>22</v>
      </c>
      <c r="F9">
        <v>69</v>
      </c>
      <c r="G9">
        <v>18</v>
      </c>
      <c r="H9">
        <v>26</v>
      </c>
      <c r="I9" t="s">
        <v>332</v>
      </c>
      <c r="J9">
        <f>SUM(D8:D10)</f>
        <v>123</v>
      </c>
      <c r="K9">
        <f>SUM(E8:E10)</f>
        <v>155</v>
      </c>
      <c r="L9">
        <f t="shared" ref="L9:L10" si="1">J9/K9</f>
        <v>0.79354838709677422</v>
      </c>
    </row>
    <row r="10" spans="1:12">
      <c r="A10" t="s">
        <v>85</v>
      </c>
      <c r="B10">
        <v>201</v>
      </c>
      <c r="C10">
        <v>74</v>
      </c>
      <c r="D10">
        <v>76</v>
      </c>
      <c r="E10">
        <v>103</v>
      </c>
      <c r="F10">
        <v>59</v>
      </c>
      <c r="G10">
        <v>58</v>
      </c>
      <c r="H10">
        <v>98</v>
      </c>
      <c r="I10" t="s">
        <v>333</v>
      </c>
      <c r="J10">
        <f>SUM(G8:G10)</f>
        <v>103</v>
      </c>
      <c r="K10">
        <f>SUM(H8:H10)</f>
        <v>153</v>
      </c>
      <c r="L10">
        <f t="shared" si="1"/>
        <v>0.67320261437908502</v>
      </c>
    </row>
    <row r="11" spans="1:12">
      <c r="I11" t="s">
        <v>107</v>
      </c>
      <c r="J11">
        <f>SUM(G8:G10,D8:D10)</f>
        <v>226</v>
      </c>
      <c r="K11">
        <f>SUM(H8:H10,E8:E10)</f>
        <v>308</v>
      </c>
      <c r="L11">
        <f>J11/K11</f>
        <v>0.73376623376623373</v>
      </c>
    </row>
  </sheetData>
  <mergeCells count="2">
    <mergeCell ref="C2:E2"/>
    <mergeCell ref="F2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0003-4EE3-475D-8E85-1E8381FF63DC}">
  <sheetPr codeName="Sheet8"/>
  <dimension ref="A1:M11"/>
  <sheetViews>
    <sheetView workbookViewId="0">
      <selection activeCell="M32" sqref="M32"/>
    </sheetView>
  </sheetViews>
  <sheetFormatPr defaultRowHeight="15"/>
  <sheetData>
    <row r="1" spans="1:13">
      <c r="C1" s="79" t="s">
        <v>49</v>
      </c>
      <c r="D1" s="79"/>
      <c r="E1" s="79"/>
      <c r="F1" s="79"/>
      <c r="I1" s="79" t="s">
        <v>50</v>
      </c>
      <c r="J1" s="79"/>
      <c r="K1" s="79"/>
      <c r="L1" s="79"/>
    </row>
    <row r="2" spans="1:13" ht="94.5">
      <c r="C2" s="7" t="s">
        <v>47</v>
      </c>
      <c r="D2" s="3"/>
      <c r="E2" s="3"/>
      <c r="F2" s="7" t="s">
        <v>48</v>
      </c>
      <c r="G2" s="3"/>
      <c r="I2" s="5" t="s">
        <v>47</v>
      </c>
      <c r="L2" s="6" t="s">
        <v>48</v>
      </c>
    </row>
    <row r="3" spans="1:13" ht="30">
      <c r="C3" s="3" t="s">
        <v>43</v>
      </c>
      <c r="D3" s="3" t="s">
        <v>44</v>
      </c>
      <c r="E3" s="3"/>
      <c r="F3" s="3" t="s">
        <v>43</v>
      </c>
      <c r="G3" s="3" t="s">
        <v>44</v>
      </c>
      <c r="I3" t="s">
        <v>43</v>
      </c>
      <c r="J3" t="s">
        <v>44</v>
      </c>
      <c r="L3" t="s">
        <v>43</v>
      </c>
      <c r="M3" t="s">
        <v>44</v>
      </c>
    </row>
    <row r="4" spans="1:13">
      <c r="C4" s="3">
        <v>8</v>
      </c>
      <c r="D4" s="3">
        <v>0</v>
      </c>
      <c r="E4" s="3"/>
      <c r="F4" s="3">
        <v>20</v>
      </c>
      <c r="G4" s="3">
        <v>1</v>
      </c>
      <c r="I4">
        <v>21</v>
      </c>
      <c r="J4">
        <v>0</v>
      </c>
      <c r="L4">
        <v>21</v>
      </c>
      <c r="M4">
        <v>0</v>
      </c>
    </row>
    <row r="5" spans="1:13">
      <c r="C5" s="3">
        <v>0.15384619999999999</v>
      </c>
      <c r="D5" s="3"/>
      <c r="E5" s="3"/>
      <c r="F5" s="3">
        <v>0.3846154</v>
      </c>
      <c r="G5" s="3"/>
      <c r="I5">
        <v>7.9847908999999995E-2</v>
      </c>
      <c r="L5">
        <v>7.9847908999999995E-2</v>
      </c>
    </row>
    <row r="6" spans="1:13">
      <c r="C6" s="3" t="s">
        <v>45</v>
      </c>
      <c r="D6" s="3"/>
      <c r="E6" s="3"/>
      <c r="F6" s="3" t="s">
        <v>45</v>
      </c>
      <c r="G6" s="3"/>
      <c r="I6" t="s">
        <v>51</v>
      </c>
      <c r="L6" t="s">
        <v>51</v>
      </c>
    </row>
    <row r="7" spans="1:13">
      <c r="A7" t="s">
        <v>52</v>
      </c>
      <c r="C7" s="3">
        <v>52</v>
      </c>
      <c r="D7" s="3"/>
      <c r="E7" s="3"/>
      <c r="F7" s="3">
        <v>52</v>
      </c>
      <c r="G7" s="3"/>
      <c r="I7">
        <v>263</v>
      </c>
      <c r="L7">
        <v>263</v>
      </c>
    </row>
    <row r="8" spans="1:13">
      <c r="C8" s="3">
        <v>46.8</v>
      </c>
      <c r="D8" s="3"/>
      <c r="E8" s="3"/>
      <c r="F8" s="3"/>
      <c r="G8" s="3"/>
      <c r="I8">
        <v>236.7</v>
      </c>
    </row>
    <row r="9" spans="1:13" ht="45">
      <c r="C9" s="3" t="s">
        <v>46</v>
      </c>
      <c r="D9" s="3"/>
      <c r="E9" s="3"/>
      <c r="F9" s="3" t="s">
        <v>46</v>
      </c>
      <c r="G9" s="3"/>
      <c r="I9" t="s">
        <v>46</v>
      </c>
      <c r="L9" t="s">
        <v>46</v>
      </c>
    </row>
    <row r="10" spans="1:13">
      <c r="A10" t="s">
        <v>53</v>
      </c>
      <c r="C10" s="3">
        <v>47</v>
      </c>
      <c r="D10" s="3"/>
      <c r="E10" s="3"/>
      <c r="F10" s="3">
        <v>47</v>
      </c>
      <c r="G10" s="3"/>
      <c r="I10">
        <v>237</v>
      </c>
      <c r="L10">
        <v>238</v>
      </c>
    </row>
    <row r="11" spans="1:13">
      <c r="A11" t="s">
        <v>54</v>
      </c>
      <c r="C11" t="s">
        <v>55</v>
      </c>
      <c r="F11" t="s">
        <v>56</v>
      </c>
      <c r="I11" t="s">
        <v>57</v>
      </c>
      <c r="L11" t="s">
        <v>58</v>
      </c>
    </row>
  </sheetData>
  <mergeCells count="2">
    <mergeCell ref="C1:F1"/>
    <mergeCell ref="I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FE61-C411-4780-8155-82AA6E969EBD}">
  <dimension ref="A1:J21"/>
  <sheetViews>
    <sheetView workbookViewId="0">
      <selection activeCell="K22" sqref="K22"/>
    </sheetView>
  </sheetViews>
  <sheetFormatPr defaultRowHeight="15"/>
  <cols>
    <col min="10" max="10" width="10.5703125" bestFit="1" customWidth="1"/>
  </cols>
  <sheetData>
    <row r="1" spans="1:10">
      <c r="A1" t="s">
        <v>281</v>
      </c>
    </row>
    <row r="2" spans="1:10">
      <c r="A2" t="s">
        <v>310</v>
      </c>
    </row>
    <row r="3" spans="1:10">
      <c r="C3" s="64" t="s">
        <v>286</v>
      </c>
      <c r="D3" s="64"/>
      <c r="F3" t="s">
        <v>290</v>
      </c>
      <c r="I3" t="s">
        <v>291</v>
      </c>
    </row>
    <row r="4" spans="1:10">
      <c r="A4" t="s">
        <v>282</v>
      </c>
      <c r="B4" t="s">
        <v>283</v>
      </c>
      <c r="C4" t="s">
        <v>285</v>
      </c>
      <c r="D4" t="s">
        <v>284</v>
      </c>
      <c r="E4" t="s">
        <v>287</v>
      </c>
      <c r="F4" t="s">
        <v>288</v>
      </c>
      <c r="G4" t="s">
        <v>284</v>
      </c>
      <c r="H4" t="s">
        <v>289</v>
      </c>
      <c r="I4" t="s">
        <v>292</v>
      </c>
      <c r="J4" t="s">
        <v>284</v>
      </c>
    </row>
    <row r="5" spans="1:10">
      <c r="A5" t="s">
        <v>293</v>
      </c>
      <c r="B5" t="s">
        <v>294</v>
      </c>
      <c r="C5" s="65">
        <v>1057</v>
      </c>
      <c r="D5" s="66">
        <v>0.28999999999999998</v>
      </c>
      <c r="E5">
        <v>40.39</v>
      </c>
      <c r="F5">
        <v>11750</v>
      </c>
      <c r="G5" s="66">
        <v>0.16</v>
      </c>
      <c r="H5">
        <v>40</v>
      </c>
      <c r="I5">
        <v>4.2</v>
      </c>
      <c r="J5" s="66">
        <v>0.3</v>
      </c>
    </row>
    <row r="6" spans="1:10">
      <c r="B6" t="s">
        <v>295</v>
      </c>
      <c r="C6">
        <v>1174</v>
      </c>
      <c r="D6" s="66">
        <v>0.32</v>
      </c>
      <c r="E6">
        <v>51.13</v>
      </c>
      <c r="F6">
        <v>34012</v>
      </c>
      <c r="G6" s="66">
        <v>0.47</v>
      </c>
      <c r="H6">
        <v>61.5</v>
      </c>
      <c r="I6">
        <v>4.2</v>
      </c>
      <c r="J6" s="66">
        <v>0.3</v>
      </c>
    </row>
    <row r="7" spans="1:10">
      <c r="B7" t="s">
        <v>296</v>
      </c>
      <c r="C7">
        <v>218</v>
      </c>
      <c r="D7" s="66">
        <v>0.06</v>
      </c>
      <c r="E7">
        <v>40.47</v>
      </c>
      <c r="F7">
        <v>2497</v>
      </c>
      <c r="G7" s="66">
        <v>0.03</v>
      </c>
      <c r="H7">
        <v>40.1</v>
      </c>
      <c r="I7">
        <v>0.9</v>
      </c>
      <c r="J7" s="66">
        <v>0.06</v>
      </c>
    </row>
    <row r="8" spans="1:10">
      <c r="B8" t="s">
        <v>297</v>
      </c>
      <c r="C8">
        <v>287</v>
      </c>
      <c r="D8" s="66">
        <v>0.08</v>
      </c>
      <c r="E8">
        <v>50.36</v>
      </c>
      <c r="F8">
        <v>4234</v>
      </c>
      <c r="G8" s="66">
        <v>0.06</v>
      </c>
      <c r="H8">
        <v>55.3</v>
      </c>
      <c r="I8">
        <v>0.9</v>
      </c>
      <c r="J8" s="66">
        <v>0.06</v>
      </c>
    </row>
    <row r="9" spans="1:10">
      <c r="B9" t="s">
        <v>298</v>
      </c>
      <c r="C9">
        <v>302</v>
      </c>
      <c r="D9" s="66">
        <v>0.08</v>
      </c>
      <c r="E9">
        <v>40.93</v>
      </c>
      <c r="F9">
        <v>3917</v>
      </c>
      <c r="G9" s="66">
        <v>0.05</v>
      </c>
      <c r="H9">
        <v>39.799999999999997</v>
      </c>
      <c r="I9">
        <v>1.4</v>
      </c>
      <c r="J9" s="66">
        <v>0.1</v>
      </c>
    </row>
    <row r="10" spans="1:10">
      <c r="B10" t="s">
        <v>299</v>
      </c>
      <c r="C10">
        <v>58</v>
      </c>
      <c r="D10" s="66">
        <v>0.02</v>
      </c>
      <c r="E10">
        <v>44.34</v>
      </c>
      <c r="F10">
        <v>1099</v>
      </c>
      <c r="G10" s="66">
        <v>0.02</v>
      </c>
      <c r="H10">
        <v>56.1</v>
      </c>
      <c r="I10">
        <v>0.2</v>
      </c>
      <c r="J10" s="66">
        <v>0.02</v>
      </c>
    </row>
    <row r="11" spans="1:10">
      <c r="B11" t="s">
        <v>300</v>
      </c>
      <c r="C11">
        <v>582</v>
      </c>
      <c r="D11" s="66">
        <v>0.16</v>
      </c>
      <c r="E11">
        <v>49.91</v>
      </c>
      <c r="F11">
        <v>15337</v>
      </c>
      <c r="G11" s="66">
        <v>0.21</v>
      </c>
      <c r="H11">
        <v>61.4</v>
      </c>
      <c r="I11">
        <v>2.2000000000000002</v>
      </c>
      <c r="J11" s="66">
        <v>0.16</v>
      </c>
    </row>
    <row r="12" spans="1:10">
      <c r="A12" t="s">
        <v>301</v>
      </c>
      <c r="B12" t="s">
        <v>294</v>
      </c>
      <c r="C12" s="65">
        <v>414</v>
      </c>
      <c r="D12" s="66">
        <v>0.28999999999999998</v>
      </c>
      <c r="E12" s="65">
        <v>41.12</v>
      </c>
      <c r="F12" s="65">
        <v>10706</v>
      </c>
      <c r="G12" s="66">
        <v>0.19</v>
      </c>
      <c r="H12" s="65">
        <v>45.6</v>
      </c>
      <c r="I12" s="67">
        <v>3.3</v>
      </c>
      <c r="J12" s="66">
        <v>0.28999999999999998</v>
      </c>
    </row>
    <row r="13" spans="1:10">
      <c r="B13" t="s">
        <v>295</v>
      </c>
      <c r="C13">
        <v>500</v>
      </c>
      <c r="D13" s="66">
        <v>0.35</v>
      </c>
      <c r="E13">
        <v>48.7</v>
      </c>
      <c r="F13">
        <v>23350</v>
      </c>
      <c r="G13" s="66">
        <v>0.42</v>
      </c>
      <c r="H13">
        <v>59.4</v>
      </c>
      <c r="I13">
        <v>3.9</v>
      </c>
      <c r="J13" s="66">
        <v>0.35</v>
      </c>
    </row>
    <row r="14" spans="1:10">
      <c r="B14" t="s">
        <v>296</v>
      </c>
      <c r="C14">
        <v>83</v>
      </c>
      <c r="D14" s="66">
        <v>0.06</v>
      </c>
      <c r="E14">
        <v>39.31</v>
      </c>
      <c r="F14">
        <v>2259</v>
      </c>
      <c r="G14" s="66">
        <v>0.04</v>
      </c>
      <c r="H14">
        <v>47.1</v>
      </c>
      <c r="I14">
        <v>0.7</v>
      </c>
      <c r="J14" s="66">
        <v>0.06</v>
      </c>
    </row>
    <row r="15" spans="1:10">
      <c r="B15" t="s">
        <v>297</v>
      </c>
      <c r="C15">
        <v>86</v>
      </c>
      <c r="D15" s="66">
        <v>0.06</v>
      </c>
      <c r="E15">
        <v>49.56</v>
      </c>
      <c r="F15">
        <v>4004</v>
      </c>
      <c r="G15" s="66">
        <v>7.0000000000000007E-2</v>
      </c>
      <c r="H15">
        <v>59.5</v>
      </c>
      <c r="I15">
        <v>0.7</v>
      </c>
      <c r="J15" s="66">
        <v>0.06</v>
      </c>
    </row>
    <row r="16" spans="1:10">
      <c r="B16" t="s">
        <v>298</v>
      </c>
      <c r="C16">
        <v>95</v>
      </c>
      <c r="D16" s="66">
        <v>7.0000000000000007E-2</v>
      </c>
      <c r="E16">
        <v>40.270000000000003</v>
      </c>
      <c r="F16">
        <v>1867</v>
      </c>
      <c r="G16" s="66">
        <v>0.03</v>
      </c>
      <c r="H16">
        <v>41.4</v>
      </c>
      <c r="I16">
        <v>0.6</v>
      </c>
      <c r="J16" s="66">
        <v>0.06</v>
      </c>
    </row>
    <row r="17" spans="2:10">
      <c r="B17" t="s">
        <v>299</v>
      </c>
      <c r="C17">
        <v>19</v>
      </c>
      <c r="D17" s="66">
        <v>0.01</v>
      </c>
      <c r="E17">
        <v>44.92</v>
      </c>
      <c r="F17">
        <v>830</v>
      </c>
      <c r="G17" s="66">
        <v>0.01</v>
      </c>
      <c r="H17">
        <v>54.7</v>
      </c>
      <c r="I17">
        <v>0.2</v>
      </c>
      <c r="J17" s="66">
        <v>0.02</v>
      </c>
    </row>
    <row r="18" spans="2:10">
      <c r="B18" t="s">
        <v>300</v>
      </c>
      <c r="C18">
        <v>222</v>
      </c>
      <c r="D18" s="66">
        <v>0.16</v>
      </c>
      <c r="E18">
        <v>49.51</v>
      </c>
      <c r="F18">
        <v>13104</v>
      </c>
      <c r="G18" s="66">
        <v>0.23</v>
      </c>
      <c r="H18">
        <v>61.3</v>
      </c>
      <c r="I18">
        <v>1.9</v>
      </c>
      <c r="J18" s="66">
        <v>0.17</v>
      </c>
    </row>
    <row r="20" spans="2:10">
      <c r="C20" t="s">
        <v>303</v>
      </c>
      <c r="E20" t="s">
        <v>304</v>
      </c>
      <c r="F20" t="s">
        <v>305</v>
      </c>
      <c r="H20" t="s">
        <v>306</v>
      </c>
      <c r="I20" s="1" t="s">
        <v>307</v>
      </c>
    </row>
    <row r="21" spans="2:10">
      <c r="B21" t="s">
        <v>302</v>
      </c>
      <c r="C21">
        <f>SUM(C6:C11,C13:C18)</f>
        <v>3626</v>
      </c>
      <c r="F21">
        <f>SUM(F6:F11,F13:F18)</f>
        <v>106510</v>
      </c>
      <c r="H21" t="e">
        <f>AVERAGE(SUMPRODUCT(H6:H11,F6:F11)/Q23)</f>
        <v>#DIV/0!</v>
      </c>
      <c r="I21" s="1">
        <f>SUM(I6:I11,I13:I18)</f>
        <v>17.799999999999997</v>
      </c>
      <c r="J21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60C6-1918-4FB9-B59B-81EE26D2D224}">
  <dimension ref="A1:I19"/>
  <sheetViews>
    <sheetView workbookViewId="0">
      <selection activeCell="F5" sqref="F5"/>
    </sheetView>
  </sheetViews>
  <sheetFormatPr defaultRowHeight="15"/>
  <cols>
    <col min="9" max="9" width="11.5703125" bestFit="1" customWidth="1"/>
  </cols>
  <sheetData>
    <row r="1" spans="1:9" s="3" customFormat="1" ht="165">
      <c r="A1" s="3" t="s">
        <v>1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317</v>
      </c>
      <c r="G1" s="3" t="s">
        <v>151</v>
      </c>
      <c r="H1" s="3" t="s">
        <v>318</v>
      </c>
      <c r="I1" s="3">
        <f>AVERAGE(G15:G19)</f>
        <v>10.865784705434635</v>
      </c>
    </row>
    <row r="2" spans="1:9">
      <c r="A2">
        <v>2002</v>
      </c>
    </row>
    <row r="3" spans="1:9">
      <c r="A3">
        <v>2003</v>
      </c>
    </row>
    <row r="4" spans="1:9">
      <c r="A4">
        <v>2004</v>
      </c>
    </row>
    <row r="5" spans="1:9">
      <c r="A5">
        <v>2005</v>
      </c>
    </row>
    <row r="6" spans="1:9">
      <c r="A6">
        <v>2006</v>
      </c>
    </row>
    <row r="7" spans="1:9">
      <c r="A7">
        <v>2007</v>
      </c>
    </row>
    <row r="8" spans="1:9">
      <c r="A8">
        <v>2008</v>
      </c>
      <c r="B8">
        <v>381.45346929999999</v>
      </c>
      <c r="D8">
        <v>93.452726319999996</v>
      </c>
    </row>
    <row r="9" spans="1:9">
      <c r="A9">
        <v>2009</v>
      </c>
      <c r="B9">
        <v>513.42281879999996</v>
      </c>
      <c r="D9">
        <v>124.0565258</v>
      </c>
    </row>
    <row r="10" spans="1:9">
      <c r="A10">
        <v>2010</v>
      </c>
      <c r="B10">
        <v>701.11915729999998</v>
      </c>
      <c r="D10">
        <v>168.4236823</v>
      </c>
    </row>
    <row r="11" spans="1:9">
      <c r="A11">
        <v>2011</v>
      </c>
      <c r="B11">
        <v>688.50967009999999</v>
      </c>
      <c r="D11">
        <v>162.35640330000001</v>
      </c>
    </row>
    <row r="12" spans="1:9">
      <c r="A12">
        <v>2012</v>
      </c>
      <c r="B12">
        <v>579.43609660000004</v>
      </c>
      <c r="D12">
        <v>134.47331389999999</v>
      </c>
    </row>
    <row r="13" spans="1:9">
      <c r="A13">
        <v>2013</v>
      </c>
      <c r="B13">
        <v>777.76432120000004</v>
      </c>
      <c r="D13">
        <v>178.0938462</v>
      </c>
    </row>
    <row r="14" spans="1:9">
      <c r="A14">
        <v>2014</v>
      </c>
      <c r="B14">
        <v>561.37696240000002</v>
      </c>
      <c r="D14">
        <v>126.7746039</v>
      </c>
    </row>
    <row r="15" spans="1:9">
      <c r="A15">
        <v>2015</v>
      </c>
      <c r="B15">
        <v>291.12754159999997</v>
      </c>
      <c r="C15">
        <v>3911.7601</v>
      </c>
      <c r="D15">
        <v>64.776771920000002</v>
      </c>
      <c r="E15">
        <v>870.37863349999998</v>
      </c>
      <c r="F15">
        <f>B15+C15</f>
        <v>4202.8876416000003</v>
      </c>
      <c r="G15">
        <f>F15/365.25</f>
        <v>11.506879237782341</v>
      </c>
    </row>
    <row r="16" spans="1:9">
      <c r="A16">
        <v>2016</v>
      </c>
      <c r="B16">
        <v>604.55192030000001</v>
      </c>
      <c r="C16">
        <v>4311.2251749999996</v>
      </c>
      <c r="D16">
        <v>132.3562914</v>
      </c>
      <c r="E16">
        <v>943.86893259999999</v>
      </c>
      <c r="F16">
        <f t="shared" ref="F16:F18" si="0">B16+C16</f>
        <v>4915.7770952999999</v>
      </c>
      <c r="G16">
        <f t="shared" ref="G16:G18" si="1">F16/365.25</f>
        <v>13.45866418973306</v>
      </c>
    </row>
    <row r="17" spans="1:7">
      <c r="A17">
        <v>2017</v>
      </c>
      <c r="B17">
        <v>214.61806899999999</v>
      </c>
      <c r="C17">
        <v>3183.6229899999998</v>
      </c>
      <c r="D17">
        <v>46.42117047</v>
      </c>
      <c r="E17">
        <v>688.60700420000001</v>
      </c>
      <c r="F17">
        <f t="shared" si="0"/>
        <v>3398.241059</v>
      </c>
      <c r="G17">
        <f t="shared" si="1"/>
        <v>9.3038769582477752</v>
      </c>
    </row>
    <row r="18" spans="1:7">
      <c r="A18">
        <v>2018</v>
      </c>
      <c r="B18">
        <v>273.25503800000001</v>
      </c>
      <c r="C18">
        <v>3420.81448</v>
      </c>
      <c r="D18">
        <v>58.313690510000001</v>
      </c>
      <c r="E18">
        <v>730.01514729999997</v>
      </c>
      <c r="F18">
        <f t="shared" si="0"/>
        <v>3694.0695180000002</v>
      </c>
      <c r="G18">
        <f t="shared" si="1"/>
        <v>10.113811137577002</v>
      </c>
    </row>
    <row r="19" spans="1:7">
      <c r="A19">
        <v>2019</v>
      </c>
      <c r="B19">
        <v>128.47965740000001</v>
      </c>
      <c r="C19">
        <v>3504.1843469999999</v>
      </c>
      <c r="D19">
        <v>27.137703380000001</v>
      </c>
      <c r="E19">
        <v>740.16009489999999</v>
      </c>
      <c r="F19">
        <f>B19+C19</f>
        <v>3632.6640044000001</v>
      </c>
      <c r="G19">
        <f>F19/365.25</f>
        <v>9.9456920038329919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ED39-0B5C-4AE0-8E3E-F45EE71B7801}">
  <sheetPr codeName="Sheet1"/>
  <dimension ref="A1:U23"/>
  <sheetViews>
    <sheetView tabSelected="1" workbookViewId="0">
      <selection activeCell="V10" sqref="V10"/>
    </sheetView>
  </sheetViews>
  <sheetFormatPr defaultRowHeight="15"/>
  <cols>
    <col min="5" max="5" width="11.85546875" bestFit="1" customWidth="1"/>
    <col min="8" max="8" width="8.140625" customWidth="1"/>
    <col min="10" max="10" width="12" bestFit="1" customWidth="1"/>
    <col min="11" max="12" width="16.5703125" bestFit="1" customWidth="1"/>
    <col min="13" max="13" width="15.85546875" bestFit="1" customWidth="1"/>
    <col min="17" max="17" width="16.42578125" bestFit="1" customWidth="1"/>
  </cols>
  <sheetData>
    <row r="1" spans="1:21" ht="75">
      <c r="A1" t="s">
        <v>0</v>
      </c>
      <c r="H1" s="78" t="s">
        <v>123</v>
      </c>
      <c r="I1">
        <f>0.2545-0.2327</f>
        <v>2.1800000000000014E-2</v>
      </c>
      <c r="J1" s="26">
        <f>1700*0.0218</f>
        <v>37.06</v>
      </c>
      <c r="K1" s="51" t="s">
        <v>241</v>
      </c>
      <c r="L1" s="52" t="s">
        <v>240</v>
      </c>
      <c r="N1" s="26"/>
      <c r="O1" s="26"/>
      <c r="P1" s="26"/>
      <c r="Q1" s="27"/>
      <c r="R1" s="26"/>
      <c r="S1" s="26"/>
      <c r="T1" s="26"/>
    </row>
    <row r="2" spans="1:21" ht="75" customHeight="1">
      <c r="A2" s="77" t="s">
        <v>208</v>
      </c>
      <c r="B2" s="77"/>
      <c r="C2" s="77"/>
      <c r="D2" s="77"/>
      <c r="E2" s="77"/>
      <c r="F2" s="77"/>
      <c r="G2" s="77"/>
      <c r="H2" s="78"/>
      <c r="I2" s="28">
        <f>1- J2</f>
        <v>0.9</v>
      </c>
      <c r="J2">
        <v>0.1</v>
      </c>
      <c r="K2" s="3" t="s">
        <v>125</v>
      </c>
      <c r="L2" s="29" t="s">
        <v>124</v>
      </c>
      <c r="M2">
        <f>I1</f>
        <v>2.1800000000000014E-2</v>
      </c>
    </row>
    <row r="3" spans="1:21">
      <c r="A3" s="77"/>
      <c r="B3" s="77"/>
      <c r="C3" s="77"/>
      <c r="D3" s="77"/>
      <c r="E3" s="77"/>
      <c r="F3" s="77"/>
      <c r="G3" s="77"/>
      <c r="K3" s="1" t="s">
        <v>5</v>
      </c>
      <c r="L3" s="19">
        <f>AVERAGE(M15:M18)</f>
        <v>12.483677127174243</v>
      </c>
      <c r="M3" s="1" t="s">
        <v>7</v>
      </c>
      <c r="N3" s="1">
        <f>Partial_Missing_LN!B30</f>
        <v>3.5332247490322835</v>
      </c>
      <c r="U3">
        <f>AVERAGE(U5:U18)</f>
        <v>3.5401610369469601E-2</v>
      </c>
    </row>
    <row r="4" spans="1:21" s="3" customFormat="1" ht="120" customHeight="1">
      <c r="B4" s="3" t="s">
        <v>1</v>
      </c>
      <c r="C4" s="3" t="s">
        <v>2</v>
      </c>
      <c r="D4" s="3" t="s">
        <v>3</v>
      </c>
      <c r="E4" s="3" t="s">
        <v>126</v>
      </c>
      <c r="F4" s="3" t="s">
        <v>319</v>
      </c>
      <c r="G4" s="3" t="s">
        <v>320</v>
      </c>
      <c r="H4" s="3" t="s">
        <v>126</v>
      </c>
      <c r="I4" s="3" t="s">
        <v>14</v>
      </c>
      <c r="J4" s="3" t="s">
        <v>15</v>
      </c>
      <c r="K4" s="3" t="s">
        <v>127</v>
      </c>
      <c r="L4" s="3" t="s">
        <v>128</v>
      </c>
      <c r="M4" s="3" t="s">
        <v>4</v>
      </c>
      <c r="N4" s="3" t="s">
        <v>6</v>
      </c>
      <c r="P4" s="77" t="s">
        <v>337</v>
      </c>
      <c r="Q4" s="3" t="s">
        <v>338</v>
      </c>
      <c r="R4" s="3" t="s">
        <v>340</v>
      </c>
      <c r="S4" s="3" t="s">
        <v>341</v>
      </c>
      <c r="U4" s="3" t="s">
        <v>344</v>
      </c>
    </row>
    <row r="5" spans="1:21">
      <c r="A5">
        <v>0</v>
      </c>
      <c r="B5">
        <v>2005</v>
      </c>
      <c r="C5">
        <v>392890</v>
      </c>
      <c r="D5">
        <v>20</v>
      </c>
      <c r="E5">
        <f>D5*$I$2</f>
        <v>18</v>
      </c>
      <c r="F5">
        <f>HE!B4</f>
        <v>877</v>
      </c>
      <c r="G5">
        <f>$M$2*F5</f>
        <v>19.118600000000011</v>
      </c>
      <c r="H5">
        <f>MAX(E5-G5,0)</f>
        <v>0</v>
      </c>
      <c r="K5">
        <f>I5+J5</f>
        <v>0</v>
      </c>
      <c r="L5">
        <f t="shared" ref="L5:L14" si="0">K5*E5</f>
        <v>0</v>
      </c>
      <c r="M5" t="e">
        <f>LN(L5)</f>
        <v>#NUM!</v>
      </c>
      <c r="N5" t="e">
        <f>(M5-#REF!)^2</f>
        <v>#NUM!</v>
      </c>
      <c r="P5" s="77"/>
      <c r="Q5" t="e">
        <f>D5/K5</f>
        <v>#DIV/0!</v>
      </c>
      <c r="R5" t="e">
        <f t="shared" ref="R5:R18" si="1">E5/K5</f>
        <v>#DIV/0!</v>
      </c>
      <c r="S5" t="e">
        <f>H5/K5</f>
        <v>#DIV/0!</v>
      </c>
      <c r="U5">
        <f>E5/F5</f>
        <v>2.0524515393386546E-2</v>
      </c>
    </row>
    <row r="6" spans="1:21">
      <c r="A6">
        <v>1</v>
      </c>
      <c r="B6">
        <v>2007</v>
      </c>
      <c r="C6">
        <v>403235</v>
      </c>
      <c r="D6">
        <v>34</v>
      </c>
      <c r="E6">
        <f>D6*$I$2</f>
        <v>30.6</v>
      </c>
      <c r="F6">
        <f>HE!B6</f>
        <v>1025</v>
      </c>
      <c r="G6">
        <f t="shared" ref="G6:G19" si="2">$M$2*F6</f>
        <v>22.345000000000013</v>
      </c>
      <c r="H6">
        <f>MAX(E6-G6,0)</f>
        <v>8.2549999999999883</v>
      </c>
      <c r="K6">
        <f t="shared" ref="K6:K14" si="3">I6+J6</f>
        <v>0</v>
      </c>
      <c r="L6">
        <f t="shared" si="0"/>
        <v>0</v>
      </c>
      <c r="M6" t="e">
        <f t="shared" ref="M6:M14" si="4">LN(L6)</f>
        <v>#NUM!</v>
      </c>
      <c r="N6" t="e">
        <f>(M6-#REF!)^2</f>
        <v>#NUM!</v>
      </c>
      <c r="P6" s="77"/>
      <c r="Q6" t="e">
        <f t="shared" ref="Q6:Q19" si="5">D6/K6</f>
        <v>#DIV/0!</v>
      </c>
      <c r="R6" t="e">
        <f t="shared" si="1"/>
        <v>#DIV/0!</v>
      </c>
      <c r="S6" t="e">
        <f t="shared" ref="S6:S19" si="6">H6/K6</f>
        <v>#DIV/0!</v>
      </c>
      <c r="U6">
        <f t="shared" ref="U6:U19" si="7">E6/F6</f>
        <v>2.9853658536585368E-2</v>
      </c>
    </row>
    <row r="7" spans="1:21">
      <c r="A7">
        <v>2</v>
      </c>
      <c r="B7">
        <v>2008</v>
      </c>
      <c r="C7">
        <v>408178</v>
      </c>
      <c r="D7">
        <v>34</v>
      </c>
      <c r="E7">
        <f t="shared" ref="E6:E19" si="8">D7*$I$2</f>
        <v>30.6</v>
      </c>
      <c r="F7">
        <f>HE!B7</f>
        <v>1241</v>
      </c>
      <c r="G7">
        <f t="shared" si="2"/>
        <v>27.053800000000017</v>
      </c>
      <c r="H7">
        <f t="shared" ref="H7:H19" si="9">MAX(E7-G7,0)</f>
        <v>3.5461999999999847</v>
      </c>
      <c r="K7">
        <f t="shared" si="3"/>
        <v>0</v>
      </c>
      <c r="L7">
        <f t="shared" si="0"/>
        <v>0</v>
      </c>
      <c r="M7" t="e">
        <f t="shared" si="4"/>
        <v>#NUM!</v>
      </c>
      <c r="N7" t="e">
        <f>(M7-#REF!)^2</f>
        <v>#NUM!</v>
      </c>
      <c r="P7" s="77"/>
      <c r="Q7" t="e">
        <f t="shared" si="5"/>
        <v>#DIV/0!</v>
      </c>
      <c r="R7" t="e">
        <f t="shared" si="1"/>
        <v>#DIV/0!</v>
      </c>
      <c r="S7" t="e">
        <f t="shared" si="6"/>
        <v>#DIV/0!</v>
      </c>
      <c r="U7">
        <f t="shared" si="7"/>
        <v>2.4657534246575345E-2</v>
      </c>
    </row>
    <row r="8" spans="1:21">
      <c r="A8">
        <v>3</v>
      </c>
      <c r="B8">
        <v>2009</v>
      </c>
      <c r="C8">
        <v>413862</v>
      </c>
      <c r="D8">
        <v>35</v>
      </c>
      <c r="E8">
        <f t="shared" si="8"/>
        <v>31.5</v>
      </c>
      <c r="F8">
        <f>HE!B8</f>
        <v>1405</v>
      </c>
      <c r="G8">
        <f t="shared" si="2"/>
        <v>30.629000000000019</v>
      </c>
      <c r="H8">
        <f t="shared" si="9"/>
        <v>0.8709999999999809</v>
      </c>
      <c r="K8">
        <f t="shared" si="3"/>
        <v>0</v>
      </c>
      <c r="L8">
        <f t="shared" si="0"/>
        <v>0</v>
      </c>
      <c r="M8" t="e">
        <f t="shared" si="4"/>
        <v>#NUM!</v>
      </c>
      <c r="N8" t="e">
        <f>(M8-#REF!)^2</f>
        <v>#NUM!</v>
      </c>
      <c r="P8" s="77"/>
      <c r="Q8" t="e">
        <f t="shared" si="5"/>
        <v>#DIV/0!</v>
      </c>
      <c r="R8" t="e">
        <f t="shared" si="1"/>
        <v>#DIV/0!</v>
      </c>
      <c r="S8" t="e">
        <f t="shared" si="6"/>
        <v>#DIV/0!</v>
      </c>
      <c r="U8">
        <f t="shared" si="7"/>
        <v>2.2419928825622777E-2</v>
      </c>
    </row>
    <row r="9" spans="1:21">
      <c r="A9">
        <v>4</v>
      </c>
      <c r="B9">
        <v>2010</v>
      </c>
      <c r="C9">
        <v>416283</v>
      </c>
      <c r="D9">
        <v>46</v>
      </c>
      <c r="E9">
        <f t="shared" si="8"/>
        <v>41.4</v>
      </c>
      <c r="F9">
        <f>HE!B9</f>
        <v>1620</v>
      </c>
      <c r="G9">
        <f t="shared" si="2"/>
        <v>35.316000000000024</v>
      </c>
      <c r="H9">
        <f t="shared" si="9"/>
        <v>6.0839999999999748</v>
      </c>
      <c r="K9">
        <f t="shared" si="3"/>
        <v>0</v>
      </c>
      <c r="L9">
        <f t="shared" si="0"/>
        <v>0</v>
      </c>
      <c r="M9" t="e">
        <f t="shared" si="4"/>
        <v>#NUM!</v>
      </c>
      <c r="N9" t="e">
        <f>(M9-#REF!)^2</f>
        <v>#NUM!</v>
      </c>
      <c r="P9" s="77"/>
      <c r="Q9" t="e">
        <f t="shared" si="5"/>
        <v>#DIV/0!</v>
      </c>
      <c r="R9" t="e">
        <f t="shared" si="1"/>
        <v>#DIV/0!</v>
      </c>
      <c r="S9" t="e">
        <f t="shared" si="6"/>
        <v>#DIV/0!</v>
      </c>
      <c r="U9">
        <f t="shared" si="7"/>
        <v>2.5555555555555554E-2</v>
      </c>
    </row>
    <row r="10" spans="1:21">
      <c r="A10">
        <v>5</v>
      </c>
      <c r="B10">
        <v>2011</v>
      </c>
      <c r="C10">
        <v>424073</v>
      </c>
      <c r="D10">
        <v>60</v>
      </c>
      <c r="E10">
        <f t="shared" si="8"/>
        <v>54</v>
      </c>
      <c r="F10">
        <f>HE!B10</f>
        <v>1776</v>
      </c>
      <c r="G10">
        <f t="shared" si="2"/>
        <v>38.716800000000028</v>
      </c>
      <c r="H10">
        <f t="shared" si="9"/>
        <v>15.283199999999972</v>
      </c>
      <c r="K10">
        <f t="shared" si="3"/>
        <v>0</v>
      </c>
      <c r="L10">
        <f t="shared" si="0"/>
        <v>0</v>
      </c>
      <c r="M10" t="e">
        <f t="shared" si="4"/>
        <v>#NUM!</v>
      </c>
      <c r="N10" t="e">
        <f>(M10-#REF!)^2</f>
        <v>#NUM!</v>
      </c>
      <c r="P10" s="77"/>
      <c r="Q10" t="e">
        <f t="shared" si="5"/>
        <v>#DIV/0!</v>
      </c>
      <c r="R10" t="e">
        <f t="shared" si="1"/>
        <v>#DIV/0!</v>
      </c>
      <c r="S10" t="e">
        <f t="shared" si="6"/>
        <v>#DIV/0!</v>
      </c>
      <c r="U10">
        <f t="shared" si="7"/>
        <v>3.0405405405405407E-2</v>
      </c>
    </row>
    <row r="11" spans="1:21">
      <c r="A11">
        <v>6</v>
      </c>
      <c r="B11">
        <v>2012</v>
      </c>
      <c r="C11">
        <v>430893</v>
      </c>
      <c r="D11">
        <v>55</v>
      </c>
      <c r="E11">
        <f t="shared" si="8"/>
        <v>49.5</v>
      </c>
      <c r="F11">
        <f>HE!B11</f>
        <v>1708</v>
      </c>
      <c r="G11">
        <f t="shared" si="2"/>
        <v>37.234400000000022</v>
      </c>
      <c r="H11">
        <f t="shared" si="9"/>
        <v>12.265599999999978</v>
      </c>
      <c r="K11">
        <f t="shared" si="3"/>
        <v>0</v>
      </c>
      <c r="L11">
        <f t="shared" si="0"/>
        <v>0</v>
      </c>
      <c r="M11" t="e">
        <f t="shared" si="4"/>
        <v>#NUM!</v>
      </c>
      <c r="N11" t="e">
        <f>(M11-#REF!)^2</f>
        <v>#NUM!</v>
      </c>
      <c r="P11" s="77"/>
      <c r="Q11" t="e">
        <f t="shared" si="5"/>
        <v>#DIV/0!</v>
      </c>
      <c r="R11" t="e">
        <f t="shared" si="1"/>
        <v>#DIV/0!</v>
      </c>
      <c r="S11" t="e">
        <f t="shared" si="6"/>
        <v>#DIV/0!</v>
      </c>
      <c r="U11">
        <f t="shared" si="7"/>
        <v>2.8981264637002343E-2</v>
      </c>
    </row>
    <row r="12" spans="1:21">
      <c r="A12">
        <v>7</v>
      </c>
      <c r="B12">
        <v>2013</v>
      </c>
      <c r="C12">
        <v>436716</v>
      </c>
      <c r="D12">
        <v>70</v>
      </c>
      <c r="E12">
        <f t="shared" si="8"/>
        <v>63</v>
      </c>
      <c r="F12">
        <f>HE!B12</f>
        <v>1609</v>
      </c>
      <c r="G12">
        <f t="shared" si="2"/>
        <v>35.076200000000021</v>
      </c>
      <c r="H12">
        <f t="shared" si="9"/>
        <v>27.923799999999979</v>
      </c>
      <c r="K12">
        <f t="shared" si="3"/>
        <v>0</v>
      </c>
      <c r="L12">
        <f t="shared" si="0"/>
        <v>0</v>
      </c>
      <c r="M12" t="e">
        <f t="shared" si="4"/>
        <v>#NUM!</v>
      </c>
      <c r="N12" t="e">
        <f>(M12-#REF!)^2</f>
        <v>#NUM!</v>
      </c>
      <c r="P12" s="77"/>
      <c r="Q12" t="e">
        <f t="shared" si="5"/>
        <v>#DIV/0!</v>
      </c>
      <c r="R12" t="e">
        <f t="shared" si="1"/>
        <v>#DIV/0!</v>
      </c>
      <c r="S12" t="e">
        <f t="shared" si="6"/>
        <v>#DIV/0!</v>
      </c>
      <c r="U12">
        <f t="shared" si="7"/>
        <v>3.9154754505904291E-2</v>
      </c>
    </row>
    <row r="13" spans="1:21">
      <c r="A13">
        <v>8</v>
      </c>
      <c r="B13">
        <v>2014</v>
      </c>
      <c r="C13">
        <v>442815</v>
      </c>
      <c r="D13">
        <v>62</v>
      </c>
      <c r="E13">
        <f t="shared" si="8"/>
        <v>55.800000000000004</v>
      </c>
      <c r="F13">
        <f>HE!B13</f>
        <v>1523</v>
      </c>
      <c r="G13">
        <f t="shared" si="2"/>
        <v>33.201400000000021</v>
      </c>
      <c r="H13">
        <f t="shared" si="9"/>
        <v>22.598599999999983</v>
      </c>
      <c r="K13">
        <f t="shared" si="3"/>
        <v>0</v>
      </c>
      <c r="L13">
        <f t="shared" si="0"/>
        <v>0</v>
      </c>
      <c r="M13" t="e">
        <f t="shared" si="4"/>
        <v>#NUM!</v>
      </c>
      <c r="N13" t="e">
        <f>(M13-#REF!)^2</f>
        <v>#NUM!</v>
      </c>
      <c r="P13" s="77"/>
      <c r="Q13" t="e">
        <f t="shared" si="5"/>
        <v>#DIV/0!</v>
      </c>
      <c r="R13" t="e">
        <f t="shared" si="1"/>
        <v>#DIV/0!</v>
      </c>
      <c r="S13" t="e">
        <f t="shared" si="6"/>
        <v>#DIV/0!</v>
      </c>
      <c r="U13">
        <f t="shared" si="7"/>
        <v>3.6638214051214708E-2</v>
      </c>
    </row>
    <row r="14" spans="1:21">
      <c r="A14">
        <v>9</v>
      </c>
      <c r="B14">
        <v>2015</v>
      </c>
      <c r="C14">
        <v>449432</v>
      </c>
      <c r="D14">
        <v>60</v>
      </c>
      <c r="E14">
        <f t="shared" si="8"/>
        <v>54</v>
      </c>
      <c r="F14">
        <f>HE!B14</f>
        <v>1758</v>
      </c>
      <c r="G14">
        <f t="shared" si="2"/>
        <v>38.324400000000026</v>
      </c>
      <c r="H14">
        <f t="shared" si="9"/>
        <v>15.675599999999974</v>
      </c>
      <c r="K14">
        <f t="shared" si="3"/>
        <v>0</v>
      </c>
      <c r="L14">
        <f t="shared" si="0"/>
        <v>0</v>
      </c>
      <c r="M14" t="e">
        <f t="shared" si="4"/>
        <v>#NUM!</v>
      </c>
      <c r="N14" t="e">
        <f>(M14-#REF!)^2</f>
        <v>#NUM!</v>
      </c>
      <c r="P14" s="77"/>
      <c r="Q14" t="e">
        <f t="shared" si="5"/>
        <v>#DIV/0!</v>
      </c>
      <c r="R14" t="e">
        <f t="shared" si="1"/>
        <v>#DIV/0!</v>
      </c>
      <c r="S14" t="e">
        <f t="shared" si="6"/>
        <v>#DIV/0!</v>
      </c>
      <c r="U14">
        <f t="shared" si="7"/>
        <v>3.0716723549488054E-2</v>
      </c>
    </row>
    <row r="15" spans="1:21">
      <c r="A15">
        <v>10</v>
      </c>
      <c r="B15">
        <v>2016</v>
      </c>
      <c r="C15">
        <v>456761</v>
      </c>
      <c r="D15">
        <v>90</v>
      </c>
      <c r="E15">
        <f t="shared" si="8"/>
        <v>81</v>
      </c>
      <c r="F15">
        <f>HE!B15</f>
        <v>1829</v>
      </c>
      <c r="G15">
        <f t="shared" si="2"/>
        <v>39.872200000000028</v>
      </c>
      <c r="H15">
        <f t="shared" si="9"/>
        <v>41.127799999999972</v>
      </c>
      <c r="I15">
        <v>37404.580152671799</v>
      </c>
      <c r="J15">
        <v>2854.6712802768166</v>
      </c>
      <c r="K15">
        <f>(I15+J15)</f>
        <v>40259.251432948615</v>
      </c>
      <c r="L15">
        <f>1/((H15/366)/K15)</f>
        <v>358270.70799943601</v>
      </c>
      <c r="M15">
        <f>LN(L15)</f>
        <v>12.789044147228351</v>
      </c>
      <c r="N15" s="23">
        <f>(M15-$L$3)^2</f>
        <v>9.3249016936726062E-2</v>
      </c>
      <c r="P15" s="77"/>
      <c r="Q15">
        <f>D15/K15</f>
        <v>2.2355110141551965E-3</v>
      </c>
      <c r="R15">
        <f t="shared" si="1"/>
        <v>2.0119599127396766E-3</v>
      </c>
      <c r="S15">
        <f t="shared" si="6"/>
        <v>1.0215738876441336E-3</v>
      </c>
      <c r="U15">
        <f t="shared" si="7"/>
        <v>4.4286495352651722E-2</v>
      </c>
    </row>
    <row r="16" spans="1:21">
      <c r="A16">
        <v>11</v>
      </c>
      <c r="B16">
        <v>2017</v>
      </c>
      <c r="C16">
        <v>462328</v>
      </c>
      <c r="D16">
        <v>88</v>
      </c>
      <c r="E16">
        <f t="shared" si="8"/>
        <v>79.2</v>
      </c>
      <c r="F16">
        <f>HE!B16</f>
        <v>1718</v>
      </c>
      <c r="G16">
        <f t="shared" si="2"/>
        <v>37.452400000000026</v>
      </c>
      <c r="H16">
        <f t="shared" si="9"/>
        <v>41.747599999999977</v>
      </c>
      <c r="I16">
        <v>23782.229965156796</v>
      </c>
      <c r="J16">
        <v>2388.3495145631068</v>
      </c>
      <c r="K16">
        <f>I16+J16</f>
        <v>26170.579479719901</v>
      </c>
      <c r="L16">
        <f>1/((H16/366)/K16)</f>
        <v>229436.71227992722</v>
      </c>
      <c r="M16">
        <f>LN(L16)</f>
        <v>12.343382506966838</v>
      </c>
      <c r="N16" s="23">
        <f>(M16-$L$3)^2</f>
        <v>1.968258045913986E-2</v>
      </c>
      <c r="P16" s="77"/>
      <c r="Q16">
        <f t="shared" si="5"/>
        <v>3.3625545077514596E-3</v>
      </c>
      <c r="R16">
        <f>E16/K16</f>
        <v>3.0262990569763135E-3</v>
      </c>
      <c r="S16">
        <f t="shared" si="6"/>
        <v>1.5952111428159631E-3</v>
      </c>
      <c r="U16">
        <f t="shared" si="7"/>
        <v>4.6100116414435392E-2</v>
      </c>
    </row>
    <row r="17" spans="1:21">
      <c r="A17">
        <v>12</v>
      </c>
      <c r="B17">
        <v>2018</v>
      </c>
      <c r="C17">
        <v>468595</v>
      </c>
      <c r="D17">
        <v>85</v>
      </c>
      <c r="E17">
        <f t="shared" si="8"/>
        <v>76.5</v>
      </c>
      <c r="F17">
        <f>HE!B17</f>
        <v>1452</v>
      </c>
      <c r="G17">
        <f t="shared" si="2"/>
        <v>31.653600000000019</v>
      </c>
      <c r="H17">
        <f t="shared" si="9"/>
        <v>44.846399999999981</v>
      </c>
      <c r="I17">
        <v>32897.338403041824</v>
      </c>
      <c r="J17">
        <v>3153.1531531531532</v>
      </c>
      <c r="K17">
        <f>I17+J17</f>
        <v>36050.491556194975</v>
      </c>
      <c r="L17">
        <f t="shared" ref="L17:L19" si="10">1/((H17/366)/K17)</f>
        <v>294214.91824466101</v>
      </c>
      <c r="M17">
        <f>LN(L17)</f>
        <v>12.592065793697529</v>
      </c>
      <c r="N17" s="23">
        <f>(M17-$L$3)^2</f>
        <v>1.174810303069611E-2</v>
      </c>
      <c r="P17" s="3"/>
      <c r="Q17">
        <f t="shared" si="5"/>
        <v>2.3578041888139929E-3</v>
      </c>
      <c r="R17">
        <f t="shared" si="1"/>
        <v>2.1220237699325936E-3</v>
      </c>
      <c r="S17">
        <f t="shared" si="6"/>
        <v>1.2439885855673862E-3</v>
      </c>
      <c r="U17">
        <f t="shared" si="7"/>
        <v>5.2685950413223138E-2</v>
      </c>
    </row>
    <row r="18" spans="1:21">
      <c r="A18">
        <v>13</v>
      </c>
      <c r="B18">
        <v>2019</v>
      </c>
      <c r="C18">
        <v>473436</v>
      </c>
      <c r="D18">
        <v>106</v>
      </c>
      <c r="E18">
        <f t="shared" si="8"/>
        <v>95.4</v>
      </c>
      <c r="F18">
        <f>HE!B18</f>
        <v>1499</v>
      </c>
      <c r="G18">
        <f t="shared" si="2"/>
        <v>32.678200000000018</v>
      </c>
      <c r="H18">
        <f t="shared" si="9"/>
        <v>62.721799999999988</v>
      </c>
      <c r="I18">
        <v>31502.22882615156</v>
      </c>
      <c r="J18">
        <v>2914.2857142857142</v>
      </c>
      <c r="K18">
        <f>I18+J18</f>
        <v>34416.514540437274</v>
      </c>
      <c r="L18">
        <f t="shared" si="10"/>
        <v>200830.40221741158</v>
      </c>
      <c r="M18">
        <f>LN(L18)</f>
        <v>12.210216060804258</v>
      </c>
      <c r="N18" s="23">
        <f>(M18-$L$3)^2</f>
        <v>7.4780954820208981E-2</v>
      </c>
      <c r="P18" s="3"/>
      <c r="Q18">
        <f t="shared" si="5"/>
        <v>3.0799167613401574E-3</v>
      </c>
      <c r="R18">
        <f t="shared" si="1"/>
        <v>2.7719250852061418E-3</v>
      </c>
      <c r="S18">
        <f t="shared" si="6"/>
        <v>1.8224332369945759E-3</v>
      </c>
      <c r="U18">
        <f t="shared" si="7"/>
        <v>6.3642428285523689E-2</v>
      </c>
    </row>
    <row r="19" spans="1:21">
      <c r="A19">
        <v>14</v>
      </c>
      <c r="B19">
        <v>2020</v>
      </c>
      <c r="C19">
        <v>479660</v>
      </c>
      <c r="D19">
        <v>123</v>
      </c>
      <c r="E19">
        <f t="shared" si="8"/>
        <v>110.7</v>
      </c>
      <c r="G19">
        <f t="shared" si="2"/>
        <v>0</v>
      </c>
      <c r="H19">
        <f t="shared" si="9"/>
        <v>110.7</v>
      </c>
      <c r="I19">
        <v>31502.22882615156</v>
      </c>
      <c r="J19">
        <v>2914.2857142857142</v>
      </c>
      <c r="K19">
        <f>I19+J19</f>
        <v>34416.514540437274</v>
      </c>
      <c r="L19">
        <f t="shared" si="10"/>
        <v>113789.01826377636</v>
      </c>
      <c r="M19">
        <f>LN(L19)</f>
        <v>11.642101295699602</v>
      </c>
      <c r="N19" s="23">
        <f>(M19-$L$3)^2</f>
        <v>0.70824988012223311</v>
      </c>
      <c r="P19" s="3"/>
      <c r="Q19">
        <f t="shared" si="5"/>
        <v>3.5738656758947107E-3</v>
      </c>
      <c r="S19">
        <f t="shared" si="6"/>
        <v>3.2164791083052397E-3</v>
      </c>
      <c r="U19" t="e">
        <f t="shared" si="7"/>
        <v>#DIV/0!</v>
      </c>
    </row>
    <row r="20" spans="1:21">
      <c r="P20" s="3"/>
    </row>
    <row r="21" spans="1:21" ht="30">
      <c r="P21" s="3" t="s">
        <v>339</v>
      </c>
      <c r="Q21">
        <f>AVERAGE(Q15:Q19)</f>
        <v>2.9219304295911037E-3</v>
      </c>
      <c r="R21">
        <f>AVERAGE(R15:R18)</f>
        <v>2.4830519562136816E-3</v>
      </c>
      <c r="S21">
        <f>AVERAGE(S15:S19)</f>
        <v>1.7799371922654597E-3</v>
      </c>
    </row>
    <row r="22" spans="1:21">
      <c r="P22" t="s">
        <v>342</v>
      </c>
      <c r="Q22">
        <f>AVERAGE(Q15,Q16,Q17)</f>
        <v>2.6519565702402166E-3</v>
      </c>
      <c r="R22">
        <f>AVERAGE(R15,R16,R17)</f>
        <v>2.3867609132161949E-3</v>
      </c>
      <c r="S22">
        <f t="shared" ref="R22:S22" si="11">AVERAGE(S15,S16,S17)</f>
        <v>1.2869245386758277E-3</v>
      </c>
    </row>
    <row r="23" spans="1:21">
      <c r="P23" t="s">
        <v>343</v>
      </c>
      <c r="Q23">
        <f>AVERAGE(Q18,Q19)</f>
        <v>3.3268912186174343E-3</v>
      </c>
      <c r="R23">
        <f t="shared" ref="R23:S23" si="12">AVERAGE(R18,R19)</f>
        <v>2.7719250852061418E-3</v>
      </c>
      <c r="S23">
        <f t="shared" si="12"/>
        <v>2.519456172649908E-3</v>
      </c>
    </row>
  </sheetData>
  <mergeCells count="3">
    <mergeCell ref="A2:G3"/>
    <mergeCell ref="H1:H2"/>
    <mergeCell ref="P4:P16"/>
  </mergeCells>
  <hyperlinks>
    <hyperlink ref="L2" r:id="rId1" xr:uid="{85993CC0-B050-42F8-B112-70E6F83F169D}"/>
    <hyperlink ref="L1" r:id="rId2" xr:uid="{5460BD0B-FEC1-4F51-A77D-ACC8D5020D91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08D0-78FE-461D-87C6-312EA1C6C8D9}">
  <dimension ref="A1:AS45"/>
  <sheetViews>
    <sheetView workbookViewId="0">
      <selection activeCell="N22" sqref="N22"/>
    </sheetView>
  </sheetViews>
  <sheetFormatPr defaultRowHeight="15"/>
  <cols>
    <col min="8" max="8" width="20.5703125" bestFit="1" customWidth="1"/>
    <col min="12" max="12" width="19.5703125" bestFit="1" customWidth="1"/>
  </cols>
  <sheetData>
    <row r="1" spans="1:14">
      <c r="A1" t="s">
        <v>0</v>
      </c>
      <c r="H1" s="38"/>
      <c r="J1" s="26"/>
      <c r="K1" s="26"/>
      <c r="L1" s="26"/>
      <c r="M1" s="26"/>
    </row>
    <row r="2" spans="1:14">
      <c r="A2" s="77"/>
      <c r="B2" s="77"/>
      <c r="C2" s="77"/>
      <c r="D2" s="77"/>
      <c r="E2" s="77"/>
      <c r="F2" s="77"/>
      <c r="G2" s="77"/>
      <c r="K2" s="1" t="s">
        <v>5</v>
      </c>
      <c r="L2" s="19">
        <f>AVERAGE(F21:F24)</f>
        <v>17505.729095233954</v>
      </c>
      <c r="M2" s="1" t="s">
        <v>7</v>
      </c>
      <c r="N2" s="1">
        <f>Partial_Missing_LN!B29</f>
        <v>12.483677127174243</v>
      </c>
    </row>
    <row r="3" spans="1:14" ht="105">
      <c r="A3" s="3"/>
      <c r="B3" s="3" t="s">
        <v>1</v>
      </c>
      <c r="C3" s="3" t="s">
        <v>2</v>
      </c>
      <c r="D3" s="3" t="s">
        <v>210</v>
      </c>
      <c r="E3" s="3" t="s">
        <v>211</v>
      </c>
      <c r="F3" s="3" t="s">
        <v>212</v>
      </c>
      <c r="G3" s="3" t="s">
        <v>4</v>
      </c>
      <c r="H3" s="3" t="s">
        <v>6</v>
      </c>
      <c r="I3" s="3"/>
      <c r="J3" s="3"/>
      <c r="K3" s="3"/>
    </row>
    <row r="4" spans="1:14">
      <c r="A4">
        <v>0</v>
      </c>
      <c r="B4">
        <v>1999</v>
      </c>
      <c r="C4">
        <v>360041</v>
      </c>
      <c r="D4">
        <v>2512</v>
      </c>
      <c r="E4">
        <f>D4/366</f>
        <v>6.8633879781420761</v>
      </c>
      <c r="F4">
        <f>1/(E4/C4)/3</f>
        <v>17486.067675159236</v>
      </c>
      <c r="G4">
        <f>LN(F4)</f>
        <v>9.7691597099815013</v>
      </c>
      <c r="H4" s="42">
        <f>(G4-$L$2)^2</f>
        <v>306108614.06546003</v>
      </c>
      <c r="J4">
        <f>F4</f>
        <v>17486.067675159236</v>
      </c>
    </row>
    <row r="5" spans="1:14">
      <c r="A5">
        <v>1</v>
      </c>
      <c r="B5">
        <v>2000</v>
      </c>
      <c r="C5">
        <v>362879</v>
      </c>
      <c r="D5">
        <v>2462</v>
      </c>
      <c r="E5">
        <f>D5/365</f>
        <v>6.7452054794520544</v>
      </c>
      <c r="F5">
        <f t="shared" ref="F5:F25" si="0">1/(E5/C5)/3</f>
        <v>17932.688193880316</v>
      </c>
      <c r="G5">
        <f t="shared" ref="G5:G25" si="1">LN(F5)</f>
        <v>9.7943804825157326</v>
      </c>
      <c r="H5" s="42">
        <f t="shared" ref="H5:H25" si="2">(G5-$L$2)^2</f>
        <v>306107731.54284447</v>
      </c>
    </row>
    <row r="6" spans="1:14">
      <c r="A6">
        <v>2</v>
      </c>
      <c r="B6">
        <v>2001</v>
      </c>
      <c r="C6">
        <v>370586</v>
      </c>
      <c r="D6">
        <v>2607</v>
      </c>
      <c r="E6">
        <f t="shared" ref="E6:E24" si="3">D6/366</f>
        <v>7.1229508196721314</v>
      </c>
      <c r="F6">
        <f t="shared" si="0"/>
        <v>17342.344457230534</v>
      </c>
      <c r="G6">
        <f t="shared" si="1"/>
        <v>9.7609064463410764</v>
      </c>
      <c r="H6" s="42">
        <f t="shared" si="2"/>
        <v>306108902.86306816</v>
      </c>
      <c r="J6">
        <f t="shared" ref="J6:J25" si="4">F6/365.25</f>
        <v>47.48075142294465</v>
      </c>
    </row>
    <row r="7" spans="1:14">
      <c r="A7">
        <v>3</v>
      </c>
      <c r="B7">
        <v>2002</v>
      </c>
      <c r="C7">
        <v>377135</v>
      </c>
      <c r="D7">
        <v>2617</v>
      </c>
      <c r="E7">
        <f t="shared" si="3"/>
        <v>7.1502732240437155</v>
      </c>
      <c r="F7">
        <f t="shared" si="0"/>
        <v>17581.379442109286</v>
      </c>
      <c r="G7">
        <f t="shared" si="1"/>
        <v>9.7745956347199456</v>
      </c>
      <c r="H7" s="42">
        <f t="shared" si="2"/>
        <v>306108423.85204667</v>
      </c>
      <c r="J7">
        <f t="shared" si="4"/>
        <v>48.135193544447056</v>
      </c>
    </row>
    <row r="8" spans="1:14">
      <c r="A8">
        <v>4</v>
      </c>
      <c r="B8">
        <v>2003</v>
      </c>
      <c r="C8">
        <v>382859</v>
      </c>
      <c r="D8">
        <v>2617</v>
      </c>
      <c r="E8">
        <f>D8/366</f>
        <v>7.1502732240437155</v>
      </c>
      <c r="F8">
        <f t="shared" si="0"/>
        <v>17848.222392051972</v>
      </c>
      <c r="G8">
        <f t="shared" si="1"/>
        <v>9.7896591963693407</v>
      </c>
      <c r="H8" s="42">
        <f t="shared" si="2"/>
        <v>306107896.74949515</v>
      </c>
      <c r="J8">
        <f t="shared" si="4"/>
        <v>48.86576972498829</v>
      </c>
    </row>
    <row r="9" spans="1:14">
      <c r="A9">
        <v>5</v>
      </c>
      <c r="B9">
        <v>2004</v>
      </c>
      <c r="C9">
        <v>387894</v>
      </c>
      <c r="D9">
        <v>2582</v>
      </c>
      <c r="E9">
        <f>D9/365</f>
        <v>7.0739726027397261</v>
      </c>
      <c r="F9">
        <f t="shared" si="0"/>
        <v>18277.9899302866</v>
      </c>
      <c r="G9">
        <f t="shared" si="1"/>
        <v>9.8134528789121251</v>
      </c>
      <c r="H9" s="42">
        <f t="shared" si="2"/>
        <v>306107064.1644038</v>
      </c>
      <c r="J9">
        <f t="shared" si="4"/>
        <v>50.042409117827788</v>
      </c>
    </row>
    <row r="10" spans="1:14">
      <c r="A10">
        <v>6</v>
      </c>
      <c r="B10">
        <v>2005</v>
      </c>
      <c r="C10">
        <v>392890</v>
      </c>
      <c r="D10">
        <v>2592</v>
      </c>
      <c r="E10">
        <f t="shared" si="3"/>
        <v>7.081967213114754</v>
      </c>
      <c r="F10">
        <f t="shared" si="0"/>
        <v>18492.507716049382</v>
      </c>
      <c r="G10">
        <f t="shared" si="1"/>
        <v>9.825120940714843</v>
      </c>
      <c r="H10" s="42">
        <f t="shared" si="2"/>
        <v>306106655.87769002</v>
      </c>
      <c r="J10">
        <f t="shared" si="4"/>
        <v>50.629726806432259</v>
      </c>
    </row>
    <row r="11" spans="1:14">
      <c r="A11">
        <v>7</v>
      </c>
      <c r="B11">
        <v>2006</v>
      </c>
      <c r="C11">
        <v>398205</v>
      </c>
      <c r="D11">
        <v>2560</v>
      </c>
      <c r="E11">
        <f t="shared" si="3"/>
        <v>6.9945355191256828</v>
      </c>
      <c r="F11">
        <f t="shared" si="0"/>
        <v>18976.95703125</v>
      </c>
      <c r="G11">
        <f t="shared" si="1"/>
        <v>9.8509807342973179</v>
      </c>
      <c r="H11" s="42">
        <f t="shared" si="2"/>
        <v>306105750.99742806</v>
      </c>
      <c r="J11">
        <f t="shared" si="4"/>
        <v>51.956076745379875</v>
      </c>
    </row>
    <row r="12" spans="1:14">
      <c r="A12">
        <v>8</v>
      </c>
      <c r="B12">
        <v>2007</v>
      </c>
      <c r="C12">
        <v>403235</v>
      </c>
      <c r="D12">
        <v>2719</v>
      </c>
      <c r="E12">
        <f t="shared" si="3"/>
        <v>7.4289617486338795</v>
      </c>
      <c r="F12">
        <f t="shared" si="0"/>
        <v>18092.927546892242</v>
      </c>
      <c r="G12">
        <f t="shared" si="1"/>
        <v>9.8032763976282524</v>
      </c>
      <c r="H12" s="42">
        <f t="shared" si="2"/>
        <v>306107420.25822347</v>
      </c>
      <c r="J12">
        <f t="shared" si="4"/>
        <v>49.535735925783001</v>
      </c>
    </row>
    <row r="13" spans="1:14">
      <c r="A13">
        <v>9</v>
      </c>
      <c r="B13">
        <v>2008</v>
      </c>
      <c r="C13">
        <v>408178</v>
      </c>
      <c r="D13">
        <v>2681</v>
      </c>
      <c r="E13">
        <f>D13/365</f>
        <v>7.3452054794520549</v>
      </c>
      <c r="F13">
        <f t="shared" si="0"/>
        <v>18523.557130423971</v>
      </c>
      <c r="G13">
        <f t="shared" si="1"/>
        <v>9.8267985594344722</v>
      </c>
      <c r="H13" s="42">
        <f t="shared" si="2"/>
        <v>306106597.17478067</v>
      </c>
      <c r="J13">
        <f t="shared" si="4"/>
        <v>50.714735470017715</v>
      </c>
    </row>
    <row r="14" spans="1:14">
      <c r="A14">
        <v>10</v>
      </c>
      <c r="B14">
        <v>2009</v>
      </c>
      <c r="C14">
        <v>413862</v>
      </c>
      <c r="D14">
        <v>2675</v>
      </c>
      <c r="E14">
        <f t="shared" si="3"/>
        <v>7.3087431693989071</v>
      </c>
      <c r="F14">
        <f t="shared" si="0"/>
        <v>18875.201495327103</v>
      </c>
      <c r="G14">
        <f t="shared" si="1"/>
        <v>9.8456042493093641</v>
      </c>
      <c r="H14" s="42">
        <f t="shared" si="2"/>
        <v>306105939.13010901</v>
      </c>
      <c r="J14">
        <f t="shared" si="4"/>
        <v>51.677485271258327</v>
      </c>
    </row>
    <row r="15" spans="1:14">
      <c r="A15">
        <v>11</v>
      </c>
      <c r="B15">
        <v>2010</v>
      </c>
      <c r="C15">
        <v>416283</v>
      </c>
      <c r="D15">
        <v>2784</v>
      </c>
      <c r="E15">
        <f t="shared" si="3"/>
        <v>7.6065573770491799</v>
      </c>
      <c r="F15">
        <f t="shared" si="0"/>
        <v>18242.286637931036</v>
      </c>
      <c r="G15">
        <f t="shared" si="1"/>
        <v>9.8114976196925809</v>
      </c>
      <c r="H15" s="42">
        <f t="shared" si="2"/>
        <v>306107132.58250839</v>
      </c>
      <c r="J15">
        <f t="shared" si="4"/>
        <v>49.944658830748899</v>
      </c>
    </row>
    <row r="16" spans="1:14">
      <c r="A16">
        <v>12</v>
      </c>
      <c r="B16">
        <v>2011</v>
      </c>
      <c r="C16">
        <v>424073</v>
      </c>
      <c r="D16">
        <v>2852</v>
      </c>
      <c r="E16">
        <f t="shared" si="3"/>
        <v>7.7923497267759565</v>
      </c>
      <c r="F16">
        <f t="shared" si="0"/>
        <v>18140.570126227209</v>
      </c>
      <c r="G16">
        <f t="shared" si="1"/>
        <v>9.8059061524049653</v>
      </c>
      <c r="H16" s="42">
        <f t="shared" si="2"/>
        <v>306107328.23824149</v>
      </c>
      <c r="J16">
        <f t="shared" si="4"/>
        <v>49.666174199116249</v>
      </c>
    </row>
    <row r="17" spans="1:45">
      <c r="A17">
        <v>13</v>
      </c>
      <c r="B17">
        <v>2012</v>
      </c>
      <c r="C17">
        <v>430893</v>
      </c>
      <c r="D17">
        <v>2944</v>
      </c>
      <c r="E17">
        <f>D17/365</f>
        <v>8.0657534246575349</v>
      </c>
      <c r="F17">
        <f t="shared" si="0"/>
        <v>17807.511888586956</v>
      </c>
      <c r="G17">
        <f t="shared" si="1"/>
        <v>9.7873756634691311</v>
      </c>
      <c r="H17" s="42">
        <f t="shared" si="2"/>
        <v>306107976.654607</v>
      </c>
      <c r="J17">
        <f t="shared" si="4"/>
        <v>48.754310441032047</v>
      </c>
    </row>
    <row r="18" spans="1:45">
      <c r="A18">
        <v>14</v>
      </c>
      <c r="B18">
        <v>2013</v>
      </c>
      <c r="C18">
        <v>436716</v>
      </c>
      <c r="D18">
        <v>3048</v>
      </c>
      <c r="E18">
        <f t="shared" si="3"/>
        <v>8.3278688524590159</v>
      </c>
      <c r="F18">
        <f t="shared" si="0"/>
        <v>17480.102362204725</v>
      </c>
      <c r="G18">
        <f t="shared" si="1"/>
        <v>9.7688185051537495</v>
      </c>
      <c r="H18" s="42">
        <f t="shared" si="2"/>
        <v>306108626.00487214</v>
      </c>
      <c r="J18">
        <f t="shared" si="4"/>
        <v>47.857912011511907</v>
      </c>
    </row>
    <row r="19" spans="1:45">
      <c r="A19">
        <v>15</v>
      </c>
      <c r="B19">
        <v>2014</v>
      </c>
      <c r="C19">
        <v>442815</v>
      </c>
      <c r="D19">
        <v>3211</v>
      </c>
      <c r="E19">
        <f t="shared" si="3"/>
        <v>8.7732240437158477</v>
      </c>
      <c r="F19">
        <f t="shared" si="0"/>
        <v>16824.487698536279</v>
      </c>
      <c r="G19">
        <f t="shared" si="1"/>
        <v>9.7305907052253584</v>
      </c>
      <c r="H19" s="42">
        <f t="shared" si="2"/>
        <v>306109963.67047149</v>
      </c>
      <c r="J19">
        <f t="shared" si="4"/>
        <v>46.062936888531908</v>
      </c>
    </row>
    <row r="20" spans="1:45">
      <c r="A20">
        <v>16</v>
      </c>
      <c r="B20">
        <v>2015</v>
      </c>
      <c r="C20">
        <v>449432</v>
      </c>
      <c r="D20">
        <v>3083</v>
      </c>
      <c r="E20">
        <f t="shared" si="3"/>
        <v>8.4234972677595632</v>
      </c>
      <c r="F20">
        <f t="shared" si="0"/>
        <v>17784.853713915018</v>
      </c>
      <c r="G20">
        <f t="shared" si="1"/>
        <v>9.7861024590979557</v>
      </c>
      <c r="H20" s="42">
        <f t="shared" si="2"/>
        <v>306108021.20642763</v>
      </c>
      <c r="J20">
        <f t="shared" si="4"/>
        <v>48.692275739671508</v>
      </c>
    </row>
    <row r="21" spans="1:45">
      <c r="A21">
        <v>17</v>
      </c>
      <c r="B21">
        <v>2016</v>
      </c>
      <c r="C21">
        <v>456761</v>
      </c>
      <c r="D21">
        <v>3095</v>
      </c>
      <c r="E21">
        <f>D21/365</f>
        <v>8.4794520547945211</v>
      </c>
      <c r="F21">
        <f t="shared" si="0"/>
        <v>17955.602046311255</v>
      </c>
      <c r="G21">
        <f t="shared" si="1"/>
        <v>9.7956574369424398</v>
      </c>
      <c r="H21" s="42">
        <f t="shared" si="2"/>
        <v>306107686.85982358</v>
      </c>
      <c r="J21">
        <f t="shared" si="4"/>
        <v>49.159759195924039</v>
      </c>
    </row>
    <row r="22" spans="1:45">
      <c r="A22">
        <v>18</v>
      </c>
      <c r="B22">
        <v>2017</v>
      </c>
      <c r="C22">
        <v>462328</v>
      </c>
      <c r="D22">
        <v>3252</v>
      </c>
      <c r="E22">
        <f t="shared" si="3"/>
        <v>8.8852459016393439</v>
      </c>
      <c r="F22">
        <f t="shared" si="0"/>
        <v>17344.408364083643</v>
      </c>
      <c r="G22">
        <f t="shared" si="1"/>
        <v>9.7610254489393409</v>
      </c>
      <c r="H22" s="42">
        <f t="shared" si="2"/>
        <v>306108898.6989367</v>
      </c>
      <c r="J22">
        <f t="shared" si="4"/>
        <v>47.486402091947006</v>
      </c>
    </row>
    <row r="23" spans="1:45">
      <c r="A23">
        <v>19</v>
      </c>
      <c r="B23">
        <v>2018</v>
      </c>
      <c r="C23">
        <v>468595</v>
      </c>
      <c r="D23">
        <v>3325</v>
      </c>
      <c r="E23">
        <f t="shared" si="3"/>
        <v>9.084699453551913</v>
      </c>
      <c r="F23">
        <f t="shared" si="0"/>
        <v>17193.560902255638</v>
      </c>
      <c r="G23">
        <f t="shared" si="1"/>
        <v>9.7522902265611151</v>
      </c>
      <c r="H23" s="42">
        <f t="shared" si="2"/>
        <v>306109204.36135662</v>
      </c>
      <c r="J23">
        <f t="shared" si="4"/>
        <v>47.073404249844323</v>
      </c>
      <c r="L23" s="40"/>
      <c r="R23" s="40"/>
      <c r="AM23" s="40"/>
      <c r="AS23" s="40"/>
    </row>
    <row r="24" spans="1:45">
      <c r="A24">
        <v>20</v>
      </c>
      <c r="B24">
        <v>2019</v>
      </c>
      <c r="C24">
        <v>473436</v>
      </c>
      <c r="D24">
        <v>3295</v>
      </c>
      <c r="E24">
        <f t="shared" si="3"/>
        <v>9.0027322404371581</v>
      </c>
      <c r="F24">
        <f t="shared" si="0"/>
        <v>17529.345068285282</v>
      </c>
      <c r="G24">
        <f t="shared" si="1"/>
        <v>9.7716316165947248</v>
      </c>
      <c r="H24" s="42">
        <f t="shared" si="2"/>
        <v>306108527.568708</v>
      </c>
      <c r="J24">
        <f t="shared" si="4"/>
        <v>47.992731193115077</v>
      </c>
      <c r="K24" s="41"/>
      <c r="T24" s="41"/>
    </row>
    <row r="25" spans="1:45">
      <c r="A25">
        <v>21</v>
      </c>
      <c r="B25">
        <v>2020</v>
      </c>
      <c r="C25">
        <v>479660</v>
      </c>
      <c r="D25">
        <v>3828</v>
      </c>
      <c r="E25">
        <f>D25/365</f>
        <v>10.487671232876712</v>
      </c>
      <c r="F25">
        <f t="shared" si="0"/>
        <v>15245.202020202019</v>
      </c>
      <c r="G25">
        <f t="shared" si="1"/>
        <v>9.6320201109056924</v>
      </c>
      <c r="H25" s="42">
        <f t="shared" si="2"/>
        <v>306113412.86212933</v>
      </c>
      <c r="J25">
        <f t="shared" si="4"/>
        <v>41.739088350998003</v>
      </c>
      <c r="K25" s="41"/>
      <c r="T25" s="41"/>
    </row>
    <row r="26" spans="1:45">
      <c r="K26" s="41"/>
      <c r="T26" s="41"/>
    </row>
    <row r="27" spans="1:45">
      <c r="K27" s="41"/>
      <c r="T27" s="41"/>
    </row>
    <row r="28" spans="1:45">
      <c r="K28" s="41"/>
      <c r="T28" s="41"/>
    </row>
    <row r="29" spans="1:45">
      <c r="K29" s="41"/>
      <c r="T29" s="41"/>
    </row>
    <row r="30" spans="1:45">
      <c r="K30" s="41"/>
      <c r="T30" s="41"/>
    </row>
    <row r="31" spans="1:45">
      <c r="K31" s="41"/>
      <c r="T31" s="41"/>
    </row>
    <row r="32" spans="1:45">
      <c r="K32" s="41"/>
      <c r="T32" s="41"/>
    </row>
    <row r="33" spans="11:20">
      <c r="K33" s="41"/>
      <c r="T33" s="41"/>
    </row>
    <row r="34" spans="11:20">
      <c r="K34" s="41"/>
      <c r="T34" s="41"/>
    </row>
    <row r="35" spans="11:20">
      <c r="K35" s="41"/>
      <c r="T35" s="41"/>
    </row>
    <row r="36" spans="11:20">
      <c r="K36" s="41"/>
      <c r="T36" s="41"/>
    </row>
    <row r="37" spans="11:20">
      <c r="K37" s="41"/>
      <c r="T37" s="41"/>
    </row>
    <row r="38" spans="11:20">
      <c r="K38" s="41"/>
      <c r="T38" s="41"/>
    </row>
    <row r="39" spans="11:20">
      <c r="K39" s="41"/>
      <c r="T39" s="41"/>
    </row>
    <row r="40" spans="11:20">
      <c r="K40" s="41"/>
      <c r="T40" s="41"/>
    </row>
    <row r="41" spans="11:20">
      <c r="K41" s="41"/>
      <c r="T41" s="41"/>
    </row>
    <row r="42" spans="11:20">
      <c r="K42" s="41"/>
      <c r="T42" s="41"/>
    </row>
    <row r="43" spans="11:20">
      <c r="K43" s="41"/>
      <c r="T43" s="41"/>
    </row>
    <row r="44" spans="11:20">
      <c r="K44" s="41"/>
      <c r="T44" s="41"/>
    </row>
    <row r="45" spans="11:20">
      <c r="K45" s="41"/>
      <c r="T45" s="41"/>
    </row>
  </sheetData>
  <mergeCells count="1"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25C5-A031-474E-8DC8-0F6E3120CDA9}">
  <sheetPr codeName="Sheet2"/>
  <dimension ref="A1:J18"/>
  <sheetViews>
    <sheetView workbookViewId="0">
      <selection activeCell="F19" sqref="F19"/>
    </sheetView>
  </sheetViews>
  <sheetFormatPr defaultRowHeight="15"/>
  <cols>
    <col min="5" max="5" width="12" bestFit="1" customWidth="1"/>
    <col min="7" max="7" width="17.85546875" bestFit="1" customWidth="1"/>
    <col min="8" max="8" width="11.85546875" customWidth="1"/>
    <col min="10" max="10" width="10.5703125" bestFit="1" customWidth="1"/>
    <col min="13" max="13" width="17.85546875" bestFit="1" customWidth="1"/>
    <col min="14" max="14" width="14.5703125" bestFit="1" customWidth="1"/>
  </cols>
  <sheetData>
    <row r="1" spans="1:10">
      <c r="A1" t="s">
        <v>8</v>
      </c>
      <c r="F1" s="1" t="s">
        <v>5</v>
      </c>
      <c r="G1" s="20">
        <f>AVERAGE(I17:I18)</f>
        <v>9.0727557968556489</v>
      </c>
      <c r="H1" s="1" t="s">
        <v>7</v>
      </c>
      <c r="I1" s="1">
        <f>Partial_Missing_LN!F30</f>
        <v>3.0121015581908339</v>
      </c>
    </row>
    <row r="3" spans="1:10" s="3" customFormat="1" ht="60">
      <c r="B3" s="10" t="s">
        <v>102</v>
      </c>
      <c r="C3" t="s">
        <v>2</v>
      </c>
      <c r="D3" s="3" t="s">
        <v>103</v>
      </c>
      <c r="E3" s="3" t="s">
        <v>104</v>
      </c>
      <c r="F3" s="3" t="s">
        <v>105</v>
      </c>
      <c r="G3" s="24" t="s">
        <v>109</v>
      </c>
      <c r="H3" s="3" t="s">
        <v>106</v>
      </c>
      <c r="I3" s="3" t="s">
        <v>4</v>
      </c>
      <c r="J3" s="3" t="s">
        <v>6</v>
      </c>
    </row>
    <row r="4" spans="1:10">
      <c r="A4">
        <v>2005</v>
      </c>
      <c r="B4" s="12">
        <v>877</v>
      </c>
      <c r="C4">
        <v>392890</v>
      </c>
      <c r="F4">
        <f>D4+E4</f>
        <v>0</v>
      </c>
      <c r="G4" t="e">
        <f>F4/(#REF!)</f>
        <v>#REF!</v>
      </c>
      <c r="H4" t="e">
        <f t="shared" ref="H4:H14" si="0">365/G4</f>
        <v>#REF!</v>
      </c>
      <c r="I4" t="e">
        <f>LN(H4)</f>
        <v>#REF!</v>
      </c>
      <c r="J4" t="e">
        <f>(I4-#REF!)^2</f>
        <v>#REF!</v>
      </c>
    </row>
    <row r="5" spans="1:10">
      <c r="A5">
        <v>2006</v>
      </c>
      <c r="B5" s="12">
        <v>866</v>
      </c>
      <c r="C5">
        <v>403235</v>
      </c>
      <c r="G5" t="e">
        <f>F5/(#REF!)</f>
        <v>#REF!</v>
      </c>
      <c r="H5" t="e">
        <f t="shared" si="0"/>
        <v>#REF!</v>
      </c>
      <c r="I5" t="e">
        <f t="shared" ref="I5:I18" si="1">LN(H5)</f>
        <v>#REF!</v>
      </c>
      <c r="J5" t="e">
        <f>(I5-#REF!)^2</f>
        <v>#REF!</v>
      </c>
    </row>
    <row r="6" spans="1:10">
      <c r="A6">
        <v>2007</v>
      </c>
      <c r="B6" s="11">
        <v>1025</v>
      </c>
      <c r="F6">
        <f t="shared" ref="F6:F18" si="2">D6+E6</f>
        <v>0</v>
      </c>
      <c r="G6" t="e">
        <f>F6/(#REF!)</f>
        <v>#REF!</v>
      </c>
      <c r="H6" t="e">
        <f t="shared" si="0"/>
        <v>#REF!</v>
      </c>
      <c r="I6" t="e">
        <f t="shared" si="1"/>
        <v>#REF!</v>
      </c>
      <c r="J6" t="e">
        <f>(I6-#REF!)^2</f>
        <v>#REF!</v>
      </c>
    </row>
    <row r="7" spans="1:10">
      <c r="A7">
        <v>2008</v>
      </c>
      <c r="B7" s="11">
        <v>1241</v>
      </c>
      <c r="C7">
        <v>408178</v>
      </c>
      <c r="F7">
        <f t="shared" si="2"/>
        <v>0</v>
      </c>
      <c r="G7" t="e">
        <f>F7/(#REF!)</f>
        <v>#REF!</v>
      </c>
      <c r="H7" t="e">
        <f t="shared" si="0"/>
        <v>#REF!</v>
      </c>
      <c r="I7" t="e">
        <f t="shared" si="1"/>
        <v>#REF!</v>
      </c>
      <c r="J7" t="e">
        <f>(I7-#REF!)^2</f>
        <v>#REF!</v>
      </c>
    </row>
    <row r="8" spans="1:10">
      <c r="A8">
        <v>2009</v>
      </c>
      <c r="B8" s="11">
        <v>1405</v>
      </c>
      <c r="C8">
        <v>413862</v>
      </c>
      <c r="F8">
        <f t="shared" si="2"/>
        <v>0</v>
      </c>
      <c r="G8" t="e">
        <f>F8/(#REF!)</f>
        <v>#REF!</v>
      </c>
      <c r="H8" t="e">
        <f t="shared" si="0"/>
        <v>#REF!</v>
      </c>
      <c r="I8" t="e">
        <f t="shared" si="1"/>
        <v>#REF!</v>
      </c>
      <c r="J8" t="e">
        <f>(I8-#REF!)^2</f>
        <v>#REF!</v>
      </c>
    </row>
    <row r="9" spans="1:10">
      <c r="A9">
        <v>2010</v>
      </c>
      <c r="B9" s="11">
        <v>1620</v>
      </c>
      <c r="C9">
        <v>416283</v>
      </c>
      <c r="F9">
        <f t="shared" si="2"/>
        <v>0</v>
      </c>
      <c r="G9" t="e">
        <f>F9/(#REF!)</f>
        <v>#REF!</v>
      </c>
      <c r="H9" t="e">
        <f t="shared" si="0"/>
        <v>#REF!</v>
      </c>
      <c r="I9" t="e">
        <f t="shared" si="1"/>
        <v>#REF!</v>
      </c>
      <c r="J9" t="e">
        <f>(I9-#REF!)^2</f>
        <v>#REF!</v>
      </c>
    </row>
    <row r="10" spans="1:10">
      <c r="A10">
        <v>2011</v>
      </c>
      <c r="B10" s="11">
        <v>1776</v>
      </c>
      <c r="C10">
        <v>424073</v>
      </c>
      <c r="F10">
        <f t="shared" si="2"/>
        <v>0</v>
      </c>
      <c r="G10" t="e">
        <f>F10/(#REF!)</f>
        <v>#REF!</v>
      </c>
      <c r="H10" t="e">
        <f t="shared" si="0"/>
        <v>#REF!</v>
      </c>
      <c r="I10" t="e">
        <f t="shared" si="1"/>
        <v>#REF!</v>
      </c>
      <c r="J10" t="e">
        <f>(I10-#REF!)^2</f>
        <v>#REF!</v>
      </c>
    </row>
    <row r="11" spans="1:10">
      <c r="A11">
        <v>2012</v>
      </c>
      <c r="B11" s="11">
        <v>1708</v>
      </c>
      <c r="C11">
        <v>430893</v>
      </c>
      <c r="F11">
        <f t="shared" si="2"/>
        <v>0</v>
      </c>
      <c r="G11" t="e">
        <f>F11/(#REF!)</f>
        <v>#REF!</v>
      </c>
      <c r="H11" t="e">
        <f t="shared" si="0"/>
        <v>#REF!</v>
      </c>
      <c r="I11" t="e">
        <f t="shared" si="1"/>
        <v>#REF!</v>
      </c>
      <c r="J11" t="e">
        <f>(I11-#REF!)^2</f>
        <v>#REF!</v>
      </c>
    </row>
    <row r="12" spans="1:10">
      <c r="A12">
        <v>2013</v>
      </c>
      <c r="B12" s="11">
        <v>1609</v>
      </c>
      <c r="C12">
        <v>436716</v>
      </c>
      <c r="F12">
        <f t="shared" si="2"/>
        <v>0</v>
      </c>
      <c r="G12" t="e">
        <f>F12/(#REF!)</f>
        <v>#REF!</v>
      </c>
      <c r="H12" t="e">
        <f t="shared" si="0"/>
        <v>#REF!</v>
      </c>
      <c r="I12" t="e">
        <f t="shared" si="1"/>
        <v>#REF!</v>
      </c>
      <c r="J12" t="e">
        <f>(I12-#REF!)^2</f>
        <v>#REF!</v>
      </c>
    </row>
    <row r="13" spans="1:10">
      <c r="A13">
        <v>2014</v>
      </c>
      <c r="B13" s="11">
        <v>1523</v>
      </c>
      <c r="C13">
        <v>442815</v>
      </c>
      <c r="F13">
        <f t="shared" si="2"/>
        <v>0</v>
      </c>
      <c r="G13" t="e">
        <f>F13/(#REF!)</f>
        <v>#REF!</v>
      </c>
      <c r="H13" t="e">
        <f t="shared" si="0"/>
        <v>#REF!</v>
      </c>
      <c r="I13" t="e">
        <f t="shared" si="1"/>
        <v>#REF!</v>
      </c>
      <c r="J13" t="e">
        <f>(I13-#REF!)^2</f>
        <v>#REF!</v>
      </c>
    </row>
    <row r="14" spans="1:10">
      <c r="A14">
        <v>2015</v>
      </c>
      <c r="B14" s="11">
        <v>1758</v>
      </c>
      <c r="C14">
        <v>449432</v>
      </c>
      <c r="F14">
        <f t="shared" si="2"/>
        <v>0</v>
      </c>
      <c r="G14" t="e">
        <f>F14/(#REF!)</f>
        <v>#REF!</v>
      </c>
      <c r="H14" t="e">
        <f t="shared" si="0"/>
        <v>#REF!</v>
      </c>
      <c r="I14" t="e">
        <f t="shared" si="1"/>
        <v>#REF!</v>
      </c>
      <c r="J14" t="e">
        <f>(I14-#REF!)^2</f>
        <v>#REF!</v>
      </c>
    </row>
    <row r="15" spans="1:10">
      <c r="A15">
        <v>2016</v>
      </c>
      <c r="B15" s="11">
        <v>1829</v>
      </c>
      <c r="C15">
        <v>456761</v>
      </c>
      <c r="D15">
        <v>37404.580152671755</v>
      </c>
      <c r="E15">
        <v>2854.6712802768166</v>
      </c>
      <c r="F15">
        <f>(D15+E15)</f>
        <v>40259.251432948571</v>
      </c>
      <c r="G15">
        <f>B15/F15</f>
        <v>4.5430551609887321E-2</v>
      </c>
      <c r="H15">
        <f>366/G15</f>
        <v>8056.2526104205444</v>
      </c>
      <c r="I15">
        <f>LN(H15)</f>
        <v>8.9942037907117172</v>
      </c>
      <c r="J15" s="25">
        <f>(I15-$G$1)^2</f>
        <v>6.1704176692362932E-3</v>
      </c>
    </row>
    <row r="16" spans="1:10">
      <c r="A16">
        <v>2017</v>
      </c>
      <c r="B16" s="11">
        <v>1718</v>
      </c>
      <c r="C16">
        <v>462328</v>
      </c>
      <c r="D16">
        <v>23782.229965156796</v>
      </c>
      <c r="E16">
        <v>2388.3495145631068</v>
      </c>
      <c r="F16">
        <f t="shared" si="2"/>
        <v>26170.579479719901</v>
      </c>
      <c r="G16">
        <f>B16/F16</f>
        <v>6.5646234594511452E-2</v>
      </c>
      <c r="H16">
        <f>365/G16</f>
        <v>5560.1056519777439</v>
      </c>
      <c r="I16">
        <f t="shared" si="1"/>
        <v>8.6233723892183605</v>
      </c>
      <c r="J16" s="25">
        <f>(I16-$G$1)^2</f>
        <v>0.20194544705970136</v>
      </c>
    </row>
    <row r="17" spans="1:10">
      <c r="A17">
        <v>2018</v>
      </c>
      <c r="B17" s="11">
        <v>1452</v>
      </c>
      <c r="C17">
        <v>468595</v>
      </c>
      <c r="D17">
        <v>32897.338403041824</v>
      </c>
      <c r="E17">
        <v>3153.1531531531532</v>
      </c>
      <c r="F17">
        <f t="shared" si="2"/>
        <v>36050.491556194975</v>
      </c>
      <c r="G17">
        <f>B17/F17</f>
        <v>4.0276843319504915E-2</v>
      </c>
      <c r="H17">
        <f>365/G17</f>
        <v>9062.2792135063137</v>
      </c>
      <c r="I17">
        <f t="shared" si="1"/>
        <v>9.1118759362185777</v>
      </c>
      <c r="J17" s="25">
        <f>(I17-$G$1)^2</f>
        <v>1.5303853037749711E-3</v>
      </c>
    </row>
    <row r="18" spans="1:10">
      <c r="A18">
        <v>2019</v>
      </c>
      <c r="B18" s="11">
        <v>1499</v>
      </c>
      <c r="C18">
        <v>473436</v>
      </c>
      <c r="D18">
        <v>31502.22882615156</v>
      </c>
      <c r="E18">
        <v>2914.2857142857142</v>
      </c>
      <c r="F18">
        <f t="shared" si="2"/>
        <v>34416.514540437274</v>
      </c>
      <c r="G18">
        <f>B18/F18</f>
        <v>4.3554671936310338E-2</v>
      </c>
      <c r="H18">
        <f>365/G18</f>
        <v>8380.2720528749869</v>
      </c>
      <c r="I18">
        <f t="shared" si="1"/>
        <v>9.0336356574927219</v>
      </c>
      <c r="J18" s="25">
        <f>(I18-$G$1)^2</f>
        <v>1.5303853037748321E-3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2372-41B8-4E3C-8651-70B8740AA25B}">
  <sheetPr codeName="Sheet3"/>
  <dimension ref="A1:P8"/>
  <sheetViews>
    <sheetView topLeftCell="E1" workbookViewId="0">
      <selection activeCell="E21" sqref="E21"/>
    </sheetView>
  </sheetViews>
  <sheetFormatPr defaultRowHeight="15"/>
  <cols>
    <col min="8" max="8" width="21.5703125" bestFit="1" customWidth="1"/>
    <col min="13" max="13" width="18.42578125" customWidth="1"/>
  </cols>
  <sheetData>
    <row r="1" spans="1:16">
      <c r="A1" t="s">
        <v>9</v>
      </c>
    </row>
    <row r="2" spans="1:16">
      <c r="A2" t="s">
        <v>10</v>
      </c>
      <c r="G2" s="1" t="s">
        <v>5</v>
      </c>
      <c r="H2" s="22">
        <f>AVERAGE(J5:J8)</f>
        <v>10.043651505694388</v>
      </c>
      <c r="I2" s="1" t="s">
        <v>7</v>
      </c>
      <c r="J2" s="1">
        <f>Partial_Missing_LN!J30</f>
        <v>2.3545364374679196</v>
      </c>
      <c r="K2">
        <f>AVERAGE(K5:K8)</f>
        <v>2.469886290043883E-2</v>
      </c>
      <c r="L2" s="26"/>
      <c r="M2" s="26"/>
    </row>
    <row r="3" spans="1:16" ht="75">
      <c r="B3" t="s">
        <v>1</v>
      </c>
      <c r="C3" t="s">
        <v>11</v>
      </c>
      <c r="D3" t="s">
        <v>2</v>
      </c>
      <c r="E3" s="3" t="s">
        <v>103</v>
      </c>
      <c r="F3" s="3" t="s">
        <v>104</v>
      </c>
      <c r="G3" s="3" t="s">
        <v>105</v>
      </c>
      <c r="H3" s="3" t="s">
        <v>110</v>
      </c>
      <c r="I3" s="3" t="s">
        <v>111</v>
      </c>
      <c r="J3" s="3" t="s">
        <v>4</v>
      </c>
      <c r="K3" s="3" t="s">
        <v>6</v>
      </c>
      <c r="L3" s="26"/>
      <c r="M3" s="26"/>
    </row>
    <row r="4" spans="1:16">
      <c r="A4">
        <v>0</v>
      </c>
      <c r="B4">
        <v>2015</v>
      </c>
      <c r="C4">
        <v>493</v>
      </c>
      <c r="D4">
        <v>449432</v>
      </c>
      <c r="G4">
        <f>E4+F4</f>
        <v>0</v>
      </c>
      <c r="H4" t="e">
        <f>C4/(G4)</f>
        <v>#DIV/0!</v>
      </c>
      <c r="I4" t="e">
        <f>365/H4</f>
        <v>#DIV/0!</v>
      </c>
      <c r="J4" t="e">
        <f>LN(I4)</f>
        <v>#DIV/0!</v>
      </c>
      <c r="K4" t="e">
        <f>(J4-$L$9)^2</f>
        <v>#DIV/0!</v>
      </c>
      <c r="P4" s="9"/>
    </row>
    <row r="5" spans="1:16">
      <c r="A5">
        <v>1</v>
      </c>
      <c r="B5">
        <v>2016</v>
      </c>
      <c r="C5">
        <v>586</v>
      </c>
      <c r="D5">
        <v>456761</v>
      </c>
      <c r="E5">
        <v>37404.580152671755</v>
      </c>
      <c r="F5">
        <v>2854.6712802768166</v>
      </c>
      <c r="G5">
        <f>(E5+F5)</f>
        <v>40259.251432948571</v>
      </c>
      <c r="H5">
        <f>C5/(G5)</f>
        <v>1.4555660603277183E-2</v>
      </c>
      <c r="I5">
        <f>366/H5</f>
        <v>25144.856697029314</v>
      </c>
      <c r="J5">
        <f>LN(I5)</f>
        <v>10.132408649525571</v>
      </c>
      <c r="K5">
        <f>(J5-$H$2)^2</f>
        <v>7.8778305810692558E-3</v>
      </c>
      <c r="P5" s="9"/>
    </row>
    <row r="6" spans="1:16">
      <c r="A6">
        <v>2</v>
      </c>
      <c r="B6">
        <v>2017</v>
      </c>
      <c r="C6">
        <v>545</v>
      </c>
      <c r="D6">
        <v>462328</v>
      </c>
      <c r="E6">
        <v>23782.229965156796</v>
      </c>
      <c r="F6">
        <v>2388.3495145631068</v>
      </c>
      <c r="G6">
        <f>E6+F6</f>
        <v>26170.579479719901</v>
      </c>
      <c r="H6">
        <f>C6/(G6)</f>
        <v>2.0824911440051653E-2</v>
      </c>
      <c r="I6">
        <f>365/H6</f>
        <v>17527.085339628924</v>
      </c>
      <c r="J6">
        <f>LN(I6)</f>
        <v>9.7715026970993168</v>
      </c>
      <c r="K6">
        <f>(J6-$H$2)^2</f>
        <v>7.4064974019716803E-2</v>
      </c>
      <c r="P6" s="9"/>
    </row>
    <row r="7" spans="1:16">
      <c r="A7">
        <v>3</v>
      </c>
      <c r="B7">
        <v>2018</v>
      </c>
      <c r="C7">
        <v>524</v>
      </c>
      <c r="D7">
        <v>468595</v>
      </c>
      <c r="E7">
        <v>32897.338403041824</v>
      </c>
      <c r="F7">
        <v>3153.1531531531532</v>
      </c>
      <c r="G7">
        <f>E7+F7</f>
        <v>36050.491556194975</v>
      </c>
      <c r="H7">
        <f>C7/(G7)</f>
        <v>1.4535169352218028E-2</v>
      </c>
      <c r="I7">
        <f>365/H7</f>
        <v>25111.506522922071</v>
      </c>
      <c r="J7">
        <f>LN(I7)</f>
        <v>10.131081447282275</v>
      </c>
      <c r="K7">
        <f>(J7-$H$2)^2</f>
        <v>7.6439946860613278E-3</v>
      </c>
      <c r="P7" s="9"/>
    </row>
    <row r="8" spans="1:16">
      <c r="A8">
        <v>4</v>
      </c>
      <c r="B8">
        <v>2019</v>
      </c>
      <c r="C8">
        <v>496</v>
      </c>
      <c r="D8">
        <v>473436</v>
      </c>
      <c r="E8">
        <v>31502.22882615156</v>
      </c>
      <c r="F8">
        <v>2914.2857142857142</v>
      </c>
      <c r="G8">
        <f>E8+F8</f>
        <v>34416.514540437274</v>
      </c>
      <c r="H8">
        <f>C8/(G8)</f>
        <v>1.441168597759168E-2</v>
      </c>
      <c r="I8">
        <f>365/H8</f>
        <v>25326.668966249203</v>
      </c>
      <c r="J8">
        <f>LN(I8)</f>
        <v>10.139613228870392</v>
      </c>
      <c r="K8">
        <f>(J8-$H$2)^2</f>
        <v>9.2086523149079256E-3</v>
      </c>
      <c r="P8" s="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EFAC-1C88-475A-A4C8-931BE473B219}">
  <sheetPr codeName="Sheet4"/>
  <dimension ref="A1:Q9"/>
  <sheetViews>
    <sheetView topLeftCell="F1" workbookViewId="0">
      <selection activeCell="L6" sqref="L6"/>
    </sheetView>
  </sheetViews>
  <sheetFormatPr defaultRowHeight="15"/>
  <cols>
    <col min="9" max="9" width="18.85546875" bestFit="1" customWidth="1"/>
  </cols>
  <sheetData>
    <row r="1" spans="1:17">
      <c r="A1" t="s">
        <v>12</v>
      </c>
    </row>
    <row r="2" spans="1:17">
      <c r="H2" s="1" t="s">
        <v>5</v>
      </c>
      <c r="I2" s="21">
        <f>AVERAGE(J6:J7)</f>
        <v>8.6869256502269749</v>
      </c>
      <c r="J2" s="1" t="s">
        <v>7</v>
      </c>
      <c r="K2" s="1">
        <f>Partial_Missing_LN!N30</f>
        <v>2.0462443597715083</v>
      </c>
      <c r="L2" s="26" t="s">
        <v>108</v>
      </c>
      <c r="M2" s="26">
        <v>2</v>
      </c>
      <c r="N2" s="26"/>
      <c r="O2" s="26"/>
      <c r="P2" s="26"/>
      <c r="Q2" s="26"/>
    </row>
    <row r="3" spans="1:17" ht="75">
      <c r="B3" t="s">
        <v>1</v>
      </c>
      <c r="C3" t="s">
        <v>13</v>
      </c>
      <c r="D3" t="s">
        <v>2</v>
      </c>
      <c r="E3" s="3" t="s">
        <v>103</v>
      </c>
      <c r="F3" s="3" t="s">
        <v>104</v>
      </c>
      <c r="G3" s="3" t="s">
        <v>105</v>
      </c>
      <c r="H3" s="3" t="s">
        <v>112</v>
      </c>
      <c r="I3" s="3" t="s">
        <v>113</v>
      </c>
      <c r="J3" s="3" t="s">
        <v>4</v>
      </c>
      <c r="K3" s="3" t="s">
        <v>6</v>
      </c>
      <c r="L3" s="26"/>
      <c r="M3" s="26"/>
      <c r="N3" s="26"/>
      <c r="O3" s="26"/>
      <c r="P3" s="26"/>
      <c r="Q3" s="26"/>
    </row>
    <row r="4" spans="1:17">
      <c r="A4">
        <v>0</v>
      </c>
      <c r="B4">
        <v>2014</v>
      </c>
      <c r="C4">
        <v>1774</v>
      </c>
      <c r="D4">
        <v>442815</v>
      </c>
    </row>
    <row r="5" spans="1:17">
      <c r="A5">
        <v>1</v>
      </c>
      <c r="B5">
        <v>2015</v>
      </c>
      <c r="C5">
        <v>1941</v>
      </c>
      <c r="D5">
        <v>449432</v>
      </c>
      <c r="G5">
        <f>E5+F5</f>
        <v>0</v>
      </c>
      <c r="I5" t="e">
        <f>365/H5</f>
        <v>#DIV/0!</v>
      </c>
      <c r="J5" t="e">
        <f>LN(I5)</f>
        <v>#DIV/0!</v>
      </c>
      <c r="K5" t="e">
        <f>(J5-$L$7)^2</f>
        <v>#DIV/0!</v>
      </c>
    </row>
    <row r="6" spans="1:17">
      <c r="A6">
        <v>2</v>
      </c>
      <c r="B6">
        <v>2016</v>
      </c>
      <c r="C6">
        <v>1979</v>
      </c>
      <c r="D6">
        <v>456761</v>
      </c>
      <c r="E6">
        <v>37404.580152671755</v>
      </c>
      <c r="F6">
        <v>2854.6712802768166</v>
      </c>
      <c r="G6">
        <f>(E6+F6)</f>
        <v>40259.251432948571</v>
      </c>
      <c r="H6">
        <f>C6/G6</f>
        <v>4.9156403300145979E-2</v>
      </c>
      <c r="I6">
        <f>366/H6</f>
        <v>7445.6220436883159</v>
      </c>
      <c r="J6">
        <f>LN(I6)</f>
        <v>8.9153814935000177</v>
      </c>
      <c r="K6">
        <f>(J6-$I$2)^2</f>
        <v>5.2192072325597097E-2</v>
      </c>
    </row>
    <row r="7" spans="1:17">
      <c r="A7">
        <v>3</v>
      </c>
      <c r="B7">
        <v>2017</v>
      </c>
      <c r="C7">
        <v>2026</v>
      </c>
      <c r="D7">
        <v>462328</v>
      </c>
      <c r="E7">
        <v>23782.229965156799</v>
      </c>
      <c r="F7">
        <v>2388.3495145631068</v>
      </c>
      <c r="G7">
        <f>E7+F7</f>
        <v>26170.579479719905</v>
      </c>
      <c r="H7">
        <f>C7/G7</f>
        <v>7.741517537164154E-2</v>
      </c>
      <c r="I7">
        <f>365/H7</f>
        <v>4714.8378628320661</v>
      </c>
      <c r="J7">
        <f>LN(I7)</f>
        <v>8.4584698069539321</v>
      </c>
      <c r="K7">
        <f>(J7-$I$2)^2</f>
        <v>5.2192072325597097E-2</v>
      </c>
    </row>
    <row r="8" spans="1:17">
      <c r="B8">
        <v>2018</v>
      </c>
      <c r="D8">
        <v>468595</v>
      </c>
      <c r="E8">
        <v>32897.338403041824</v>
      </c>
      <c r="F8">
        <v>3153.1531531531532</v>
      </c>
      <c r="G8">
        <f>E8+F8</f>
        <v>36050.491556194975</v>
      </c>
      <c r="H8">
        <f>C8/G8</f>
        <v>0</v>
      </c>
      <c r="I8" t="e">
        <f>365/H8</f>
        <v>#DIV/0!</v>
      </c>
      <c r="J8" t="e">
        <f>LN(I8)</f>
        <v>#DIV/0!</v>
      </c>
      <c r="K8" t="e">
        <f>(J8-$G$10)^2</f>
        <v>#DIV/0!</v>
      </c>
    </row>
    <row r="9" spans="1:17">
      <c r="B9">
        <v>2019</v>
      </c>
      <c r="D9">
        <v>473436</v>
      </c>
      <c r="E9">
        <v>31502.22882615156</v>
      </c>
      <c r="F9">
        <v>2914.2857142857142</v>
      </c>
      <c r="G9">
        <f>E9+F9</f>
        <v>34416.514540437274</v>
      </c>
      <c r="H9">
        <f>C9/G9</f>
        <v>0</v>
      </c>
      <c r="I9" t="e">
        <f>365/H9</f>
        <v>#DIV/0!</v>
      </c>
      <c r="J9" t="e">
        <f>LN(I9)</f>
        <v>#DIV/0!</v>
      </c>
      <c r="K9" t="e">
        <f>(J9-$G$10)^2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3A14-FADE-4E17-9865-56C2F7288F17}">
  <dimension ref="A1"/>
  <sheetViews>
    <sheetView workbookViewId="0">
      <selection activeCell="J50" sqref="J50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DB6-E5F4-45DD-8CAC-69420BCA9D21}">
  <sheetPr codeName="Sheet11"/>
  <dimension ref="A1:K16"/>
  <sheetViews>
    <sheetView workbookViewId="0">
      <selection activeCell="J21" sqref="J21"/>
    </sheetView>
  </sheetViews>
  <sheetFormatPr defaultRowHeight="15"/>
  <sheetData>
    <row r="1" spans="1:11">
      <c r="A1" t="s">
        <v>180</v>
      </c>
    </row>
    <row r="2" spans="1:11">
      <c r="A2" t="s">
        <v>181</v>
      </c>
    </row>
    <row r="3" spans="1:11">
      <c r="A3" t="s">
        <v>1</v>
      </c>
      <c r="B3" t="s">
        <v>183</v>
      </c>
      <c r="C3" t="s">
        <v>184</v>
      </c>
      <c r="D3" t="s">
        <v>185</v>
      </c>
      <c r="E3" t="s">
        <v>186</v>
      </c>
      <c r="F3" t="s">
        <v>187</v>
      </c>
      <c r="G3" t="s">
        <v>188</v>
      </c>
      <c r="H3" t="s">
        <v>189</v>
      </c>
    </row>
    <row r="4" spans="1:11">
      <c r="A4" t="s">
        <v>190</v>
      </c>
      <c r="B4">
        <v>291.12754200000001</v>
      </c>
      <c r="C4">
        <v>3911.7601</v>
      </c>
      <c r="D4">
        <v>64.776771999999994</v>
      </c>
      <c r="E4">
        <v>870.37863400000003</v>
      </c>
      <c r="F4">
        <v>4202.8876419999997</v>
      </c>
      <c r="G4">
        <v>365</v>
      </c>
      <c r="H4">
        <v>11.514761</v>
      </c>
    </row>
    <row r="5" spans="1:11">
      <c r="A5" t="s">
        <v>191</v>
      </c>
      <c r="B5">
        <v>604.55192</v>
      </c>
      <c r="C5">
        <v>4311.2251749999996</v>
      </c>
      <c r="D5">
        <v>132.356291</v>
      </c>
      <c r="E5">
        <v>943.86893299999997</v>
      </c>
      <c r="F5">
        <v>4915.7770959999998</v>
      </c>
      <c r="G5">
        <v>366</v>
      </c>
      <c r="H5">
        <v>13.431084999999999</v>
      </c>
    </row>
    <row r="6" spans="1:11">
      <c r="A6" t="s">
        <v>192</v>
      </c>
      <c r="B6">
        <v>214.61806899999999</v>
      </c>
      <c r="C6">
        <v>3183.6229899999998</v>
      </c>
      <c r="D6">
        <v>46.421169999999996</v>
      </c>
      <c r="E6">
        <v>688.60700399999996</v>
      </c>
      <c r="F6">
        <v>3398.241059</v>
      </c>
      <c r="G6">
        <v>365</v>
      </c>
      <c r="H6">
        <v>9.3102490000000007</v>
      </c>
    </row>
    <row r="7" spans="1:11">
      <c r="A7" t="s">
        <v>193</v>
      </c>
      <c r="B7">
        <v>273.25503800000001</v>
      </c>
      <c r="C7">
        <v>3420.81448</v>
      </c>
      <c r="D7">
        <v>58.313690999999999</v>
      </c>
      <c r="E7">
        <v>730.01514699999996</v>
      </c>
      <c r="F7">
        <v>3694.0695179999998</v>
      </c>
      <c r="G7">
        <v>365</v>
      </c>
      <c r="H7">
        <v>10.120737999999999</v>
      </c>
    </row>
    <row r="8" spans="1:11">
      <c r="A8" t="s">
        <v>194</v>
      </c>
      <c r="B8">
        <v>128.479657</v>
      </c>
      <c r="C8">
        <v>3504.1843469999999</v>
      </c>
      <c r="D8">
        <v>27.137702999999998</v>
      </c>
      <c r="E8">
        <v>740.16009499999996</v>
      </c>
      <c r="F8">
        <v>3632.6640040000002</v>
      </c>
      <c r="G8">
        <v>365</v>
      </c>
      <c r="H8">
        <v>9.9525039999999994</v>
      </c>
    </row>
    <row r="9" spans="1:11">
      <c r="A9" t="s">
        <v>195</v>
      </c>
      <c r="B9" t="s">
        <v>196</v>
      </c>
      <c r="C9" t="s">
        <v>197</v>
      </c>
    </row>
    <row r="10" spans="1:11">
      <c r="A10" t="s">
        <v>182</v>
      </c>
    </row>
    <row r="11" spans="1:11">
      <c r="A11" t="s">
        <v>181</v>
      </c>
    </row>
    <row r="12" spans="1:11">
      <c r="B12" t="s">
        <v>1</v>
      </c>
      <c r="C12" t="s">
        <v>198</v>
      </c>
      <c r="D12" t="s">
        <v>199</v>
      </c>
      <c r="E12" t="s">
        <v>200</v>
      </c>
      <c r="F12" t="s">
        <v>201</v>
      </c>
      <c r="G12" t="s">
        <v>202</v>
      </c>
      <c r="H12" t="s">
        <v>203</v>
      </c>
      <c r="I12" t="s">
        <v>204</v>
      </c>
      <c r="J12" t="s">
        <v>205</v>
      </c>
      <c r="K12" t="s">
        <v>206</v>
      </c>
    </row>
    <row r="13" spans="1:11">
      <c r="A13">
        <v>14</v>
      </c>
      <c r="B13">
        <v>2016</v>
      </c>
      <c r="C13">
        <v>2854.67128</v>
      </c>
      <c r="D13">
        <v>37404.580153000003</v>
      </c>
      <c r="E13">
        <v>8189.0923599999996</v>
      </c>
      <c r="F13">
        <v>624.98139700000002</v>
      </c>
      <c r="G13">
        <v>8814.0737570000001</v>
      </c>
      <c r="H13">
        <v>40259.251432999998</v>
      </c>
      <c r="I13">
        <v>32629.361578</v>
      </c>
      <c r="J13">
        <v>49794.896853999999</v>
      </c>
      <c r="K13">
        <v>40259.251432999998</v>
      </c>
    </row>
    <row r="14" spans="1:11">
      <c r="A14">
        <v>15</v>
      </c>
      <c r="B14">
        <v>2017</v>
      </c>
      <c r="C14">
        <v>2388.3495149999999</v>
      </c>
      <c r="D14">
        <v>23782.229964999999</v>
      </c>
      <c r="E14">
        <v>5144.0167940000001</v>
      </c>
      <c r="F14">
        <v>516.59201099999996</v>
      </c>
      <c r="G14">
        <v>5660.6088060000002</v>
      </c>
      <c r="H14">
        <v>26170.57948</v>
      </c>
      <c r="I14">
        <v>20912.226695000001</v>
      </c>
      <c r="J14">
        <v>33247.978755999997</v>
      </c>
      <c r="K14">
        <v>26170.57948</v>
      </c>
    </row>
    <row r="15" spans="1:11">
      <c r="A15">
        <v>16</v>
      </c>
      <c r="B15">
        <v>2018</v>
      </c>
      <c r="C15">
        <v>3153.1531530000002</v>
      </c>
      <c r="D15">
        <v>32897.338403000002</v>
      </c>
      <c r="E15">
        <v>7020.4202779999996</v>
      </c>
      <c r="F15">
        <v>672.89517699999999</v>
      </c>
      <c r="G15">
        <v>7693.3154549999999</v>
      </c>
      <c r="H15">
        <v>36050.491556000001</v>
      </c>
      <c r="I15">
        <v>28882.523207999999</v>
      </c>
      <c r="J15">
        <v>45912.907204000003</v>
      </c>
      <c r="K15">
        <v>36050.491556000001</v>
      </c>
    </row>
    <row r="16" spans="1:11">
      <c r="A16">
        <v>17</v>
      </c>
      <c r="B16">
        <v>2019</v>
      </c>
      <c r="C16">
        <v>2914.2857140000001</v>
      </c>
      <c r="D16">
        <v>31502.228825999999</v>
      </c>
      <c r="E16">
        <v>6653.9572040000003</v>
      </c>
      <c r="F16">
        <v>615.56064900000001</v>
      </c>
      <c r="G16">
        <v>7269.5178530000003</v>
      </c>
      <c r="H16">
        <v>34416.514539999996</v>
      </c>
      <c r="I16">
        <v>26771.131395</v>
      </c>
      <c r="J16">
        <v>44086.563362000001</v>
      </c>
      <c r="K16">
        <v>34416.514539999996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Arrivals</vt:lpstr>
      <vt:lpstr>deaths</vt:lpstr>
      <vt:lpstr>ALLDeaths</vt:lpstr>
      <vt:lpstr>HE</vt:lpstr>
      <vt:lpstr>Arrests</vt:lpstr>
      <vt:lpstr>Treat</vt:lpstr>
      <vt:lpstr>Sheet1</vt:lpstr>
      <vt:lpstr>Inactive</vt:lpstr>
      <vt:lpstr>LAW 2008</vt:lpstr>
      <vt:lpstr>Partial_Missing_LN</vt:lpstr>
      <vt:lpstr>MissingData_LN</vt:lpstr>
      <vt:lpstr>Nunes et al</vt:lpstr>
      <vt:lpstr>MARI Arrest analysis</vt:lpstr>
      <vt:lpstr>NaturalDeath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White</dc:creator>
  <cp:lastModifiedBy>vmwhite</cp:lastModifiedBy>
  <dcterms:created xsi:type="dcterms:W3CDTF">2021-08-03T21:14:44Z</dcterms:created>
  <dcterms:modified xsi:type="dcterms:W3CDTF">2022-11-02T23:07:56Z</dcterms:modified>
</cp:coreProperties>
</file>