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0"/>
  <workbookPr defaultThemeVersion="166925"/>
  <mc:AlternateContent xmlns:mc="http://schemas.openxmlformats.org/markup-compatibility/2006">
    <mc:Choice Requires="x15">
      <x15ac:absPath xmlns:x15ac="http://schemas.microsoft.com/office/spreadsheetml/2010/11/ac" url="C:\Users\vmwhite\Documents\GitHub\DaneCountyOpioidSimulation\DataSources\NSDUH - Drug Initiation Data\"/>
    </mc:Choice>
  </mc:AlternateContent>
  <xr:revisionPtr revIDLastSave="0" documentId="13_ncr:1_{0021F995-95BD-41A3-9247-76E9181EBFF4}" xr6:coauthVersionLast="36" xr6:coauthVersionMax="47" xr10:uidLastSave="{00000000-0000-0000-0000-000000000000}"/>
  <bookViews>
    <workbookView xWindow="0" yWindow="0" windowWidth="19200" windowHeight="21000" activeTab="6" xr2:uid="{A8B55BDF-EF71-4431-9806-67A09618337F}"/>
  </bookViews>
  <sheets>
    <sheet name="Graphs" sheetId="14" r:id="rId1"/>
    <sheet name="NSDUH_Initiation" sheetId="9" r:id="rId2"/>
    <sheet name="Rate of exit" sheetId="13" r:id="rId3"/>
    <sheet name="IncidenceDeaths" sheetId="8" r:id="rId4"/>
    <sheet name="Calculations_Initiation" sheetId="3" r:id="rId5"/>
    <sheet name="PrevalenceDeaths" sheetId="11" r:id="rId6"/>
    <sheet name="Calculations_Prevalence" sheetId="10" r:id="rId7"/>
    <sheet name="Info" sheetId="2" r:id="rId8"/>
    <sheet name="Est_DailyNewUse" sheetId="15" r:id="rId9"/>
    <sheet name="RawTables" sheetId="1" r:id="rId10"/>
    <sheet name="Est Heroin Use" sheetId="5" r:id="rId11"/>
    <sheet name="Est Pain Reliever Use" sheetId="6" r:id="rId12"/>
    <sheet name="Old Est OUD" sheetId="7" r:id="rId13"/>
    <sheet name="Sheet1" sheetId="12"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L32" i="10" l="1"/>
  <c r="M33" i="10" s="1"/>
  <c r="N22" i="10"/>
  <c r="M22" i="10"/>
  <c r="G26" i="11" l="1"/>
  <c r="H26" i="11"/>
  <c r="I26" i="11"/>
  <c r="G16" i="11" l="1"/>
  <c r="E17" i="10"/>
  <c r="E18" i="10"/>
  <c r="E19" i="10"/>
  <c r="E20" i="10"/>
  <c r="E16" i="10"/>
  <c r="I11" i="11"/>
  <c r="G16" i="10"/>
  <c r="G17" i="10"/>
  <c r="G18" i="10"/>
  <c r="J18" i="10" s="1"/>
  <c r="G19" i="10"/>
  <c r="G20" i="10"/>
  <c r="G15" i="10"/>
  <c r="D17" i="10"/>
  <c r="D18" i="10"/>
  <c r="D19" i="10"/>
  <c r="D20" i="10"/>
  <c r="D16" i="10"/>
  <c r="W4" i="10"/>
  <c r="Z4" i="10" s="1"/>
  <c r="W20" i="10"/>
  <c r="O20" i="10"/>
  <c r="I20" i="10"/>
  <c r="H20" i="10"/>
  <c r="F20" i="10"/>
  <c r="W19" i="10"/>
  <c r="O19" i="10"/>
  <c r="I19" i="10"/>
  <c r="H19" i="10"/>
  <c r="F19" i="10"/>
  <c r="W18" i="10"/>
  <c r="O18" i="10"/>
  <c r="I18" i="10"/>
  <c r="H18" i="10"/>
  <c r="F18" i="10"/>
  <c r="W17" i="10"/>
  <c r="O17" i="10"/>
  <c r="I17" i="10"/>
  <c r="H17" i="10"/>
  <c r="F17" i="10"/>
  <c r="W16" i="10"/>
  <c r="Y16" i="10" s="1"/>
  <c r="O16" i="10"/>
  <c r="F16" i="10"/>
  <c r="W15" i="10"/>
  <c r="O15" i="10"/>
  <c r="Q15" i="10" s="1"/>
  <c r="I15" i="10"/>
  <c r="H15" i="10"/>
  <c r="W14" i="10"/>
  <c r="Y14" i="10" s="1"/>
  <c r="O14" i="10"/>
  <c r="P14" i="10" s="1"/>
  <c r="S14" i="10" s="1"/>
  <c r="W13" i="10"/>
  <c r="Y13" i="10" s="1"/>
  <c r="O13" i="10"/>
  <c r="P13" i="10" s="1"/>
  <c r="S13" i="10" s="1"/>
  <c r="W12" i="10"/>
  <c r="Z12" i="10" s="1"/>
  <c r="O12" i="10"/>
  <c r="R12" i="10" s="1"/>
  <c r="W11" i="10"/>
  <c r="X11" i="10" s="1"/>
  <c r="AA11" i="10" s="1"/>
  <c r="O11" i="10"/>
  <c r="R11" i="10" s="1"/>
  <c r="W10" i="10"/>
  <c r="Y10" i="10" s="1"/>
  <c r="O10" i="10"/>
  <c r="P10" i="10" s="1"/>
  <c r="S10" i="10" s="1"/>
  <c r="W9" i="10"/>
  <c r="Z9" i="10" s="1"/>
  <c r="O9" i="10"/>
  <c r="R9" i="10" s="1"/>
  <c r="I8" i="11" s="1"/>
  <c r="W8" i="10"/>
  <c r="X8" i="10" s="1"/>
  <c r="AA8" i="10" s="1"/>
  <c r="O8" i="10"/>
  <c r="P8" i="10" s="1"/>
  <c r="W7" i="10"/>
  <c r="Y7" i="10" s="1"/>
  <c r="O7" i="10"/>
  <c r="P7" i="10" s="1"/>
  <c r="S7" i="10" s="1"/>
  <c r="W6" i="10"/>
  <c r="Z6" i="10" s="1"/>
  <c r="O6" i="10"/>
  <c r="R6" i="10" s="1"/>
  <c r="I5" i="11" s="1"/>
  <c r="W5" i="10"/>
  <c r="X5" i="10" s="1"/>
  <c r="AA5" i="10" s="1"/>
  <c r="O5" i="10"/>
  <c r="R5" i="10" s="1"/>
  <c r="O4" i="10"/>
  <c r="P4" i="10" s="1"/>
  <c r="S4" i="10" s="1"/>
  <c r="W3" i="10"/>
  <c r="Y3" i="10" s="1"/>
  <c r="O3" i="10"/>
  <c r="R3" i="10" s="1"/>
  <c r="Z15" i="10" l="1"/>
  <c r="R15" i="10"/>
  <c r="P15" i="10"/>
  <c r="S15" i="10" s="1"/>
  <c r="Y17" i="10"/>
  <c r="Q8" i="10"/>
  <c r="X15" i="10"/>
  <c r="AA15" i="10" s="1"/>
  <c r="X4" i="10"/>
  <c r="AA4" i="10" s="1"/>
  <c r="Y15" i="10"/>
  <c r="I14" i="11"/>
  <c r="Y4" i="10"/>
  <c r="H7" i="11"/>
  <c r="Z19" i="10"/>
  <c r="S8" i="10"/>
  <c r="Y20" i="10"/>
  <c r="Z10" i="10"/>
  <c r="Z20" i="10"/>
  <c r="Z14" i="10"/>
  <c r="Q20" i="10"/>
  <c r="Z18" i="10"/>
  <c r="P16" i="10"/>
  <c r="S16" i="10" s="1"/>
  <c r="Y8" i="10"/>
  <c r="Q14" i="10"/>
  <c r="H13" i="11" s="1"/>
  <c r="H14" i="11"/>
  <c r="X16" i="10"/>
  <c r="AA16" i="10" s="1"/>
  <c r="Q5" i="10"/>
  <c r="R14" i="10"/>
  <c r="Q17" i="10"/>
  <c r="H16" i="11" s="1"/>
  <c r="J16" i="11" s="1"/>
  <c r="X17" i="10"/>
  <c r="AA17" i="10" s="1"/>
  <c r="R8" i="10"/>
  <c r="X14" i="10"/>
  <c r="AA14" i="10" s="1"/>
  <c r="R18" i="10"/>
  <c r="I17" i="11" s="1"/>
  <c r="K17" i="11" s="1"/>
  <c r="Y5" i="10"/>
  <c r="Y11" i="10"/>
  <c r="P17" i="10"/>
  <c r="S17" i="10" s="1"/>
  <c r="X3" i="10"/>
  <c r="AA3" i="10" s="1"/>
  <c r="Z5" i="10"/>
  <c r="I4" i="11" s="1"/>
  <c r="X7" i="10"/>
  <c r="AA7" i="10" s="1"/>
  <c r="X9" i="10"/>
  <c r="AA9" i="10" s="1"/>
  <c r="P11" i="10"/>
  <c r="S11" i="10" s="1"/>
  <c r="Z11" i="10"/>
  <c r="I10" i="11" s="1"/>
  <c r="X13" i="10"/>
  <c r="AA13" i="10" s="1"/>
  <c r="R17" i="10"/>
  <c r="X18" i="10"/>
  <c r="AA18" i="10" s="1"/>
  <c r="P20" i="10"/>
  <c r="S20" i="10" s="1"/>
  <c r="Z3" i="10"/>
  <c r="I2" i="11" s="1"/>
  <c r="P5" i="10"/>
  <c r="S5" i="10" s="1"/>
  <c r="Z7" i="10"/>
  <c r="Q11" i="10"/>
  <c r="Z13" i="10"/>
  <c r="P19" i="10"/>
  <c r="S19" i="10" s="1"/>
  <c r="R20" i="10"/>
  <c r="Y19" i="10"/>
  <c r="X6" i="10"/>
  <c r="AA6" i="10" s="1"/>
  <c r="Z8" i="10"/>
  <c r="X10" i="10"/>
  <c r="AA10" i="10" s="1"/>
  <c r="X12" i="10"/>
  <c r="AA12" i="10" s="1"/>
  <c r="Z16" i="10"/>
  <c r="Z17" i="10"/>
  <c r="X19" i="10"/>
  <c r="AA19" i="10" s="1"/>
  <c r="X20" i="10"/>
  <c r="AA20" i="10" s="1"/>
  <c r="Q13" i="10"/>
  <c r="H12" i="11" s="1"/>
  <c r="Q19" i="10"/>
  <c r="P3" i="10"/>
  <c r="S3" i="10" s="1"/>
  <c r="R4" i="10"/>
  <c r="I3" i="11" s="1"/>
  <c r="P6" i="10"/>
  <c r="S6" i="10" s="1"/>
  <c r="Y6" i="10"/>
  <c r="R7" i="10"/>
  <c r="P9" i="10"/>
  <c r="S9" i="10" s="1"/>
  <c r="Y9" i="10"/>
  <c r="R10" i="10"/>
  <c r="P12" i="10"/>
  <c r="S12" i="10" s="1"/>
  <c r="Y12" i="10"/>
  <c r="R13" i="10"/>
  <c r="I12" i="11" s="1"/>
  <c r="R16" i="10"/>
  <c r="P18" i="10"/>
  <c r="S18" i="10" s="1"/>
  <c r="Y18" i="10"/>
  <c r="R19" i="10"/>
  <c r="Q4" i="10"/>
  <c r="Q7" i="10"/>
  <c r="H6" i="11" s="1"/>
  <c r="Q16" i="10"/>
  <c r="H15" i="11" s="1"/>
  <c r="Q3" i="10"/>
  <c r="H2" i="11" s="1"/>
  <c r="Q6" i="10"/>
  <c r="Q9" i="10"/>
  <c r="H8" i="11" s="1"/>
  <c r="Q12" i="10"/>
  <c r="H11" i="11" s="1"/>
  <c r="Q18" i="10"/>
  <c r="Q10" i="10"/>
  <c r="H9" i="11" s="1"/>
  <c r="G17" i="11"/>
  <c r="F17" i="11"/>
  <c r="F16" i="11"/>
  <c r="H3" i="11" l="1"/>
  <c r="I15" i="11"/>
  <c r="H4" i="11"/>
  <c r="H10" i="11"/>
  <c r="I9" i="11"/>
  <c r="I6" i="11"/>
  <c r="I16" i="11"/>
  <c r="K16" i="11" s="1"/>
  <c r="H19" i="11"/>
  <c r="I18" i="11"/>
  <c r="I19" i="11"/>
  <c r="K19" i="11" s="1"/>
  <c r="H18" i="11"/>
  <c r="I13" i="11"/>
  <c r="I7" i="11"/>
  <c r="H17" i="11"/>
  <c r="H21" i="11" s="1"/>
  <c r="H23" i="11" s="1"/>
  <c r="H5" i="11"/>
  <c r="C3" i="13"/>
  <c r="C4" i="13"/>
  <c r="C5" i="13"/>
  <c r="C6" i="13"/>
  <c r="C7" i="13"/>
  <c r="C8" i="13"/>
  <c r="C9" i="13"/>
  <c r="C10" i="13"/>
  <c r="C11" i="13"/>
  <c r="C12" i="13"/>
  <c r="C13" i="13"/>
  <c r="C14" i="13"/>
  <c r="C15" i="13"/>
  <c r="C16" i="13"/>
  <c r="C17" i="13"/>
  <c r="C18" i="13"/>
  <c r="C19" i="13"/>
  <c r="C2" i="13"/>
  <c r="D3" i="13" s="1"/>
  <c r="B3" i="13"/>
  <c r="B4" i="13"/>
  <c r="B5" i="13"/>
  <c r="B6" i="13"/>
  <c r="B7" i="13"/>
  <c r="B2" i="13"/>
  <c r="A3" i="13"/>
  <c r="A4" i="13"/>
  <c r="A5" i="13"/>
  <c r="A6" i="13"/>
  <c r="A7" i="13"/>
  <c r="A8" i="13"/>
  <c r="A9" i="13"/>
  <c r="A10" i="13"/>
  <c r="A11" i="13"/>
  <c r="A12" i="13"/>
  <c r="A13" i="13"/>
  <c r="A14" i="13"/>
  <c r="A15" i="13"/>
  <c r="A16" i="13"/>
  <c r="A17" i="13"/>
  <c r="A18" i="13"/>
  <c r="A19" i="13"/>
  <c r="A2" i="13"/>
  <c r="G18" i="11"/>
  <c r="G19" i="11"/>
  <c r="C43" i="12"/>
  <c r="C44" i="12" s="1"/>
  <c r="B43" i="12"/>
  <c r="F18" i="11"/>
  <c r="F19" i="11"/>
  <c r="K18" i="11" l="1"/>
  <c r="B44" i="12"/>
  <c r="J17" i="11"/>
  <c r="G21" i="11"/>
  <c r="J18" i="11"/>
  <c r="J19" i="11"/>
  <c r="H25" i="11"/>
  <c r="H24" i="11"/>
  <c r="G24" i="11"/>
  <c r="G25" i="11"/>
  <c r="D7" i="13"/>
  <c r="I21" i="11"/>
  <c r="D4" i="13"/>
  <c r="D6" i="13"/>
  <c r="D5" i="13"/>
  <c r="S25" i="3"/>
  <c r="S26" i="3" s="1"/>
  <c r="C19" i="8" s="1"/>
  <c r="B25" i="3"/>
  <c r="B26" i="3" s="1"/>
  <c r="B27" i="3" s="1"/>
  <c r="K21" i="11" l="1"/>
  <c r="I23" i="11"/>
  <c r="J21" i="11"/>
  <c r="G23" i="11"/>
  <c r="I24" i="11"/>
  <c r="I25" i="11"/>
  <c r="G28" i="11"/>
  <c r="G29" i="11" s="1"/>
  <c r="G27" i="11"/>
  <c r="H28" i="11"/>
  <c r="H29" i="11" s="1"/>
  <c r="H30" i="11" s="1"/>
  <c r="H31" i="11" s="1"/>
  <c r="H27" i="11"/>
  <c r="C25" i="3"/>
  <c r="C26" i="3" s="1"/>
  <c r="C27" i="3" s="1"/>
  <c r="D25" i="3"/>
  <c r="D26" i="3" s="1"/>
  <c r="D27" i="3" s="1"/>
  <c r="E25" i="3"/>
  <c r="E26" i="3" s="1"/>
  <c r="E27" i="3" s="1"/>
  <c r="F25" i="3"/>
  <c r="F26" i="3" s="1"/>
  <c r="F27" i="3" s="1"/>
  <c r="G25" i="3"/>
  <c r="G26" i="3" s="1"/>
  <c r="G27" i="3" s="1"/>
  <c r="H25" i="3"/>
  <c r="H26" i="3" s="1"/>
  <c r="H27" i="3" s="1"/>
  <c r="I25" i="3"/>
  <c r="I26" i="3" s="1"/>
  <c r="I27" i="3" s="1"/>
  <c r="J25" i="3"/>
  <c r="J26" i="3" s="1"/>
  <c r="J27" i="3" s="1"/>
  <c r="K25" i="3"/>
  <c r="K26" i="3" s="1"/>
  <c r="K27" i="3" s="1"/>
  <c r="L25" i="3"/>
  <c r="L26" i="3" s="1"/>
  <c r="L27" i="3" s="1"/>
  <c r="M25" i="3"/>
  <c r="M26" i="3" s="1"/>
  <c r="M27" i="3" s="1"/>
  <c r="N25" i="3"/>
  <c r="O25" i="3"/>
  <c r="O26" i="3" s="1"/>
  <c r="P25" i="3"/>
  <c r="P26" i="3" s="1"/>
  <c r="Q25" i="3"/>
  <c r="Q26" i="3" s="1"/>
  <c r="R25" i="3"/>
  <c r="R26" i="3" s="1"/>
  <c r="S27" i="3"/>
  <c r="E19" i="8" s="1"/>
  <c r="C19" i="3"/>
  <c r="C20" i="3" s="1"/>
  <c r="C21" i="3" s="1"/>
  <c r="D19" i="3"/>
  <c r="D20" i="3" s="1"/>
  <c r="D21" i="3" s="1"/>
  <c r="E19" i="3"/>
  <c r="E20" i="3" s="1"/>
  <c r="E21" i="3" s="1"/>
  <c r="F19" i="3"/>
  <c r="F20" i="3" s="1"/>
  <c r="F21" i="3" s="1"/>
  <c r="G19" i="3"/>
  <c r="G20" i="3" s="1"/>
  <c r="G21" i="3" s="1"/>
  <c r="H19" i="3"/>
  <c r="H20" i="3" s="1"/>
  <c r="I19" i="3"/>
  <c r="I20" i="3" s="1"/>
  <c r="J19" i="3"/>
  <c r="J20" i="3" s="1"/>
  <c r="K19" i="3"/>
  <c r="K20" i="3" s="1"/>
  <c r="L19" i="3"/>
  <c r="L20" i="3" s="1"/>
  <c r="M19" i="3"/>
  <c r="M20" i="3" s="1"/>
  <c r="N19" i="3"/>
  <c r="N20" i="3" s="1"/>
  <c r="O19" i="3"/>
  <c r="O20" i="3" s="1"/>
  <c r="P19" i="3"/>
  <c r="P20" i="3" s="1"/>
  <c r="Q19" i="3"/>
  <c r="Q20" i="3" s="1"/>
  <c r="R19" i="3"/>
  <c r="R20" i="3" s="1"/>
  <c r="S19" i="3"/>
  <c r="S20" i="3" s="1"/>
  <c r="B19" i="3"/>
  <c r="B20" i="3" s="1"/>
  <c r="B21" i="3" s="1"/>
  <c r="G30" i="11" l="1"/>
  <c r="G31" i="11" s="1"/>
  <c r="G32" i="11" s="1"/>
  <c r="H32" i="11"/>
  <c r="I28" i="11"/>
  <c r="I29" i="11" s="1"/>
  <c r="I30" i="11" s="1"/>
  <c r="I31" i="11" s="1"/>
  <c r="I27" i="11"/>
  <c r="B14" i="8"/>
  <c r="B14" i="13" s="1"/>
  <c r="D14" i="13" s="1"/>
  <c r="N21" i="3"/>
  <c r="D14" i="8" s="1"/>
  <c r="B12" i="8"/>
  <c r="B12" i="13" s="1"/>
  <c r="D12" i="13" s="1"/>
  <c r="L21" i="3"/>
  <c r="D12" i="8" s="1"/>
  <c r="B13" i="8"/>
  <c r="B13" i="13" s="1"/>
  <c r="D13" i="13" s="1"/>
  <c r="M21" i="3"/>
  <c r="D13" i="8" s="1"/>
  <c r="B18" i="8"/>
  <c r="R21" i="3"/>
  <c r="D18" i="8" s="1"/>
  <c r="B15" i="8"/>
  <c r="O21" i="3"/>
  <c r="D15" i="8" s="1"/>
  <c r="R27" i="3"/>
  <c r="E18" i="8" s="1"/>
  <c r="C18" i="8"/>
  <c r="Q27" i="3"/>
  <c r="E17" i="8" s="1"/>
  <c r="C17" i="8"/>
  <c r="B19" i="8"/>
  <c r="S21" i="3"/>
  <c r="D19" i="8" s="1"/>
  <c r="B11" i="8"/>
  <c r="B11" i="13" s="1"/>
  <c r="D11" i="13" s="1"/>
  <c r="K21" i="3"/>
  <c r="D11" i="8" s="1"/>
  <c r="P27" i="3"/>
  <c r="E16" i="8" s="1"/>
  <c r="C16" i="8"/>
  <c r="B17" i="8"/>
  <c r="Q21" i="3"/>
  <c r="D17" i="8" s="1"/>
  <c r="B16" i="8"/>
  <c r="P21" i="3"/>
  <c r="D16" i="8" s="1"/>
  <c r="O27" i="3"/>
  <c r="E15" i="8" s="1"/>
  <c r="C15" i="8"/>
  <c r="B10" i="8"/>
  <c r="B10" i="13" s="1"/>
  <c r="D10" i="13" s="1"/>
  <c r="J21" i="3"/>
  <c r="D10" i="8" s="1"/>
  <c r="I21" i="3"/>
  <c r="D9" i="8" s="1"/>
  <c r="B9" i="8"/>
  <c r="B9" i="13" s="1"/>
  <c r="D9" i="13" s="1"/>
  <c r="B8" i="8"/>
  <c r="B8" i="13" s="1"/>
  <c r="D8" i="13" s="1"/>
  <c r="H21" i="3"/>
  <c r="D8" i="8" s="1"/>
  <c r="N26" i="3"/>
  <c r="N27" i="3" s="1"/>
  <c r="O9" i="3"/>
  <c r="O10" i="3" s="1"/>
  <c r="O12" i="3" s="1"/>
  <c r="K9" i="3"/>
  <c r="L9" i="3"/>
  <c r="M9" i="3"/>
  <c r="N9" i="3"/>
  <c r="P9" i="3"/>
  <c r="Q9" i="3"/>
  <c r="R9" i="3"/>
  <c r="S9" i="3"/>
  <c r="J9" i="3"/>
  <c r="J10" i="3" s="1"/>
  <c r="J12" i="3" s="1"/>
  <c r="I32" i="11" l="1"/>
  <c r="B15" i="13"/>
  <c r="D15" i="13" s="1"/>
  <c r="F15" i="8"/>
  <c r="F18" i="8"/>
  <c r="B17" i="13"/>
  <c r="D17" i="13" s="1"/>
  <c r="F17" i="8"/>
  <c r="B16" i="13"/>
  <c r="D16" i="13" s="1"/>
  <c r="F16" i="8"/>
  <c r="B19" i="13"/>
  <c r="D19" i="13" s="1"/>
  <c r="F19" i="8"/>
  <c r="B18" i="13"/>
  <c r="D18" i="13" s="1"/>
  <c r="O11" i="3"/>
  <c r="O13" i="3" s="1"/>
  <c r="P11" i="3"/>
  <c r="P13" i="3" s="1"/>
  <c r="Q11" i="3"/>
  <c r="Q13" i="3" s="1"/>
  <c r="R11" i="3"/>
  <c r="R13" i="3" s="1"/>
  <c r="S11" i="3"/>
  <c r="S13" i="3" s="1"/>
  <c r="K10" i="3"/>
  <c r="K12" i="3" s="1"/>
  <c r="L10" i="3"/>
  <c r="L12" i="3" s="1"/>
  <c r="M10" i="3"/>
  <c r="M12" i="3" s="1"/>
  <c r="N10" i="3"/>
  <c r="N12" i="3" s="1"/>
  <c r="P10" i="3"/>
  <c r="P12" i="3" s="1"/>
  <c r="Q10" i="3"/>
  <c r="Q12" i="3" s="1"/>
  <c r="R10" i="3"/>
  <c r="R12" i="3" s="1"/>
  <c r="S10" i="3"/>
  <c r="S12" i="3" s="1"/>
  <c r="AH12" i="3" s="1"/>
  <c r="AE12" i="3" l="1"/>
  <c r="AE13" i="3"/>
  <c r="AF12" i="3"/>
  <c r="AF10" i="3"/>
  <c r="AH13" i="3"/>
  <c r="AG13" i="3"/>
  <c r="AF11" i="3"/>
  <c r="AF13" i="3"/>
  <c r="AG12" i="3"/>
  <c r="AH11" i="3"/>
  <c r="AE10" i="3"/>
  <c r="AG10" i="3"/>
  <c r="AE11" i="3"/>
  <c r="AH10" i="3"/>
  <c r="AG11" i="3"/>
</calcChain>
</file>

<file path=xl/sharedStrings.xml><?xml version="1.0" encoding="utf-8"?>
<sst xmlns="http://schemas.openxmlformats.org/spreadsheetml/2006/main" count="1424" uniqueCount="546">
  <si>
    <t>Table 4.4B – Past Year Initiation of Substance Use among Persons Aged 12 or Older, Persons Aged 12 or Older at Risk for Initiation of Substance Use, and Past Year Substance Users Aged 12 or Older: Numbers in Thousands and Percentages, 2018 and 2019</t>
  </si>
  <si>
    <t>Substance</t>
  </si>
  <si>
    <t>Number of Past Year</t>
  </si>
  <si>
    <t>Initiates (1,000s)</t>
  </si>
  <si>
    <t>Percentage of</t>
  </si>
  <si>
    <t>Past Year Initiates</t>
  </si>
  <si>
    <t>Percentage of Past Year</t>
  </si>
  <si>
    <t>Initiates among Persons at</t>
  </si>
  <si>
    <t>Risk for Initiation</t>
  </si>
  <si>
    <t>Initiates among Past Year</t>
  </si>
  <si>
    <t>Users</t>
  </si>
  <si>
    <t>ILLICIT DRUGS</t>
  </si>
  <si>
    <t>nr</t>
  </si>
  <si>
    <t>Marijuana</t>
  </si>
  <si>
    <r>
      <t>3,061</t>
    </r>
    <r>
      <rPr>
        <sz val="6"/>
        <color rgb="FF4A4A4A"/>
        <rFont val="Tahoma"/>
        <family val="2"/>
      </rPr>
      <t>a</t>
    </r>
  </si>
  <si>
    <r>
      <t>1.1</t>
    </r>
    <r>
      <rPr>
        <sz val="6"/>
        <color rgb="FF4A4A4A"/>
        <rFont val="Tahoma"/>
        <family val="2"/>
      </rPr>
      <t>a</t>
    </r>
  </si>
  <si>
    <r>
      <t>2.0</t>
    </r>
    <r>
      <rPr>
        <sz val="6"/>
        <color rgb="FF4A4A4A"/>
        <rFont val="Tahoma"/>
        <family val="2"/>
      </rPr>
      <t>a</t>
    </r>
  </si>
  <si>
    <t>Cocaine</t>
  </si>
  <si>
    <r>
      <t>874</t>
    </r>
    <r>
      <rPr>
        <sz val="6"/>
        <color rgb="FF4A4A4A"/>
        <rFont val="Tahoma"/>
        <family val="2"/>
      </rPr>
      <t>a</t>
    </r>
  </si>
  <si>
    <r>
      <t>0.3</t>
    </r>
    <r>
      <rPr>
        <sz val="6"/>
        <color rgb="FF4A4A4A"/>
        <rFont val="Tahoma"/>
        <family val="2"/>
      </rPr>
      <t>a</t>
    </r>
  </si>
  <si>
    <r>
      <t>0.4</t>
    </r>
    <r>
      <rPr>
        <sz val="6"/>
        <color rgb="FF4A4A4A"/>
        <rFont val="Tahoma"/>
        <family val="2"/>
      </rPr>
      <t>a</t>
    </r>
  </si>
  <si>
    <r>
      <t>15.8</t>
    </r>
    <r>
      <rPr>
        <sz val="6"/>
        <color rgb="FF4A4A4A"/>
        <rFont val="Tahoma"/>
        <family val="2"/>
      </rPr>
      <t>a</t>
    </r>
  </si>
  <si>
    <t>Crack</t>
  </si>
  <si>
    <t>Heroin</t>
  </si>
  <si>
    <t>Hallucinogens</t>
  </si>
  <si>
    <t>LSD</t>
  </si>
  <si>
    <t>PCP</t>
  </si>
  <si>
    <t>*</t>
  </si>
  <si>
    <t>Ecstasy</t>
  </si>
  <si>
    <t>Inhalants</t>
  </si>
  <si>
    <r>
      <t>576</t>
    </r>
    <r>
      <rPr>
        <sz val="6"/>
        <color rgb="FF4A4A4A"/>
        <rFont val="Tahoma"/>
        <family val="2"/>
      </rPr>
      <t>a</t>
    </r>
  </si>
  <si>
    <r>
      <t>0.2</t>
    </r>
    <r>
      <rPr>
        <sz val="6"/>
        <color rgb="FF4A4A4A"/>
        <rFont val="Tahoma"/>
        <family val="2"/>
      </rPr>
      <t>a</t>
    </r>
  </si>
  <si>
    <t>Methamphetamine</t>
  </si>
  <si>
    <t>Misuse of Psychotherapeutics</t>
  </si>
  <si>
    <t>Pain Relievers</t>
  </si>
  <si>
    <t>Stimulants</t>
  </si>
  <si>
    <t>Tranquilizers or Sedatives</t>
  </si>
  <si>
    <t>Tranquilizers</t>
  </si>
  <si>
    <r>
      <t>1,210</t>
    </r>
    <r>
      <rPr>
        <sz val="6"/>
        <color rgb="FF4A4A4A"/>
        <rFont val="Tahoma"/>
        <family val="2"/>
      </rPr>
      <t>a</t>
    </r>
  </si>
  <si>
    <t>Sedatives</t>
  </si>
  <si>
    <t>Benzodiazepines</t>
  </si>
  <si>
    <t>--</t>
  </si>
  <si>
    <t>Opioids</t>
  </si>
  <si>
    <r>
      <t>Illicit Drugs Other Than Marijuana</t>
    </r>
    <r>
      <rPr>
        <sz val="6"/>
        <color rgb="FF4A4A4A"/>
        <rFont val="Tahoma"/>
        <family val="2"/>
      </rPr>
      <t>1</t>
    </r>
  </si>
  <si>
    <t>CIGARETTES</t>
  </si>
  <si>
    <r>
      <t>1,825</t>
    </r>
    <r>
      <rPr>
        <sz val="6"/>
        <color rgb="FF4A4A4A"/>
        <rFont val="Tahoma"/>
        <family val="2"/>
      </rPr>
      <t>a</t>
    </r>
  </si>
  <si>
    <r>
      <t>0.7</t>
    </r>
    <r>
      <rPr>
        <sz val="6"/>
        <color rgb="FF4A4A4A"/>
        <rFont val="Tahoma"/>
        <family val="2"/>
      </rPr>
      <t>a</t>
    </r>
  </si>
  <si>
    <r>
      <t>1.5</t>
    </r>
    <r>
      <rPr>
        <sz val="6"/>
        <color rgb="FF4A4A4A"/>
        <rFont val="Tahoma"/>
        <family val="2"/>
      </rPr>
      <t>a</t>
    </r>
  </si>
  <si>
    <t>Daily Cigarette Use</t>
  </si>
  <si>
    <t>SMOKELESS TOBACCO</t>
  </si>
  <si>
    <t>CIGARS</t>
  </si>
  <si>
    <t>ALCOHOL</t>
  </si>
  <si>
    <t>* = low precision; -- = not available; da = does not apply; nc = not comparable due to methodological changes; nr = not reported due to measurement issues.</t>
  </si>
  <si>
    <r>
      <t>NOTE: Methodological limitations preclude the estimation of past year initiates for aggregate substance use categories having at least one prescription psychotherapeutic, including categories for overall illicit drugs, misuse of psychotherapeutics, tranquilizers or sedatives, opioids, and illicit drugs other than marijuana (see Section 3.4.2 in Chapter 3 of the </t>
    </r>
    <r>
      <rPr>
        <i/>
        <sz val="6"/>
        <color rgb="FF4A4A4A"/>
        <rFont val="Tahoma"/>
        <family val="2"/>
      </rPr>
      <t>2019 National Survey on Drug Use and Health: Methodological Summary and Definitions</t>
    </r>
    <r>
      <rPr>
        <sz val="6"/>
        <color rgb="FF4A4A4A"/>
        <rFont val="Tahoma"/>
        <family val="2"/>
      </rPr>
      <t>).</t>
    </r>
  </si>
  <si>
    <r>
      <t>a</t>
    </r>
    <r>
      <rPr>
        <sz val="6"/>
        <color rgb="FF4A4A4A"/>
        <rFont val="Tahoma"/>
        <family val="2"/>
      </rPr>
      <t> The difference between this estimate and the 2019 estimate is statistically significant at the .05 level. Rounding may make the estimates appear identical.</t>
    </r>
  </si>
  <si>
    <r>
      <t>1</t>
    </r>
    <r>
      <rPr>
        <sz val="6"/>
        <color rgb="FF4A4A4A"/>
        <rFont val="Tahoma"/>
        <family val="2"/>
      </rPr>
      <t> Illicit Drugs Other Than Marijuana excludes respondents who used only marijuana but includes those who used marijuana in addition to other illicit drugs.</t>
    </r>
  </si>
  <si>
    <t>Definitions: Measures and terms are defined in Appendix A.</t>
  </si>
  <si>
    <t>Source: SAMHSA, Center for Behavioral Health Statistics and Quality, National Survey on Drug Use and Health, 2018 and 2019.</t>
  </si>
  <si>
    <t>2017-2018 tables list</t>
  </si>
  <si>
    <t>https://www.samhsa.gov/data/report/2018-nsduh-detailed-tables</t>
  </si>
  <si>
    <t>2018-2019</t>
  </si>
  <si>
    <t>https://www.samhsa.gov/data/report/2019-nsduh-detailed-tables</t>
  </si>
  <si>
    <t>Table 4.4B – Past Year Initiation of Substance Use among Persons Aged 12 or Older, Persons Aged 12 or Older At Risk for Initiation of Substance Use, and Past Year Substance Users Aged 12 or Older: Numbers in Thousands and Percentages, 2017 and 2018</t>
  </si>
  <si>
    <t>Initiates among Persons At</t>
  </si>
  <si>
    <r>
      <t>23.3</t>
    </r>
    <r>
      <rPr>
        <vertAlign val="superscript"/>
        <sz val="6"/>
        <color rgb="FF4A4A4A"/>
        <rFont val="Tahoma"/>
        <family val="2"/>
      </rPr>
      <t>a</t>
    </r>
  </si>
  <si>
    <r>
      <t>0.4</t>
    </r>
    <r>
      <rPr>
        <vertAlign val="superscript"/>
        <sz val="6"/>
        <color rgb="FF4A4A4A"/>
        <rFont val="Tahoma"/>
        <family val="2"/>
      </rPr>
      <t>a</t>
    </r>
  </si>
  <si>
    <r>
      <t>Illicit Drugs Other Than Marijuana</t>
    </r>
    <r>
      <rPr>
        <vertAlign val="superscript"/>
        <sz val="6"/>
        <color rgb="FF4A4A4A"/>
        <rFont val="Tahoma"/>
        <family val="2"/>
      </rPr>
      <t>1</t>
    </r>
  </si>
  <si>
    <t>NOTE: Methodological limitations preclude the estimation of past year initiates for the overall prescription psychotherapeutics category and consequently the overall illicit drugs and illicit drugs other than marijuana categories.</t>
  </si>
  <si>
    <r>
      <t>a</t>
    </r>
    <r>
      <rPr>
        <sz val="6"/>
        <color rgb="FF4A4A4A"/>
        <rFont val="Tahoma"/>
        <family val="2"/>
      </rPr>
      <t> The difference between this estimate and the 2018 estimate is statistically significant at the .05 level. Rounding may make the estimates appear identical.</t>
    </r>
  </si>
  <si>
    <t>Source: SAMHSA, Center for Behavioral Health Statistics and Quality, National Survey on Drug Use and Health, 2017 and 2018.</t>
  </si>
  <si>
    <t xml:space="preserve">* = low precision; -- = not available; da = does not apply; nc = not comparable due to methodological changes; nr = not reported due to measurement issues. </t>
  </si>
  <si>
    <t xml:space="preserve">NOTE: Past Year Initiates for a specific substance include those who used that substance (misused in the case of prescription psychotherapeutics) for the first time in the past year. Methodological limitations preclude the estimation of past year initiates for the overall prescription psychotherapeutics category and consequently the overall illicit drugs category. </t>
  </si>
  <si>
    <t xml:space="preserve">1 Persons at Risk for Initiation for a specific substance include those who did not use the substance (other than prescription psychotherapeutics) in their lifetime or who used the substance (other than prescription psychotherapeutics) for the first time in the past year. Methodological limitations preclude the estimation of persons at risk for initiation for the specific and overall prescription psychotherapeutics categories and consequently the overall illicit drugs category. </t>
  </si>
  <si>
    <t>2 Past Year Users for a specific substance include those who used that substance (misused in the case of prescription psychotherapeutics) in the past year.</t>
  </si>
  <si>
    <t xml:space="preserve"> 3 Illicit Drug Use includes the misuse of prescription psychotherapeutics or the use of marijuana, cocaine (including crack), heroin, hallucinogens, inhalants, or methamphetamine. </t>
  </si>
  <si>
    <t xml:space="preserve">4 Prescription Psychotherapeutics include pain relievers, tranquilizers, stimulants, or sedatives and do not include over-the-counter drugs. </t>
  </si>
  <si>
    <t>5 Daily Cigarette Use is defined as ever smoking every day for at least 30 days.</t>
  </si>
  <si>
    <t xml:space="preserve"> 6 Smokeless Tobacco includes snuff, dip, chewing tobacco, or "snus."</t>
  </si>
  <si>
    <t xml:space="preserve"> Source: SAMHSA, Center for Behavioral Health Statistics and Quality, National Survey on Drug Use and Health, 2016 and 2017.</t>
  </si>
  <si>
    <t xml:space="preserve">NOTE: Misuse of prescription psychotherapeutics is defined as use in any way not directed by a doctor, including use without a prescription of one's own; use in greater amounts, more often, or longer than told; or use in any other way not directed by a doctor. Prescription psychotherapeutics do not include over-the-counter drugs. </t>
  </si>
  <si>
    <t xml:space="preserve">a The difference between this estimate and the 2017 estimate is statistically significant at the .05 level. Rounding may make the estimates appear identical. </t>
  </si>
  <si>
    <t xml:space="preserve">b The difference between this estimate and the 2017 estimate is statistically significant at the .01 level. Rounding may make the estimates appear identical. </t>
  </si>
  <si>
    <t>At Risk for Initiation*</t>
  </si>
  <si>
    <t>Individuals were defined as being at risk for initiation in the past 12 months if they did not use a given substance in their lifetime or if they used it for the first time in the past year. Individuals who first used the substance more than 12 months ago were no longer considered to be at risk for initiation. NSDUH can identify individuals at risk for initiation of use of marijuana, cocaine, crack, heroin, hallucinogens, lysergic acid diethylamide (LSD), phencyclidine (PCP), Ecstasy, inhalants, methamphetamine, cigarettes, smokeless tobacco, cigars, and alcohol and also those at risk for initiation of daily cigarette use.</t>
  </si>
  <si>
    <t>NSDUH cannot identify individuals at risk for initiation of illicit drug use, misuse of prescription psychotherapeutic drugs (i.e., pain relievers, tranquilizers, stimulants, or sedatives), benzodiazepines, misuse of opioids, and use of illicit drugs other than marijuana. For these measures, the 2018 detailed tables do not show percentages for initiation among those at risk for initiation due to questionnaire changes starting with the 2015 NSDUH. Specifically, the focus for questions about the misuse of specific psychotherapeutic drugs changed in 2015 from the lifetime to the past year period. Because of this change, respondents who last misused any prescription psychotherapeutic drug in a category (e.g., pain relievers) more than 12 months ago may underreport misuse. These respondents who did not report misuse that occurred more than 12 months ago would be misclassified as still being at risk for initiation. This change also affected aggregate risk for initiation measures that include prescription psychotherapeutic drugs (i.e., opioids, any illicit drug, any illicit drug other than marijuana). See Section 3.4.2 in the 2018 NSDUH methodological summary and definitions report for additional details.</t>
  </si>
  <si>
    <t>SEE: "Initiation of Substance Use or Misuse" and "Misuse of Psychotherapeutics."</t>
  </si>
  <si>
    <t xml:space="preserve">Initiation of Substance Use </t>
  </si>
  <si>
    <t>The 2019 NSDUH included questions to measure the initiation of substance use, that is, use of particular substances for the first time during a person’s lifetime.33 This report presents the estimated number of recent substance use initiates or prescription drug misuse initiates.34 Recent initiates were substance users or prescription drug misusers who reported first using or misusing, respectively, a particular substance in the 12 months before the NSDUH interview.35,3</t>
  </si>
  <si>
    <t>nc</t>
  </si>
  <si>
    <t xml:space="preserve"> NOTE: Some 2006 to 2010 estimates may differ from previously published estimates due to updates (see Section 3.3.5 in Chapter 3 of the 2019 National Survey on Drug Use and Health: Methodological Summary and Definitions). NOTE: Methodological limitations preclude the estimation of past year initiates for aggregate substance use categories having at least one prescription psychotherapeutic, including categories for overall illicit drugs, misuse of psychotherapeutics, tranquilizers or sedatives, opioids, and illicit drugs other than marijuana (see Section 3.4.2 in Chapter 3 of the 2019 National Survey on Drug Use and Health: Methodological Summary and Definitions). NOTE: Measures and terms are defined in Appendix A of the 2019 NSDUH detailed tables at https://www.samhsa.gov/data/. </t>
  </si>
  <si>
    <t xml:space="preserve">a The difference between this estimate and the 2019 estimate is statistically significant at the .05 level. Rounding may make the estimates appear identical. </t>
  </si>
  <si>
    <t xml:space="preserve">1 Prescription psychotherapeutic subtypes were revised in 2016; one effect was the comparability of codeine products between 2015 and later years. </t>
  </si>
  <si>
    <t xml:space="preserve">2 Illicit Drugs Other Than Marijuana excludes respondents who used only marijuana but includes those who used marijuana in addition to other illicit drugs. Source: </t>
  </si>
  <si>
    <t>2,196a</t>
  </si>
  <si>
    <t>1,973a</t>
  </si>
  <si>
    <t>2,142a</t>
  </si>
  <si>
    <t>2,114a</t>
  </si>
  <si>
    <t>2,061a</t>
  </si>
  <si>
    <t>2,089a</t>
  </si>
  <si>
    <t>2,224a</t>
  </si>
  <si>
    <t>2,379a</t>
  </si>
  <si>
    <t>2,439a</t>
  </si>
  <si>
    <t>2,617a</t>
  </si>
  <si>
    <t>2,398a</t>
  </si>
  <si>
    <t>2,427a</t>
  </si>
  <si>
    <t>2,568a</t>
  </si>
  <si>
    <t>2,600a</t>
  </si>
  <si>
    <t>2,582a</t>
  </si>
  <si>
    <t>3,033a</t>
  </si>
  <si>
    <t>3,061a</t>
  </si>
  <si>
    <t>1,032a</t>
  </si>
  <si>
    <t>986a</t>
  </si>
  <si>
    <t>998a</t>
  </si>
  <si>
    <t>872a</t>
  </si>
  <si>
    <t>977a</t>
  </si>
  <si>
    <t>906a</t>
  </si>
  <si>
    <t>968a</t>
  </si>
  <si>
    <t>1,085a</t>
  </si>
  <si>
    <t>1,037a</t>
  </si>
  <si>
    <t>874a</t>
  </si>
  <si>
    <t>337a</t>
  </si>
  <si>
    <t>269a</t>
  </si>
  <si>
    <t>215a</t>
  </si>
  <si>
    <t>230a</t>
  </si>
  <si>
    <t>243a</t>
  </si>
  <si>
    <t>353a</t>
  </si>
  <si>
    <t>209a</t>
  </si>
  <si>
    <t>106a</t>
  </si>
  <si>
    <t>338a</t>
  </si>
  <si>
    <t>200a</t>
  </si>
  <si>
    <t>235a</t>
  </si>
  <si>
    <t>265a</t>
  </si>
  <si>
    <t>271a</t>
  </si>
  <si>
    <t>400a</t>
  </si>
  <si>
    <t>341a</t>
  </si>
  <si>
    <t>381a</t>
  </si>
  <si>
    <t>358a</t>
  </si>
  <si>
    <t>421a</t>
  </si>
  <si>
    <t>482a</t>
  </si>
  <si>
    <t>586a</t>
  </si>
  <si>
    <t>664a</t>
  </si>
  <si>
    <t>123a</t>
  </si>
  <si>
    <t>105a</t>
  </si>
  <si>
    <t>77a</t>
  </si>
  <si>
    <t>70a</t>
  </si>
  <si>
    <t>90a</t>
  </si>
  <si>
    <t>526a</t>
  </si>
  <si>
    <t>575a</t>
  </si>
  <si>
    <t>576a</t>
  </si>
  <si>
    <t>1,260a</t>
  </si>
  <si>
    <t>1,374a</t>
  </si>
  <si>
    <t>1,192a</t>
  </si>
  <si>
    <t>1,437a</t>
  </si>
  <si>
    <t>1,446a</t>
  </si>
  <si>
    <t>1,210a</t>
  </si>
  <si>
    <t>425a</t>
  </si>
  <si>
    <t>1,940a</t>
  </si>
  <si>
    <t>1,983a</t>
  </si>
  <si>
    <t>2,122a</t>
  </si>
  <si>
    <t>2,282a</t>
  </si>
  <si>
    <t>2,456a</t>
  </si>
  <si>
    <t>2,231a</t>
  </si>
  <si>
    <t>2,453a</t>
  </si>
  <si>
    <t>2,545a</t>
  </si>
  <si>
    <t>2,403a</t>
  </si>
  <si>
    <t>2,394a</t>
  </si>
  <si>
    <t>2,336a</t>
  </si>
  <si>
    <t>2,071a</t>
  </si>
  <si>
    <t>2,164a</t>
  </si>
  <si>
    <t>1,956a</t>
  </si>
  <si>
    <t>1,898a</t>
  </si>
  <si>
    <t>1,825a</t>
  </si>
  <si>
    <t>1,016a</t>
  </si>
  <si>
    <t>1,064a</t>
  </si>
  <si>
    <t>1,101a</t>
  </si>
  <si>
    <t>965a</t>
  </si>
  <si>
    <t>1,049a</t>
  </si>
  <si>
    <t>983a</t>
  </si>
  <si>
    <t>945a</t>
  </si>
  <si>
    <t>1,136a</t>
  </si>
  <si>
    <t>962a</t>
  </si>
  <si>
    <t>878a</t>
  </si>
  <si>
    <t>778a</t>
  </si>
  <si>
    <t>813a</t>
  </si>
  <si>
    <t>756a</t>
  </si>
  <si>
    <t>622a</t>
  </si>
  <si>
    <t>1,335a</t>
  </si>
  <si>
    <t>2,858a</t>
  </si>
  <si>
    <t>2,736a</t>
  </si>
  <si>
    <t>3,058a</t>
  </si>
  <si>
    <t>3,349a</t>
  </si>
  <si>
    <t>3,078a</t>
  </si>
  <si>
    <t>2,918a</t>
  </si>
  <si>
    <t>3,146a</t>
  </si>
  <si>
    <t>2,950a</t>
  </si>
  <si>
    <t>2,800a</t>
  </si>
  <si>
    <t>2,664a</t>
  </si>
  <si>
    <t>2,770a</t>
  </si>
  <si>
    <t>2,597a</t>
  </si>
  <si>
    <t>2,569a</t>
  </si>
  <si>
    <t>3,942a</t>
  </si>
  <si>
    <t>4,082a</t>
  </si>
  <si>
    <t>4,396a</t>
  </si>
  <si>
    <t>4,274a</t>
  </si>
  <si>
    <t>4,378a</t>
  </si>
  <si>
    <t>4,466a</t>
  </si>
  <si>
    <t>Misuse of Psychotherapeutics1</t>
  </si>
  <si>
    <t>Pain Relievers1</t>
  </si>
  <si>
    <t>Illicit Drugs Other Than Marijuana2</t>
  </si>
  <si>
    <t>Daily Cigarette use</t>
  </si>
  <si>
    <t>Figure 30 Table. Past Year Heroin Initiates among People Aged 12 or Older: 2002-2019</t>
  </si>
  <si>
    <t>+ Difference between this estimate and the 2019 estimate is statistically significant at the .05 level.</t>
  </si>
  <si>
    <t>Low precision; no estimate reported.</t>
  </si>
  <si>
    <t>Age</t>
  </si>
  <si>
    <t>≥12</t>
  </si>
  <si>
    <t>117+</t>
  </si>
  <si>
    <t>118+</t>
  </si>
  <si>
    <t>108+</t>
  </si>
  <si>
    <t>106+</t>
  </si>
  <si>
    <t>116+</t>
  </si>
  <si>
    <t>187+</t>
  </si>
  <si>
    <t>142+</t>
  </si>
  <si>
    <t>178+</t>
  </si>
  <si>
    <t>156+</t>
  </si>
  <si>
    <t>169+</t>
  </si>
  <si>
    <t>212+</t>
  </si>
  <si>
    <t>135+</t>
  </si>
  <si>
    <t>170+</t>
  </si>
  <si>
    <t>18-25</t>
  </si>
  <si>
    <t>66+</t>
  </si>
  <si>
    <t>42+</t>
  </si>
  <si>
    <t>46+</t>
  </si>
  <si>
    <t>57+</t>
  </si>
  <si>
    <t>56+</t>
  </si>
  <si>
    <t>70+</t>
  </si>
  <si>
    <t>58+</t>
  </si>
  <si>
    <t>83+</t>
  </si>
  <si>
    <t>100+</t>
  </si>
  <si>
    <t>95+</t>
  </si>
  <si>
    <t>75+</t>
  </si>
  <si>
    <t>82+</t>
  </si>
  <si>
    <t>≥26</t>
  </si>
  <si>
    <t>124+</t>
  </si>
  <si>
    <t>12 to 17</t>
  </si>
  <si>
    <r>
      <t>Questions about past year use and misuse in the 2018 NSDUH covered the following subcategories of pain relievers: </t>
    </r>
    <r>
      <rPr>
        <i/>
        <sz val="8"/>
        <color rgb="FF4A4A4A"/>
        <rFont val="Tahoma"/>
        <family val="2"/>
      </rPr>
      <t>hydrocodone products</t>
    </r>
    <r>
      <rPr>
        <sz val="8"/>
        <color rgb="FF4A4A4A"/>
        <rFont val="Tahoma"/>
        <family val="2"/>
      </rPr>
      <t> (Vicodin</t>
    </r>
    <r>
      <rPr>
        <vertAlign val="superscript"/>
        <sz val="6"/>
        <color rgb="FF4A4A4A"/>
        <rFont val="Tahoma"/>
        <family val="2"/>
      </rPr>
      <t>®</t>
    </r>
    <r>
      <rPr>
        <sz val="8"/>
        <color rgb="FF4A4A4A"/>
        <rFont val="Tahoma"/>
        <family val="2"/>
      </rPr>
      <t>, Lortab</t>
    </r>
    <r>
      <rPr>
        <vertAlign val="superscript"/>
        <sz val="6"/>
        <color rgb="FF4A4A4A"/>
        <rFont val="Tahoma"/>
        <family val="2"/>
      </rPr>
      <t>®</t>
    </r>
    <r>
      <rPr>
        <sz val="8"/>
        <color rgb="FF4A4A4A"/>
        <rFont val="Tahoma"/>
        <family val="2"/>
      </rPr>
      <t>, Norco</t>
    </r>
    <r>
      <rPr>
        <vertAlign val="superscript"/>
        <sz val="6"/>
        <color rgb="FF4A4A4A"/>
        <rFont val="Tahoma"/>
        <family val="2"/>
      </rPr>
      <t>®</t>
    </r>
    <r>
      <rPr>
        <sz val="8"/>
        <color rgb="FF4A4A4A"/>
        <rFont val="Tahoma"/>
        <family val="2"/>
      </rPr>
      <t>, Zohydro</t>
    </r>
    <r>
      <rPr>
        <vertAlign val="superscript"/>
        <sz val="6"/>
        <color rgb="FF4A4A4A"/>
        <rFont val="Tahoma"/>
        <family val="2"/>
      </rPr>
      <t>®</t>
    </r>
    <r>
      <rPr>
        <sz val="8"/>
        <color rgb="FF4A4A4A"/>
        <rFont val="Tahoma"/>
        <family val="2"/>
      </rPr>
      <t> ER, or generic hydrocodone); </t>
    </r>
    <r>
      <rPr>
        <i/>
        <sz val="8"/>
        <color rgb="FF4A4A4A"/>
        <rFont val="Tahoma"/>
        <family val="2"/>
      </rPr>
      <t>oxycodone products</t>
    </r>
    <r>
      <rPr>
        <sz val="8"/>
        <color rgb="FF4A4A4A"/>
        <rFont val="Tahoma"/>
        <family val="2"/>
      </rPr>
      <t> (OxyContin</t>
    </r>
    <r>
      <rPr>
        <vertAlign val="superscript"/>
        <sz val="6"/>
        <color rgb="FF4A4A4A"/>
        <rFont val="Tahoma"/>
        <family val="2"/>
      </rPr>
      <t>®</t>
    </r>
    <r>
      <rPr>
        <sz val="8"/>
        <color rgb="FF4A4A4A"/>
        <rFont val="Tahoma"/>
        <family val="2"/>
      </rPr>
      <t>, Percocet</t>
    </r>
    <r>
      <rPr>
        <vertAlign val="superscript"/>
        <sz val="6"/>
        <color rgb="FF4A4A4A"/>
        <rFont val="Tahoma"/>
        <family val="2"/>
      </rPr>
      <t>®</t>
    </r>
    <r>
      <rPr>
        <sz val="8"/>
        <color rgb="FF4A4A4A"/>
        <rFont val="Tahoma"/>
        <family val="2"/>
      </rPr>
      <t>, Percodan</t>
    </r>
    <r>
      <rPr>
        <vertAlign val="superscript"/>
        <sz val="6"/>
        <color rgb="FF4A4A4A"/>
        <rFont val="Tahoma"/>
        <family val="2"/>
      </rPr>
      <t>®</t>
    </r>
    <r>
      <rPr>
        <sz val="8"/>
        <color rgb="FF4A4A4A"/>
        <rFont val="Tahoma"/>
        <family val="2"/>
      </rPr>
      <t>, Roxicodone</t>
    </r>
    <r>
      <rPr>
        <vertAlign val="superscript"/>
        <sz val="6"/>
        <color rgb="FF4A4A4A"/>
        <rFont val="Tahoma"/>
        <family val="2"/>
      </rPr>
      <t>®</t>
    </r>
    <r>
      <rPr>
        <sz val="8"/>
        <color rgb="FF4A4A4A"/>
        <rFont val="Tahoma"/>
        <family val="2"/>
      </rPr>
      <t>, or generic oxycodone); </t>
    </r>
    <r>
      <rPr>
        <i/>
        <sz val="8"/>
        <color rgb="FF4A4A4A"/>
        <rFont val="Tahoma"/>
        <family val="2"/>
      </rPr>
      <t>tramadol products</t>
    </r>
    <r>
      <rPr>
        <sz val="8"/>
        <color rgb="FF4A4A4A"/>
        <rFont val="Tahoma"/>
        <family val="2"/>
      </rPr>
      <t> (Ultram</t>
    </r>
    <r>
      <rPr>
        <vertAlign val="superscript"/>
        <sz val="6"/>
        <color rgb="FF4A4A4A"/>
        <rFont val="Tahoma"/>
        <family val="2"/>
      </rPr>
      <t>®</t>
    </r>
    <r>
      <rPr>
        <sz val="8"/>
        <color rgb="FF4A4A4A"/>
        <rFont val="Tahoma"/>
        <family val="2"/>
      </rPr>
      <t>, Ultram</t>
    </r>
    <r>
      <rPr>
        <vertAlign val="superscript"/>
        <sz val="6"/>
        <color rgb="FF4A4A4A"/>
        <rFont val="Tahoma"/>
        <family val="2"/>
      </rPr>
      <t>®</t>
    </r>
    <r>
      <rPr>
        <sz val="8"/>
        <color rgb="FF4A4A4A"/>
        <rFont val="Tahoma"/>
        <family val="2"/>
      </rPr>
      <t> ER, Ultracet</t>
    </r>
    <r>
      <rPr>
        <vertAlign val="superscript"/>
        <sz val="6"/>
        <color rgb="FF4A4A4A"/>
        <rFont val="Tahoma"/>
        <family val="2"/>
      </rPr>
      <t>®</t>
    </r>
    <r>
      <rPr>
        <sz val="8"/>
        <color rgb="FF4A4A4A"/>
        <rFont val="Tahoma"/>
        <family val="2"/>
      </rPr>
      <t>, generic tramadol, or generic extended-release tramadol); </t>
    </r>
    <r>
      <rPr>
        <i/>
        <sz val="8"/>
        <color rgb="FF4A4A4A"/>
        <rFont val="Tahoma"/>
        <family val="2"/>
      </rPr>
      <t>codeine products</t>
    </r>
    <r>
      <rPr>
        <sz val="8"/>
        <color rgb="FF4A4A4A"/>
        <rFont val="Tahoma"/>
        <family val="2"/>
      </rPr>
      <t> (Tylenol</t>
    </r>
    <r>
      <rPr>
        <vertAlign val="superscript"/>
        <sz val="6"/>
        <color rgb="FF4A4A4A"/>
        <rFont val="Tahoma"/>
        <family val="2"/>
      </rPr>
      <t>®</t>
    </r>
    <r>
      <rPr>
        <sz val="8"/>
        <color rgb="FF4A4A4A"/>
        <rFont val="Tahoma"/>
        <family val="2"/>
      </rPr>
      <t> with codeine 3 or 4, or generic codeine pills); </t>
    </r>
    <r>
      <rPr>
        <i/>
        <sz val="8"/>
        <color rgb="FF4A4A4A"/>
        <rFont val="Tahoma"/>
        <family val="2"/>
      </rPr>
      <t>morphine products</t>
    </r>
    <r>
      <rPr>
        <sz val="8"/>
        <color rgb="FF4A4A4A"/>
        <rFont val="Tahoma"/>
        <family val="2"/>
      </rPr>
      <t> (Avinza</t>
    </r>
    <r>
      <rPr>
        <vertAlign val="superscript"/>
        <sz val="6"/>
        <color rgb="FF4A4A4A"/>
        <rFont val="Tahoma"/>
        <family val="2"/>
      </rPr>
      <t>®</t>
    </r>
    <r>
      <rPr>
        <sz val="8"/>
        <color rgb="FF4A4A4A"/>
        <rFont val="Tahoma"/>
        <family val="2"/>
      </rPr>
      <t>, Kadian</t>
    </r>
    <r>
      <rPr>
        <vertAlign val="superscript"/>
        <sz val="6"/>
        <color rgb="FF4A4A4A"/>
        <rFont val="Tahoma"/>
        <family val="2"/>
      </rPr>
      <t>®</t>
    </r>
    <r>
      <rPr>
        <sz val="8"/>
        <color rgb="FF4A4A4A"/>
        <rFont val="Tahoma"/>
        <family val="2"/>
      </rPr>
      <t>, MS Contin</t>
    </r>
    <r>
      <rPr>
        <vertAlign val="superscript"/>
        <sz val="6"/>
        <color rgb="FF4A4A4A"/>
        <rFont val="Tahoma"/>
        <family val="2"/>
      </rPr>
      <t>®</t>
    </r>
    <r>
      <rPr>
        <sz val="8"/>
        <color rgb="FF4A4A4A"/>
        <rFont val="Tahoma"/>
        <family val="2"/>
      </rPr>
      <t>, generic morphine, or generic extended-release morphine); </t>
    </r>
    <r>
      <rPr>
        <i/>
        <sz val="8"/>
        <color rgb="FF4A4A4A"/>
        <rFont val="Tahoma"/>
        <family val="2"/>
      </rPr>
      <t>fentanyl products</t>
    </r>
    <r>
      <rPr>
        <sz val="8"/>
        <color rgb="FF4A4A4A"/>
        <rFont val="Tahoma"/>
        <family val="2"/>
      </rPr>
      <t> (Duragesic</t>
    </r>
    <r>
      <rPr>
        <vertAlign val="superscript"/>
        <sz val="6"/>
        <color rgb="FF4A4A4A"/>
        <rFont val="Tahoma"/>
        <family val="2"/>
      </rPr>
      <t>®</t>
    </r>
    <r>
      <rPr>
        <sz val="8"/>
        <color rgb="FF4A4A4A"/>
        <rFont val="Tahoma"/>
        <family val="2"/>
      </rPr>
      <t>, Fentora</t>
    </r>
    <r>
      <rPr>
        <vertAlign val="superscript"/>
        <sz val="6"/>
        <color rgb="FF4A4A4A"/>
        <rFont val="Tahoma"/>
        <family val="2"/>
      </rPr>
      <t>®</t>
    </r>
    <r>
      <rPr>
        <sz val="8"/>
        <color rgb="FF4A4A4A"/>
        <rFont val="Tahoma"/>
        <family val="2"/>
      </rPr>
      <t>, or generic fentanyl); </t>
    </r>
    <r>
      <rPr>
        <i/>
        <sz val="8"/>
        <color rgb="FF4A4A4A"/>
        <rFont val="Tahoma"/>
        <family val="2"/>
      </rPr>
      <t>buprenorphine products</t>
    </r>
    <r>
      <rPr>
        <sz val="8"/>
        <color rgb="FF4A4A4A"/>
        <rFont val="Tahoma"/>
        <family val="2"/>
      </rPr>
      <t> (Suboxone</t>
    </r>
    <r>
      <rPr>
        <vertAlign val="superscript"/>
        <sz val="6"/>
        <color rgb="FF4A4A4A"/>
        <rFont val="Tahoma"/>
        <family val="2"/>
      </rPr>
      <t>®</t>
    </r>
    <r>
      <rPr>
        <sz val="8"/>
        <color rgb="FF4A4A4A"/>
        <rFont val="Tahoma"/>
        <family val="2"/>
      </rPr>
      <t>, generic buprenorphine, or generic buprenorphine plus naloxone); </t>
    </r>
    <r>
      <rPr>
        <i/>
        <sz val="8"/>
        <color rgb="FF4A4A4A"/>
        <rFont val="Tahoma"/>
        <family val="2"/>
      </rPr>
      <t>oxymorphone products</t>
    </r>
    <r>
      <rPr>
        <sz val="8"/>
        <color rgb="FF4A4A4A"/>
        <rFont val="Tahoma"/>
        <family val="2"/>
      </rPr>
      <t> (Opana</t>
    </r>
    <r>
      <rPr>
        <vertAlign val="superscript"/>
        <sz val="6"/>
        <color rgb="FF4A4A4A"/>
        <rFont val="Tahoma"/>
        <family val="2"/>
      </rPr>
      <t>®</t>
    </r>
    <r>
      <rPr>
        <sz val="8"/>
        <color rgb="FF4A4A4A"/>
        <rFont val="Tahoma"/>
        <family val="2"/>
      </rPr>
      <t>, Opana</t>
    </r>
    <r>
      <rPr>
        <vertAlign val="superscript"/>
        <sz val="6"/>
        <color rgb="FF4A4A4A"/>
        <rFont val="Tahoma"/>
        <family val="2"/>
      </rPr>
      <t>®</t>
    </r>
    <r>
      <rPr>
        <sz val="8"/>
        <color rgb="FF4A4A4A"/>
        <rFont val="Tahoma"/>
        <family val="2"/>
      </rPr>
      <t> ER, generic oxymorphone, or generic extended-release oxymorphone); Demerol</t>
    </r>
    <r>
      <rPr>
        <vertAlign val="superscript"/>
        <sz val="6"/>
        <color rgb="FF4A4A4A"/>
        <rFont val="Tahoma"/>
        <family val="2"/>
      </rPr>
      <t>®</t>
    </r>
    <r>
      <rPr>
        <sz val="8"/>
        <color rgb="FF4A4A4A"/>
        <rFont val="Tahoma"/>
        <family val="2"/>
      </rPr>
      <t>; </t>
    </r>
    <r>
      <rPr>
        <i/>
        <sz val="8"/>
        <color rgb="FF4A4A4A"/>
        <rFont val="Tahoma"/>
        <family val="2"/>
      </rPr>
      <t>hydromorphone products</t>
    </r>
    <r>
      <rPr>
        <sz val="8"/>
        <color rgb="FF4A4A4A"/>
        <rFont val="Tahoma"/>
        <family val="2"/>
      </rPr>
      <t> (Dilaudid</t>
    </r>
    <r>
      <rPr>
        <vertAlign val="superscript"/>
        <sz val="6"/>
        <color rgb="FF4A4A4A"/>
        <rFont val="Tahoma"/>
        <family val="2"/>
      </rPr>
      <t>®</t>
    </r>
    <r>
      <rPr>
        <sz val="8"/>
        <color rgb="FF4A4A4A"/>
        <rFont val="Tahoma"/>
        <family val="2"/>
      </rPr>
      <t> or generic hydromorphone, or Exalgo</t>
    </r>
    <r>
      <rPr>
        <vertAlign val="superscript"/>
        <sz val="6"/>
        <color rgb="FF4A4A4A"/>
        <rFont val="Tahoma"/>
        <family val="2"/>
      </rPr>
      <t>®</t>
    </r>
    <r>
      <rPr>
        <sz val="8"/>
        <color rgb="FF4A4A4A"/>
        <rFont val="Tahoma"/>
        <family val="2"/>
      </rPr>
      <t> or generic extended-release hydromorphone); methadone; or any other prescription pain reliever. Other prescription pain relievers could include products similar to the specific pain relievers listed previously. Questions were not asked about past month pain reliever use or misuse for the specific subtype categories.</t>
    </r>
  </si>
  <si>
    <t>Although the specific pain relievers listed above are classified as opioids, use or misuse of any other pain reliever could include prescription pain relievers that are not opioids. For misuse in the past year or past month, estimates could include small numbers of respondents whose only misuse involved other drugs that are not opioids. See Section 4.4 in the 2018 NSDUH methodological summary and definitions report for additional details.</t>
  </si>
  <si>
    <t>Pain Reliever Use or Misuse*</t>
  </si>
  <si>
    <t>Figure 32. Past Year Prescription Pain Reliever Misuse Initiates among People Aged 12 or Older: 2015-2019</t>
  </si>
  <si>
    <t>2,126+</t>
  </si>
  <si>
    <t>2,139+</t>
  </si>
  <si>
    <t>2,010+</t>
  </si>
  <si>
    <t>415+</t>
  </si>
  <si>
    <t>423+</t>
  </si>
  <si>
    <t>596+</t>
  </si>
  <si>
    <t>585+</t>
  </si>
  <si>
    <t>10. Estimates presented in this report have been weighted to reflect characteristics of the civilian, noninstitutionalized population aged 12 or older in the United States. The calculation of NSDUH weights for analysis includes a step that yields weights consistent with population totals obtained from the U.S. Census Bureau based on the most recently available decennial census.</t>
  </si>
  <si>
    <t>Population estimates</t>
  </si>
  <si>
    <t>Dane County population percent</t>
  </si>
  <si>
    <t>(proxy for heavy use?)</t>
  </si>
  <si>
    <t>(proxy for light use?)</t>
  </si>
  <si>
    <t>Dane County Pain Reliever Deaths</t>
  </si>
  <si>
    <t>Dane County Heroin Deaths Percent</t>
  </si>
  <si>
    <t>US Pain Reliever Deaths</t>
  </si>
  <si>
    <t>Dane County Pain Reliever Percent</t>
  </si>
  <si>
    <t>Max</t>
  </si>
  <si>
    <t>Average</t>
  </si>
  <si>
    <t>Min</t>
  </si>
  <si>
    <t>SD</t>
  </si>
  <si>
    <t>United States Population Est. (Census Bureau)</t>
  </si>
  <si>
    <t>Wisconsin Population Est. (Census Bureau)</t>
  </si>
  <si>
    <r>
      <t>.</t>
    </r>
    <r>
      <rPr>
        <sz val="11"/>
        <color theme="1"/>
        <rFont val="Calibri"/>
        <family val="2"/>
        <scheme val="minor"/>
      </rPr>
      <t>Dane County, Wisconsin</t>
    </r>
    <r>
      <rPr>
        <sz val="11"/>
        <color indexed="9"/>
        <rFont val="Calibri"/>
        <family val="2"/>
        <scheme val="minor"/>
      </rPr>
      <t xml:space="preserve">  Population Est. (Census Bureau)</t>
    </r>
  </si>
  <si>
    <t>OPTION A: estimation via population</t>
  </si>
  <si>
    <t>Dane County Heroin initation rate estimate per 100,000 population</t>
  </si>
  <si>
    <t>Dane County  Pain Reliever initiation rate estimate per 100,000 population</t>
  </si>
  <si>
    <t>Dane County Heroin initation estimate (number of people)</t>
  </si>
  <si>
    <t>Year</t>
  </si>
  <si>
    <t>Dane County  Pain Reliever initiation estimate (number of people)</t>
  </si>
  <si>
    <r>
      <t xml:space="preserve">Table 9. </t>
    </r>
    <r>
      <rPr>
        <b/>
        <i/>
        <sz val="10"/>
        <rFont val="Arial"/>
        <family val="2"/>
      </rPr>
      <t>Heroin Use in the Past Year,</t>
    </r>
    <r>
      <rPr>
        <b/>
        <sz val="10"/>
        <rFont val="Arial"/>
        <family val="2"/>
      </rPr>
      <t xml:space="preserve"> by Age Group and State: Percentages, Annual Averages Based on 2017 and 2018 NSDUHs  </t>
    </r>
  </si>
  <si>
    <t>State</t>
  </si>
  <si>
    <t>12 or Older
Estimate</t>
  </si>
  <si>
    <t>12 or Older
95% CI (Lower)</t>
  </si>
  <si>
    <t>12 or Older
95% CI (Upper)</t>
  </si>
  <si>
    <t>12-17
Estimate</t>
  </si>
  <si>
    <t>12-17
95% CI (Lower)</t>
  </si>
  <si>
    <t>12-17
95% CI (Upper)</t>
  </si>
  <si>
    <t>18-25
Estimate</t>
  </si>
  <si>
    <t>18-25
95% CI (Lower)</t>
  </si>
  <si>
    <t>18-25
95% CI (Upper)</t>
  </si>
  <si>
    <t>26 or Older
Estimate</t>
  </si>
  <si>
    <t>26 or Older
95% CI (Lower)</t>
  </si>
  <si>
    <t>26 or Older
95% CI (Upper)</t>
  </si>
  <si>
    <t>18 or Older
Estimate</t>
  </si>
  <si>
    <t>18 or Older
95% CI (Lower)</t>
  </si>
  <si>
    <t>18 or Older
95% CI (Upper)</t>
  </si>
  <si>
    <t>2017-2018</t>
  </si>
  <si>
    <t>Wisconsin</t>
  </si>
  <si>
    <r>
      <t xml:space="preserve">Table 12. </t>
    </r>
    <r>
      <rPr>
        <b/>
        <i/>
        <sz val="10"/>
        <rFont val="Arial"/>
        <family val="2"/>
      </rPr>
      <t>Pain Reliever Misuse in the Past Year,</t>
    </r>
    <r>
      <rPr>
        <b/>
        <sz val="10"/>
        <rFont val="Arial"/>
        <family val="2"/>
      </rPr>
      <t xml:space="preserve"> by Age Group and State: Percentages, Annual Averages Based on 2017 and 2018 NSDUHs  </t>
    </r>
  </si>
  <si>
    <t>NOTE: Misuse of prescription psychotherapeutics is defined as use in any way not directed by a doctor, including use without a prescription of one's own; use in greater amounts, more often, or longer than told; or use in any other way not directed by a doctor. Prescription psychotherapeutics do not include over-the-counter drugs.</t>
  </si>
  <si>
    <t>NOTE: State and census region estimates, along with the 95 percent Bayesian confidence (credible) intervals, are based on a survey-weighted hierarchical Bayes estimation approach and generated by Markov Chain Monte Carlo techniques. For the "Total U.S." row, design-based (direct) estimates and corresponding 95 percent confidence intervals are given.</t>
  </si>
  <si>
    <t>NOTE: The column labeled "Order" can be used to sort the data to the original sort order.</t>
  </si>
  <si>
    <r>
      <t xml:space="preserve">Table 21. </t>
    </r>
    <r>
      <rPr>
        <b/>
        <i/>
        <sz val="10"/>
        <rFont val="Arial"/>
        <family val="2"/>
      </rPr>
      <t>Pain Reliever Use Disorder in the Past Year,</t>
    </r>
    <r>
      <rPr>
        <b/>
        <sz val="10"/>
        <rFont val="Arial"/>
        <family val="2"/>
      </rPr>
      <t xml:space="preserve"> by Age Group and State: Percentages, Annual Averages Based on 2017 and 2018 NSDUHs  </t>
    </r>
  </si>
  <si>
    <r>
      <t xml:space="preserve">NOTE: Pain Reliever Use Disorder is defined as meeting criteria for pain reliever dependence or abuse. Dependence or abuse is based on definitions found in the 4th edition of the </t>
    </r>
    <r>
      <rPr>
        <i/>
        <sz val="10"/>
        <rFont val="Arial"/>
        <family val="2"/>
      </rPr>
      <t>Diagnostic and Statistical Manual of Mental Disorders</t>
    </r>
    <r>
      <rPr>
        <sz val="10"/>
        <rFont val="Arial"/>
        <family val="2"/>
      </rPr>
      <t xml:space="preserve"> 
(DSM-IV).</t>
    </r>
  </si>
  <si>
    <r>
      <t xml:space="preserve">Table 20. </t>
    </r>
    <r>
      <rPr>
        <b/>
        <i/>
        <sz val="10"/>
        <rFont val="Arial"/>
        <family val="2"/>
      </rPr>
      <t>Illicit Drug Use Disorder in the Past Year,</t>
    </r>
    <r>
      <rPr>
        <b/>
        <sz val="10"/>
        <rFont val="Arial"/>
        <family val="2"/>
      </rPr>
      <t xml:space="preserve"> by Age Group and State: Percentages, Annual Averages Based on 2017 and 2018 NSDUHs  </t>
    </r>
  </si>
  <si>
    <r>
      <t xml:space="preserve">NOTE: Illicit Drug Use Disorder is defined as meeting criteria for illicit drug dependence or abuse. Dependence or abuse is based on definitions found in the 4th edition of the </t>
    </r>
    <r>
      <rPr>
        <i/>
        <sz val="10"/>
        <rFont val="Arial"/>
        <family val="2"/>
      </rPr>
      <t>Diagnostic and Statistical Manual of Mental Disorders</t>
    </r>
    <r>
      <rPr>
        <sz val="10"/>
        <rFont val="Arial"/>
        <family val="2"/>
      </rPr>
      <t xml:space="preserve"> (DSM-IV).</t>
    </r>
  </si>
  <si>
    <t>NOTE: Illicit Drug Use includes the misuse of prescription psychotherapeutics or the use of marijuana, cocaine (including crack), heroin, hallucinogens, inhalants, or methamphetamine. Misuse of prescription psychotherapeutics is defined as use in any way not directed by a doctor, including use without a prescription of one's own; use in greater amounts, more often, or longer than told; or use in any other way not directed by a doctor. Prescription psychotherapeutics do not include over-the-counter drugs.</t>
  </si>
  <si>
    <r>
      <t xml:space="preserve">Table 24. </t>
    </r>
    <r>
      <rPr>
        <b/>
        <i/>
        <sz val="10"/>
        <rFont val="Arial"/>
        <family val="2"/>
      </rPr>
      <t>Needing But Not Receiving Treatment at a Specialty Facility for Illicit Drug Use in the Past Year,</t>
    </r>
    <r>
      <rPr>
        <b/>
        <sz val="10"/>
        <rFont val="Arial"/>
        <family val="2"/>
      </rPr>
      <t xml:space="preserve"> by Age Group and State: Percentages, Annual Averages Based on 2017 and 2018 NSDUHs  </t>
    </r>
  </si>
  <si>
    <r>
      <t xml:space="preserve">NOTE: Respondents were classified as needing illicit drug treatment if they met the criteria for an illicit drug use disorder as defined in the 4th edition of the </t>
    </r>
    <r>
      <rPr>
        <i/>
        <sz val="10"/>
        <color theme="1"/>
        <rFont val="Arial"/>
        <family val="2"/>
      </rPr>
      <t>Diagnostic and Statistical Manual of Mental Disorders</t>
    </r>
    <r>
      <rPr>
        <sz val="10"/>
        <color theme="1"/>
        <rFont val="Arial"/>
        <family val="2"/>
      </rPr>
      <t xml:space="preserve"> (DSM-IV) or received treatment for illicit drug use at a specialty facility (i.e., drug and alcohol rehabilitation facility [inpatient or outpatient], hospital [inpatient only], or mental health center). Needing But Not Receiving Illicit Drug Treatment refers to respondents who are classified as needing illicit drug treatment, but who did not receive illicit drug treatment at a specialty facility. Illicit Drug Use includes the misuse of prescription psychotherapeutics or the use of marijuana, cocaine (including crack), heroin, hallucinogens, inhalants, or methamphetamine. Misuse of prescription psychotherapeutics is defined as use in any way not directed by a doctor, including use without a prescription of one's own; use in greater amounts, more often, or longer than told; or use in any other way not directed by a doctor. Prescription psychotherapeutics do not include over-the-counter drugs.</t>
    </r>
  </si>
  <si>
    <t>2016-2017</t>
  </si>
  <si>
    <t>2015-2016</t>
  </si>
  <si>
    <t>2014-2015</t>
  </si>
  <si>
    <t>2013-2014</t>
  </si>
  <si>
    <t>NA</t>
  </si>
  <si>
    <t>Prevalence</t>
  </si>
  <si>
    <t>Estimated numbers (in Thousands)</t>
  </si>
  <si>
    <t>Prevalence (prevealence is more accurate for estimating )</t>
  </si>
  <si>
    <t>Table 1.A</t>
  </si>
  <si>
    <t xml:space="preserve">Past Year Use </t>
  </si>
  <si>
    <t>Past Year Abuse or Dependence</t>
  </si>
  <si>
    <t>Did Not Receive Treatment at a Specialty Facility and Opioid Dependence or Abuse</t>
  </si>
  <si>
    <t>2003-2006</t>
  </si>
  <si>
    <t>2007-2010</t>
  </si>
  <si>
    <t>2011-2014</t>
  </si>
  <si>
    <t>Total United States</t>
  </si>
  <si>
    <r>
      <t>12,008</t>
    </r>
    <r>
      <rPr>
        <vertAlign val="superscript"/>
        <sz val="10"/>
        <color theme="1"/>
        <rFont val="Times New Roman"/>
        <family val="1"/>
      </rPr>
      <t>a</t>
    </r>
    <r>
      <rPr>
        <sz val="10"/>
        <color theme="1"/>
        <rFont val="Times New Roman"/>
        <family val="1"/>
      </rPr>
      <t> </t>
    </r>
  </si>
  <si>
    <r>
      <t>12,418</t>
    </r>
    <r>
      <rPr>
        <vertAlign val="superscript"/>
        <sz val="10"/>
        <color theme="1"/>
        <rFont val="Times New Roman"/>
        <family val="1"/>
      </rPr>
      <t>b</t>
    </r>
    <r>
      <rPr>
        <sz val="10"/>
        <color theme="1"/>
        <rFont val="Times New Roman"/>
        <family val="1"/>
      </rPr>
      <t> </t>
    </r>
  </si>
  <si>
    <t>11,476  </t>
  </si>
  <si>
    <r>
      <t>1,684</t>
    </r>
    <r>
      <rPr>
        <vertAlign val="superscript"/>
        <sz val="10"/>
        <color theme="1"/>
        <rFont val="Times New Roman"/>
        <family val="1"/>
      </rPr>
      <t>b</t>
    </r>
    <r>
      <rPr>
        <sz val="10"/>
        <color theme="1"/>
        <rFont val="Times New Roman"/>
        <family val="1"/>
      </rPr>
      <t> </t>
    </r>
  </si>
  <si>
    <r>
      <t>1,985</t>
    </r>
    <r>
      <rPr>
        <vertAlign val="superscript"/>
        <sz val="10"/>
        <color theme="1"/>
        <rFont val="Times New Roman"/>
        <family val="1"/>
      </rPr>
      <t>a</t>
    </r>
    <r>
      <rPr>
        <sz val="10"/>
        <color theme="1"/>
        <rFont val="Times New Roman"/>
        <family val="1"/>
      </rPr>
      <t> </t>
    </r>
  </si>
  <si>
    <t>2,167  </t>
  </si>
  <si>
    <r>
      <t>1,417</t>
    </r>
    <r>
      <rPr>
        <vertAlign val="superscript"/>
        <sz val="10"/>
        <color theme="1"/>
        <rFont val="Times New Roman"/>
        <family val="1"/>
      </rPr>
      <t>b</t>
    </r>
    <r>
      <rPr>
        <sz val="10"/>
        <color theme="1"/>
        <rFont val="Times New Roman"/>
        <family val="1"/>
      </rPr>
      <t> </t>
    </r>
  </si>
  <si>
    <t>1,666  </t>
  </si>
  <si>
    <t>1,682  </t>
  </si>
  <si>
    <t>35  </t>
  </si>
  <si>
    <t>27  </t>
  </si>
  <si>
    <t>33  </t>
  </si>
  <si>
    <t>5  </t>
  </si>
  <si>
    <t>4  </t>
  </si>
  <si>
    <t>52  </t>
  </si>
  <si>
    <t>19  </t>
  </si>
  <si>
    <t>20  </t>
  </si>
  <si>
    <t>211  </t>
  </si>
  <si>
    <t>26  </t>
  </si>
  <si>
    <t>11  </t>
  </si>
  <si>
    <t>21  </t>
  </si>
  <si>
    <t>59  </t>
  </si>
  <si>
    <t>12  </t>
  </si>
  <si>
    <t>166  </t>
  </si>
  <si>
    <t>63  </t>
  </si>
  <si>
    <t>68  </t>
  </si>
  <si>
    <t>58  </t>
  </si>
  <si>
    <t>48  </t>
  </si>
  <si>
    <t>159  </t>
  </si>
  <si>
    <t>248  </t>
  </si>
  <si>
    <t>213  </t>
  </si>
  <si>
    <t>Table 1.B</t>
  </si>
  <si>
    <t>Rates per Thousand</t>
  </si>
  <si>
    <r>
      <t>5.0</t>
    </r>
    <r>
      <rPr>
        <vertAlign val="superscript"/>
        <sz val="10"/>
        <color theme="1"/>
        <rFont val="Times New Roman"/>
        <family val="1"/>
      </rPr>
      <t>b</t>
    </r>
    <r>
      <rPr>
        <sz val="10"/>
        <color theme="1"/>
        <rFont val="Times New Roman"/>
        <family val="1"/>
      </rPr>
      <t> </t>
    </r>
  </si>
  <si>
    <t>4.4  </t>
  </si>
  <si>
    <r>
      <t>6.96</t>
    </r>
    <r>
      <rPr>
        <vertAlign val="superscript"/>
        <sz val="10"/>
        <color theme="1"/>
        <rFont val="Times New Roman"/>
        <family val="1"/>
      </rPr>
      <t>b</t>
    </r>
    <r>
      <rPr>
        <sz val="10"/>
        <color theme="1"/>
        <rFont val="Times New Roman"/>
        <family val="1"/>
      </rPr>
      <t> </t>
    </r>
  </si>
  <si>
    <t>7.91  </t>
  </si>
  <si>
    <t>8.29  </t>
  </si>
  <si>
    <t>5.86  </t>
  </si>
  <si>
    <t>6.64  </t>
  </si>
  <si>
    <t>6.44  </t>
  </si>
  <si>
    <t>Past Year Opioid1 Use and Abuse or Dependence, and Not Received Treatment at a Specialty Facility and Opioid1 Abuse or Dependence in Past Year among Persons Aged 12 or Older, by State Percentages and Rates per Thousand, Annual Averages Based on 2003-2006, 2007-2010, and 2011-2014</t>
  </si>
  <si>
    <t>4.6  </t>
  </si>
  <si>
    <t>5.3  </t>
  </si>
  <si>
    <t>4.58  </t>
  </si>
  <si>
    <t>7.56  </t>
  </si>
  <si>
    <t>5.53  </t>
  </si>
  <si>
    <t>4.03  </t>
  </si>
  <si>
    <t>7.11  </t>
  </si>
  <si>
    <t>4.18  </t>
  </si>
  <si>
    <t>Table 1.C</t>
  </si>
  <si>
    <t>Past Year Opioid1 Use and Abuse or Dependence, and Not Received Treatment at a Specialty Facility and Opioid1 Abuse or Dependence in Past Year among Persons Aged 12 or Older, by State: Standard Errors of Numbers in Thousands, Annual Averages Based on 2003-2006, 2007-2010, and 2011-2014</t>
  </si>
  <si>
    <t>155  </t>
  </si>
  <si>
    <t>Table 1.D</t>
  </si>
  <si>
    <t>Past Year Opioid1 Use and Abuse or Dependence, and Not Received Treatment at a Specialty Facility and Opioid1 Abuse or Dependence in Past Year among Persons Aged 12 or Older, by State: Standard Errors of Percentages and Rates per Thousand, Annual Averages Based on 2003-2006, 2007-2010, and 2011-2014</t>
  </si>
  <si>
    <t>0.06  </t>
  </si>
  <si>
    <t>0.22  </t>
  </si>
  <si>
    <t>0.25  </t>
  </si>
  <si>
    <t>0.26  </t>
  </si>
  <si>
    <t>0.20  </t>
  </si>
  <si>
    <t>0.23  </t>
  </si>
  <si>
    <t>0.45  </t>
  </si>
  <si>
    <t>0.57  </t>
  </si>
  <si>
    <t>0.54  </t>
  </si>
  <si>
    <t>1.07  </t>
  </si>
  <si>
    <t>2.46  </t>
  </si>
  <si>
    <t>1.11  </t>
  </si>
  <si>
    <t>0.96  </t>
  </si>
  <si>
    <t>2.39  </t>
  </si>
  <si>
    <t>1.13  </t>
  </si>
  <si>
    <r>
      <t xml:space="preserve">Past Year Opioid1 Use and Abuse or Dependence, and Not Received Treatment at a Specialty Facility and Opioid1 Abuse or Dependence in Past Year among Persons Aged 12 or Older, by State: </t>
    </r>
    <r>
      <rPr>
        <b/>
        <sz val="11"/>
        <color theme="1"/>
        <rFont val="Calibri"/>
        <family val="2"/>
        <scheme val="minor"/>
      </rPr>
      <t>Numbers in Thousands</t>
    </r>
    <r>
      <rPr>
        <sz val="11"/>
        <color theme="1"/>
        <rFont val="Calibri"/>
        <family val="2"/>
        <scheme val="minor"/>
      </rPr>
      <t>, Annual Averages Based on 2003-2006, 2007-2010, and 2011-2014</t>
    </r>
  </si>
  <si>
    <t>Number in thousands</t>
  </si>
  <si>
    <t>by State Percentages and Rates per Thousand</t>
  </si>
  <si>
    <t>: Standard Errors of Numbers in Thousands,</t>
  </si>
  <si>
    <t>: Standard Errors of Percentages and Rates per Thousand,</t>
  </si>
  <si>
    <t>OPTION D: Estimation via percent of Deaths</t>
  </si>
  <si>
    <t>https://wonder.cdc.gov/controller/datarequest/D77;jsessionid=9A3927D9047ACF7B18643C1C4C45</t>
  </si>
  <si>
    <t>in folder C:\Users\vronn\Documents\Opioid Policing Model\CDC Wonder Queries</t>
  </si>
  <si>
    <t>Suppressed</t>
  </si>
  <si>
    <t>Dane County Population</t>
  </si>
  <si>
    <t>Dane County total Heroin Deaths</t>
  </si>
  <si>
    <t>Dane County Percent of Heroin Deaths</t>
  </si>
  <si>
    <t>Dane County Pain Reliever initation estimate (number of people)</t>
  </si>
  <si>
    <t>Dane County Heroin initation rate estimate  per 100,000 population</t>
  </si>
  <si>
    <t>Dane County Pain Reliver initation rate estimate  per 100,000 population</t>
  </si>
  <si>
    <t xml:space="preserve"> </t>
  </si>
  <si>
    <t>Drug overdose deaths involving prescription opioids. Defined as ICD-10 code indicating drug poisoning as an underlying cause of death (X40-X44, X60-X64, X85, or Y10-Y14) and a contributing cause of death T402 (natural and semisynthetic opioid), T403 (methadone), T404 (synthetic opioid other than methadone)</t>
  </si>
  <si>
    <t>Drug overdose deaths involving heroin. Defined as ICD-10 code indicating drug poisoning as an underlying cause of death (X40-X44, X60-X64, X85, or Y10-Y14) and a contributing cause of death T401 (heroin)</t>
  </si>
  <si>
    <t>Dane County total Perscription Opioid Deaths</t>
  </si>
  <si>
    <t>Dane County Percent of Perscription Opioid  Deaths</t>
  </si>
  <si>
    <t>US Other Prescription Opioid Deaths (T402, T403, T404)</t>
  </si>
  <si>
    <t>US Heroin Deaths (T401)</t>
  </si>
  <si>
    <t>Heroin Initaiton (in Thousands)</t>
  </si>
  <si>
    <t>Pain Relievers (in Thousands)</t>
  </si>
  <si>
    <t>https://pdas.samhsa.gov/saes/state</t>
  </si>
  <si>
    <t>WI Heroin Deaths (T401)</t>
  </si>
  <si>
    <t>WI Other Prescription Opioid Deaths (T402, T403, T404)</t>
  </si>
  <si>
    <t>193)</t>
  </si>
  <si>
    <t>Wisconsin 127 (98 - 163) 13 (9 - 17) 42 (32 - 54) 72 (50 - 102) 114 (86 - 149)</t>
  </si>
  <si>
    <t>totals</t>
  </si>
  <si>
    <t>33)</t>
  </si>
  <si>
    <t>1)</t>
  </si>
  <si>
    <t>6)</t>
  </si>
  <si>
    <t>30)</t>
  </si>
  <si>
    <t xml:space="preserve">NOTE: State and census region estimates, along with the 95 percent Bayesian confidence (credible) intervals, are based on a survey-weighted hierarchical Bayes estimation approach and generated by Markov Chain Monte Carlo techniques. For the "Total U.S." row, design-based (direct) estimates and corresponding 95 percent confidence intervals are given. </t>
  </si>
  <si>
    <t xml:space="preserve">NOTE: Estimated numbers appearing as 0 in this table mean that the estimate is greater than 0 but less than 500 (because estimated numbers are shown in thousands). </t>
  </si>
  <si>
    <t>39)</t>
  </si>
  <si>
    <t>8)</t>
  </si>
  <si>
    <t>34)</t>
  </si>
  <si>
    <t>isconsin</t>
  </si>
  <si>
    <t>10)</t>
  </si>
  <si>
    <t>22)</t>
  </si>
  <si>
    <t>29)</t>
  </si>
  <si>
    <t>27)</t>
  </si>
  <si>
    <t>20)</t>
  </si>
  <si>
    <t>9)</t>
  </si>
  <si>
    <t>26)</t>
  </si>
  <si>
    <t>234)</t>
  </si>
  <si>
    <t>21)</t>
  </si>
  <si>
    <t>57)</t>
  </si>
  <si>
    <t>171)</t>
  </si>
  <si>
    <t>218)</t>
  </si>
  <si>
    <t>18)</t>
  </si>
  <si>
    <t>164)</t>
  </si>
  <si>
    <t>212)</t>
  </si>
  <si>
    <t>19)</t>
  </si>
  <si>
    <t>52)</t>
  </si>
  <si>
    <t>45)</t>
  </si>
  <si>
    <t>4)</t>
  </si>
  <si>
    <t>36)</t>
  </si>
  <si>
    <t>43)</t>
  </si>
  <si>
    <t>41)</t>
  </si>
  <si>
    <t>3)</t>
  </si>
  <si>
    <t>46)</t>
  </si>
  <si>
    <t>38)</t>
  </si>
  <si>
    <t>44)</t>
  </si>
  <si>
    <t>7)</t>
  </si>
  <si>
    <t>35)</t>
  </si>
  <si>
    <t>Estimates NDUHS for WI</t>
  </si>
  <si>
    <t>Dane County Heroin use estimate (number of people)</t>
  </si>
  <si>
    <t>Dane County Pain Reliever use estimate (number of people)</t>
  </si>
  <si>
    <t>Dane County Heroin use rate estimate  per 100,000 population</t>
  </si>
  <si>
    <t>Dane County Heroin use rate estimate per 100,000 population</t>
  </si>
  <si>
    <t>Dane County Pain Reliver use rate estimate per 100,000 population</t>
  </si>
  <si>
    <t>Dane County Pain Reliver  use estimate  per 100,000 population</t>
  </si>
  <si>
    <t>Aged 12+</t>
  </si>
  <si>
    <t>Aged 12-17</t>
  </si>
  <si>
    <t>Aged 18+</t>
  </si>
  <si>
    <t>Aged 18-25</t>
  </si>
  <si>
    <t>Aged 26+</t>
  </si>
  <si>
    <t>https://www.samhsa.gov/data/sites/default/files/reports/rpt29394/NSDUHDetailedTabs2019/NSDUHDetTabsSect5pe2019.htm#:~:text=Table%205.1A%20%E2%80%93%20Substance,2018%20and%202019.</t>
  </si>
  <si>
    <t>Table 5.1A – Substance Use Disorder for Specific Substances in Past Year among Persons Aged 12 or Older, by Age Group: Numbers in Thousands, 2018 and 2019</t>
  </si>
  <si>
    <t>Substance Use Disorder</t>
  </si>
  <si>
    <t>BOTH ILLICIT DRUGS AND ALCOHOL</t>
  </si>
  <si>
    <t>ILLICIT DRUGS OR ALCOHOL</t>
  </si>
  <si>
    <t>ILLICIT DRUGS ONLY</t>
  </si>
  <si>
    <t>ALCOHOL ONLY</t>
  </si>
  <si>
    <t>681a</t>
  </si>
  <si>
    <t>512a</t>
  </si>
  <si>
    <t>34a</t>
  </si>
  <si>
    <t>223a</t>
  </si>
  <si>
    <t>2,028a</t>
  </si>
  <si>
    <t>312a</t>
  </si>
  <si>
    <t>Illicit Drugs Other Than Marijuana1</t>
  </si>
  <si>
    <t>914a</t>
  </si>
  <si>
    <t>3,424a</t>
  </si>
  <si>
    <t>916a</t>
  </si>
  <si>
    <t>5,118a</t>
  </si>
  <si>
    <t>515a</t>
  </si>
  <si>
    <t>2,519a</t>
  </si>
  <si>
    <t>a The difference between this estimate and the 2019 estimate is statistically significant at the .05 level. Rounding may make the estimates appear identical.</t>
  </si>
  <si>
    <t>1 Illicit Drugs Other Than Marijuana excludes respondents who used only marijuana but includes those who used marijuana in addition to other illicit drugs.</t>
  </si>
  <si>
    <t>2019 terms : Respondents were classified as having an opioid use disorder if they met criteria in the Diagnostic and Statistical Manual of Mental Disorders, 4th edition (DSM-IV51), for heroin use disorder, prescription pain reliever use disorder, or both in the past year. Respondents were not counted as having opioid use disorder if they did not meet the full dependence or abuse criteria individually for either heroin or prescription pain relievers. For example, respondents who met fewer than three criteria for heroin dependence and met fewer than three criteria for pain reliever dependence were not classified as having opioid dependence, regardless of whether the number of symptoms across the heroin and pain reliever dependence criteria summed to three or more. See Section 3.4.3 in the 2019 NSDUH methodological summary and definitions report for additional details.</t>
  </si>
  <si>
    <t>Number of people using</t>
  </si>
  <si>
    <t>number of popl initaitng</t>
  </si>
  <si>
    <t>net people exiting</t>
  </si>
  <si>
    <t>Dane County use estimate (number of people)</t>
  </si>
  <si>
    <t>Dane County use rate estimate per 100,000 population</t>
  </si>
  <si>
    <t>Heroin use point estimate</t>
  </si>
  <si>
    <t>Heroin use lower CI</t>
  </si>
  <si>
    <t>Perscription misuse lower CI</t>
  </si>
  <si>
    <t>Perscription misuse upper CI</t>
  </si>
  <si>
    <t>Heroin use upper CI</t>
  </si>
  <si>
    <t>Prescription opioid misuse point estimate</t>
  </si>
  <si>
    <t>Dane County Heroin use estimate Lower CI (number of people)</t>
  </si>
  <si>
    <t>Dane County Heroin use estimate Upper CI (number of people)</t>
  </si>
  <si>
    <t>Dane County Pain Reliever use estimate Lower CI (number of people)</t>
  </si>
  <si>
    <t>Dane County Pain Reliever use estimate Upper CI (number of people)</t>
  </si>
  <si>
    <t>Dane County use estimate (number of people) LOWER CI</t>
  </si>
  <si>
    <t>Dane County use estimate (number of people) UPPER CI</t>
  </si>
  <si>
    <t>Source</t>
  </si>
  <si>
    <t>RAW DATA: see est heroin use and est pain reliever use tabs</t>
  </si>
  <si>
    <t>Dane County Heroin Estimation based on % of DC: WI deaths</t>
  </si>
  <si>
    <t>Dane County Perscription Misuse Estimation based on % of DC: WI deaths</t>
  </si>
  <si>
    <t>Table A.3A – Average Number of Initiates per Day among People Aged 12 or Older, by Age: 2019</t>
  </si>
  <si>
    <t>Aged 12 or Older</t>
  </si>
  <si>
    <t>Aged 12 to 17</t>
  </si>
  <si>
    <t>Aged 18 or Older</t>
  </si>
  <si>
    <t>Aged 18 to 25</t>
  </si>
  <si>
    <t>Aged 26 or Older</t>
  </si>
  <si>
    <t>TOBACCO PRODUCTS</t>
  </si>
  <si>
    <t>Cigarettes</t>
  </si>
  <si>
    <t>Smokeless Tobacco</t>
  </si>
  <si>
    <t>Cigars</t>
  </si>
  <si>
    <t>(*)</t>
  </si>
  <si>
    <t>* = Low precision.</t>
  </si>
  <si>
    <t>NOTE: Estimates shown are unrounded averages with standard errors included in parentheses.</t>
  </si>
  <si>
    <t>NOTE: Additional estimates may be found in the detailed tables for the 2019 NSDUH at https://www.samhsa.gov/data/. Measures and terms are defined in Appendix A of the 2019 NSDUH detailed tables.</t>
  </si>
  <si>
    <t>Source: SAMHSA, Center for Behavioral Health Statistics and Quality, National Survey on Drug Use and Health, 2019.</t>
  </si>
  <si>
    <t>Table 7.40A – Past Year Initiation of Substance Use: Among People Aged 12 or Older; Numbers in Thousands, 2002-2020</t>
  </si>
  <si>
    <t>Source: SAMHSA, Center for Behavioral Health Statistics and Quality, National Survey on Drug Use and Health, 2002-2019, and Quarters 1 and 4, 2020.</t>
  </si>
  <si>
    <t>Substance (in thousands) (see RawTables tab)</t>
  </si>
  <si>
    <t>2019-2020</t>
  </si>
  <si>
    <r>
      <t xml:space="preserve">Table 10. </t>
    </r>
    <r>
      <rPr>
        <b/>
        <i/>
        <sz val="10"/>
        <rFont val="Arial"/>
        <family val="2"/>
      </rPr>
      <t>Heroin Use in the Past Year,</t>
    </r>
    <r>
      <rPr>
        <b/>
        <sz val="10"/>
        <rFont val="Arial"/>
        <family val="2"/>
      </rPr>
      <t xml:space="preserve"> by Age Group and State: Estimated Numbers (in Thousands), Annual Averages Based on 2018-2019 NSDUHs</t>
    </r>
  </si>
  <si>
    <t>arrivals</t>
  </si>
  <si>
    <t>arrests</t>
  </si>
  <si>
    <t>hospital</t>
  </si>
  <si>
    <t>treatment</t>
  </si>
  <si>
    <t>inactive</t>
  </si>
  <si>
    <t>active</t>
  </si>
  <si>
    <t>indvidual</t>
  </si>
  <si>
    <t>group</t>
  </si>
  <si>
    <t>total point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</si>
</sst>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dd/yyyy\ hh:mm:ss"/>
    <numFmt numFmtId="165" formatCode="_(* #,##0.000000_);_(* \(#,##0.000000\);_(* &quot;-&quot;??_);_(@_)"/>
    <numFmt numFmtId="166" formatCode="_(* #,##0.0000000_);_(* \(#,##0.0000000\);_(* &quot;-&quot;??_);_(@_)"/>
  </numFmts>
  <fonts count="39" x14ac:knownFonts="1">
    <font>
      <sz val="11"/>
      <color theme="1"/>
      <name val="Calibri"/>
      <family val="2"/>
      <scheme val="minor"/>
    </font>
    <font>
      <sz val="11"/>
      <color rgb="FFFF0000"/>
      <name val="Calibri"/>
      <family val="2"/>
      <scheme val="minor"/>
    </font>
    <font>
      <b/>
      <sz val="11"/>
      <color theme="1"/>
      <name val="Calibri"/>
      <family val="2"/>
      <scheme val="minor"/>
    </font>
    <font>
      <b/>
      <sz val="8"/>
      <color rgb="FF4A4A4A"/>
      <name val="Tahoma"/>
      <family val="2"/>
    </font>
    <font>
      <sz val="8"/>
      <color rgb="FF4A4A4A"/>
      <name val="Tahoma"/>
      <family val="2"/>
    </font>
    <font>
      <sz val="6"/>
      <color rgb="FF4A4A4A"/>
      <name val="Tahoma"/>
      <family val="2"/>
    </font>
    <font>
      <i/>
      <sz val="6"/>
      <color rgb="FF4A4A4A"/>
      <name val="Tahoma"/>
      <family val="2"/>
    </font>
    <font>
      <sz val="5"/>
      <color rgb="FF4A4A4A"/>
      <name val="Tahoma"/>
      <family val="2"/>
    </font>
    <font>
      <vertAlign val="superscript"/>
      <sz val="6"/>
      <color rgb="FF4A4A4A"/>
      <name val="Tahoma"/>
      <family val="2"/>
    </font>
    <font>
      <vertAlign val="superscript"/>
      <sz val="5"/>
      <color rgb="FF4A4A4A"/>
      <name val="Tahoma"/>
      <family val="2"/>
    </font>
    <font>
      <sz val="9"/>
      <color theme="1"/>
      <name val="Calibri"/>
      <family val="2"/>
      <scheme val="minor"/>
    </font>
    <font>
      <i/>
      <sz val="11"/>
      <color theme="1"/>
      <name val="Calibri"/>
      <family val="2"/>
      <scheme val="minor"/>
    </font>
    <font>
      <i/>
      <sz val="8"/>
      <color rgb="FF4A4A4A"/>
      <name val="Tahoma"/>
      <family val="2"/>
    </font>
    <font>
      <sz val="11"/>
      <color indexed="9"/>
      <name val="Calibri"/>
      <family val="2"/>
      <scheme val="minor"/>
    </font>
    <font>
      <sz val="11"/>
      <color theme="1"/>
      <name val="Calibri"/>
      <family val="2"/>
      <scheme val="minor"/>
    </font>
    <font>
      <sz val="10"/>
      <color theme="1"/>
      <name val="Arial"/>
      <family val="2"/>
    </font>
    <font>
      <b/>
      <sz val="10"/>
      <name val="Arial"/>
      <family val="2"/>
    </font>
    <font>
      <sz val="10"/>
      <name val="Arial"/>
      <family val="2"/>
    </font>
    <font>
      <i/>
      <sz val="10"/>
      <name val="Arial"/>
      <family val="2"/>
    </font>
    <font>
      <i/>
      <sz val="10"/>
      <color theme="1"/>
      <name val="Arial"/>
      <family val="2"/>
    </font>
    <font>
      <b/>
      <sz val="10"/>
      <color theme="1"/>
      <name val="Arial"/>
      <family val="2"/>
    </font>
    <font>
      <b/>
      <i/>
      <sz val="10"/>
      <name val="Arial"/>
      <family val="2"/>
    </font>
    <font>
      <u/>
      <sz val="12"/>
      <color rgb="FF0053CC"/>
      <name val="Times New Roman"/>
      <family val="1"/>
    </font>
    <font>
      <u/>
      <sz val="12"/>
      <color rgb="FF1F419A"/>
      <name val="Times New Roman"/>
      <family val="1"/>
    </font>
    <font>
      <b/>
      <sz val="20"/>
      <name val="Times New Roman"/>
      <family val="1"/>
    </font>
    <font>
      <u/>
      <sz val="12"/>
      <color theme="10"/>
      <name val="Times New Roman"/>
      <family val="1"/>
    </font>
    <font>
      <sz val="10"/>
      <color theme="1"/>
      <name val="Times New Roman"/>
      <family val="1"/>
    </font>
    <font>
      <b/>
      <sz val="10"/>
      <color theme="1"/>
      <name val="Times New Roman"/>
      <family val="1"/>
    </font>
    <font>
      <vertAlign val="superscript"/>
      <sz val="10"/>
      <color theme="1"/>
      <name val="Times New Roman"/>
      <family val="1"/>
    </font>
    <font>
      <sz val="8"/>
      <color rgb="FF545454"/>
      <name val="Arial"/>
      <family val="2"/>
    </font>
    <font>
      <sz val="8"/>
      <color rgb="FF000000"/>
      <name val="Verdana"/>
      <family val="2"/>
    </font>
    <font>
      <sz val="8"/>
      <color theme="1"/>
      <name val="Calibri"/>
      <family val="2"/>
      <scheme val="minor"/>
    </font>
    <font>
      <b/>
      <sz val="8"/>
      <color rgb="FF000000"/>
      <name val="Times New Roman"/>
      <family val="1"/>
    </font>
    <font>
      <sz val="8"/>
      <color rgb="FF000000"/>
      <name val="Times New Roman"/>
      <family val="1"/>
    </font>
    <font>
      <sz val="6"/>
      <color rgb="FF000000"/>
      <name val="Times New Roman"/>
      <family val="1"/>
    </font>
    <font>
      <b/>
      <sz val="14"/>
      <color rgb="FF000000"/>
      <name val="Times New Roman"/>
      <family val="1"/>
    </font>
    <font>
      <i/>
      <sz val="14"/>
      <color rgb="FF000000"/>
      <name val="Times New Roman"/>
      <family val="1"/>
    </font>
    <font>
      <u/>
      <sz val="10"/>
      <color rgb="FF1F419A"/>
      <name val="Arial"/>
      <family val="2"/>
    </font>
    <font>
      <sz val="18"/>
      <color rgb="FFBDC1C6"/>
      <name val="Arial"/>
      <family val="2"/>
    </font>
  </fonts>
  <fills count="8">
    <fill>
      <patternFill patternType="none"/>
    </fill>
    <fill>
      <patternFill patternType="gray125"/>
    </fill>
    <fill>
      <patternFill patternType="solid">
        <fgColor rgb="FFF9F9F9"/>
        <bgColor indexed="64"/>
      </patternFill>
    </fill>
    <fill>
      <patternFill patternType="solid">
        <fgColor rgb="FFFFFF00"/>
        <bgColor indexed="64"/>
      </patternFill>
    </fill>
    <fill>
      <patternFill patternType="solid">
        <fgColor rgb="FF00B0F0"/>
        <bgColor indexed="64"/>
      </patternFill>
    </fill>
    <fill>
      <patternFill patternType="solid">
        <fgColor indexed="22"/>
      </patternFill>
    </fill>
    <fill>
      <patternFill patternType="solid">
        <fgColor theme="4" tint="0.79998168889431442"/>
        <bgColor theme="4" tint="0.79998168889431442"/>
      </patternFill>
    </fill>
    <fill>
      <patternFill patternType="solid">
        <fgColor rgb="FFFFFFFF"/>
        <bgColor indexed="64"/>
      </patternFill>
    </fill>
  </fills>
  <borders count="51">
    <border>
      <left/>
      <right/>
      <top/>
      <bottom/>
      <diagonal/>
    </border>
    <border>
      <left style="medium">
        <color rgb="FF111111"/>
      </left>
      <right style="medium">
        <color rgb="FF111111"/>
      </right>
      <top style="medium">
        <color rgb="FF111111"/>
      </top>
      <bottom style="medium">
        <color rgb="FF111111"/>
      </bottom>
      <diagonal/>
    </border>
    <border>
      <left style="medium">
        <color rgb="FF111111"/>
      </left>
      <right style="medium">
        <color rgb="FF111111"/>
      </right>
      <top style="medium">
        <color rgb="FF111111"/>
      </top>
      <bottom/>
      <diagonal/>
    </border>
    <border>
      <left style="medium">
        <color rgb="FF111111"/>
      </left>
      <right style="medium">
        <color rgb="FF111111"/>
      </right>
      <top/>
      <bottom/>
      <diagonal/>
    </border>
    <border>
      <left style="medium">
        <color rgb="FF111111"/>
      </left>
      <right style="medium">
        <color rgb="FF111111"/>
      </right>
      <top/>
      <bottom style="medium">
        <color rgb="FF111111"/>
      </bottom>
      <diagonal/>
    </border>
    <border>
      <left style="medium">
        <color rgb="FF111111"/>
      </left>
      <right/>
      <top style="medium">
        <color rgb="FF111111"/>
      </top>
      <bottom/>
      <diagonal/>
    </border>
    <border>
      <left/>
      <right style="medium">
        <color rgb="FF111111"/>
      </right>
      <top style="medium">
        <color rgb="FF111111"/>
      </top>
      <bottom/>
      <diagonal/>
    </border>
    <border>
      <left style="medium">
        <color rgb="FF111111"/>
      </left>
      <right/>
      <top/>
      <bottom/>
      <diagonal/>
    </border>
    <border>
      <left/>
      <right style="medium">
        <color rgb="FF111111"/>
      </right>
      <top/>
      <bottom/>
      <diagonal/>
    </border>
    <border>
      <left style="medium">
        <color rgb="FF111111"/>
      </left>
      <right/>
      <top/>
      <bottom style="medium">
        <color rgb="FF111111"/>
      </bottom>
      <diagonal/>
    </border>
    <border>
      <left/>
      <right style="medium">
        <color rgb="FF111111"/>
      </right>
      <top/>
      <bottom style="medium">
        <color rgb="FF111111"/>
      </bottom>
      <diagonal/>
    </border>
    <border>
      <left/>
      <right/>
      <top style="medium">
        <color rgb="FF111111"/>
      </top>
      <bottom/>
      <diagonal/>
    </border>
    <border>
      <left/>
      <right/>
      <top/>
      <bottom style="medium">
        <color rgb="FF111111"/>
      </bottom>
      <diagonal/>
    </border>
    <border>
      <left style="thin">
        <color auto="1"/>
      </left>
      <right style="thin">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diagonal/>
    </border>
    <border>
      <left style="thick">
        <color rgb="FF111111"/>
      </left>
      <right style="thick">
        <color rgb="FF111111"/>
      </right>
      <top style="thick">
        <color rgb="FF111111"/>
      </top>
      <bottom style="thick">
        <color rgb="FF111111"/>
      </bottom>
      <diagonal/>
    </border>
    <border>
      <left style="thick">
        <color rgb="FF111111"/>
      </left>
      <right style="thick">
        <color rgb="FF111111"/>
      </right>
      <top/>
      <bottom style="thick">
        <color rgb="FF111111"/>
      </bottom>
      <diagonal/>
    </border>
    <border>
      <left/>
      <right/>
      <top style="thick">
        <color rgb="FF111111"/>
      </top>
      <bottom/>
      <diagonal/>
    </border>
    <border>
      <left style="medium">
        <color rgb="FF111111"/>
      </left>
      <right style="thick">
        <color rgb="FF111111"/>
      </right>
      <top style="medium">
        <color rgb="FF111111"/>
      </top>
      <bottom/>
      <diagonal/>
    </border>
    <border>
      <left style="thick">
        <color rgb="FF111111"/>
      </left>
      <right style="thick">
        <color rgb="FF111111"/>
      </right>
      <top style="medium">
        <color rgb="FF111111"/>
      </top>
      <bottom/>
      <diagonal/>
    </border>
    <border>
      <left style="thick">
        <color rgb="FF111111"/>
      </left>
      <right style="medium">
        <color rgb="FF111111"/>
      </right>
      <top style="medium">
        <color rgb="FF111111"/>
      </top>
      <bottom/>
      <diagonal/>
    </border>
    <border>
      <left style="medium">
        <color rgb="FF111111"/>
      </left>
      <right style="thick">
        <color rgb="FF111111"/>
      </right>
      <top/>
      <bottom style="thick">
        <color rgb="FF111111"/>
      </bottom>
      <diagonal/>
    </border>
    <border>
      <left style="thick">
        <color rgb="FF111111"/>
      </left>
      <right style="medium">
        <color rgb="FF111111"/>
      </right>
      <top/>
      <bottom style="thick">
        <color rgb="FF111111"/>
      </bottom>
      <diagonal/>
    </border>
    <border>
      <left style="medium">
        <color rgb="FF111111"/>
      </left>
      <right style="thick">
        <color rgb="FF111111"/>
      </right>
      <top style="thick">
        <color rgb="FF111111"/>
      </top>
      <bottom style="thick">
        <color rgb="FF111111"/>
      </bottom>
      <diagonal/>
    </border>
    <border>
      <left style="thick">
        <color rgb="FF111111"/>
      </left>
      <right style="medium">
        <color rgb="FF111111"/>
      </right>
      <top style="thick">
        <color rgb="FF111111"/>
      </top>
      <bottom style="thick">
        <color rgb="FF111111"/>
      </bottom>
      <diagonal/>
    </border>
    <border>
      <left style="medium">
        <color rgb="FF111111"/>
      </left>
      <right/>
      <top style="thick">
        <color rgb="FF111111"/>
      </top>
      <bottom/>
      <diagonal/>
    </border>
    <border>
      <left/>
      <right style="medium">
        <color rgb="FF111111"/>
      </right>
      <top style="thick">
        <color rgb="FF111111"/>
      </top>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s>
  <cellStyleXfs count="16">
    <xf numFmtId="0" fontId="0" fillId="0" borderId="0"/>
    <xf numFmtId="0" fontId="15" fillId="0" borderId="0"/>
    <xf numFmtId="0" fontId="14" fillId="5" borderId="0">
      <alignment wrapText="1"/>
    </xf>
    <xf numFmtId="0" fontId="14" fillId="0" borderId="0">
      <alignment wrapText="1"/>
    </xf>
    <xf numFmtId="0" fontId="14" fillId="0" borderId="0">
      <alignment wrapText="1"/>
    </xf>
    <xf numFmtId="0" fontId="14" fillId="0" borderId="0">
      <alignment wrapText="1"/>
    </xf>
    <xf numFmtId="164" fontId="14" fillId="0" borderId="0">
      <alignment wrapText="1"/>
    </xf>
    <xf numFmtId="0" fontId="23" fillId="0" borderId="0" applyNumberFormat="0" applyFill="0" applyBorder="0" applyAlignment="0" applyProtection="0"/>
    <xf numFmtId="0" fontId="22" fillId="0" borderId="0" applyNumberFormat="0" applyFill="0" applyBorder="0" applyAlignment="0" applyProtection="0"/>
    <xf numFmtId="0" fontId="17" fillId="0" borderId="0"/>
    <xf numFmtId="0" fontId="15" fillId="0" borderId="0"/>
    <xf numFmtId="0" fontId="24" fillId="0" borderId="0" applyNumberFormat="0" applyFill="0" applyAlignment="0" applyProtection="0"/>
    <xf numFmtId="0" fontId="16" fillId="0" borderId="0" applyNumberFormat="0" applyFill="0" applyAlignment="0" applyProtection="0"/>
    <xf numFmtId="0" fontId="25" fillId="0" borderId="0" applyNumberFormat="0" applyFill="0" applyBorder="0" applyAlignment="0" applyProtection="0"/>
    <xf numFmtId="43" fontId="14" fillId="0" borderId="0" applyFont="0" applyFill="0" applyBorder="0" applyAlignment="0" applyProtection="0"/>
    <xf numFmtId="0" fontId="37" fillId="0" borderId="0" applyNumberFormat="0" applyFill="0" applyBorder="0" applyAlignment="0" applyProtection="0"/>
  </cellStyleXfs>
  <cellXfs count="184">
    <xf numFmtId="0" fontId="0" fillId="0" borderId="0" xfId="0"/>
    <xf numFmtId="0" fontId="3" fillId="0" borderId="1" xfId="0" applyFont="1" applyBorder="1" applyAlignment="1">
      <alignment horizontal="center" vertical="center"/>
    </xf>
    <xf numFmtId="0" fontId="3" fillId="2" borderId="1" xfId="0" applyFont="1" applyFill="1" applyBorder="1" applyAlignment="1">
      <alignment horizontal="left" vertical="center" indent="1"/>
    </xf>
    <xf numFmtId="0" fontId="4" fillId="2" borderId="1" xfId="0" applyFont="1" applyFill="1" applyBorder="1" applyAlignment="1">
      <alignment horizontal="right" vertical="center" indent="1"/>
    </xf>
    <xf numFmtId="0" fontId="4" fillId="0" borderId="1" xfId="0" applyFont="1" applyBorder="1" applyAlignment="1">
      <alignment horizontal="left" vertical="center" indent="2"/>
    </xf>
    <xf numFmtId="0" fontId="4" fillId="0" borderId="1" xfId="0" applyFont="1" applyBorder="1" applyAlignment="1">
      <alignment horizontal="right" vertical="center" indent="1"/>
    </xf>
    <xf numFmtId="3" fontId="0" fillId="0" borderId="0" xfId="0" applyNumberFormat="1"/>
    <xf numFmtId="3" fontId="4" fillId="0" borderId="1" xfId="0" applyNumberFormat="1" applyFont="1" applyBorder="1" applyAlignment="1">
      <alignment horizontal="right" vertical="center" indent="1"/>
    </xf>
    <xf numFmtId="0" fontId="4" fillId="2" borderId="1" xfId="0" applyFont="1" applyFill="1" applyBorder="1" applyAlignment="1">
      <alignment horizontal="left" vertical="center" indent="2"/>
    </xf>
    <xf numFmtId="0" fontId="4" fillId="0" borderId="1" xfId="0" applyFont="1" applyBorder="1" applyAlignment="1">
      <alignment horizontal="left" vertical="center" indent="3"/>
    </xf>
    <xf numFmtId="0" fontId="4" fillId="2" borderId="1" xfId="0" applyFont="1" applyFill="1" applyBorder="1" applyAlignment="1">
      <alignment horizontal="left" vertical="center" indent="3"/>
    </xf>
    <xf numFmtId="3" fontId="4" fillId="2" borderId="1" xfId="0" applyNumberFormat="1" applyFont="1" applyFill="1" applyBorder="1" applyAlignment="1">
      <alignment horizontal="right" vertical="center" indent="1"/>
    </xf>
    <xf numFmtId="0" fontId="4" fillId="0" borderId="1" xfId="0" applyFont="1" applyBorder="1" applyAlignment="1">
      <alignment horizontal="left" vertical="center" indent="4"/>
    </xf>
    <xf numFmtId="0" fontId="4" fillId="2" borderId="1" xfId="0" applyFont="1" applyFill="1" applyBorder="1" applyAlignment="1">
      <alignment horizontal="left" vertical="center" indent="4"/>
    </xf>
    <xf numFmtId="0" fontId="3" fillId="0" borderId="1" xfId="0" applyFont="1" applyBorder="1" applyAlignment="1">
      <alignment horizontal="left" vertical="center" indent="1"/>
    </xf>
    <xf numFmtId="0" fontId="0" fillId="3" borderId="0" xfId="0" applyFill="1"/>
    <xf numFmtId="0" fontId="0" fillId="4" borderId="0" xfId="0" applyFill="1"/>
    <xf numFmtId="0" fontId="4" fillId="4" borderId="1" xfId="0" applyFont="1" applyFill="1" applyBorder="1" applyAlignment="1">
      <alignment horizontal="right" vertical="center" indent="1"/>
    </xf>
    <xf numFmtId="0" fontId="3" fillId="0" borderId="0" xfId="0" applyFont="1" applyAlignment="1">
      <alignment vertical="center" wrapText="1"/>
    </xf>
    <xf numFmtId="0" fontId="4" fillId="0" borderId="0" xfId="0" applyFont="1" applyAlignment="1">
      <alignment vertical="center" wrapText="1"/>
    </xf>
    <xf numFmtId="0" fontId="0" fillId="0" borderId="0" xfId="0" applyAlignment="1">
      <alignment wrapText="1"/>
    </xf>
    <xf numFmtId="0" fontId="10" fillId="0" borderId="0" xfId="0" applyFont="1" applyAlignment="1">
      <alignment wrapText="1"/>
    </xf>
    <xf numFmtId="0" fontId="2" fillId="0" borderId="0" xfId="0" applyFont="1"/>
    <xf numFmtId="0" fontId="0" fillId="0" borderId="0" xfId="0" applyAlignment="1">
      <alignment horizontal="center"/>
    </xf>
    <xf numFmtId="0" fontId="0" fillId="0" borderId="0" xfId="0" applyAlignment="1">
      <alignment horizontal="right"/>
    </xf>
    <xf numFmtId="0" fontId="11" fillId="0" borderId="0" xfId="0" applyFont="1" applyAlignment="1">
      <alignment horizontal="right"/>
    </xf>
    <xf numFmtId="0" fontId="1" fillId="0" borderId="0" xfId="0" applyFont="1" applyAlignment="1">
      <alignment horizontal="center"/>
    </xf>
    <xf numFmtId="0" fontId="1" fillId="0" borderId="0" xfId="0" applyFont="1" applyAlignment="1">
      <alignment horizontal="right"/>
    </xf>
    <xf numFmtId="3" fontId="0" fillId="4" borderId="0" xfId="0" applyNumberFormat="1" applyFill="1"/>
    <xf numFmtId="0" fontId="3" fillId="0" borderId="0" xfId="0" applyFont="1"/>
    <xf numFmtId="0" fontId="1" fillId="0" borderId="0" xfId="0" applyFont="1" applyAlignment="1">
      <alignment horizontal="left"/>
    </xf>
    <xf numFmtId="0" fontId="13" fillId="0" borderId="13" xfId="0" applyFont="1" applyBorder="1" applyProtection="1">
      <protection locked="0"/>
    </xf>
    <xf numFmtId="3" fontId="0" fillId="0" borderId="13" xfId="0" applyNumberFormat="1" applyBorder="1" applyAlignment="1" applyProtection="1">
      <alignment horizontal="right"/>
      <protection locked="0"/>
    </xf>
    <xf numFmtId="0" fontId="20" fillId="0" borderId="17" xfId="1" applyFont="1" applyBorder="1"/>
    <xf numFmtId="0" fontId="20" fillId="0" borderId="19" xfId="1" applyFont="1" applyBorder="1"/>
    <xf numFmtId="0" fontId="20" fillId="0" borderId="17" xfId="1" applyFont="1" applyBorder="1" applyAlignment="1">
      <alignment horizontal="center" wrapText="1"/>
    </xf>
    <xf numFmtId="0" fontId="20" fillId="0" borderId="16" xfId="1" applyFont="1" applyBorder="1" applyAlignment="1">
      <alignment horizontal="center" wrapText="1"/>
    </xf>
    <xf numFmtId="0" fontId="20" fillId="0" borderId="18" xfId="1" applyFont="1" applyBorder="1" applyAlignment="1">
      <alignment horizontal="center" wrapText="1"/>
    </xf>
    <xf numFmtId="10" fontId="20" fillId="0" borderId="16" xfId="1" applyNumberFormat="1" applyFont="1" applyBorder="1" applyAlignment="1">
      <alignment horizontal="center" wrapText="1"/>
    </xf>
    <xf numFmtId="10" fontId="20" fillId="0" borderId="17" xfId="1" applyNumberFormat="1" applyFont="1" applyBorder="1" applyAlignment="1">
      <alignment horizontal="center" wrapText="1"/>
    </xf>
    <xf numFmtId="10" fontId="15" fillId="0" borderId="0" xfId="1" applyNumberFormat="1"/>
    <xf numFmtId="10" fontId="15" fillId="0" borderId="15" xfId="1" applyNumberFormat="1" applyBorder="1"/>
    <xf numFmtId="0" fontId="15" fillId="0" borderId="13" xfId="1" applyBorder="1"/>
    <xf numFmtId="10" fontId="15" fillId="0" borderId="14" xfId="1" applyNumberFormat="1" applyBorder="1"/>
    <xf numFmtId="0" fontId="15" fillId="0" borderId="13" xfId="0" applyFont="1" applyBorder="1"/>
    <xf numFmtId="10" fontId="15" fillId="0" borderId="14" xfId="0" applyNumberFormat="1" applyFont="1" applyBorder="1"/>
    <xf numFmtId="10" fontId="15" fillId="0" borderId="0" xfId="0" applyNumberFormat="1" applyFont="1"/>
    <xf numFmtId="10" fontId="15" fillId="0" borderId="15" xfId="0" applyNumberFormat="1" applyFont="1" applyBorder="1"/>
    <xf numFmtId="0" fontId="27" fillId="0" borderId="0" xfId="0" applyFont="1" applyAlignment="1">
      <alignment horizontal="left" vertical="center" indent="9"/>
    </xf>
    <xf numFmtId="3" fontId="15" fillId="0" borderId="14" xfId="1" applyNumberFormat="1" applyBorder="1"/>
    <xf numFmtId="3" fontId="15" fillId="0" borderId="0" xfId="1" applyNumberFormat="1"/>
    <xf numFmtId="3" fontId="15" fillId="0" borderId="15" xfId="1" applyNumberFormat="1" applyBorder="1"/>
    <xf numFmtId="0" fontId="27" fillId="0" borderId="24" xfId="0" applyFont="1" applyBorder="1" applyAlignment="1">
      <alignment horizontal="center" vertical="center" wrapText="1"/>
    </xf>
    <xf numFmtId="0" fontId="27" fillId="0" borderId="25" xfId="0" applyFont="1" applyBorder="1" applyAlignment="1">
      <alignment horizontal="center" vertical="center" wrapText="1"/>
    </xf>
    <xf numFmtId="0" fontId="27" fillId="0" borderId="26" xfId="0" applyFont="1" applyBorder="1" applyAlignment="1">
      <alignment vertical="center" wrapText="1"/>
    </xf>
    <xf numFmtId="0" fontId="26" fillId="0" borderId="0" xfId="0" applyFont="1" applyAlignment="1">
      <alignment horizontal="right" vertical="center" wrapText="1"/>
    </xf>
    <xf numFmtId="0" fontId="26" fillId="0" borderId="27" xfId="0" applyFont="1" applyBorder="1" applyAlignment="1">
      <alignment horizontal="right" vertical="center" wrapText="1"/>
    </xf>
    <xf numFmtId="0" fontId="26" fillId="0" borderId="26" xfId="0" applyFont="1" applyBorder="1" applyAlignment="1">
      <alignment vertical="center" wrapText="1"/>
    </xf>
    <xf numFmtId="0" fontId="23" fillId="0" borderId="0" xfId="7"/>
    <xf numFmtId="0" fontId="0" fillId="6" borderId="33" xfId="0" applyFill="1" applyBorder="1"/>
    <xf numFmtId="0" fontId="0" fillId="0" borderId="33" xfId="0" applyBorder="1"/>
    <xf numFmtId="0" fontId="29" fillId="0" borderId="0" xfId="0" applyFont="1" applyAlignment="1">
      <alignment wrapText="1"/>
    </xf>
    <xf numFmtId="0" fontId="29" fillId="0" borderId="0" xfId="0" applyFont="1" applyAlignment="1">
      <alignment horizontal="left" vertical="center" wrapText="1" indent="3"/>
    </xf>
    <xf numFmtId="0" fontId="30" fillId="7" borderId="34" xfId="0" applyFont="1" applyFill="1" applyBorder="1" applyAlignment="1">
      <alignment vertical="center" wrapText="1"/>
    </xf>
    <xf numFmtId="0" fontId="2" fillId="6" borderId="35" xfId="0" applyFont="1" applyFill="1" applyBorder="1"/>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37" xfId="0" applyFont="1" applyBorder="1" applyAlignment="1">
      <alignment horizontal="center" vertical="center"/>
    </xf>
    <xf numFmtId="0" fontId="3" fillId="0" borderId="43" xfId="0" applyFont="1" applyBorder="1" applyAlignment="1">
      <alignment horizontal="center" vertical="center"/>
    </xf>
    <xf numFmtId="0" fontId="3" fillId="2" borderId="44" xfId="0" applyFont="1" applyFill="1" applyBorder="1" applyAlignment="1">
      <alignment horizontal="left" vertical="center" indent="2"/>
    </xf>
    <xf numFmtId="3" fontId="4" fillId="2" borderId="36" xfId="0" applyNumberFormat="1" applyFont="1" applyFill="1" applyBorder="1" applyAlignment="1">
      <alignment horizontal="right" vertical="center" indent="2"/>
    </xf>
    <xf numFmtId="0" fontId="4" fillId="2" borderId="36" xfId="0" applyFont="1" applyFill="1" applyBorder="1" applyAlignment="1">
      <alignment horizontal="right" vertical="center" indent="2"/>
    </xf>
    <xf numFmtId="3" fontId="4" fillId="2" borderId="45" xfId="0" applyNumberFormat="1" applyFont="1" applyFill="1" applyBorder="1" applyAlignment="1">
      <alignment horizontal="right" vertical="center" indent="2"/>
    </xf>
    <xf numFmtId="0" fontId="4" fillId="0" borderId="44" xfId="0" applyFont="1" applyBorder="1" applyAlignment="1">
      <alignment horizontal="left" vertical="center" indent="3"/>
    </xf>
    <xf numFmtId="3" fontId="4" fillId="0" borderId="36" xfId="0" applyNumberFormat="1" applyFont="1" applyBorder="1" applyAlignment="1">
      <alignment horizontal="right" vertical="center" indent="2"/>
    </xf>
    <xf numFmtId="0" fontId="4" fillId="0" borderId="36" xfId="0" applyFont="1" applyBorder="1" applyAlignment="1">
      <alignment horizontal="right" vertical="center" indent="2"/>
    </xf>
    <xf numFmtId="3" fontId="4" fillId="0" borderId="45" xfId="0" applyNumberFormat="1" applyFont="1" applyBorder="1" applyAlignment="1">
      <alignment horizontal="right" vertical="center" indent="2"/>
    </xf>
    <xf numFmtId="0" fontId="4" fillId="2" borderId="44" xfId="0" applyFont="1" applyFill="1" applyBorder="1" applyAlignment="1">
      <alignment horizontal="left" vertical="center" indent="3"/>
    </xf>
    <xf numFmtId="0" fontId="4" fillId="2" borderId="45" xfId="0" applyFont="1" applyFill="1" applyBorder="1" applyAlignment="1">
      <alignment horizontal="right" vertical="center" indent="2"/>
    </xf>
    <xf numFmtId="0" fontId="4" fillId="0" borderId="45" xfId="0" applyFont="1" applyBorder="1" applyAlignment="1">
      <alignment horizontal="right" vertical="center" indent="2"/>
    </xf>
    <xf numFmtId="0" fontId="4" fillId="2" borderId="44" xfId="0" applyFont="1" applyFill="1" applyBorder="1" applyAlignment="1">
      <alignment horizontal="left" vertical="center" indent="5"/>
    </xf>
    <xf numFmtId="0" fontId="4" fillId="0" borderId="44" xfId="0" applyFont="1" applyBorder="1" applyAlignment="1">
      <alignment horizontal="left" vertical="center" indent="5"/>
    </xf>
    <xf numFmtId="0" fontId="4" fillId="0" borderId="44" xfId="0" applyFont="1" applyBorder="1" applyAlignment="1">
      <alignment horizontal="left" vertical="center" indent="8"/>
    </xf>
    <xf numFmtId="0" fontId="4" fillId="2" borderId="44" xfId="0" applyFont="1" applyFill="1" applyBorder="1" applyAlignment="1">
      <alignment horizontal="left" vertical="center" indent="8"/>
    </xf>
    <xf numFmtId="0" fontId="3" fillId="0" borderId="44" xfId="0" applyFont="1" applyBorder="1" applyAlignment="1">
      <alignment horizontal="left" vertical="center" indent="2"/>
    </xf>
    <xf numFmtId="0" fontId="4" fillId="3" borderId="44" xfId="0" applyFont="1" applyFill="1" applyBorder="1" applyAlignment="1">
      <alignment horizontal="left" vertical="center" indent="5"/>
    </xf>
    <xf numFmtId="0" fontId="4" fillId="3" borderId="44" xfId="0" applyFont="1" applyFill="1" applyBorder="1" applyAlignment="1">
      <alignment horizontal="left" vertical="center" indent="3"/>
    </xf>
    <xf numFmtId="43" fontId="0" fillId="0" borderId="0" xfId="14" applyFont="1"/>
    <xf numFmtId="0" fontId="2" fillId="0" borderId="0" xfId="0" applyFont="1" applyAlignment="1">
      <alignment wrapText="1"/>
    </xf>
    <xf numFmtId="0" fontId="32" fillId="0" borderId="48" xfId="0" applyFont="1" applyBorder="1" applyAlignment="1">
      <alignment horizontal="left"/>
    </xf>
    <xf numFmtId="0" fontId="32" fillId="0" borderId="0" xfId="0" applyFont="1" applyAlignment="1">
      <alignment horizontal="left" vertical="center"/>
    </xf>
    <xf numFmtId="0" fontId="33" fillId="0" borderId="0" xfId="0" applyFont="1" applyAlignment="1">
      <alignment horizontal="right"/>
    </xf>
    <xf numFmtId="0" fontId="33" fillId="0" borderId="0" xfId="0" applyFont="1" applyAlignment="1">
      <alignment horizontal="left" vertical="center" indent="1"/>
    </xf>
    <xf numFmtId="3" fontId="33" fillId="0" borderId="0" xfId="0" applyNumberFormat="1" applyFont="1" applyAlignment="1">
      <alignment horizontal="right" vertical="center"/>
    </xf>
    <xf numFmtId="0" fontId="33" fillId="0" borderId="0" xfId="0" applyFont="1" applyAlignment="1">
      <alignment horizontal="right" vertical="center"/>
    </xf>
    <xf numFmtId="0" fontId="33" fillId="0" borderId="0" xfId="0" applyFont="1" applyAlignment="1">
      <alignment horizontal="left" vertical="center" indent="2"/>
    </xf>
    <xf numFmtId="0" fontId="33" fillId="0" borderId="0" xfId="0" applyFont="1" applyAlignment="1">
      <alignment horizontal="left" indent="2"/>
    </xf>
    <xf numFmtId="0" fontId="35" fillId="0" borderId="1" xfId="0" applyFont="1" applyBorder="1" applyAlignment="1">
      <alignment horizontal="center" vertical="center"/>
    </xf>
    <xf numFmtId="0" fontId="36" fillId="2" borderId="1" xfId="0" applyFont="1" applyFill="1" applyBorder="1" applyAlignment="1">
      <alignment horizontal="right" vertical="center" indent="1"/>
    </xf>
    <xf numFmtId="3" fontId="36" fillId="0" borderId="1" xfId="0" applyNumberFormat="1" applyFont="1" applyBorder="1" applyAlignment="1">
      <alignment horizontal="right" vertical="center" indent="1"/>
    </xf>
    <xf numFmtId="0" fontId="36" fillId="0" borderId="1" xfId="0" applyFont="1" applyBorder="1" applyAlignment="1">
      <alignment horizontal="right" vertical="center" indent="1"/>
    </xf>
    <xf numFmtId="3" fontId="36" fillId="2" borderId="1" xfId="0" applyNumberFormat="1" applyFont="1" applyFill="1" applyBorder="1" applyAlignment="1">
      <alignment horizontal="right" vertical="center" indent="1"/>
    </xf>
    <xf numFmtId="0" fontId="2" fillId="0" borderId="0" xfId="0" applyFont="1" applyAlignment="1">
      <alignment horizontal="left" vertical="top"/>
    </xf>
    <xf numFmtId="0" fontId="15" fillId="0" borderId="14" xfId="1" quotePrefix="1" applyBorder="1" applyAlignment="1">
      <alignment horizontal="right"/>
    </xf>
    <xf numFmtId="0" fontId="15" fillId="0" borderId="0" xfId="1" quotePrefix="1" applyAlignment="1">
      <alignment horizontal="right"/>
    </xf>
    <xf numFmtId="0" fontId="15" fillId="0" borderId="15" xfId="1" quotePrefix="1" applyBorder="1" applyAlignment="1">
      <alignment horizontal="right"/>
    </xf>
    <xf numFmtId="43" fontId="0" fillId="0" borderId="0" xfId="0" applyNumberFormat="1"/>
    <xf numFmtId="165" fontId="0" fillId="0" borderId="0" xfId="0" applyNumberFormat="1"/>
    <xf numFmtId="166" fontId="0" fillId="0" borderId="0" xfId="0" applyNumberFormat="1"/>
    <xf numFmtId="3" fontId="38" fillId="0" borderId="0" xfId="0" applyNumberFormat="1" applyFont="1"/>
    <xf numFmtId="43" fontId="38" fillId="0" borderId="0" xfId="14" applyFont="1"/>
    <xf numFmtId="0" fontId="0" fillId="0" borderId="0" xfId="0" applyAlignment="1">
      <alignment horizontal="center" textRotation="90"/>
    </xf>
    <xf numFmtId="0" fontId="0" fillId="0" borderId="0" xfId="0" applyAlignment="1">
      <alignment horizontal="center"/>
    </xf>
    <xf numFmtId="0" fontId="34" fillId="0" borderId="49" xfId="0" applyFont="1" applyBorder="1" applyAlignment="1">
      <alignment horizontal="left" vertical="center" wrapText="1"/>
    </xf>
    <xf numFmtId="0" fontId="34" fillId="0" borderId="0" xfId="0" applyFont="1" applyAlignment="1">
      <alignment horizontal="left" vertical="center" wrapText="1"/>
    </xf>
    <xf numFmtId="0" fontId="23" fillId="0" borderId="0" xfId="7" applyAlignment="1">
      <alignment horizontal="left" vertical="center" wrapText="1"/>
    </xf>
    <xf numFmtId="0" fontId="0" fillId="0" borderId="50" xfId="0" applyBorder="1" applyAlignment="1">
      <alignment horizontal="left" vertical="center"/>
    </xf>
    <xf numFmtId="0" fontId="0" fillId="0" borderId="50" xfId="0" applyBorder="1"/>
    <xf numFmtId="0" fontId="32" fillId="0" borderId="48" xfId="0" applyFont="1" applyBorder="1" applyAlignment="1">
      <alignment horizont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2" xfId="0" applyFont="1" applyBorder="1" applyAlignment="1">
      <alignment horizontal="left" vertical="center" indent="1"/>
    </xf>
    <xf numFmtId="0" fontId="3" fillId="0" borderId="3" xfId="0" applyFont="1" applyBorder="1" applyAlignment="1">
      <alignment horizontal="left" vertical="center" indent="1"/>
    </xf>
    <xf numFmtId="0" fontId="3" fillId="0" borderId="4" xfId="0" applyFont="1" applyBorder="1" applyAlignment="1">
      <alignment horizontal="left" vertical="center" inden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5" fillId="0" borderId="7" xfId="0" applyFont="1" applyBorder="1" applyAlignment="1">
      <alignment horizontal="left" vertical="center" wrapText="1" indent="1"/>
    </xf>
    <xf numFmtId="0" fontId="5" fillId="0" borderId="0" xfId="0" applyFont="1" applyAlignment="1">
      <alignment horizontal="left" vertical="center" wrapText="1" indent="1"/>
    </xf>
    <xf numFmtId="0" fontId="5" fillId="0" borderId="8" xfId="0" applyFont="1" applyBorder="1" applyAlignment="1">
      <alignment horizontal="left" vertical="center" wrapText="1" indent="1"/>
    </xf>
    <xf numFmtId="0" fontId="5" fillId="0" borderId="9"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10" xfId="0" applyFont="1" applyBorder="1" applyAlignment="1">
      <alignment horizontal="left" vertical="center" wrapText="1" indent="1"/>
    </xf>
    <xf numFmtId="0" fontId="5" fillId="0" borderId="5" xfId="0" applyFont="1" applyBorder="1" applyAlignment="1">
      <alignment horizontal="left" vertical="center" wrapText="1" indent="1"/>
    </xf>
    <xf numFmtId="0" fontId="5" fillId="0" borderId="11" xfId="0" applyFont="1" applyBorder="1" applyAlignment="1">
      <alignment horizontal="left" vertical="center" wrapText="1" indent="1"/>
    </xf>
    <xf numFmtId="0" fontId="5" fillId="0" borderId="6" xfId="0" applyFont="1" applyBorder="1" applyAlignment="1">
      <alignment horizontal="left" vertical="center" wrapText="1" indent="1"/>
    </xf>
    <xf numFmtId="0" fontId="9" fillId="0" borderId="7" xfId="0" applyFont="1" applyBorder="1" applyAlignment="1">
      <alignment horizontal="left" vertical="center" wrapText="1" indent="1"/>
    </xf>
    <xf numFmtId="0" fontId="9" fillId="0" borderId="0" xfId="0" applyFont="1" applyAlignment="1">
      <alignment horizontal="left" vertical="center" wrapText="1" indent="1"/>
    </xf>
    <xf numFmtId="0" fontId="9" fillId="0" borderId="8" xfId="0" applyFont="1" applyBorder="1" applyAlignment="1">
      <alignment horizontal="left" vertical="center" wrapText="1" indent="1"/>
    </xf>
    <xf numFmtId="0" fontId="0" fillId="0" borderId="12" xfId="0" applyBorder="1" applyAlignment="1">
      <alignment horizontal="left" vertical="center"/>
    </xf>
    <xf numFmtId="0" fontId="0" fillId="0" borderId="12" xfId="0" applyBorder="1"/>
    <xf numFmtId="0" fontId="33" fillId="0" borderId="9" xfId="0" applyFont="1" applyBorder="1" applyAlignment="1">
      <alignment horizontal="left" vertical="center" wrapText="1" indent="1"/>
    </xf>
    <xf numFmtId="0" fontId="33" fillId="0" borderId="12" xfId="0" applyFont="1" applyBorder="1" applyAlignment="1">
      <alignment horizontal="left" vertical="center" wrapText="1" indent="1"/>
    </xf>
    <xf numFmtId="0" fontId="33" fillId="0" borderId="10" xfId="0" applyFont="1" applyBorder="1" applyAlignment="1">
      <alignment horizontal="left" vertical="center" wrapText="1" indent="1"/>
    </xf>
    <xf numFmtId="0" fontId="7" fillId="0" borderId="7" xfId="0" applyFont="1" applyBorder="1" applyAlignment="1">
      <alignment horizontal="left" vertical="center" wrapText="1" indent="1"/>
    </xf>
    <xf numFmtId="0" fontId="7" fillId="0" borderId="0" xfId="0" applyFont="1" applyAlignment="1">
      <alignment horizontal="left" vertical="center" wrapText="1" indent="1"/>
    </xf>
    <xf numFmtId="0" fontId="7" fillId="0" borderId="8" xfId="0" applyFont="1" applyBorder="1" applyAlignment="1">
      <alignment horizontal="left" vertical="center" wrapText="1" indent="1"/>
    </xf>
    <xf numFmtId="0" fontId="16" fillId="0" borderId="0" xfId="1" applyFont="1" applyAlignment="1">
      <alignment vertical="top" wrapText="1"/>
    </xf>
    <xf numFmtId="0" fontId="15" fillId="0" borderId="0" xfId="1" applyAlignment="1">
      <alignment vertical="top" wrapText="1"/>
    </xf>
    <xf numFmtId="0" fontId="15" fillId="0" borderId="0" xfId="1" applyAlignment="1">
      <alignment vertical="top"/>
    </xf>
    <xf numFmtId="0" fontId="15" fillId="0" borderId="0" xfId="1" applyAlignment="1">
      <alignment horizontal="left" vertical="center" wrapText="1"/>
    </xf>
    <xf numFmtId="0" fontId="17" fillId="0" borderId="0" xfId="1" applyFont="1" applyAlignment="1">
      <alignment wrapText="1"/>
    </xf>
    <xf numFmtId="0" fontId="15" fillId="0" borderId="0" xfId="1" applyAlignment="1">
      <alignment wrapText="1"/>
    </xf>
    <xf numFmtId="0" fontId="15" fillId="0" borderId="0" xfId="1"/>
    <xf numFmtId="0" fontId="17" fillId="0" borderId="17" xfId="1" applyFont="1" applyBorder="1" applyAlignment="1">
      <alignment wrapText="1"/>
    </xf>
    <xf numFmtId="0" fontId="15" fillId="0" borderId="17" xfId="1" applyBorder="1" applyAlignment="1">
      <alignment wrapText="1"/>
    </xf>
    <xf numFmtId="0" fontId="15" fillId="0" borderId="17" xfId="1" applyBorder="1"/>
    <xf numFmtId="0" fontId="16" fillId="0" borderId="0" xfId="1" applyFont="1" applyAlignment="1">
      <alignment wrapText="1"/>
    </xf>
    <xf numFmtId="0" fontId="27" fillId="0" borderId="20" xfId="0" applyFont="1" applyBorder="1" applyAlignment="1">
      <alignment vertical="center" wrapText="1"/>
    </xf>
    <xf numFmtId="0" fontId="27" fillId="0" borderId="21" xfId="0" applyFont="1" applyBorder="1" applyAlignment="1">
      <alignment vertical="center" wrapText="1"/>
    </xf>
    <xf numFmtId="0" fontId="27" fillId="0" borderId="28" xfId="0" applyFont="1" applyBorder="1" applyAlignment="1">
      <alignment horizontal="center" vertical="center" wrapText="1"/>
    </xf>
    <xf numFmtId="0" fontId="27" fillId="0" borderId="23" xfId="0" applyFont="1" applyBorder="1" applyAlignment="1">
      <alignment horizontal="center" vertical="center" wrapText="1"/>
    </xf>
    <xf numFmtId="0" fontId="27" fillId="0" borderId="22" xfId="0" applyFont="1" applyBorder="1" applyAlignment="1">
      <alignment horizontal="center" vertical="center" wrapText="1"/>
    </xf>
    <xf numFmtId="0" fontId="27" fillId="0" borderId="26" xfId="0" applyFont="1" applyBorder="1" applyAlignment="1">
      <alignment vertical="center" wrapText="1"/>
    </xf>
    <xf numFmtId="0" fontId="27" fillId="0" borderId="31" xfId="0" applyFont="1" applyBorder="1" applyAlignment="1">
      <alignment horizontal="center" vertical="center" wrapText="1"/>
    </xf>
    <xf numFmtId="0" fontId="27" fillId="0" borderId="29" xfId="0" applyFont="1" applyBorder="1" applyAlignment="1">
      <alignment horizontal="center" vertical="center" wrapText="1"/>
    </xf>
    <xf numFmtId="0" fontId="27" fillId="0" borderId="30" xfId="0" applyFont="1" applyBorder="1" applyAlignment="1">
      <alignment horizontal="center" vertical="center" wrapText="1"/>
    </xf>
    <xf numFmtId="0" fontId="27" fillId="0" borderId="32"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25" xfId="0" applyFont="1" applyBorder="1" applyAlignment="1">
      <alignment horizontal="center" vertical="center" wrapText="1"/>
    </xf>
    <xf numFmtId="0" fontId="4" fillId="0" borderId="9" xfId="0" applyFont="1" applyBorder="1" applyAlignment="1">
      <alignment horizontal="left" vertical="center" wrapText="1" indent="2"/>
    </xf>
    <xf numFmtId="0" fontId="4" fillId="0" borderId="12" xfId="0" applyFont="1" applyBorder="1" applyAlignment="1">
      <alignment horizontal="left" vertical="center" wrapText="1" indent="2"/>
    </xf>
    <xf numFmtId="0" fontId="4" fillId="0" borderId="10" xfId="0" applyFont="1" applyBorder="1" applyAlignment="1">
      <alignment horizontal="left" vertical="center" wrapText="1" indent="2"/>
    </xf>
    <xf numFmtId="0" fontId="31" fillId="0" borderId="12" xfId="0" applyFont="1" applyBorder="1" applyAlignment="1">
      <alignment horizontal="left" vertical="center"/>
    </xf>
    <xf numFmtId="0" fontId="31" fillId="0" borderId="12" xfId="0" applyFont="1" applyBorder="1"/>
    <xf numFmtId="0" fontId="3" fillId="0" borderId="39" xfId="0" applyFont="1" applyBorder="1" applyAlignment="1">
      <alignment horizontal="left" vertical="center" indent="2"/>
    </xf>
    <xf numFmtId="0" fontId="3" fillId="0" borderId="42" xfId="0" applyFont="1" applyBorder="1" applyAlignment="1">
      <alignment horizontal="left" vertical="center" indent="2"/>
    </xf>
    <xf numFmtId="0" fontId="4" fillId="0" borderId="46" xfId="0" applyFont="1" applyBorder="1" applyAlignment="1">
      <alignment horizontal="left" vertical="center" wrapText="1" indent="2"/>
    </xf>
    <xf numFmtId="0" fontId="4" fillId="0" borderId="38" xfId="0" applyFont="1" applyBorder="1" applyAlignment="1">
      <alignment horizontal="left" vertical="center" wrapText="1" indent="2"/>
    </xf>
    <xf numFmtId="0" fontId="4" fillId="0" borderId="47" xfId="0" applyFont="1" applyBorder="1" applyAlignment="1">
      <alignment horizontal="left" vertical="center" wrapText="1" indent="2"/>
    </xf>
    <xf numFmtId="0" fontId="4" fillId="0" borderId="7" xfId="0" applyFont="1" applyBorder="1" applyAlignment="1">
      <alignment horizontal="left" vertical="center" wrapText="1" indent="2"/>
    </xf>
    <xf numFmtId="0" fontId="4" fillId="0" borderId="0" xfId="0" applyFont="1" applyAlignment="1">
      <alignment horizontal="left" vertical="center" wrapText="1" indent="2"/>
    </xf>
    <xf numFmtId="0" fontId="4" fillId="0" borderId="8" xfId="0" applyFont="1" applyBorder="1" applyAlignment="1">
      <alignment horizontal="left" vertical="center" wrapText="1" indent="2"/>
    </xf>
  </cellXfs>
  <cellStyles count="16">
    <cellStyle name="Comma" xfId="14" builtinId="3"/>
    <cellStyle name="Heading 1 2" xfId="11" xr:uid="{86E264B4-A14E-4954-9D18-83BCB0AC7B4B}"/>
    <cellStyle name="Heading 2 2" xfId="12" xr:uid="{5E1433AA-853D-4DB4-9AEB-3391AEE8568F}"/>
    <cellStyle name="Hyperlink" xfId="7" builtinId="8" customBuiltin="1"/>
    <cellStyle name="Hyperlink 2" xfId="8" xr:uid="{D16BC4E9-C789-4C01-81FC-927B4023EE66}"/>
    <cellStyle name="Hyperlink 3" xfId="13" xr:uid="{0674DEEF-3D26-485D-B73A-01208EBBA12B}"/>
    <cellStyle name="Hyperlink 4" xfId="15" xr:uid="{94081B79-23D8-4BCB-951F-609BAAEB3CCC}"/>
    <cellStyle name="Normal" xfId="0" builtinId="0"/>
    <cellStyle name="Normal 2" xfId="1" xr:uid="{213B2AEA-1263-4C1F-8D8C-564E56ADE11F}"/>
    <cellStyle name="Normal 2 2" xfId="9" xr:uid="{54FF9148-409F-4A79-B34C-C047A3A5ED43}"/>
    <cellStyle name="Normal 3" xfId="10" xr:uid="{D2260501-2C25-4D43-8C2E-73A9427C79A4}"/>
    <cellStyle name="XLConnect.Boolean" xfId="5" xr:uid="{3DEEAB9D-44BA-4403-BB60-964CDDEF7CBC}"/>
    <cellStyle name="XLConnect.DateTime" xfId="6" xr:uid="{FD13A3C2-C425-49D9-9888-BC5B4DC3BE0A}"/>
    <cellStyle name="XLConnect.Header" xfId="2" xr:uid="{0B7C0584-0544-42B8-8D59-98A51EE739FA}"/>
    <cellStyle name="XLConnect.Numeric" xfId="4" xr:uid="{15E6EFA4-A6E9-41B3-B699-F8E380B28416}"/>
    <cellStyle name="XLConnect.String" xfId="3" xr:uid="{C3D9E22B-F123-4D86-BCCA-B683CA536B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Dane County Opioid Prevalence</a:t>
            </a:r>
            <a:r>
              <a:rPr lang="en-US" baseline="0"/>
              <a:t> with Confidence intervals</a:t>
            </a:r>
          </a:p>
          <a:p>
            <a:pPr>
              <a:defRPr/>
            </a:pPr>
            <a:r>
              <a:rPr lang="en-US" baseline="0"/>
              <a:t>Source:NSDUH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PrevalenceDeaths!$G$1</c:f>
              <c:strCache>
                <c:ptCount val="1"/>
                <c:pt idx="0">
                  <c:v>Dane County use estimate (number of people)</c:v>
                </c:pt>
              </c:strCache>
            </c:strRef>
          </c:tx>
          <c:spPr>
            <a:ln w="28575" cap="rnd">
              <a:solidFill>
                <a:schemeClr val="accent6"/>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PrevalenceDeaths!$A$2:$A$19</c15:sqref>
                  </c15:fullRef>
                </c:ext>
              </c:extLst>
              <c:f>PrevalenceDeaths!$A$16:$A$19</c:f>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PrevalenceDeaths!$G$2:$G$19</c15:sqref>
                  </c15:fullRef>
                </c:ext>
              </c:extLst>
              <c:f>PrevalenceDeaths!$G$16:$G$19</c:f>
              <c:numCache>
                <c:formatCode>General</c:formatCode>
                <c:ptCount val="4"/>
                <c:pt idx="0" formatCode="_(* #,##0.00_);_(* \(#,##0.00\);_(* &quot;-&quot;??_);_(@_)">
                  <c:v>40259.251432948571</c:v>
                </c:pt>
                <c:pt idx="1" formatCode="_(* #,##0.00_);_(* \(#,##0.00\);_(* &quot;-&quot;??_);_(@_)">
                  <c:v>26170.579479719901</c:v>
                </c:pt>
                <c:pt idx="2" formatCode="_(* #,##0.00_);_(* \(#,##0.00\);_(* &quot;-&quot;??_);_(@_)">
                  <c:v>36050.491556194975</c:v>
                </c:pt>
                <c:pt idx="3" formatCode="_(* #,##0.00_);_(* \(#,##0.00\);_(* &quot;-&quot;??_);_(@_)">
                  <c:v>34416.514540437274</c:v>
                </c:pt>
              </c:numCache>
            </c:numRef>
          </c:val>
          <c:smooth val="0"/>
          <c:extLst>
            <c:ext xmlns:c16="http://schemas.microsoft.com/office/drawing/2014/chart" uri="{C3380CC4-5D6E-409C-BE32-E72D297353CC}">
              <c16:uniqueId val="{00000005-0122-446F-BBEB-0D1683233053}"/>
            </c:ext>
          </c:extLst>
        </c:ser>
        <c:ser>
          <c:idx val="6"/>
          <c:order val="6"/>
          <c:tx>
            <c:strRef>
              <c:f>PrevalenceDeaths!$H$1</c:f>
              <c:strCache>
                <c:ptCount val="1"/>
                <c:pt idx="0">
                  <c:v>Dane County use estimate (number of people) LOWER CI</c:v>
                </c:pt>
              </c:strCache>
            </c:strRef>
          </c:tx>
          <c:spPr>
            <a:ln w="28575" cap="rnd">
              <a:solidFill>
                <a:schemeClr val="accent1">
                  <a:lumMod val="60000"/>
                </a:schemeClr>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PrevalenceDeaths!$A$2:$A$19</c15:sqref>
                  </c15:fullRef>
                </c:ext>
              </c:extLst>
              <c:f>PrevalenceDeaths!$A$16:$A$19</c:f>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PrevalenceDeaths!$H$2:$H$19</c15:sqref>
                  </c15:fullRef>
                </c:ext>
              </c:extLst>
              <c:f>PrevalenceDeaths!$H$16:$H$19</c:f>
              <c:numCache>
                <c:formatCode>General</c:formatCode>
                <c:ptCount val="4"/>
                <c:pt idx="0" formatCode="_(* #,##0.00_);_(* \(#,##0.00\);_(* &quot;-&quot;??_);_(@_)">
                  <c:v>32629.361578488606</c:v>
                </c:pt>
                <c:pt idx="1" formatCode="_(* #,##0.00_);_(* \(#,##0.00\);_(* &quot;-&quot;??_);_(@_)">
                  <c:v>20912.226695082489</c:v>
                </c:pt>
                <c:pt idx="2" formatCode="_(* #,##0.00_);_(* \(#,##0.00\);_(* &quot;-&quot;??_);_(@_)">
                  <c:v>28882.523207618266</c:v>
                </c:pt>
                <c:pt idx="3" formatCode="_(* #,##0.00_);_(* \(#,##0.00\);_(* &quot;-&quot;??_);_(@_)">
                  <c:v>26771.131394608365</c:v>
                </c:pt>
              </c:numCache>
            </c:numRef>
          </c:val>
          <c:smooth val="0"/>
          <c:extLst>
            <c:ext xmlns:c16="http://schemas.microsoft.com/office/drawing/2014/chart" uri="{C3380CC4-5D6E-409C-BE32-E72D297353CC}">
              <c16:uniqueId val="{00000006-0122-446F-BBEB-0D1683233053}"/>
            </c:ext>
          </c:extLst>
        </c:ser>
        <c:ser>
          <c:idx val="7"/>
          <c:order val="7"/>
          <c:tx>
            <c:strRef>
              <c:f>PrevalenceDeaths!$I$1</c:f>
              <c:strCache>
                <c:ptCount val="1"/>
                <c:pt idx="0">
                  <c:v>Dane County use estimate (number of people) UPPER CI</c:v>
                </c:pt>
              </c:strCache>
            </c:strRef>
          </c:tx>
          <c:spPr>
            <a:ln w="28575" cap="rnd">
              <a:solidFill>
                <a:schemeClr val="accent2">
                  <a:lumMod val="60000"/>
                </a:schemeClr>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PrevalenceDeaths!$A$2:$A$19</c15:sqref>
                  </c15:fullRef>
                </c:ext>
              </c:extLst>
              <c:f>PrevalenceDeaths!$A$16:$A$19</c:f>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PrevalenceDeaths!$I$2:$I$19</c15:sqref>
                  </c15:fullRef>
                </c:ext>
              </c:extLst>
              <c:f>PrevalenceDeaths!$I$16:$I$19</c:f>
              <c:numCache>
                <c:formatCode>General</c:formatCode>
                <c:ptCount val="4"/>
                <c:pt idx="0" formatCode="_(* #,##0.00_);_(* \(#,##0.00\);_(* &quot;-&quot;??_);_(@_)">
                  <c:v>49794.896854116596</c:v>
                </c:pt>
                <c:pt idx="1" formatCode="_(* #,##0.00_);_(* \(#,##0.00\);_(* &quot;-&quot;??_);_(@_)">
                  <c:v>33247.978755793105</c:v>
                </c:pt>
                <c:pt idx="2" formatCode="_(* #,##0.00_);_(* \(#,##0.00\);_(* &quot;-&quot;??_);_(@_)">
                  <c:v>45912.907203781724</c:v>
                </c:pt>
                <c:pt idx="3" formatCode="_(* #,##0.00_);_(* \(#,##0.00\);_(* &quot;-&quot;??_);_(@_)">
                  <c:v>44086.563362343448</c:v>
                </c:pt>
              </c:numCache>
            </c:numRef>
          </c:val>
          <c:smooth val="0"/>
          <c:extLst>
            <c:ext xmlns:c16="http://schemas.microsoft.com/office/drawing/2014/chart" uri="{C3380CC4-5D6E-409C-BE32-E72D297353CC}">
              <c16:uniqueId val="{00000007-0122-446F-BBEB-0D1683233053}"/>
            </c:ext>
          </c:extLst>
        </c:ser>
        <c:dLbls>
          <c:showLegendKey val="0"/>
          <c:showVal val="0"/>
          <c:showCatName val="0"/>
          <c:showSerName val="0"/>
          <c:showPercent val="0"/>
          <c:showBubbleSize val="0"/>
        </c:dLbls>
        <c:smooth val="0"/>
        <c:axId val="1229506432"/>
        <c:axId val="1352388464"/>
        <c:extLst>
          <c:ext xmlns:c15="http://schemas.microsoft.com/office/drawing/2012/chart" uri="{02D57815-91ED-43cb-92C2-25804820EDAC}">
            <c15:filteredLineSeries>
              <c15:ser>
                <c:idx val="0"/>
                <c:order val="0"/>
                <c:tx>
                  <c:strRef>
                    <c:extLst>
                      <c:ext uri="{02D57815-91ED-43cb-92C2-25804820EDAC}">
                        <c15:formulaRef>
                          <c15:sqref>PrevalenceDeaths!$B$1</c15:sqref>
                        </c15:formulaRef>
                      </c:ext>
                    </c:extLst>
                    <c:strCache>
                      <c:ptCount val="1"/>
                      <c:pt idx="0">
                        <c:v>Dane County Heroin use estimate (number of people)</c:v>
                      </c:pt>
                    </c:strCache>
                  </c:strRef>
                </c:tx>
                <c:spPr>
                  <a:ln w="28575" cap="rnd">
                    <a:solidFill>
                      <a:schemeClr val="accent1"/>
                    </a:solidFill>
                    <a:round/>
                  </a:ln>
                  <a:effectLst/>
                </c:spPr>
                <c:marker>
                  <c:symbol val="none"/>
                </c:marker>
                <c:cat>
                  <c:numRef>
                    <c:extLst>
                      <c:ext uri="{02D57815-91ED-43cb-92C2-25804820EDAC}">
                        <c15:fullRef>
                          <c15:sqref>PrevalenceDeaths!$A$2:$A$19</c15:sqref>
                        </c15:fullRef>
                        <c15:formulaRef>
                          <c15:sqref>PrevalenceDeaths!$A$16:$A$19</c15:sqref>
                        </c15:formulaRef>
                      </c:ext>
                    </c:extLst>
                    <c:numCache>
                      <c:formatCode>General</c:formatCode>
                      <c:ptCount val="4"/>
                      <c:pt idx="0">
                        <c:v>2016</c:v>
                      </c:pt>
                      <c:pt idx="1">
                        <c:v>2017</c:v>
                      </c:pt>
                      <c:pt idx="2">
                        <c:v>2018</c:v>
                      </c:pt>
                      <c:pt idx="3">
                        <c:v>2019</c:v>
                      </c:pt>
                    </c:numCache>
                  </c:numRef>
                </c:cat>
                <c:val>
                  <c:numRef>
                    <c:extLst>
                      <c:ext uri="{02D57815-91ED-43cb-92C2-25804820EDAC}">
                        <c15:fullRef>
                          <c15:sqref>PrevalenceDeaths!$B$2:$B$19</c15:sqref>
                        </c15:fullRef>
                        <c15:formulaRef>
                          <c15:sqref>PrevalenceDeaths!$B$16:$B$19</c15:sqref>
                        </c15:formulaRef>
                      </c:ext>
                    </c:extLst>
                    <c:numCache>
                      <c:formatCode>General</c:formatCode>
                      <c:ptCount val="4"/>
                      <c:pt idx="0">
                        <c:v>2854.6712802768166</c:v>
                      </c:pt>
                      <c:pt idx="1">
                        <c:v>2388.3495145631068</c:v>
                      </c:pt>
                      <c:pt idx="2">
                        <c:v>3153.1531531531532</c:v>
                      </c:pt>
                      <c:pt idx="3">
                        <c:v>2914.2857142857142</c:v>
                      </c:pt>
                    </c:numCache>
                  </c:numRef>
                </c:val>
                <c:smooth val="0"/>
                <c:extLst>
                  <c:ext xmlns:c16="http://schemas.microsoft.com/office/drawing/2014/chart" uri="{C3380CC4-5D6E-409C-BE32-E72D297353CC}">
                    <c16:uniqueId val="{00000000-0122-446F-BBEB-0D168323305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PrevalenceDeaths!$C$1</c15:sqref>
                        </c15:formulaRef>
                      </c:ext>
                    </c:extLst>
                    <c:strCache>
                      <c:ptCount val="1"/>
                      <c:pt idx="0">
                        <c:v>Dane County Pain Reliever use estimate (number of people)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PrevalenceDeaths!$A$2:$A$19</c15:sqref>
                        </c15:fullRef>
                        <c15:formulaRef>
                          <c15:sqref>PrevalenceDeaths!$A$16:$A$19</c15:sqref>
                        </c15:formulaRef>
                      </c:ext>
                    </c:extLst>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PrevalenceDeaths!$C$2:$C$19</c15:sqref>
                        </c15:fullRef>
                        <c15:formulaRef>
                          <c15:sqref>PrevalenceDeaths!$C$16:$C$19</c15:sqref>
                        </c15:formulaRef>
                      </c:ext>
                    </c:extLst>
                    <c:numCache>
                      <c:formatCode>General</c:formatCode>
                      <c:ptCount val="4"/>
                      <c:pt idx="0">
                        <c:v>37404.580152671755</c:v>
                      </c:pt>
                      <c:pt idx="1">
                        <c:v>23782.229965156796</c:v>
                      </c:pt>
                      <c:pt idx="2">
                        <c:v>32897.338403041824</c:v>
                      </c:pt>
                      <c:pt idx="3">
                        <c:v>31502.22882615156</c:v>
                      </c:pt>
                    </c:numCache>
                  </c:numRef>
                </c:val>
                <c:smooth val="0"/>
                <c:extLst xmlns:c15="http://schemas.microsoft.com/office/drawing/2012/chart">
                  <c:ext xmlns:c16="http://schemas.microsoft.com/office/drawing/2014/chart" uri="{C3380CC4-5D6E-409C-BE32-E72D297353CC}">
                    <c16:uniqueId val="{00000001-0122-446F-BBEB-0D168323305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PrevalenceDeaths!$D$1</c15:sqref>
                        </c15:formulaRef>
                      </c:ext>
                    </c:extLst>
                    <c:strCache>
                      <c:ptCount val="1"/>
                      <c:pt idx="0">
                        <c:v>Dane County Pain Reliver use rate estimate per 100,000 population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PrevalenceDeaths!$A$2:$A$19</c15:sqref>
                        </c15:fullRef>
                        <c15:formulaRef>
                          <c15:sqref>PrevalenceDeaths!$A$16:$A$19</c15:sqref>
                        </c15:formulaRef>
                      </c:ext>
                    </c:extLst>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PrevalenceDeaths!$D$2:$D$19</c15:sqref>
                        </c15:fullRef>
                        <c15:formulaRef>
                          <c15:sqref>PrevalenceDeaths!$D$16:$D$19</c15:sqref>
                        </c15:formulaRef>
                      </c:ext>
                    </c:extLst>
                    <c:numCache>
                      <c:formatCode>General</c:formatCode>
                      <c:ptCount val="4"/>
                      <c:pt idx="0">
                        <c:v>8189.0923596085822</c:v>
                      </c:pt>
                      <c:pt idx="1">
                        <c:v>5144.0167943877059</c:v>
                      </c:pt>
                      <c:pt idx="2">
                        <c:v>7020.4202782876091</c:v>
                      </c:pt>
                      <c:pt idx="3">
                        <c:v>6653.9572035399842</c:v>
                      </c:pt>
                    </c:numCache>
                  </c:numRef>
                </c:val>
                <c:smooth val="0"/>
                <c:extLst xmlns:c15="http://schemas.microsoft.com/office/drawing/2012/chart">
                  <c:ext xmlns:c16="http://schemas.microsoft.com/office/drawing/2014/chart" uri="{C3380CC4-5D6E-409C-BE32-E72D297353CC}">
                    <c16:uniqueId val="{00000002-0122-446F-BBEB-0D168323305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PrevalenceDeaths!$E$1</c15:sqref>
                        </c15:formulaRef>
                      </c:ext>
                    </c:extLst>
                    <c:strCache>
                      <c:ptCount val="1"/>
                      <c:pt idx="0">
                        <c:v>Dane County Heroin use rate estimate per 100,000 population</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PrevalenceDeaths!$A$2:$A$19</c15:sqref>
                        </c15:fullRef>
                        <c15:formulaRef>
                          <c15:sqref>PrevalenceDeaths!$A$16:$A$19</c15:sqref>
                        </c15:formulaRef>
                      </c:ext>
                    </c:extLst>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PrevalenceDeaths!$E$2:$E$19</c15:sqref>
                        </c15:fullRef>
                        <c15:formulaRef>
                          <c15:sqref>PrevalenceDeaths!$E$16:$E$19</c15:sqref>
                        </c15:formulaRef>
                      </c:ext>
                    </c:extLst>
                    <c:numCache>
                      <c:formatCode>General</c:formatCode>
                      <c:ptCount val="4"/>
                      <c:pt idx="0">
                        <c:v>624.98139733401422</c:v>
                      </c:pt>
                      <c:pt idx="1">
                        <c:v>516.59201142113545</c:v>
                      </c:pt>
                      <c:pt idx="2">
                        <c:v>672.89517667776079</c:v>
                      </c:pt>
                      <c:pt idx="3">
                        <c:v>615.56064901818081</c:v>
                      </c:pt>
                    </c:numCache>
                  </c:numRef>
                </c:val>
                <c:smooth val="0"/>
                <c:extLst xmlns:c15="http://schemas.microsoft.com/office/drawing/2012/chart">
                  <c:ext xmlns:c16="http://schemas.microsoft.com/office/drawing/2014/chart" uri="{C3380CC4-5D6E-409C-BE32-E72D297353CC}">
                    <c16:uniqueId val="{00000003-0122-446F-BBEB-0D168323305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PrevalenceDeaths!$F$1</c15:sqref>
                        </c15:formulaRef>
                      </c:ext>
                    </c:extLst>
                    <c:strCache>
                      <c:ptCount val="1"/>
                      <c:pt idx="0">
                        <c:v>Dane County use rate estimate per 100,000 population</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PrevalenceDeaths!$A$2:$A$19</c15:sqref>
                        </c15:fullRef>
                        <c15:formulaRef>
                          <c15:sqref>PrevalenceDeaths!$A$16:$A$19</c15:sqref>
                        </c15:formulaRef>
                      </c:ext>
                    </c:extLst>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PrevalenceDeaths!$F$2:$F$19</c15:sqref>
                        </c15:fullRef>
                        <c15:formulaRef>
                          <c15:sqref>PrevalenceDeaths!$F$16:$F$19</c15:sqref>
                        </c15:formulaRef>
                      </c:ext>
                    </c:extLst>
                    <c:numCache>
                      <c:formatCode>General</c:formatCode>
                      <c:ptCount val="4"/>
                      <c:pt idx="0">
                        <c:v>8814.0737569425964</c:v>
                      </c:pt>
                      <c:pt idx="1">
                        <c:v>5660.6088058088417</c:v>
                      </c:pt>
                      <c:pt idx="2">
                        <c:v>7693.31545496537</c:v>
                      </c:pt>
                      <c:pt idx="3">
                        <c:v>7269.517852558165</c:v>
                      </c:pt>
                    </c:numCache>
                  </c:numRef>
                </c:val>
                <c:smooth val="0"/>
                <c:extLst xmlns:c15="http://schemas.microsoft.com/office/drawing/2012/chart">
                  <c:ext xmlns:c16="http://schemas.microsoft.com/office/drawing/2014/chart" uri="{C3380CC4-5D6E-409C-BE32-E72D297353CC}">
                    <c16:uniqueId val="{00000004-0122-446F-BBEB-0D1683233053}"/>
                  </c:ext>
                </c:extLst>
              </c15:ser>
            </c15:filteredLineSeries>
          </c:ext>
        </c:extLst>
      </c:lineChart>
      <c:catAx>
        <c:axId val="122950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88464"/>
        <c:crosses val="autoZero"/>
        <c:auto val="1"/>
        <c:lblAlgn val="ctr"/>
        <c:lblOffset val="100"/>
        <c:noMultiLvlLbl val="0"/>
      </c:catAx>
      <c:valAx>
        <c:axId val="135238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0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295275</xdr:colOff>
      <xdr:row>3</xdr:row>
      <xdr:rowOff>142875</xdr:rowOff>
    </xdr:from>
    <xdr:to>
      <xdr:col>11</xdr:col>
      <xdr:colOff>600075</xdr:colOff>
      <xdr:row>29</xdr:row>
      <xdr:rowOff>104775</xdr:rowOff>
    </xdr:to>
    <xdr:graphicFrame macro="">
      <xdr:nvGraphicFramePr>
        <xdr:cNvPr id="2" name="Chart 1">
          <a:extLst>
            <a:ext uri="{FF2B5EF4-FFF2-40B4-BE49-F238E27FC236}">
              <a16:creationId xmlns:a16="http://schemas.microsoft.com/office/drawing/2014/main" id="{4B4A5D78-7D2D-4B27-B28F-9C12982FD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s://wonder.cdc.gov/controller/datarequest/D77;jsessionid=9A3927D9047ACF7B18643C1C4C4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das.samhsa.gov/saes/stat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samhsa.gov/data/report/2018-nsduh-detailed-table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samhsa.gov/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87C84-48A2-41E5-B2E0-A2300D3B3819}">
  <dimension ref="A1"/>
  <sheetViews>
    <sheetView workbookViewId="0">
      <selection activeCell="Q35" sqref="Q35"/>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2B81-F36D-4A19-9FD0-F5E8EA042AEC}">
  <dimension ref="A1:AA129"/>
  <sheetViews>
    <sheetView workbookViewId="0">
      <selection activeCell="E54" sqref="E54"/>
    </sheetView>
  </sheetViews>
  <sheetFormatPr defaultRowHeight="15" x14ac:dyDescent="0.25"/>
  <cols>
    <col min="1" max="1" width="33" customWidth="1"/>
    <col min="9" max="9" width="8.5703125" customWidth="1"/>
    <col min="10" max="10" width="26.140625" bestFit="1" customWidth="1"/>
    <col min="19" max="19" width="9.5703125" bestFit="1" customWidth="1"/>
  </cols>
  <sheetData>
    <row r="1" spans="1:27" ht="15.75" thickBot="1" x14ac:dyDescent="0.3">
      <c r="A1" s="140" t="s">
        <v>0</v>
      </c>
      <c r="B1" s="141"/>
      <c r="C1" s="141"/>
      <c r="D1" s="141"/>
      <c r="E1" s="141"/>
      <c r="F1" s="141"/>
      <c r="G1" s="141"/>
      <c r="H1" s="141"/>
      <c r="I1" s="141"/>
      <c r="J1" s="140" t="s">
        <v>62</v>
      </c>
      <c r="K1" s="141"/>
      <c r="L1" s="141"/>
      <c r="M1" s="141"/>
      <c r="N1" s="141"/>
      <c r="O1" s="141"/>
      <c r="P1" s="141"/>
      <c r="Q1" s="141"/>
      <c r="R1" s="141"/>
    </row>
    <row r="2" spans="1:27" x14ac:dyDescent="0.25">
      <c r="A2" s="121" t="s">
        <v>1</v>
      </c>
      <c r="B2" s="124" t="s">
        <v>2</v>
      </c>
      <c r="C2" s="125"/>
      <c r="D2" s="124" t="s">
        <v>4</v>
      </c>
      <c r="E2" s="125"/>
      <c r="F2" s="124" t="s">
        <v>6</v>
      </c>
      <c r="G2" s="125"/>
      <c r="H2" s="124" t="s">
        <v>6</v>
      </c>
      <c r="I2" s="125"/>
      <c r="J2" s="121" t="s">
        <v>1</v>
      </c>
      <c r="K2" s="124" t="s">
        <v>2</v>
      </c>
      <c r="L2" s="125"/>
      <c r="M2" s="124" t="s">
        <v>4</v>
      </c>
      <c r="N2" s="125"/>
      <c r="O2" s="124" t="s">
        <v>6</v>
      </c>
      <c r="P2" s="125"/>
      <c r="Q2" s="124" t="s">
        <v>6</v>
      </c>
      <c r="R2" s="125"/>
      <c r="S2" s="121" t="s">
        <v>1</v>
      </c>
      <c r="T2" s="124" t="s">
        <v>2</v>
      </c>
      <c r="U2" s="125"/>
      <c r="V2" s="124" t="s">
        <v>4</v>
      </c>
      <c r="W2" s="125"/>
      <c r="X2" s="124" t="s">
        <v>6</v>
      </c>
      <c r="Y2" s="125"/>
      <c r="Z2" s="124" t="s">
        <v>6</v>
      </c>
      <c r="AA2" s="125"/>
    </row>
    <row r="3" spans="1:27" x14ac:dyDescent="0.25">
      <c r="A3" s="122"/>
      <c r="B3" s="126" t="s">
        <v>3</v>
      </c>
      <c r="C3" s="127"/>
      <c r="D3" s="126" t="s">
        <v>5</v>
      </c>
      <c r="E3" s="127"/>
      <c r="F3" s="126" t="s">
        <v>7</v>
      </c>
      <c r="G3" s="127"/>
      <c r="H3" s="126" t="s">
        <v>9</v>
      </c>
      <c r="I3" s="127"/>
      <c r="J3" s="122"/>
      <c r="K3" s="126" t="s">
        <v>3</v>
      </c>
      <c r="L3" s="127"/>
      <c r="M3" s="126" t="s">
        <v>5</v>
      </c>
      <c r="N3" s="127"/>
      <c r="O3" s="126" t="s">
        <v>63</v>
      </c>
      <c r="P3" s="127"/>
      <c r="Q3" s="126" t="s">
        <v>9</v>
      </c>
      <c r="R3" s="127"/>
      <c r="S3" s="122"/>
      <c r="T3" s="126" t="s">
        <v>3</v>
      </c>
      <c r="U3" s="127"/>
      <c r="V3" s="126" t="s">
        <v>5</v>
      </c>
      <c r="W3" s="127"/>
      <c r="X3" s="126" t="s">
        <v>63</v>
      </c>
      <c r="Y3" s="127"/>
      <c r="Z3" s="126" t="s">
        <v>9</v>
      </c>
      <c r="AA3" s="127"/>
    </row>
    <row r="4" spans="1:27" ht="15.75" thickBot="1" x14ac:dyDescent="0.3">
      <c r="A4" s="122"/>
      <c r="B4" s="119"/>
      <c r="C4" s="120"/>
      <c r="D4" s="119"/>
      <c r="E4" s="120"/>
      <c r="F4" s="119" t="s">
        <v>8</v>
      </c>
      <c r="G4" s="120"/>
      <c r="H4" s="119" t="s">
        <v>10</v>
      </c>
      <c r="I4" s="120"/>
      <c r="J4" s="122"/>
      <c r="K4" s="119"/>
      <c r="L4" s="120"/>
      <c r="M4" s="119"/>
      <c r="N4" s="120"/>
      <c r="O4" s="119" t="s">
        <v>8</v>
      </c>
      <c r="P4" s="120"/>
      <c r="Q4" s="119" t="s">
        <v>10</v>
      </c>
      <c r="R4" s="120"/>
      <c r="S4" s="122"/>
      <c r="T4" s="119"/>
      <c r="U4" s="120"/>
      <c r="V4" s="119"/>
      <c r="W4" s="120"/>
      <c r="X4" s="119" t="s">
        <v>8</v>
      </c>
      <c r="Y4" s="120"/>
      <c r="Z4" s="119" t="s">
        <v>10</v>
      </c>
      <c r="AA4" s="120"/>
    </row>
    <row r="5" spans="1:27" ht="15.75" thickBot="1" x14ac:dyDescent="0.3">
      <c r="A5" s="123"/>
      <c r="B5" s="1">
        <v>2018</v>
      </c>
      <c r="C5" s="1">
        <v>2019</v>
      </c>
      <c r="D5" s="1">
        <v>2018</v>
      </c>
      <c r="E5" s="1">
        <v>2019</v>
      </c>
      <c r="F5" s="1">
        <v>2018</v>
      </c>
      <c r="G5" s="1">
        <v>2019</v>
      </c>
      <c r="H5" s="1">
        <v>2018</v>
      </c>
      <c r="I5" s="1">
        <v>2019</v>
      </c>
      <c r="J5" s="123"/>
      <c r="K5" s="1">
        <v>2017</v>
      </c>
      <c r="L5" s="1">
        <v>2018</v>
      </c>
      <c r="M5" s="1">
        <v>2017</v>
      </c>
      <c r="N5" s="1">
        <v>2018</v>
      </c>
      <c r="O5" s="1">
        <v>2017</v>
      </c>
      <c r="P5" s="1">
        <v>2018</v>
      </c>
      <c r="Q5" s="1">
        <v>2017</v>
      </c>
      <c r="R5" s="1">
        <v>2018</v>
      </c>
      <c r="S5" s="123"/>
      <c r="T5">
        <v>2016</v>
      </c>
      <c r="U5">
        <v>2017</v>
      </c>
      <c r="V5">
        <v>2016</v>
      </c>
      <c r="W5">
        <v>2017</v>
      </c>
      <c r="X5">
        <v>2016</v>
      </c>
      <c r="Y5">
        <v>2017</v>
      </c>
      <c r="Z5">
        <v>2016</v>
      </c>
      <c r="AA5">
        <v>2017</v>
      </c>
    </row>
    <row r="6" spans="1:27" ht="15.75" thickBot="1" x14ac:dyDescent="0.3">
      <c r="A6" s="2" t="s">
        <v>11</v>
      </c>
      <c r="B6" s="3" t="s">
        <v>12</v>
      </c>
      <c r="C6" s="3" t="s">
        <v>12</v>
      </c>
      <c r="D6" s="3" t="s">
        <v>12</v>
      </c>
      <c r="E6" s="3" t="s">
        <v>12</v>
      </c>
      <c r="F6" s="3" t="s">
        <v>12</v>
      </c>
      <c r="G6" s="3" t="s">
        <v>12</v>
      </c>
      <c r="H6" s="3" t="s">
        <v>12</v>
      </c>
      <c r="I6" s="3" t="s">
        <v>12</v>
      </c>
      <c r="J6" s="2" t="s">
        <v>11</v>
      </c>
      <c r="K6" s="3" t="s">
        <v>12</v>
      </c>
      <c r="L6" s="3" t="s">
        <v>12</v>
      </c>
      <c r="M6" s="3" t="s">
        <v>12</v>
      </c>
      <c r="N6" s="3" t="s">
        <v>12</v>
      </c>
      <c r="O6" s="3" t="s">
        <v>12</v>
      </c>
      <c r="P6" s="3" t="s">
        <v>12</v>
      </c>
      <c r="Q6" s="3" t="s">
        <v>12</v>
      </c>
      <c r="R6" s="3" t="s">
        <v>12</v>
      </c>
    </row>
    <row r="7" spans="1:27" ht="15.75" thickBot="1" x14ac:dyDescent="0.3">
      <c r="A7" s="4" t="s">
        <v>13</v>
      </c>
      <c r="B7" s="5" t="s">
        <v>14</v>
      </c>
      <c r="C7" s="7">
        <v>3478</v>
      </c>
      <c r="D7" s="5" t="s">
        <v>15</v>
      </c>
      <c r="E7" s="5">
        <v>1.3</v>
      </c>
      <c r="F7" s="5" t="s">
        <v>16</v>
      </c>
      <c r="G7" s="5">
        <v>2.2999999999999998</v>
      </c>
      <c r="H7" s="5">
        <v>7</v>
      </c>
      <c r="I7" s="5">
        <v>7.2</v>
      </c>
      <c r="J7" s="4" t="s">
        <v>13</v>
      </c>
      <c r="K7" s="7">
        <v>3033</v>
      </c>
      <c r="L7" s="7">
        <v>3061</v>
      </c>
      <c r="M7" s="5">
        <v>1.1000000000000001</v>
      </c>
      <c r="N7" s="5">
        <v>1.1000000000000001</v>
      </c>
      <c r="O7" s="5">
        <v>2</v>
      </c>
      <c r="P7" s="5">
        <v>2</v>
      </c>
      <c r="Q7" s="5">
        <v>7.4</v>
      </c>
      <c r="R7" s="5">
        <v>7</v>
      </c>
    </row>
    <row r="8" spans="1:27" ht="15.75" thickBot="1" x14ac:dyDescent="0.3">
      <c r="A8" s="8" t="s">
        <v>17</v>
      </c>
      <c r="B8" s="3" t="s">
        <v>18</v>
      </c>
      <c r="C8" s="3">
        <v>671</v>
      </c>
      <c r="D8" s="3" t="s">
        <v>19</v>
      </c>
      <c r="E8" s="3">
        <v>0.2</v>
      </c>
      <c r="F8" s="3" t="s">
        <v>20</v>
      </c>
      <c r="G8" s="3">
        <v>0.3</v>
      </c>
      <c r="H8" s="3" t="s">
        <v>21</v>
      </c>
      <c r="I8" s="3">
        <v>12.3</v>
      </c>
      <c r="J8" s="8" t="s">
        <v>17</v>
      </c>
      <c r="K8" s="11">
        <v>1037</v>
      </c>
      <c r="L8" s="3">
        <v>874</v>
      </c>
      <c r="M8" s="3">
        <v>0.4</v>
      </c>
      <c r="N8" s="3">
        <v>0.3</v>
      </c>
      <c r="O8" s="3">
        <v>0.4</v>
      </c>
      <c r="P8" s="3">
        <v>0.4</v>
      </c>
      <c r="Q8" s="3">
        <v>17.5</v>
      </c>
      <c r="R8" s="3">
        <v>15.8</v>
      </c>
    </row>
    <row r="9" spans="1:27" ht="15.75" thickBot="1" x14ac:dyDescent="0.3">
      <c r="A9" s="9" t="s">
        <v>22</v>
      </c>
      <c r="B9" s="5">
        <v>101</v>
      </c>
      <c r="C9" s="5">
        <v>92</v>
      </c>
      <c r="D9" s="5">
        <v>0</v>
      </c>
      <c r="E9" s="5">
        <v>0</v>
      </c>
      <c r="F9" s="5">
        <v>0</v>
      </c>
      <c r="G9" s="5">
        <v>0</v>
      </c>
      <c r="H9" s="5">
        <v>13.3</v>
      </c>
      <c r="I9" s="5">
        <v>11.8</v>
      </c>
      <c r="J9" s="9" t="s">
        <v>22</v>
      </c>
      <c r="K9" s="5">
        <v>83</v>
      </c>
      <c r="L9" s="5">
        <v>101</v>
      </c>
      <c r="M9" s="5">
        <v>0</v>
      </c>
      <c r="N9" s="5">
        <v>0</v>
      </c>
      <c r="O9" s="5">
        <v>0</v>
      </c>
      <c r="P9" s="5">
        <v>0</v>
      </c>
      <c r="Q9" s="5">
        <v>8.9</v>
      </c>
      <c r="R9" s="5">
        <v>13.3</v>
      </c>
    </row>
    <row r="10" spans="1:27" ht="15.75" thickBot="1" x14ac:dyDescent="0.3">
      <c r="A10" s="8" t="s">
        <v>23</v>
      </c>
      <c r="B10" s="17">
        <v>117</v>
      </c>
      <c r="C10" s="3">
        <v>50</v>
      </c>
      <c r="D10" s="17">
        <v>0</v>
      </c>
      <c r="E10" s="3">
        <v>0</v>
      </c>
      <c r="F10" s="17">
        <v>0</v>
      </c>
      <c r="G10" s="3">
        <v>0</v>
      </c>
      <c r="H10" s="17">
        <v>14.5</v>
      </c>
      <c r="I10" s="3">
        <v>6.7</v>
      </c>
      <c r="J10" s="8" t="s">
        <v>23</v>
      </c>
      <c r="K10" s="3">
        <v>81</v>
      </c>
      <c r="L10" s="3">
        <v>117</v>
      </c>
      <c r="M10" s="3">
        <v>0</v>
      </c>
      <c r="N10" s="3">
        <v>0</v>
      </c>
      <c r="O10" s="3">
        <v>0</v>
      </c>
      <c r="P10" s="3">
        <v>0</v>
      </c>
      <c r="Q10" s="3">
        <v>9.1999999999999993</v>
      </c>
      <c r="R10" s="3">
        <v>14.5</v>
      </c>
      <c r="S10" s="8" t="s">
        <v>23</v>
      </c>
      <c r="T10" s="15">
        <v>170</v>
      </c>
      <c r="U10">
        <v>81</v>
      </c>
      <c r="V10" s="15">
        <v>0.1</v>
      </c>
      <c r="W10">
        <v>0</v>
      </c>
      <c r="X10" s="15">
        <v>0.1</v>
      </c>
      <c r="Y10">
        <v>0</v>
      </c>
      <c r="Z10" s="16">
        <v>18</v>
      </c>
      <c r="AA10">
        <v>9.1999999999999993</v>
      </c>
    </row>
    <row r="11" spans="1:27" ht="15.75" thickBot="1" x14ac:dyDescent="0.3">
      <c r="A11" s="4" t="s">
        <v>24</v>
      </c>
      <c r="B11" s="7">
        <v>1116</v>
      </c>
      <c r="C11" s="7">
        <v>1221</v>
      </c>
      <c r="D11" s="5">
        <v>0.4</v>
      </c>
      <c r="E11" s="5">
        <v>0.4</v>
      </c>
      <c r="F11" s="5">
        <v>0.5</v>
      </c>
      <c r="G11" s="5">
        <v>0.5</v>
      </c>
      <c r="H11" s="5">
        <v>19.899999999999999</v>
      </c>
      <c r="I11" s="5">
        <v>20.3</v>
      </c>
      <c r="J11" s="4" t="s">
        <v>24</v>
      </c>
      <c r="K11" s="7">
        <v>1194</v>
      </c>
      <c r="L11" s="7">
        <v>1116</v>
      </c>
      <c r="M11" s="5">
        <v>0.4</v>
      </c>
      <c r="N11" s="5">
        <v>0.4</v>
      </c>
      <c r="O11" s="5">
        <v>0.5</v>
      </c>
      <c r="P11" s="5">
        <v>0.5</v>
      </c>
      <c r="Q11" s="5" t="s">
        <v>64</v>
      </c>
      <c r="R11" s="5">
        <v>19.899999999999999</v>
      </c>
    </row>
    <row r="12" spans="1:27" ht="15.75" thickBot="1" x14ac:dyDescent="0.3">
      <c r="A12" s="10" t="s">
        <v>25</v>
      </c>
      <c r="B12" s="3">
        <v>778</v>
      </c>
      <c r="C12" s="3">
        <v>883</v>
      </c>
      <c r="D12" s="3">
        <v>0.3</v>
      </c>
      <c r="E12" s="3">
        <v>0.3</v>
      </c>
      <c r="F12" s="3">
        <v>0.3</v>
      </c>
      <c r="G12" s="3">
        <v>0.4</v>
      </c>
      <c r="H12" s="3">
        <v>33.5</v>
      </c>
      <c r="I12" s="3">
        <v>35.799999999999997</v>
      </c>
      <c r="J12" s="10" t="s">
        <v>25</v>
      </c>
      <c r="K12" s="3">
        <v>794</v>
      </c>
      <c r="L12" s="3">
        <v>778</v>
      </c>
      <c r="M12" s="3">
        <v>0.3</v>
      </c>
      <c r="N12" s="3">
        <v>0.3</v>
      </c>
      <c r="O12" s="3">
        <v>0.3</v>
      </c>
      <c r="P12" s="3">
        <v>0.3</v>
      </c>
      <c r="Q12" s="3">
        <v>35.4</v>
      </c>
      <c r="R12" s="3">
        <v>33.5</v>
      </c>
    </row>
    <row r="13" spans="1:27" ht="15.75" thickBot="1" x14ac:dyDescent="0.3">
      <c r="A13" s="9" t="s">
        <v>26</v>
      </c>
      <c r="B13" s="5">
        <v>14</v>
      </c>
      <c r="C13" s="5">
        <v>30</v>
      </c>
      <c r="D13" s="5">
        <v>0</v>
      </c>
      <c r="E13" s="5">
        <v>0</v>
      </c>
      <c r="F13" s="5">
        <v>0</v>
      </c>
      <c r="G13" s="5">
        <v>0</v>
      </c>
      <c r="H13" s="5" t="s">
        <v>27</v>
      </c>
      <c r="I13" s="5" t="s">
        <v>27</v>
      </c>
      <c r="J13" s="9" t="s">
        <v>26</v>
      </c>
      <c r="K13" s="5">
        <v>23</v>
      </c>
      <c r="L13" s="5">
        <v>14</v>
      </c>
      <c r="M13" s="5">
        <v>0</v>
      </c>
      <c r="N13" s="5">
        <v>0</v>
      </c>
      <c r="O13" s="5">
        <v>0</v>
      </c>
      <c r="P13" s="5">
        <v>0</v>
      </c>
      <c r="Q13" s="5" t="s">
        <v>27</v>
      </c>
      <c r="R13" s="5" t="s">
        <v>27</v>
      </c>
    </row>
    <row r="14" spans="1:27" ht="15.75" thickBot="1" x14ac:dyDescent="0.3">
      <c r="A14" s="10" t="s">
        <v>28</v>
      </c>
      <c r="B14" s="3">
        <v>722</v>
      </c>
      <c r="C14" s="3">
        <v>744</v>
      </c>
      <c r="D14" s="3">
        <v>0.3</v>
      </c>
      <c r="E14" s="3">
        <v>0.3</v>
      </c>
      <c r="F14" s="3">
        <v>0.3</v>
      </c>
      <c r="G14" s="3">
        <v>0.3</v>
      </c>
      <c r="H14" s="3">
        <v>28.7</v>
      </c>
      <c r="I14" s="3">
        <v>29.3</v>
      </c>
      <c r="J14" s="10" t="s">
        <v>28</v>
      </c>
      <c r="K14" s="3">
        <v>787</v>
      </c>
      <c r="L14" s="3">
        <v>722</v>
      </c>
      <c r="M14" s="3">
        <v>0.3</v>
      </c>
      <c r="N14" s="3">
        <v>0.3</v>
      </c>
      <c r="O14" s="3">
        <v>0.3</v>
      </c>
      <c r="P14" s="3">
        <v>0.3</v>
      </c>
      <c r="Q14" s="3">
        <v>31.6</v>
      </c>
      <c r="R14" s="3">
        <v>28.7</v>
      </c>
    </row>
    <row r="15" spans="1:27" ht="15.75" thickBot="1" x14ac:dyDescent="0.3">
      <c r="A15" s="4" t="s">
        <v>29</v>
      </c>
      <c r="B15" s="5" t="s">
        <v>30</v>
      </c>
      <c r="C15" s="5">
        <v>730</v>
      </c>
      <c r="D15" s="5" t="s">
        <v>31</v>
      </c>
      <c r="E15" s="5">
        <v>0.3</v>
      </c>
      <c r="F15" s="5" t="s">
        <v>31</v>
      </c>
      <c r="G15" s="5">
        <v>0.3</v>
      </c>
      <c r="H15" s="5">
        <v>28.8</v>
      </c>
      <c r="I15" s="5">
        <v>34.1</v>
      </c>
      <c r="J15" s="4" t="s">
        <v>29</v>
      </c>
      <c r="K15" s="5">
        <v>575</v>
      </c>
      <c r="L15" s="5">
        <v>576</v>
      </c>
      <c r="M15" s="5">
        <v>0.2</v>
      </c>
      <c r="N15" s="5">
        <v>0.2</v>
      </c>
      <c r="O15" s="5">
        <v>0.2</v>
      </c>
      <c r="P15" s="5">
        <v>0.2</v>
      </c>
      <c r="Q15" s="5">
        <v>32.700000000000003</v>
      </c>
      <c r="R15" s="5">
        <v>28.8</v>
      </c>
    </row>
    <row r="16" spans="1:27" ht="15.75" thickBot="1" x14ac:dyDescent="0.3">
      <c r="A16" s="8" t="s">
        <v>32</v>
      </c>
      <c r="B16" s="3">
        <v>205</v>
      </c>
      <c r="C16" s="3">
        <v>184</v>
      </c>
      <c r="D16" s="3">
        <v>0.1</v>
      </c>
      <c r="E16" s="3">
        <v>0.1</v>
      </c>
      <c r="F16" s="3">
        <v>0.1</v>
      </c>
      <c r="G16" s="3">
        <v>0.1</v>
      </c>
      <c r="H16" s="3">
        <v>11</v>
      </c>
      <c r="I16" s="3">
        <v>9.1999999999999993</v>
      </c>
      <c r="J16" s="8" t="s">
        <v>32</v>
      </c>
      <c r="K16" s="3">
        <v>195</v>
      </c>
      <c r="L16" s="3">
        <v>205</v>
      </c>
      <c r="M16" s="3">
        <v>0.1</v>
      </c>
      <c r="N16" s="3">
        <v>0.1</v>
      </c>
      <c r="O16" s="3">
        <v>0.1</v>
      </c>
      <c r="P16" s="3">
        <v>0.1</v>
      </c>
      <c r="Q16" s="3">
        <v>11.9</v>
      </c>
      <c r="R16" s="3">
        <v>11</v>
      </c>
    </row>
    <row r="17" spans="1:27" ht="15.75" thickBot="1" x14ac:dyDescent="0.3">
      <c r="A17" s="4" t="s">
        <v>33</v>
      </c>
      <c r="B17" s="5" t="s">
        <v>12</v>
      </c>
      <c r="C17" s="5" t="s">
        <v>12</v>
      </c>
      <c r="D17" s="5" t="s">
        <v>12</v>
      </c>
      <c r="E17" s="5" t="s">
        <v>12</v>
      </c>
      <c r="F17" s="5" t="s">
        <v>12</v>
      </c>
      <c r="G17" s="5" t="s">
        <v>12</v>
      </c>
      <c r="H17" s="5" t="s">
        <v>12</v>
      </c>
      <c r="I17" s="5" t="s">
        <v>12</v>
      </c>
      <c r="J17" s="4" t="s">
        <v>33</v>
      </c>
      <c r="K17" s="5" t="s">
        <v>12</v>
      </c>
      <c r="L17" s="5" t="s">
        <v>12</v>
      </c>
      <c r="M17" s="5" t="s">
        <v>12</v>
      </c>
      <c r="N17" s="5" t="s">
        <v>12</v>
      </c>
      <c r="O17" s="5" t="s">
        <v>12</v>
      </c>
      <c r="P17" s="5" t="s">
        <v>12</v>
      </c>
      <c r="Q17" s="5" t="s">
        <v>12</v>
      </c>
      <c r="R17" s="5" t="s">
        <v>12</v>
      </c>
    </row>
    <row r="18" spans="1:27" ht="15.75" thickBot="1" x14ac:dyDescent="0.3">
      <c r="A18" s="10" t="s">
        <v>34</v>
      </c>
      <c r="B18" s="11">
        <v>1908</v>
      </c>
      <c r="C18" s="11">
        <v>1607</v>
      </c>
      <c r="D18" s="3">
        <v>0.7</v>
      </c>
      <c r="E18" s="3">
        <v>0.6</v>
      </c>
      <c r="F18" s="3" t="s">
        <v>12</v>
      </c>
      <c r="G18" s="3" t="s">
        <v>12</v>
      </c>
      <c r="H18" s="3">
        <v>19.2</v>
      </c>
      <c r="I18" s="3">
        <v>16.5</v>
      </c>
      <c r="J18" s="10" t="s">
        <v>34</v>
      </c>
      <c r="K18" s="11">
        <v>2010</v>
      </c>
      <c r="L18" s="11">
        <v>1908</v>
      </c>
      <c r="M18" s="3">
        <v>0.7</v>
      </c>
      <c r="N18" s="3">
        <v>0.7</v>
      </c>
      <c r="O18" s="3" t="s">
        <v>12</v>
      </c>
      <c r="P18" s="3" t="s">
        <v>12</v>
      </c>
      <c r="Q18" s="3">
        <v>18.100000000000001</v>
      </c>
      <c r="R18" s="3">
        <v>19.2</v>
      </c>
      <c r="S18" s="10" t="s">
        <v>34</v>
      </c>
      <c r="T18" s="6">
        <v>2139</v>
      </c>
      <c r="U18" s="6">
        <v>2010</v>
      </c>
      <c r="V18">
        <v>0.8</v>
      </c>
      <c r="W18">
        <v>0.7</v>
      </c>
      <c r="X18" t="s">
        <v>12</v>
      </c>
      <c r="Y18" t="s">
        <v>12</v>
      </c>
      <c r="Z18">
        <v>18.600000000000001</v>
      </c>
      <c r="AA18">
        <v>18.100000000000001</v>
      </c>
    </row>
    <row r="19" spans="1:27" ht="15.75" thickBot="1" x14ac:dyDescent="0.3">
      <c r="A19" s="9" t="s">
        <v>35</v>
      </c>
      <c r="B19" s="7">
        <v>1001</v>
      </c>
      <c r="C19" s="5">
        <v>901</v>
      </c>
      <c r="D19" s="5">
        <v>0.4</v>
      </c>
      <c r="E19" s="5">
        <v>0.3</v>
      </c>
      <c r="F19" s="5" t="s">
        <v>12</v>
      </c>
      <c r="G19" s="5" t="s">
        <v>12</v>
      </c>
      <c r="H19" s="5">
        <v>19.600000000000001</v>
      </c>
      <c r="I19" s="5">
        <v>18.3</v>
      </c>
      <c r="J19" s="9" t="s">
        <v>35</v>
      </c>
      <c r="K19" s="7">
        <v>1192</v>
      </c>
      <c r="L19" s="7">
        <v>1001</v>
      </c>
      <c r="M19" s="5" t="s">
        <v>65</v>
      </c>
      <c r="N19" s="5">
        <v>0.4</v>
      </c>
      <c r="O19" s="5" t="s">
        <v>12</v>
      </c>
      <c r="P19" s="5" t="s">
        <v>12</v>
      </c>
      <c r="Q19" s="5">
        <v>20.399999999999999</v>
      </c>
      <c r="R19" s="5">
        <v>19.600000000000001</v>
      </c>
    </row>
    <row r="20" spans="1:27" ht="15.75" thickBot="1" x14ac:dyDescent="0.3">
      <c r="A20" s="10" t="s">
        <v>36</v>
      </c>
      <c r="B20" s="3" t="s">
        <v>12</v>
      </c>
      <c r="C20" s="3" t="s">
        <v>12</v>
      </c>
      <c r="D20" s="3" t="s">
        <v>12</v>
      </c>
      <c r="E20" s="3" t="s">
        <v>12</v>
      </c>
      <c r="F20" s="3" t="s">
        <v>12</v>
      </c>
      <c r="G20" s="3" t="s">
        <v>12</v>
      </c>
      <c r="H20" s="3" t="s">
        <v>12</v>
      </c>
      <c r="I20" s="3" t="s">
        <v>12</v>
      </c>
      <c r="J20" s="10" t="s">
        <v>36</v>
      </c>
      <c r="K20" s="3" t="s">
        <v>12</v>
      </c>
      <c r="L20" s="3" t="s">
        <v>12</v>
      </c>
      <c r="M20" s="3" t="s">
        <v>12</v>
      </c>
      <c r="N20" s="3" t="s">
        <v>12</v>
      </c>
      <c r="O20" s="3" t="s">
        <v>12</v>
      </c>
      <c r="P20" s="3" t="s">
        <v>12</v>
      </c>
      <c r="Q20" s="3" t="s">
        <v>12</v>
      </c>
      <c r="R20" s="3" t="s">
        <v>12</v>
      </c>
    </row>
    <row r="21" spans="1:27" ht="15.75" thickBot="1" x14ac:dyDescent="0.3">
      <c r="A21" s="12" t="s">
        <v>37</v>
      </c>
      <c r="B21" s="5" t="s">
        <v>38</v>
      </c>
      <c r="C21" s="5">
        <v>949</v>
      </c>
      <c r="D21" s="5" t="s">
        <v>20</v>
      </c>
      <c r="E21" s="5">
        <v>0.3</v>
      </c>
      <c r="F21" s="5" t="s">
        <v>12</v>
      </c>
      <c r="G21" s="5" t="s">
        <v>12</v>
      </c>
      <c r="H21" s="5">
        <v>21.1</v>
      </c>
      <c r="I21" s="5">
        <v>18.2</v>
      </c>
      <c r="J21" s="12" t="s">
        <v>37</v>
      </c>
      <c r="K21" s="7">
        <v>1446</v>
      </c>
      <c r="L21" s="7">
        <v>1210</v>
      </c>
      <c r="M21" s="5">
        <v>0.5</v>
      </c>
      <c r="N21" s="5">
        <v>0.4</v>
      </c>
      <c r="O21" s="5" t="s">
        <v>12</v>
      </c>
      <c r="P21" s="5" t="s">
        <v>12</v>
      </c>
      <c r="Q21" s="5">
        <v>24.3</v>
      </c>
      <c r="R21" s="5">
        <v>21.1</v>
      </c>
    </row>
    <row r="22" spans="1:27" ht="15.75" thickBot="1" x14ac:dyDescent="0.3">
      <c r="A22" s="13" t="s">
        <v>39</v>
      </c>
      <c r="B22" s="3">
        <v>251</v>
      </c>
      <c r="C22" s="3">
        <v>239</v>
      </c>
      <c r="D22" s="3">
        <v>0.1</v>
      </c>
      <c r="E22" s="3">
        <v>0.1</v>
      </c>
      <c r="F22" s="3" t="s">
        <v>12</v>
      </c>
      <c r="G22" s="3" t="s">
        <v>12</v>
      </c>
      <c r="H22" s="3">
        <v>23.2</v>
      </c>
      <c r="I22" s="3">
        <v>21.8</v>
      </c>
      <c r="J22" s="13" t="s">
        <v>39</v>
      </c>
      <c r="K22" s="3">
        <v>271</v>
      </c>
      <c r="L22" s="3">
        <v>251</v>
      </c>
      <c r="M22" s="3">
        <v>0.1</v>
      </c>
      <c r="N22" s="3">
        <v>0.1</v>
      </c>
      <c r="O22" s="3" t="s">
        <v>12</v>
      </c>
      <c r="P22" s="3" t="s">
        <v>12</v>
      </c>
      <c r="Q22" s="3">
        <v>20</v>
      </c>
      <c r="R22" s="3">
        <v>23.2</v>
      </c>
    </row>
    <row r="23" spans="1:27" ht="15.75" thickBot="1" x14ac:dyDescent="0.3">
      <c r="A23" s="12" t="s">
        <v>40</v>
      </c>
      <c r="B23" s="5" t="s">
        <v>41</v>
      </c>
      <c r="C23" s="5" t="s">
        <v>41</v>
      </c>
      <c r="D23" s="5" t="s">
        <v>41</v>
      </c>
      <c r="E23" s="5" t="s">
        <v>41</v>
      </c>
      <c r="F23" s="5" t="s">
        <v>41</v>
      </c>
      <c r="G23" s="5" t="s">
        <v>41</v>
      </c>
      <c r="H23" s="5" t="s">
        <v>41</v>
      </c>
      <c r="I23" s="5" t="s">
        <v>41</v>
      </c>
      <c r="J23" s="12" t="s">
        <v>40</v>
      </c>
      <c r="K23" s="5" t="s">
        <v>41</v>
      </c>
      <c r="L23" s="5" t="s">
        <v>41</v>
      </c>
      <c r="M23" s="5" t="s">
        <v>41</v>
      </c>
      <c r="N23" s="5" t="s">
        <v>41</v>
      </c>
      <c r="O23" s="5" t="s">
        <v>41</v>
      </c>
      <c r="P23" s="5" t="s">
        <v>41</v>
      </c>
      <c r="Q23" s="5" t="s">
        <v>41</v>
      </c>
      <c r="R23" s="5" t="s">
        <v>41</v>
      </c>
    </row>
    <row r="24" spans="1:27" ht="15.75" thickBot="1" x14ac:dyDescent="0.3">
      <c r="A24" s="8" t="s">
        <v>42</v>
      </c>
      <c r="B24" s="3" t="s">
        <v>12</v>
      </c>
      <c r="C24" s="3" t="s">
        <v>12</v>
      </c>
      <c r="D24" s="3" t="s">
        <v>12</v>
      </c>
      <c r="E24" s="3" t="s">
        <v>12</v>
      </c>
      <c r="F24" s="3" t="s">
        <v>12</v>
      </c>
      <c r="G24" s="3" t="s">
        <v>12</v>
      </c>
      <c r="H24" s="3" t="s">
        <v>12</v>
      </c>
      <c r="I24" s="3" t="s">
        <v>12</v>
      </c>
      <c r="J24" s="8" t="s">
        <v>42</v>
      </c>
      <c r="K24" s="3" t="s">
        <v>12</v>
      </c>
      <c r="L24" s="3" t="s">
        <v>12</v>
      </c>
      <c r="M24" s="3" t="s">
        <v>12</v>
      </c>
      <c r="N24" s="3" t="s">
        <v>12</v>
      </c>
      <c r="O24" s="3" t="s">
        <v>12</v>
      </c>
      <c r="P24" s="3" t="s">
        <v>12</v>
      </c>
      <c r="Q24" s="3" t="s">
        <v>12</v>
      </c>
      <c r="R24" s="3" t="s">
        <v>12</v>
      </c>
    </row>
    <row r="25" spans="1:27" ht="15.75" thickBot="1" x14ac:dyDescent="0.3">
      <c r="A25" s="4" t="s">
        <v>43</v>
      </c>
      <c r="B25" s="5" t="s">
        <v>12</v>
      </c>
      <c r="C25" s="5" t="s">
        <v>12</v>
      </c>
      <c r="D25" s="5" t="s">
        <v>12</v>
      </c>
      <c r="E25" s="5" t="s">
        <v>12</v>
      </c>
      <c r="F25" s="5" t="s">
        <v>12</v>
      </c>
      <c r="G25" s="5" t="s">
        <v>12</v>
      </c>
      <c r="H25" s="5" t="s">
        <v>12</v>
      </c>
      <c r="I25" s="5" t="s">
        <v>12</v>
      </c>
      <c r="J25" s="4" t="s">
        <v>66</v>
      </c>
      <c r="K25" s="5" t="s">
        <v>12</v>
      </c>
      <c r="L25" s="5" t="s">
        <v>12</v>
      </c>
      <c r="M25" s="5" t="s">
        <v>12</v>
      </c>
      <c r="N25" s="5" t="s">
        <v>12</v>
      </c>
      <c r="O25" s="5" t="s">
        <v>12</v>
      </c>
      <c r="P25" s="5" t="s">
        <v>12</v>
      </c>
      <c r="Q25" s="5" t="s">
        <v>12</v>
      </c>
      <c r="R25" s="5" t="s">
        <v>12</v>
      </c>
    </row>
    <row r="26" spans="1:27" ht="15.75" thickBot="1" x14ac:dyDescent="0.3">
      <c r="A26" s="2" t="s">
        <v>44</v>
      </c>
      <c r="B26" s="3" t="s">
        <v>45</v>
      </c>
      <c r="C26" s="11">
        <v>1595</v>
      </c>
      <c r="D26" s="3" t="s">
        <v>46</v>
      </c>
      <c r="E26" s="3">
        <v>0.6</v>
      </c>
      <c r="F26" s="3" t="s">
        <v>47</v>
      </c>
      <c r="G26" s="3">
        <v>1.3</v>
      </c>
      <c r="H26" s="3">
        <v>3.2</v>
      </c>
      <c r="I26" s="3">
        <v>2.9</v>
      </c>
      <c r="J26" s="2" t="s">
        <v>44</v>
      </c>
      <c r="K26" s="11">
        <v>1898</v>
      </c>
      <c r="L26" s="11">
        <v>1825</v>
      </c>
      <c r="M26" s="3">
        <v>0.7</v>
      </c>
      <c r="N26" s="3">
        <v>0.7</v>
      </c>
      <c r="O26" s="3">
        <v>1.6</v>
      </c>
      <c r="P26" s="3">
        <v>1.5</v>
      </c>
      <c r="Q26" s="3">
        <v>3.2</v>
      </c>
      <c r="R26" s="3">
        <v>3.2</v>
      </c>
    </row>
    <row r="27" spans="1:27" ht="15.75" thickBot="1" x14ac:dyDescent="0.3">
      <c r="A27" s="4" t="s">
        <v>48</v>
      </c>
      <c r="B27" s="5">
        <v>495</v>
      </c>
      <c r="C27" s="5">
        <v>488</v>
      </c>
      <c r="D27" s="5">
        <v>0.2</v>
      </c>
      <c r="E27" s="5">
        <v>0.2</v>
      </c>
      <c r="F27" s="5">
        <v>0.3</v>
      </c>
      <c r="G27" s="5">
        <v>0.3</v>
      </c>
      <c r="H27" s="5" t="s">
        <v>41</v>
      </c>
      <c r="I27" s="5" t="s">
        <v>41</v>
      </c>
      <c r="J27" s="4" t="s">
        <v>48</v>
      </c>
      <c r="K27" s="5">
        <v>608</v>
      </c>
      <c r="L27" s="5">
        <v>495</v>
      </c>
      <c r="M27" s="5">
        <v>0.2</v>
      </c>
      <c r="N27" s="5">
        <v>0.2</v>
      </c>
      <c r="O27" s="5">
        <v>0.3</v>
      </c>
      <c r="P27" s="5">
        <v>0.3</v>
      </c>
      <c r="Q27" s="5" t="s">
        <v>41</v>
      </c>
      <c r="R27" s="5" t="s">
        <v>41</v>
      </c>
    </row>
    <row r="28" spans="1:27" ht="15.75" thickBot="1" x14ac:dyDescent="0.3">
      <c r="A28" s="2" t="s">
        <v>49</v>
      </c>
      <c r="B28" s="3">
        <v>918</v>
      </c>
      <c r="C28" s="11">
        <v>1041</v>
      </c>
      <c r="D28" s="3">
        <v>0.3</v>
      </c>
      <c r="E28" s="3">
        <v>0.4</v>
      </c>
      <c r="F28" s="3">
        <v>0.4</v>
      </c>
      <c r="G28" s="3">
        <v>0.4</v>
      </c>
      <c r="H28" s="3">
        <v>8.4</v>
      </c>
      <c r="I28" s="3">
        <v>9.1</v>
      </c>
      <c r="J28" s="2" t="s">
        <v>49</v>
      </c>
      <c r="K28" s="11">
        <v>1013</v>
      </c>
      <c r="L28" s="3">
        <v>918</v>
      </c>
      <c r="M28" s="3">
        <v>0.4</v>
      </c>
      <c r="N28" s="3">
        <v>0.3</v>
      </c>
      <c r="O28" s="3">
        <v>0.4</v>
      </c>
      <c r="P28" s="3">
        <v>0.4</v>
      </c>
      <c r="Q28" s="3">
        <v>8.6999999999999993</v>
      </c>
      <c r="R28" s="3">
        <v>8.4</v>
      </c>
    </row>
    <row r="29" spans="1:27" ht="15.75" thickBot="1" x14ac:dyDescent="0.3">
      <c r="A29" s="14" t="s">
        <v>50</v>
      </c>
      <c r="B29" s="7">
        <v>2274</v>
      </c>
      <c r="C29" s="7">
        <v>2114</v>
      </c>
      <c r="D29" s="5">
        <v>0.8</v>
      </c>
      <c r="E29" s="5">
        <v>0.8</v>
      </c>
      <c r="F29" s="5">
        <v>1.2</v>
      </c>
      <c r="G29" s="5">
        <v>1.1000000000000001</v>
      </c>
      <c r="H29" s="5">
        <v>9.9</v>
      </c>
      <c r="I29" s="5">
        <v>9.5</v>
      </c>
      <c r="J29" s="14" t="s">
        <v>50</v>
      </c>
      <c r="K29" s="7">
        <v>2338</v>
      </c>
      <c r="L29" s="7">
        <v>2274</v>
      </c>
      <c r="M29" s="5">
        <v>0.9</v>
      </c>
      <c r="N29" s="5">
        <v>0.8</v>
      </c>
      <c r="O29" s="5">
        <v>1.2</v>
      </c>
      <c r="P29" s="5">
        <v>1.2</v>
      </c>
      <c r="Q29" s="5">
        <v>10</v>
      </c>
      <c r="R29" s="5">
        <v>9.9</v>
      </c>
    </row>
    <row r="30" spans="1:27" ht="15.75" thickBot="1" x14ac:dyDescent="0.3">
      <c r="A30" s="2" t="s">
        <v>51</v>
      </c>
      <c r="B30" s="11">
        <v>4878</v>
      </c>
      <c r="C30" s="11">
        <v>4879</v>
      </c>
      <c r="D30" s="3">
        <v>1.8</v>
      </c>
      <c r="E30" s="3">
        <v>1.8</v>
      </c>
      <c r="F30" s="3">
        <v>8.5</v>
      </c>
      <c r="G30" s="3">
        <v>8.1999999999999993</v>
      </c>
      <c r="H30" s="3">
        <v>2.7</v>
      </c>
      <c r="I30" s="3">
        <v>2.7</v>
      </c>
      <c r="J30" s="2" t="s">
        <v>51</v>
      </c>
      <c r="K30" s="11">
        <v>4914</v>
      </c>
      <c r="L30" s="11">
        <v>4878</v>
      </c>
      <c r="M30" s="3">
        <v>1.8</v>
      </c>
      <c r="N30" s="3">
        <v>1.8</v>
      </c>
      <c r="O30" s="3">
        <v>8.6</v>
      </c>
      <c r="P30" s="3">
        <v>8.5</v>
      </c>
      <c r="Q30" s="3">
        <v>2.7</v>
      </c>
      <c r="R30" s="3">
        <v>2.7</v>
      </c>
    </row>
    <row r="31" spans="1:27" ht="15" customHeight="1" x14ac:dyDescent="0.25">
      <c r="A31" s="134" t="s">
        <v>52</v>
      </c>
      <c r="B31" s="135"/>
      <c r="C31" s="135"/>
      <c r="D31" s="135"/>
      <c r="E31" s="135"/>
      <c r="F31" s="135"/>
      <c r="G31" s="135"/>
      <c r="H31" s="135"/>
      <c r="I31" s="136"/>
      <c r="J31" s="134" t="s">
        <v>52</v>
      </c>
      <c r="K31" s="135"/>
      <c r="L31" s="135"/>
      <c r="M31" s="135"/>
      <c r="N31" s="135"/>
      <c r="O31" s="135"/>
      <c r="P31" s="135"/>
      <c r="Q31" s="135"/>
      <c r="R31" s="136"/>
      <c r="S31" t="s">
        <v>70</v>
      </c>
    </row>
    <row r="32" spans="1:27" ht="22.5" customHeight="1" x14ac:dyDescent="0.25">
      <c r="A32" s="128" t="s">
        <v>53</v>
      </c>
      <c r="B32" s="129"/>
      <c r="C32" s="129"/>
      <c r="D32" s="129"/>
      <c r="E32" s="129"/>
      <c r="F32" s="129"/>
      <c r="G32" s="129"/>
      <c r="H32" s="129"/>
      <c r="I32" s="130"/>
      <c r="J32" s="128" t="s">
        <v>67</v>
      </c>
      <c r="K32" s="129"/>
      <c r="L32" s="129"/>
      <c r="M32" s="129"/>
      <c r="N32" s="129"/>
      <c r="O32" s="129"/>
      <c r="P32" s="129"/>
      <c r="Q32" s="129"/>
      <c r="R32" s="130"/>
      <c r="S32" t="s">
        <v>71</v>
      </c>
    </row>
    <row r="33" spans="1:19" x14ac:dyDescent="0.25">
      <c r="A33" s="145" t="s">
        <v>54</v>
      </c>
      <c r="B33" s="146"/>
      <c r="C33" s="146"/>
      <c r="D33" s="146"/>
      <c r="E33" s="146"/>
      <c r="F33" s="146"/>
      <c r="G33" s="146"/>
      <c r="H33" s="146"/>
      <c r="I33" s="147"/>
      <c r="J33" s="137" t="s">
        <v>68</v>
      </c>
      <c r="K33" s="138"/>
      <c r="L33" s="138"/>
      <c r="M33" s="138"/>
      <c r="N33" s="138"/>
      <c r="O33" s="138"/>
      <c r="P33" s="138"/>
      <c r="Q33" s="138"/>
      <c r="R33" s="139"/>
      <c r="S33" t="s">
        <v>79</v>
      </c>
    </row>
    <row r="34" spans="1:19" x14ac:dyDescent="0.25">
      <c r="A34" s="145" t="s">
        <v>55</v>
      </c>
      <c r="B34" s="146"/>
      <c r="C34" s="146"/>
      <c r="D34" s="146"/>
      <c r="E34" s="146"/>
      <c r="F34" s="146"/>
      <c r="G34" s="146"/>
      <c r="H34" s="146"/>
      <c r="I34" s="147"/>
      <c r="J34" s="137" t="s">
        <v>55</v>
      </c>
      <c r="K34" s="138"/>
      <c r="L34" s="138"/>
      <c r="M34" s="138"/>
      <c r="N34" s="138"/>
      <c r="O34" s="138"/>
      <c r="P34" s="138"/>
      <c r="Q34" s="138"/>
      <c r="R34" s="139"/>
      <c r="S34" t="s">
        <v>72</v>
      </c>
    </row>
    <row r="35" spans="1:19" x14ac:dyDescent="0.25">
      <c r="A35" s="128" t="s">
        <v>56</v>
      </c>
      <c r="B35" s="129"/>
      <c r="C35" s="129"/>
      <c r="D35" s="129"/>
      <c r="E35" s="129"/>
      <c r="F35" s="129"/>
      <c r="G35" s="129"/>
      <c r="H35" s="129"/>
      <c r="I35" s="130"/>
      <c r="J35" s="128" t="s">
        <v>56</v>
      </c>
      <c r="K35" s="129"/>
      <c r="L35" s="129"/>
      <c r="M35" s="129"/>
      <c r="N35" s="129"/>
      <c r="O35" s="129"/>
      <c r="P35" s="129"/>
      <c r="Q35" s="129"/>
      <c r="R35" s="130"/>
      <c r="S35" t="s">
        <v>73</v>
      </c>
    </row>
    <row r="36" spans="1:19" ht="15.75" thickBot="1" x14ac:dyDescent="0.3">
      <c r="A36" s="131" t="s">
        <v>57</v>
      </c>
      <c r="B36" s="132"/>
      <c r="C36" s="132"/>
      <c r="D36" s="132"/>
      <c r="E36" s="132"/>
      <c r="F36" s="132"/>
      <c r="G36" s="132"/>
      <c r="H36" s="132"/>
      <c r="I36" s="133"/>
      <c r="J36" s="131" t="s">
        <v>69</v>
      </c>
      <c r="K36" s="132"/>
      <c r="L36" s="132"/>
      <c r="M36" s="132"/>
      <c r="N36" s="132"/>
      <c r="O36" s="132"/>
      <c r="P36" s="132"/>
      <c r="Q36" s="132"/>
      <c r="R36" s="133"/>
      <c r="S36" t="s">
        <v>74</v>
      </c>
    </row>
    <row r="37" spans="1:19" x14ac:dyDescent="0.25">
      <c r="S37" t="s">
        <v>75</v>
      </c>
    </row>
    <row r="38" spans="1:19" x14ac:dyDescent="0.25">
      <c r="S38" t="s">
        <v>76</v>
      </c>
    </row>
    <row r="39" spans="1:19" x14ac:dyDescent="0.25">
      <c r="S39" t="s">
        <v>77</v>
      </c>
    </row>
    <row r="40" spans="1:19" x14ac:dyDescent="0.25">
      <c r="S40" t="s">
        <v>78</v>
      </c>
    </row>
    <row r="41" spans="1:19" x14ac:dyDescent="0.25">
      <c r="S41" s="16" t="s">
        <v>80</v>
      </c>
    </row>
    <row r="42" spans="1:19" x14ac:dyDescent="0.25">
      <c r="S42" s="15" t="s">
        <v>81</v>
      </c>
    </row>
    <row r="45" spans="1:19" x14ac:dyDescent="0.25">
      <c r="A45" s="22" t="s">
        <v>210</v>
      </c>
    </row>
    <row r="46" spans="1:19" x14ac:dyDescent="0.25">
      <c r="A46" t="s">
        <v>213</v>
      </c>
      <c r="B46">
        <v>2002</v>
      </c>
      <c r="C46">
        <v>2003</v>
      </c>
      <c r="D46">
        <v>2004</v>
      </c>
      <c r="E46">
        <v>2005</v>
      </c>
      <c r="F46">
        <v>2006</v>
      </c>
      <c r="G46">
        <v>2007</v>
      </c>
      <c r="H46">
        <v>2008</v>
      </c>
      <c r="I46">
        <v>2009</v>
      </c>
      <c r="J46">
        <v>2010</v>
      </c>
      <c r="K46">
        <v>2011</v>
      </c>
      <c r="L46">
        <v>2012</v>
      </c>
      <c r="M46">
        <v>2013</v>
      </c>
      <c r="N46">
        <v>2014</v>
      </c>
      <c r="O46">
        <v>2015</v>
      </c>
      <c r="P46">
        <v>2016</v>
      </c>
      <c r="Q46">
        <v>2017</v>
      </c>
      <c r="R46">
        <v>2018</v>
      </c>
      <c r="S46">
        <v>2019</v>
      </c>
    </row>
    <row r="47" spans="1:19" x14ac:dyDescent="0.25">
      <c r="A47" t="s">
        <v>214</v>
      </c>
      <c r="B47" t="s">
        <v>215</v>
      </c>
      <c r="C47">
        <v>92</v>
      </c>
      <c r="D47" t="s">
        <v>216</v>
      </c>
      <c r="E47" t="s">
        <v>217</v>
      </c>
      <c r="F47">
        <v>90</v>
      </c>
      <c r="G47" t="s">
        <v>218</v>
      </c>
      <c r="H47" t="s">
        <v>219</v>
      </c>
      <c r="I47" t="s">
        <v>220</v>
      </c>
      <c r="J47" t="s">
        <v>221</v>
      </c>
      <c r="K47" t="s">
        <v>222</v>
      </c>
      <c r="L47" t="s">
        <v>223</v>
      </c>
      <c r="M47" t="s">
        <v>224</v>
      </c>
      <c r="N47" t="s">
        <v>225</v>
      </c>
      <c r="O47" t="s">
        <v>226</v>
      </c>
      <c r="P47" t="s">
        <v>227</v>
      </c>
      <c r="Q47">
        <v>81</v>
      </c>
      <c r="R47" t="s">
        <v>215</v>
      </c>
      <c r="S47">
        <v>50</v>
      </c>
    </row>
    <row r="48" spans="1:19" x14ac:dyDescent="0.25">
      <c r="A48" t="s">
        <v>243</v>
      </c>
      <c r="B48">
        <v>39</v>
      </c>
      <c r="C48">
        <v>25</v>
      </c>
      <c r="D48">
        <v>31</v>
      </c>
      <c r="E48">
        <v>18</v>
      </c>
      <c r="F48">
        <v>24</v>
      </c>
      <c r="G48">
        <v>16</v>
      </c>
      <c r="H48">
        <v>29</v>
      </c>
      <c r="I48">
        <v>19</v>
      </c>
      <c r="J48">
        <v>23</v>
      </c>
      <c r="K48">
        <v>38</v>
      </c>
      <c r="L48">
        <v>21</v>
      </c>
      <c r="M48">
        <v>21</v>
      </c>
      <c r="N48">
        <v>13</v>
      </c>
      <c r="O48">
        <v>11</v>
      </c>
      <c r="P48">
        <v>8</v>
      </c>
      <c r="Q48">
        <v>9</v>
      </c>
      <c r="R48">
        <v>7</v>
      </c>
      <c r="S48" t="s">
        <v>27</v>
      </c>
    </row>
    <row r="49" spans="1:20" x14ac:dyDescent="0.25">
      <c r="A49" t="s">
        <v>228</v>
      </c>
      <c r="B49" t="s">
        <v>229</v>
      </c>
      <c r="C49" t="s">
        <v>230</v>
      </c>
      <c r="D49" t="s">
        <v>231</v>
      </c>
      <c r="E49" t="s">
        <v>232</v>
      </c>
      <c r="F49" t="s">
        <v>233</v>
      </c>
      <c r="G49" t="s">
        <v>234</v>
      </c>
      <c r="H49" t="s">
        <v>235</v>
      </c>
      <c r="I49" t="s">
        <v>236</v>
      </c>
      <c r="J49" t="s">
        <v>236</v>
      </c>
      <c r="K49" t="s">
        <v>237</v>
      </c>
      <c r="L49" t="s">
        <v>238</v>
      </c>
      <c r="M49" t="s">
        <v>229</v>
      </c>
      <c r="N49" t="s">
        <v>239</v>
      </c>
      <c r="O49" t="s">
        <v>232</v>
      </c>
      <c r="P49" t="s">
        <v>240</v>
      </c>
      <c r="Q49">
        <v>46</v>
      </c>
      <c r="R49">
        <v>35</v>
      </c>
      <c r="S49">
        <v>19</v>
      </c>
    </row>
    <row r="50" spans="1:20" x14ac:dyDescent="0.25">
      <c r="A50" t="s">
        <v>241</v>
      </c>
      <c r="B50">
        <v>12</v>
      </c>
      <c r="C50">
        <v>25</v>
      </c>
      <c r="D50">
        <v>40</v>
      </c>
      <c r="E50">
        <v>33</v>
      </c>
      <c r="F50">
        <v>9</v>
      </c>
      <c r="G50">
        <v>20</v>
      </c>
      <c r="H50">
        <v>28</v>
      </c>
      <c r="I50">
        <v>85</v>
      </c>
      <c r="J50">
        <v>37</v>
      </c>
      <c r="K50">
        <v>40</v>
      </c>
      <c r="L50">
        <v>40</v>
      </c>
      <c r="M50">
        <v>82</v>
      </c>
      <c r="N50" t="s">
        <v>242</v>
      </c>
      <c r="O50">
        <v>68</v>
      </c>
      <c r="P50">
        <v>80</v>
      </c>
      <c r="Q50">
        <v>26</v>
      </c>
      <c r="R50">
        <v>75</v>
      </c>
      <c r="S50">
        <v>31</v>
      </c>
    </row>
    <row r="51" spans="1:20" x14ac:dyDescent="0.25">
      <c r="A51" t="s">
        <v>211</v>
      </c>
    </row>
    <row r="52" spans="1:20" x14ac:dyDescent="0.25">
      <c r="A52" t="s">
        <v>212</v>
      </c>
    </row>
    <row r="54" spans="1:20" x14ac:dyDescent="0.25">
      <c r="A54" s="22" t="s">
        <v>247</v>
      </c>
    </row>
    <row r="55" spans="1:20" x14ac:dyDescent="0.25">
      <c r="A55" t="s">
        <v>213</v>
      </c>
      <c r="B55">
        <v>2015</v>
      </c>
      <c r="C55">
        <v>2016</v>
      </c>
      <c r="D55">
        <v>2017</v>
      </c>
      <c r="E55">
        <v>2018</v>
      </c>
      <c r="F55">
        <v>2019</v>
      </c>
    </row>
    <row r="56" spans="1:20" x14ac:dyDescent="0.25">
      <c r="A56" t="s">
        <v>214</v>
      </c>
      <c r="B56" t="s">
        <v>248</v>
      </c>
      <c r="C56" t="s">
        <v>249</v>
      </c>
      <c r="D56" t="s">
        <v>250</v>
      </c>
      <c r="E56" s="6">
        <v>1908</v>
      </c>
      <c r="F56" s="6">
        <v>1607</v>
      </c>
    </row>
    <row r="57" spans="1:20" x14ac:dyDescent="0.25">
      <c r="A57" t="s">
        <v>243</v>
      </c>
      <c r="B57" t="s">
        <v>251</v>
      </c>
      <c r="C57" t="s">
        <v>252</v>
      </c>
      <c r="D57">
        <v>316</v>
      </c>
      <c r="E57">
        <v>310</v>
      </c>
      <c r="F57">
        <v>245</v>
      </c>
    </row>
    <row r="58" spans="1:20" x14ac:dyDescent="0.25">
      <c r="A58" t="s">
        <v>228</v>
      </c>
      <c r="B58" t="s">
        <v>253</v>
      </c>
      <c r="C58" t="s">
        <v>254</v>
      </c>
      <c r="D58">
        <v>465</v>
      </c>
      <c r="E58">
        <v>464</v>
      </c>
      <c r="F58">
        <v>404</v>
      </c>
    </row>
    <row r="59" spans="1:20" x14ac:dyDescent="0.25">
      <c r="A59" t="s">
        <v>241</v>
      </c>
      <c r="B59" s="6">
        <v>1114</v>
      </c>
      <c r="C59" s="6">
        <v>1130</v>
      </c>
      <c r="D59" s="6">
        <v>1229</v>
      </c>
      <c r="E59" s="6">
        <v>1134</v>
      </c>
      <c r="F59">
        <v>958</v>
      </c>
    </row>
    <row r="60" spans="1:20" x14ac:dyDescent="0.25">
      <c r="A60" t="s">
        <v>211</v>
      </c>
    </row>
    <row r="63" spans="1:20" ht="15.75" thickBot="1" x14ac:dyDescent="0.3">
      <c r="A63" s="140" t="s">
        <v>532</v>
      </c>
      <c r="B63" s="141"/>
      <c r="C63" s="141"/>
      <c r="D63" s="141"/>
      <c r="E63" s="141"/>
      <c r="F63" s="141"/>
      <c r="G63" s="141"/>
      <c r="H63" s="141"/>
      <c r="I63" s="141"/>
      <c r="J63" s="141"/>
      <c r="K63" s="141"/>
      <c r="L63" s="141"/>
      <c r="M63" s="141"/>
      <c r="N63" s="141"/>
      <c r="O63" s="141"/>
      <c r="P63" s="141"/>
      <c r="Q63" s="141"/>
      <c r="R63" s="141"/>
      <c r="S63" s="141"/>
      <c r="T63" s="141"/>
    </row>
    <row r="64" spans="1:20" ht="19.5" thickBot="1" x14ac:dyDescent="0.3">
      <c r="A64" t="s">
        <v>1</v>
      </c>
      <c r="B64">
        <v>2002</v>
      </c>
      <c r="C64">
        <v>2003</v>
      </c>
      <c r="D64">
        <v>2004</v>
      </c>
      <c r="E64">
        <v>2005</v>
      </c>
      <c r="F64">
        <v>2006</v>
      </c>
      <c r="G64">
        <v>2007</v>
      </c>
      <c r="H64">
        <v>2008</v>
      </c>
      <c r="I64">
        <v>2009</v>
      </c>
      <c r="J64">
        <v>2010</v>
      </c>
      <c r="K64">
        <v>2011</v>
      </c>
      <c r="L64">
        <v>2012</v>
      </c>
      <c r="M64">
        <v>2013</v>
      </c>
      <c r="N64">
        <v>2014</v>
      </c>
      <c r="O64">
        <v>2015</v>
      </c>
      <c r="P64">
        <v>2016</v>
      </c>
      <c r="Q64">
        <v>2017</v>
      </c>
      <c r="R64">
        <v>2018</v>
      </c>
      <c r="S64">
        <v>2019</v>
      </c>
      <c r="T64" s="97">
        <v>2020</v>
      </c>
    </row>
    <row r="65" spans="1:20" ht="19.5" thickBot="1" x14ac:dyDescent="0.3">
      <c r="A65" t="s">
        <v>11</v>
      </c>
      <c r="B65" t="s">
        <v>88</v>
      </c>
      <c r="C65" t="s">
        <v>88</v>
      </c>
      <c r="D65" t="s">
        <v>88</v>
      </c>
      <c r="E65" t="s">
        <v>88</v>
      </c>
      <c r="F65" t="s">
        <v>88</v>
      </c>
      <c r="G65" t="s">
        <v>88</v>
      </c>
      <c r="H65" t="s">
        <v>88</v>
      </c>
      <c r="I65" t="s">
        <v>88</v>
      </c>
      <c r="J65" t="s">
        <v>88</v>
      </c>
      <c r="K65" t="s">
        <v>88</v>
      </c>
      <c r="L65" t="s">
        <v>88</v>
      </c>
      <c r="M65" t="s">
        <v>88</v>
      </c>
      <c r="N65" t="s">
        <v>88</v>
      </c>
      <c r="O65" t="s">
        <v>12</v>
      </c>
      <c r="P65" t="s">
        <v>12</v>
      </c>
      <c r="Q65" t="s">
        <v>12</v>
      </c>
      <c r="R65" t="s">
        <v>12</v>
      </c>
      <c r="S65" t="s">
        <v>12</v>
      </c>
      <c r="T65" s="98" t="s">
        <v>12</v>
      </c>
    </row>
    <row r="66" spans="1:20" ht="19.5" thickBot="1" x14ac:dyDescent="0.3">
      <c r="A66" s="23" t="s">
        <v>13</v>
      </c>
      <c r="B66" t="s">
        <v>93</v>
      </c>
      <c r="C66" t="s">
        <v>94</v>
      </c>
      <c r="D66" t="s">
        <v>95</v>
      </c>
      <c r="E66" t="s">
        <v>96</v>
      </c>
      <c r="F66" t="s">
        <v>97</v>
      </c>
      <c r="G66" t="s">
        <v>98</v>
      </c>
      <c r="H66" t="s">
        <v>99</v>
      </c>
      <c r="I66" t="s">
        <v>100</v>
      </c>
      <c r="J66" t="s">
        <v>101</v>
      </c>
      <c r="K66" t="s">
        <v>102</v>
      </c>
      <c r="L66" t="s">
        <v>103</v>
      </c>
      <c r="M66" t="s">
        <v>104</v>
      </c>
      <c r="N66" t="s">
        <v>105</v>
      </c>
      <c r="O66" t="s">
        <v>106</v>
      </c>
      <c r="P66" t="s">
        <v>107</v>
      </c>
      <c r="Q66" t="s">
        <v>108</v>
      </c>
      <c r="R66" t="s">
        <v>109</v>
      </c>
      <c r="S66" s="6">
        <v>3478</v>
      </c>
      <c r="T66" s="99">
        <v>2839</v>
      </c>
    </row>
    <row r="67" spans="1:20" ht="19.5" thickBot="1" x14ac:dyDescent="0.3">
      <c r="A67" s="23" t="s">
        <v>17</v>
      </c>
      <c r="B67" t="s">
        <v>110</v>
      </c>
      <c r="C67" t="s">
        <v>111</v>
      </c>
      <c r="D67" t="s">
        <v>112</v>
      </c>
      <c r="E67" t="s">
        <v>113</v>
      </c>
      <c r="F67" t="s">
        <v>114</v>
      </c>
      <c r="G67" t="s">
        <v>115</v>
      </c>
      <c r="H67">
        <v>724</v>
      </c>
      <c r="I67">
        <v>623</v>
      </c>
      <c r="J67">
        <v>642</v>
      </c>
      <c r="K67">
        <v>670</v>
      </c>
      <c r="L67">
        <v>639</v>
      </c>
      <c r="M67">
        <v>601</v>
      </c>
      <c r="N67">
        <v>766</v>
      </c>
      <c r="O67" t="s">
        <v>116</v>
      </c>
      <c r="P67" t="s">
        <v>117</v>
      </c>
      <c r="Q67" t="s">
        <v>118</v>
      </c>
      <c r="R67" t="s">
        <v>119</v>
      </c>
      <c r="S67">
        <v>671</v>
      </c>
      <c r="T67" s="98">
        <v>489</v>
      </c>
    </row>
    <row r="68" spans="1:20" ht="19.5" thickBot="1" x14ac:dyDescent="0.3">
      <c r="A68" s="24" t="s">
        <v>22</v>
      </c>
      <c r="B68" t="s">
        <v>120</v>
      </c>
      <c r="C68" t="s">
        <v>121</v>
      </c>
      <c r="D68" t="s">
        <v>122</v>
      </c>
      <c r="E68" t="s">
        <v>123</v>
      </c>
      <c r="F68" t="s">
        <v>124</v>
      </c>
      <c r="G68" t="s">
        <v>125</v>
      </c>
      <c r="H68" t="s">
        <v>126</v>
      </c>
      <c r="I68">
        <v>95</v>
      </c>
      <c r="J68">
        <v>83</v>
      </c>
      <c r="K68">
        <v>76</v>
      </c>
      <c r="L68">
        <v>84</v>
      </c>
      <c r="M68">
        <v>58</v>
      </c>
      <c r="N68">
        <v>109</v>
      </c>
      <c r="O68">
        <v>37</v>
      </c>
      <c r="P68">
        <v>88</v>
      </c>
      <c r="Q68">
        <v>83</v>
      </c>
      <c r="R68">
        <v>101</v>
      </c>
      <c r="S68">
        <v>92</v>
      </c>
      <c r="T68" s="100">
        <v>53</v>
      </c>
    </row>
    <row r="69" spans="1:20" ht="19.5" thickBot="1" x14ac:dyDescent="0.3">
      <c r="A69" s="26" t="s">
        <v>23</v>
      </c>
      <c r="B69" s="16">
        <v>117</v>
      </c>
      <c r="C69">
        <v>92</v>
      </c>
      <c r="D69" s="16">
        <v>118</v>
      </c>
      <c r="E69" s="16">
        <v>108</v>
      </c>
      <c r="F69">
        <v>90</v>
      </c>
      <c r="G69" s="16">
        <v>106</v>
      </c>
      <c r="H69" s="16">
        <v>116</v>
      </c>
      <c r="I69" s="16">
        <v>187</v>
      </c>
      <c r="J69" s="16">
        <v>142</v>
      </c>
      <c r="K69" s="16">
        <v>178</v>
      </c>
      <c r="L69" s="16">
        <v>156</v>
      </c>
      <c r="M69" s="16">
        <v>169</v>
      </c>
      <c r="N69" s="16">
        <v>212</v>
      </c>
      <c r="O69" s="16">
        <v>135</v>
      </c>
      <c r="P69" s="16">
        <v>170</v>
      </c>
      <c r="Q69">
        <v>81</v>
      </c>
      <c r="R69" s="16">
        <v>117</v>
      </c>
      <c r="S69">
        <v>50</v>
      </c>
      <c r="T69" s="98">
        <v>103</v>
      </c>
    </row>
    <row r="70" spans="1:20" ht="19.5" thickBot="1" x14ac:dyDescent="0.3">
      <c r="A70" s="23" t="s">
        <v>24</v>
      </c>
      <c r="B70" t="s">
        <v>88</v>
      </c>
      <c r="C70" t="s">
        <v>88</v>
      </c>
      <c r="D70" t="s">
        <v>88</v>
      </c>
      <c r="E70" t="s">
        <v>88</v>
      </c>
      <c r="F70" t="s">
        <v>88</v>
      </c>
      <c r="G70" t="s">
        <v>88</v>
      </c>
      <c r="H70" t="s">
        <v>88</v>
      </c>
      <c r="I70" t="s">
        <v>88</v>
      </c>
      <c r="J70" t="s">
        <v>88</v>
      </c>
      <c r="K70" t="s">
        <v>88</v>
      </c>
      <c r="L70" t="s">
        <v>88</v>
      </c>
      <c r="M70" t="s">
        <v>88</v>
      </c>
      <c r="N70" t="s">
        <v>88</v>
      </c>
      <c r="O70" s="6">
        <v>1160</v>
      </c>
      <c r="P70" s="6">
        <v>1178</v>
      </c>
      <c r="Q70" s="6">
        <v>1194</v>
      </c>
      <c r="R70" s="6">
        <v>1116</v>
      </c>
      <c r="S70" s="6">
        <v>1221</v>
      </c>
      <c r="T70" s="99">
        <v>1413</v>
      </c>
    </row>
    <row r="71" spans="1:20" ht="19.5" thickBot="1" x14ac:dyDescent="0.3">
      <c r="A71" s="24" t="s">
        <v>25</v>
      </c>
      <c r="B71" t="s">
        <v>128</v>
      </c>
      <c r="C71" t="s">
        <v>129</v>
      </c>
      <c r="D71" t="s">
        <v>130</v>
      </c>
      <c r="E71" t="s">
        <v>124</v>
      </c>
      <c r="F71" t="s">
        <v>131</v>
      </c>
      <c r="G71" t="s">
        <v>132</v>
      </c>
      <c r="H71" t="s">
        <v>133</v>
      </c>
      <c r="I71" t="s">
        <v>134</v>
      </c>
      <c r="J71" t="s">
        <v>135</v>
      </c>
      <c r="K71" t="s">
        <v>136</v>
      </c>
      <c r="L71" t="s">
        <v>137</v>
      </c>
      <c r="M71" t="s">
        <v>138</v>
      </c>
      <c r="N71" t="s">
        <v>139</v>
      </c>
      <c r="O71" t="s">
        <v>140</v>
      </c>
      <c r="P71">
        <v>844</v>
      </c>
      <c r="Q71">
        <v>794</v>
      </c>
      <c r="R71">
        <v>778</v>
      </c>
      <c r="S71">
        <v>883</v>
      </c>
      <c r="T71" s="98">
        <v>859</v>
      </c>
    </row>
    <row r="72" spans="1:20" ht="19.5" thickBot="1" x14ac:dyDescent="0.3">
      <c r="A72" s="24" t="s">
        <v>26</v>
      </c>
      <c r="B72" t="s">
        <v>141</v>
      </c>
      <c r="C72" t="s">
        <v>142</v>
      </c>
      <c r="D72" t="s">
        <v>127</v>
      </c>
      <c r="E72" t="s">
        <v>143</v>
      </c>
      <c r="F72" t="s">
        <v>144</v>
      </c>
      <c r="G72">
        <v>58</v>
      </c>
      <c r="H72">
        <v>53</v>
      </c>
      <c r="I72">
        <v>45</v>
      </c>
      <c r="J72">
        <v>46</v>
      </c>
      <c r="K72">
        <v>48</v>
      </c>
      <c r="L72" t="s">
        <v>145</v>
      </c>
      <c r="M72">
        <v>32</v>
      </c>
      <c r="N72">
        <v>41</v>
      </c>
      <c r="O72">
        <v>42</v>
      </c>
      <c r="P72">
        <v>43</v>
      </c>
      <c r="Q72">
        <v>23</v>
      </c>
      <c r="R72">
        <v>14</v>
      </c>
      <c r="S72">
        <v>30</v>
      </c>
      <c r="T72" s="100">
        <v>52</v>
      </c>
    </row>
    <row r="73" spans="1:20" ht="19.5" thickBot="1" x14ac:dyDescent="0.3">
      <c r="A73" s="24" t="s">
        <v>28</v>
      </c>
      <c r="B73" t="s">
        <v>88</v>
      </c>
      <c r="C73" t="s">
        <v>88</v>
      </c>
      <c r="D73" t="s">
        <v>88</v>
      </c>
      <c r="E73" t="s">
        <v>88</v>
      </c>
      <c r="F73" t="s">
        <v>88</v>
      </c>
      <c r="G73" t="s">
        <v>88</v>
      </c>
      <c r="H73" t="s">
        <v>88</v>
      </c>
      <c r="I73" t="s">
        <v>88</v>
      </c>
      <c r="J73" t="s">
        <v>88</v>
      </c>
      <c r="K73" t="s">
        <v>88</v>
      </c>
      <c r="L73" t="s">
        <v>88</v>
      </c>
      <c r="M73" t="s">
        <v>88</v>
      </c>
      <c r="N73" t="s">
        <v>88</v>
      </c>
      <c r="O73">
        <v>839</v>
      </c>
      <c r="P73">
        <v>757</v>
      </c>
      <c r="Q73">
        <v>787</v>
      </c>
      <c r="R73">
        <v>722</v>
      </c>
      <c r="S73">
        <v>744</v>
      </c>
      <c r="T73" s="98">
        <v>632</v>
      </c>
    </row>
    <row r="74" spans="1:20" ht="19.5" thickBot="1" x14ac:dyDescent="0.3">
      <c r="A74" s="23" t="s">
        <v>29</v>
      </c>
      <c r="B74" t="s">
        <v>88</v>
      </c>
      <c r="C74" t="s">
        <v>88</v>
      </c>
      <c r="D74" t="s">
        <v>88</v>
      </c>
      <c r="E74" t="s">
        <v>88</v>
      </c>
      <c r="F74" t="s">
        <v>88</v>
      </c>
      <c r="G74" t="s">
        <v>88</v>
      </c>
      <c r="H74" t="s">
        <v>88</v>
      </c>
      <c r="I74" t="s">
        <v>88</v>
      </c>
      <c r="J74" t="s">
        <v>88</v>
      </c>
      <c r="K74" t="s">
        <v>88</v>
      </c>
      <c r="L74" t="s">
        <v>88</v>
      </c>
      <c r="M74" t="s">
        <v>88</v>
      </c>
      <c r="N74" t="s">
        <v>88</v>
      </c>
      <c r="O74">
        <v>600</v>
      </c>
      <c r="P74" t="s">
        <v>146</v>
      </c>
      <c r="Q74" t="s">
        <v>147</v>
      </c>
      <c r="R74" t="s">
        <v>148</v>
      </c>
      <c r="S74">
        <v>730</v>
      </c>
      <c r="T74" s="100">
        <v>678</v>
      </c>
    </row>
    <row r="75" spans="1:20" ht="19.5" thickBot="1" x14ac:dyDescent="0.3">
      <c r="A75" s="23" t="s">
        <v>32</v>
      </c>
      <c r="B75" t="s">
        <v>88</v>
      </c>
      <c r="C75" t="s">
        <v>88</v>
      </c>
      <c r="D75" t="s">
        <v>88</v>
      </c>
      <c r="E75" t="s">
        <v>88</v>
      </c>
      <c r="F75" t="s">
        <v>88</v>
      </c>
      <c r="G75" t="s">
        <v>88</v>
      </c>
      <c r="H75" t="s">
        <v>88</v>
      </c>
      <c r="I75" t="s">
        <v>88</v>
      </c>
      <c r="J75" t="s">
        <v>88</v>
      </c>
      <c r="K75" t="s">
        <v>88</v>
      </c>
      <c r="L75" t="s">
        <v>88</v>
      </c>
      <c r="M75" t="s">
        <v>88</v>
      </c>
      <c r="N75" t="s">
        <v>88</v>
      </c>
      <c r="O75">
        <v>225</v>
      </c>
      <c r="P75">
        <v>192</v>
      </c>
      <c r="Q75">
        <v>195</v>
      </c>
      <c r="R75">
        <v>205</v>
      </c>
      <c r="S75">
        <v>184</v>
      </c>
      <c r="T75" s="98">
        <v>153</v>
      </c>
    </row>
    <row r="76" spans="1:20" ht="19.5" thickBot="1" x14ac:dyDescent="0.3">
      <c r="A76" s="23" t="s">
        <v>206</v>
      </c>
      <c r="B76" t="s">
        <v>88</v>
      </c>
      <c r="C76" t="s">
        <v>88</v>
      </c>
      <c r="D76" t="s">
        <v>88</v>
      </c>
      <c r="E76" t="s">
        <v>88</v>
      </c>
      <c r="F76" t="s">
        <v>88</v>
      </c>
      <c r="G76" t="s">
        <v>88</v>
      </c>
      <c r="H76" t="s">
        <v>88</v>
      </c>
      <c r="I76" t="s">
        <v>88</v>
      </c>
      <c r="J76" t="s">
        <v>88</v>
      </c>
      <c r="K76" t="s">
        <v>88</v>
      </c>
      <c r="L76" t="s">
        <v>88</v>
      </c>
      <c r="M76" t="s">
        <v>88</v>
      </c>
      <c r="N76" t="s">
        <v>88</v>
      </c>
      <c r="O76" t="s">
        <v>12</v>
      </c>
      <c r="P76" t="s">
        <v>12</v>
      </c>
      <c r="Q76" t="s">
        <v>12</v>
      </c>
      <c r="R76" t="s">
        <v>12</v>
      </c>
      <c r="S76" t="s">
        <v>12</v>
      </c>
      <c r="T76" s="100" t="s">
        <v>12</v>
      </c>
    </row>
    <row r="77" spans="1:20" ht="19.5" thickBot="1" x14ac:dyDescent="0.3">
      <c r="A77" s="27" t="s">
        <v>207</v>
      </c>
      <c r="B77" t="s">
        <v>88</v>
      </c>
      <c r="C77" t="s">
        <v>88</v>
      </c>
      <c r="D77" t="s">
        <v>88</v>
      </c>
      <c r="E77" t="s">
        <v>88</v>
      </c>
      <c r="F77" t="s">
        <v>88</v>
      </c>
      <c r="G77" t="s">
        <v>88</v>
      </c>
      <c r="H77" t="s">
        <v>88</v>
      </c>
      <c r="I77" t="s">
        <v>88</v>
      </c>
      <c r="J77" t="s">
        <v>88</v>
      </c>
      <c r="K77" t="s">
        <v>88</v>
      </c>
      <c r="L77" t="s">
        <v>88</v>
      </c>
      <c r="M77" t="s">
        <v>88</v>
      </c>
      <c r="N77" t="s">
        <v>88</v>
      </c>
      <c r="O77" s="28">
        <v>2126</v>
      </c>
      <c r="P77" s="28">
        <v>2139</v>
      </c>
      <c r="Q77" s="28">
        <v>2010</v>
      </c>
      <c r="R77" s="6">
        <v>1908</v>
      </c>
      <c r="S77" s="6">
        <v>1607</v>
      </c>
      <c r="T77" s="101">
        <v>1223</v>
      </c>
    </row>
    <row r="78" spans="1:20" ht="19.5" thickBot="1" x14ac:dyDescent="0.3">
      <c r="A78" s="24" t="s">
        <v>35</v>
      </c>
      <c r="B78" t="s">
        <v>88</v>
      </c>
      <c r="C78" t="s">
        <v>88</v>
      </c>
      <c r="D78" t="s">
        <v>88</v>
      </c>
      <c r="E78" t="s">
        <v>88</v>
      </c>
      <c r="F78" t="s">
        <v>88</v>
      </c>
      <c r="G78" t="s">
        <v>88</v>
      </c>
      <c r="H78" t="s">
        <v>88</v>
      </c>
      <c r="I78" t="s">
        <v>88</v>
      </c>
      <c r="J78" t="s">
        <v>88</v>
      </c>
      <c r="K78" t="s">
        <v>88</v>
      </c>
      <c r="L78" t="s">
        <v>88</v>
      </c>
      <c r="M78" t="s">
        <v>88</v>
      </c>
      <c r="N78" t="s">
        <v>88</v>
      </c>
      <c r="O78" t="s">
        <v>149</v>
      </c>
      <c r="P78" t="s">
        <v>150</v>
      </c>
      <c r="Q78" t="s">
        <v>151</v>
      </c>
      <c r="R78" s="6">
        <v>1001</v>
      </c>
      <c r="S78">
        <v>901</v>
      </c>
      <c r="T78" s="100">
        <v>734</v>
      </c>
    </row>
    <row r="79" spans="1:20" ht="19.5" thickBot="1" x14ac:dyDescent="0.3">
      <c r="A79" s="24" t="s">
        <v>36</v>
      </c>
      <c r="B79" t="s">
        <v>88</v>
      </c>
      <c r="C79" t="s">
        <v>88</v>
      </c>
      <c r="D79" t="s">
        <v>88</v>
      </c>
      <c r="E79" t="s">
        <v>88</v>
      </c>
      <c r="F79" t="s">
        <v>88</v>
      </c>
      <c r="G79" t="s">
        <v>88</v>
      </c>
      <c r="H79" t="s">
        <v>88</v>
      </c>
      <c r="I79" t="s">
        <v>88</v>
      </c>
      <c r="J79" t="s">
        <v>88</v>
      </c>
      <c r="K79" t="s">
        <v>88</v>
      </c>
      <c r="L79" t="s">
        <v>88</v>
      </c>
      <c r="M79" t="s">
        <v>88</v>
      </c>
      <c r="N79" t="s">
        <v>88</v>
      </c>
      <c r="O79" t="s">
        <v>12</v>
      </c>
      <c r="P79" t="s">
        <v>12</v>
      </c>
      <c r="Q79" t="s">
        <v>12</v>
      </c>
      <c r="R79" t="s">
        <v>12</v>
      </c>
      <c r="S79" t="s">
        <v>12</v>
      </c>
      <c r="T79" s="98" t="s">
        <v>12</v>
      </c>
    </row>
    <row r="80" spans="1:20" ht="19.5" thickBot="1" x14ac:dyDescent="0.3">
      <c r="A80" s="25" t="s">
        <v>37</v>
      </c>
      <c r="B80" t="s">
        <v>88</v>
      </c>
      <c r="C80" t="s">
        <v>88</v>
      </c>
      <c r="D80" t="s">
        <v>88</v>
      </c>
      <c r="E80" t="s">
        <v>88</v>
      </c>
      <c r="F80" t="s">
        <v>88</v>
      </c>
      <c r="G80" t="s">
        <v>88</v>
      </c>
      <c r="H80" t="s">
        <v>88</v>
      </c>
      <c r="I80" t="s">
        <v>88</v>
      </c>
      <c r="J80" t="s">
        <v>88</v>
      </c>
      <c r="K80" t="s">
        <v>88</v>
      </c>
      <c r="L80" t="s">
        <v>88</v>
      </c>
      <c r="M80" t="s">
        <v>88</v>
      </c>
      <c r="N80" t="s">
        <v>88</v>
      </c>
      <c r="O80" t="s">
        <v>152</v>
      </c>
      <c r="P80" t="s">
        <v>150</v>
      </c>
      <c r="Q80" t="s">
        <v>153</v>
      </c>
      <c r="R80" t="s">
        <v>154</v>
      </c>
      <c r="S80">
        <v>949</v>
      </c>
      <c r="T80" s="100">
        <v>950</v>
      </c>
    </row>
    <row r="81" spans="1:20" ht="19.5" thickBot="1" x14ac:dyDescent="0.3">
      <c r="A81" s="25" t="s">
        <v>39</v>
      </c>
      <c r="B81" t="s">
        <v>88</v>
      </c>
      <c r="C81" t="s">
        <v>88</v>
      </c>
      <c r="D81" t="s">
        <v>88</v>
      </c>
      <c r="E81" t="s">
        <v>88</v>
      </c>
      <c r="F81" t="s">
        <v>88</v>
      </c>
      <c r="G81" t="s">
        <v>88</v>
      </c>
      <c r="H81" t="s">
        <v>88</v>
      </c>
      <c r="I81" t="s">
        <v>88</v>
      </c>
      <c r="J81" t="s">
        <v>88</v>
      </c>
      <c r="K81" t="s">
        <v>88</v>
      </c>
      <c r="L81" t="s">
        <v>88</v>
      </c>
      <c r="M81" t="s">
        <v>88</v>
      </c>
      <c r="N81" t="s">
        <v>88</v>
      </c>
      <c r="O81" t="s">
        <v>155</v>
      </c>
      <c r="P81">
        <v>294</v>
      </c>
      <c r="Q81">
        <v>271</v>
      </c>
      <c r="R81">
        <v>251</v>
      </c>
      <c r="S81">
        <v>239</v>
      </c>
      <c r="T81" s="98">
        <v>343</v>
      </c>
    </row>
    <row r="82" spans="1:20" ht="19.5" thickBot="1" x14ac:dyDescent="0.3">
      <c r="A82" s="24" t="s">
        <v>40</v>
      </c>
      <c r="B82" t="s">
        <v>41</v>
      </c>
      <c r="C82" t="s">
        <v>41</v>
      </c>
      <c r="D82" t="s">
        <v>41</v>
      </c>
      <c r="E82" t="s">
        <v>41</v>
      </c>
      <c r="F82" t="s">
        <v>41</v>
      </c>
      <c r="G82" t="s">
        <v>41</v>
      </c>
      <c r="H82" t="s">
        <v>41</v>
      </c>
      <c r="I82" t="s">
        <v>41</v>
      </c>
      <c r="J82" t="s">
        <v>41</v>
      </c>
      <c r="K82" t="s">
        <v>41</v>
      </c>
      <c r="L82" t="s">
        <v>41</v>
      </c>
      <c r="M82" t="s">
        <v>41</v>
      </c>
      <c r="N82" t="s">
        <v>41</v>
      </c>
      <c r="O82" t="s">
        <v>41</v>
      </c>
      <c r="P82" t="s">
        <v>41</v>
      </c>
      <c r="Q82" t="s">
        <v>41</v>
      </c>
      <c r="R82" t="s">
        <v>41</v>
      </c>
      <c r="S82" t="s">
        <v>41</v>
      </c>
      <c r="T82" s="100" t="s">
        <v>41</v>
      </c>
    </row>
    <row r="83" spans="1:20" ht="19.5" thickBot="1" x14ac:dyDescent="0.3">
      <c r="A83" s="23" t="s">
        <v>42</v>
      </c>
      <c r="B83" t="s">
        <v>88</v>
      </c>
      <c r="C83" t="s">
        <v>88</v>
      </c>
      <c r="D83" t="s">
        <v>88</v>
      </c>
      <c r="E83" t="s">
        <v>88</v>
      </c>
      <c r="F83" t="s">
        <v>88</v>
      </c>
      <c r="G83" t="s">
        <v>88</v>
      </c>
      <c r="H83" t="s">
        <v>88</v>
      </c>
      <c r="I83" t="s">
        <v>88</v>
      </c>
      <c r="J83" t="s">
        <v>88</v>
      </c>
      <c r="K83" t="s">
        <v>88</v>
      </c>
      <c r="L83" t="s">
        <v>88</v>
      </c>
      <c r="M83" t="s">
        <v>88</v>
      </c>
      <c r="N83" t="s">
        <v>88</v>
      </c>
      <c r="O83" t="s">
        <v>12</v>
      </c>
      <c r="P83" t="s">
        <v>12</v>
      </c>
      <c r="Q83" t="s">
        <v>12</v>
      </c>
      <c r="R83" t="s">
        <v>12</v>
      </c>
      <c r="S83" t="s">
        <v>12</v>
      </c>
      <c r="T83" s="98" t="s">
        <v>12</v>
      </c>
    </row>
    <row r="84" spans="1:20" ht="19.5" thickBot="1" x14ac:dyDescent="0.3">
      <c r="A84" s="23" t="s">
        <v>208</v>
      </c>
      <c r="B84" t="s">
        <v>88</v>
      </c>
      <c r="C84" t="s">
        <v>88</v>
      </c>
      <c r="D84" t="s">
        <v>88</v>
      </c>
      <c r="E84" t="s">
        <v>88</v>
      </c>
      <c r="F84" t="s">
        <v>88</v>
      </c>
      <c r="G84" t="s">
        <v>88</v>
      </c>
      <c r="H84" t="s">
        <v>88</v>
      </c>
      <c r="I84" t="s">
        <v>88</v>
      </c>
      <c r="J84" t="s">
        <v>88</v>
      </c>
      <c r="K84" t="s">
        <v>88</v>
      </c>
      <c r="L84" t="s">
        <v>88</v>
      </c>
      <c r="M84" t="s">
        <v>88</v>
      </c>
      <c r="N84" t="s">
        <v>88</v>
      </c>
      <c r="O84" t="s">
        <v>12</v>
      </c>
      <c r="P84" t="s">
        <v>12</v>
      </c>
      <c r="Q84" t="s">
        <v>12</v>
      </c>
      <c r="R84" t="s">
        <v>12</v>
      </c>
      <c r="S84" t="s">
        <v>12</v>
      </c>
      <c r="T84" s="100" t="s">
        <v>12</v>
      </c>
    </row>
    <row r="85" spans="1:20" ht="19.5" thickBot="1" x14ac:dyDescent="0.3">
      <c r="A85" t="s">
        <v>44</v>
      </c>
      <c r="B85" t="s">
        <v>156</v>
      </c>
      <c r="C85" t="s">
        <v>157</v>
      </c>
      <c r="D85" t="s">
        <v>158</v>
      </c>
      <c r="E85" t="s">
        <v>159</v>
      </c>
      <c r="F85" t="s">
        <v>160</v>
      </c>
      <c r="G85" t="s">
        <v>161</v>
      </c>
      <c r="H85" t="s">
        <v>162</v>
      </c>
      <c r="I85" t="s">
        <v>163</v>
      </c>
      <c r="J85" t="s">
        <v>164</v>
      </c>
      <c r="K85" t="s">
        <v>165</v>
      </c>
      <c r="L85" t="s">
        <v>166</v>
      </c>
      <c r="M85" t="s">
        <v>167</v>
      </c>
      <c r="N85" t="s">
        <v>168</v>
      </c>
      <c r="O85" t="s">
        <v>169</v>
      </c>
      <c r="P85" s="6">
        <v>1782</v>
      </c>
      <c r="Q85" t="s">
        <v>170</v>
      </c>
      <c r="R85" t="s">
        <v>171</v>
      </c>
      <c r="S85" s="6">
        <v>1595</v>
      </c>
      <c r="T85" s="101">
        <v>1264</v>
      </c>
    </row>
    <row r="86" spans="1:20" ht="19.5" thickBot="1" x14ac:dyDescent="0.3">
      <c r="A86" s="23" t="s">
        <v>209</v>
      </c>
      <c r="B86" t="s">
        <v>172</v>
      </c>
      <c r="C86" t="s">
        <v>173</v>
      </c>
      <c r="D86" t="s">
        <v>174</v>
      </c>
      <c r="E86" t="s">
        <v>175</v>
      </c>
      <c r="F86" t="s">
        <v>176</v>
      </c>
      <c r="G86" t="s">
        <v>177</v>
      </c>
      <c r="H86" t="s">
        <v>178</v>
      </c>
      <c r="I86" t="s">
        <v>179</v>
      </c>
      <c r="J86" t="s">
        <v>180</v>
      </c>
      <c r="K86" t="s">
        <v>181</v>
      </c>
      <c r="L86" t="s">
        <v>182</v>
      </c>
      <c r="M86" t="s">
        <v>183</v>
      </c>
      <c r="N86" t="s">
        <v>184</v>
      </c>
      <c r="O86" t="s">
        <v>185</v>
      </c>
      <c r="P86">
        <v>620</v>
      </c>
      <c r="Q86">
        <v>608</v>
      </c>
      <c r="R86">
        <v>495</v>
      </c>
      <c r="S86">
        <v>488</v>
      </c>
      <c r="T86" s="98">
        <v>458</v>
      </c>
    </row>
    <row r="87" spans="1:20" ht="19.5" thickBot="1" x14ac:dyDescent="0.3">
      <c r="A87" t="s">
        <v>49</v>
      </c>
      <c r="B87" t="s">
        <v>88</v>
      </c>
      <c r="C87" t="s">
        <v>88</v>
      </c>
      <c r="D87" t="s">
        <v>88</v>
      </c>
      <c r="E87" t="s">
        <v>88</v>
      </c>
      <c r="F87" t="s">
        <v>88</v>
      </c>
      <c r="G87" t="s">
        <v>88</v>
      </c>
      <c r="H87" t="s">
        <v>88</v>
      </c>
      <c r="I87" t="s">
        <v>88</v>
      </c>
      <c r="J87" t="s">
        <v>88</v>
      </c>
      <c r="K87" t="s">
        <v>88</v>
      </c>
      <c r="L87" t="s">
        <v>88</v>
      </c>
      <c r="M87" t="s">
        <v>88</v>
      </c>
      <c r="N87" t="s">
        <v>88</v>
      </c>
      <c r="O87" t="s">
        <v>186</v>
      </c>
      <c r="P87" s="6">
        <v>1157</v>
      </c>
      <c r="Q87" s="6">
        <v>1013</v>
      </c>
      <c r="R87">
        <v>918</v>
      </c>
      <c r="S87" s="6">
        <v>1041</v>
      </c>
      <c r="T87" s="98">
        <v>653</v>
      </c>
    </row>
    <row r="88" spans="1:20" ht="19.5" thickBot="1" x14ac:dyDescent="0.3">
      <c r="A88" t="s">
        <v>50</v>
      </c>
      <c r="B88" t="s">
        <v>187</v>
      </c>
      <c r="C88" t="s">
        <v>188</v>
      </c>
      <c r="D88" t="s">
        <v>189</v>
      </c>
      <c r="E88" t="s">
        <v>190</v>
      </c>
      <c r="F88" t="s">
        <v>109</v>
      </c>
      <c r="G88" t="s">
        <v>191</v>
      </c>
      <c r="H88" t="s">
        <v>192</v>
      </c>
      <c r="I88" t="s">
        <v>193</v>
      </c>
      <c r="J88" t="s">
        <v>194</v>
      </c>
      <c r="K88" t="s">
        <v>195</v>
      </c>
      <c r="L88" t="s">
        <v>196</v>
      </c>
      <c r="M88" t="s">
        <v>197</v>
      </c>
      <c r="N88" t="s">
        <v>198</v>
      </c>
      <c r="O88" t="s">
        <v>199</v>
      </c>
      <c r="P88" s="6">
        <v>2359</v>
      </c>
      <c r="Q88" s="6">
        <v>2338</v>
      </c>
      <c r="R88" s="6">
        <v>2274</v>
      </c>
      <c r="S88" s="6">
        <v>2114</v>
      </c>
      <c r="T88" s="99">
        <v>1502</v>
      </c>
    </row>
    <row r="89" spans="1:20" ht="19.5" thickBot="1" x14ac:dyDescent="0.3">
      <c r="A89" t="s">
        <v>51</v>
      </c>
      <c r="B89" t="s">
        <v>200</v>
      </c>
      <c r="C89" t="s">
        <v>201</v>
      </c>
      <c r="D89" t="s">
        <v>202</v>
      </c>
      <c r="E89" t="s">
        <v>203</v>
      </c>
      <c r="F89" t="s">
        <v>204</v>
      </c>
      <c r="G89" s="6">
        <v>4551</v>
      </c>
      <c r="H89" t="s">
        <v>205</v>
      </c>
      <c r="I89" s="6">
        <v>4561</v>
      </c>
      <c r="J89" s="6">
        <v>4675</v>
      </c>
      <c r="K89" s="6">
        <v>4699</v>
      </c>
      <c r="L89" s="6">
        <v>4589</v>
      </c>
      <c r="M89" s="6">
        <v>4559</v>
      </c>
      <c r="N89" s="6">
        <v>4655</v>
      </c>
      <c r="O89" s="6">
        <v>4761</v>
      </c>
      <c r="P89" s="6">
        <v>4639</v>
      </c>
      <c r="Q89" s="6">
        <v>4914</v>
      </c>
      <c r="R89" s="6">
        <v>4878</v>
      </c>
      <c r="S89" s="6">
        <v>4879</v>
      </c>
      <c r="T89" s="101">
        <v>4076</v>
      </c>
    </row>
    <row r="90" spans="1:20" x14ac:dyDescent="0.25">
      <c r="A90" t="s">
        <v>52</v>
      </c>
    </row>
    <row r="91" spans="1:20" x14ac:dyDescent="0.25">
      <c r="A91" t="s">
        <v>89</v>
      </c>
    </row>
    <row r="92" spans="1:20" x14ac:dyDescent="0.25">
      <c r="A92" s="16" t="s">
        <v>90</v>
      </c>
    </row>
    <row r="93" spans="1:20" x14ac:dyDescent="0.25">
      <c r="A93" t="s">
        <v>91</v>
      </c>
    </row>
    <row r="94" spans="1:20" x14ac:dyDescent="0.25">
      <c r="A94" t="s">
        <v>92</v>
      </c>
    </row>
    <row r="95" spans="1:20" ht="15.75" thickBot="1" x14ac:dyDescent="0.3">
      <c r="A95" s="142" t="s">
        <v>533</v>
      </c>
      <c r="B95" s="143"/>
      <c r="C95" s="143"/>
      <c r="D95" s="143"/>
      <c r="E95" s="143"/>
      <c r="F95" s="143"/>
      <c r="G95" s="143"/>
      <c r="H95" s="143"/>
      <c r="I95" s="143"/>
      <c r="J95" s="143"/>
      <c r="K95" s="143"/>
      <c r="L95" s="143"/>
      <c r="M95" s="143"/>
      <c r="N95" s="143"/>
      <c r="O95" s="143"/>
      <c r="P95" s="143"/>
      <c r="Q95" s="143"/>
      <c r="R95" s="143"/>
      <c r="S95" s="143"/>
      <c r="T95" s="144"/>
    </row>
    <row r="127" ht="20.45" customHeight="1" x14ac:dyDescent="0.25"/>
    <row r="129" ht="20.45" customHeight="1" x14ac:dyDescent="0.25"/>
  </sheetData>
  <mergeCells count="55">
    <mergeCell ref="A95:T95"/>
    <mergeCell ref="A63:T63"/>
    <mergeCell ref="A1:I1"/>
    <mergeCell ref="A2:A5"/>
    <mergeCell ref="B2:C2"/>
    <mergeCell ref="B3:C3"/>
    <mergeCell ref="B4:C4"/>
    <mergeCell ref="D2:E2"/>
    <mergeCell ref="D3:E3"/>
    <mergeCell ref="D4:E4"/>
    <mergeCell ref="F2:G2"/>
    <mergeCell ref="F3:G3"/>
    <mergeCell ref="A33:I33"/>
    <mergeCell ref="A34:I34"/>
    <mergeCell ref="A35:I35"/>
    <mergeCell ref="A36:I36"/>
    <mergeCell ref="H2:I2"/>
    <mergeCell ref="H3:I3"/>
    <mergeCell ref="H4:I4"/>
    <mergeCell ref="A31:I31"/>
    <mergeCell ref="J1:R1"/>
    <mergeCell ref="J2:J5"/>
    <mergeCell ref="K2:L2"/>
    <mergeCell ref="K3:L3"/>
    <mergeCell ref="K4:L4"/>
    <mergeCell ref="M2:N2"/>
    <mergeCell ref="A32:I32"/>
    <mergeCell ref="J36:R36"/>
    <mergeCell ref="M3:N3"/>
    <mergeCell ref="M4:N4"/>
    <mergeCell ref="O2:P2"/>
    <mergeCell ref="O3:P3"/>
    <mergeCell ref="O4:P4"/>
    <mergeCell ref="Q2:R2"/>
    <mergeCell ref="Q3:R3"/>
    <mergeCell ref="Q4:R4"/>
    <mergeCell ref="J31:R31"/>
    <mergeCell ref="J32:R32"/>
    <mergeCell ref="J33:R33"/>
    <mergeCell ref="J34:R34"/>
    <mergeCell ref="J35:R35"/>
    <mergeCell ref="F4:G4"/>
    <mergeCell ref="T4:U4"/>
    <mergeCell ref="V4:W4"/>
    <mergeCell ref="X4:Y4"/>
    <mergeCell ref="Z4:AA4"/>
    <mergeCell ref="S2:S5"/>
    <mergeCell ref="T2:U2"/>
    <mergeCell ref="V2:W2"/>
    <mergeCell ref="X2:Y2"/>
    <mergeCell ref="Z2:AA2"/>
    <mergeCell ref="T3:U3"/>
    <mergeCell ref="V3:W3"/>
    <mergeCell ref="X3:Y3"/>
    <mergeCell ref="Z3:AA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31377-5B2F-4BE9-9529-1C3390680B5F}">
  <dimension ref="A1:Q67"/>
  <sheetViews>
    <sheetView workbookViewId="0">
      <selection activeCell="A4" sqref="A4:Q4"/>
    </sheetView>
  </sheetViews>
  <sheetFormatPr defaultRowHeight="15" x14ac:dyDescent="0.25"/>
  <sheetData>
    <row r="1" spans="1:17" x14ac:dyDescent="0.25">
      <c r="A1" s="158" t="s">
        <v>277</v>
      </c>
      <c r="B1" s="158"/>
      <c r="C1" s="158"/>
      <c r="D1" s="158"/>
      <c r="E1" s="158"/>
      <c r="F1" s="158"/>
      <c r="G1" s="158"/>
      <c r="H1" s="153"/>
      <c r="I1" s="153"/>
      <c r="J1" s="153"/>
      <c r="K1" s="153"/>
      <c r="L1" s="153"/>
      <c r="M1" s="153"/>
      <c r="N1" s="153"/>
      <c r="O1" s="154"/>
      <c r="P1" s="154"/>
      <c r="Q1" s="154"/>
    </row>
    <row r="2" spans="1:17" x14ac:dyDescent="0.25">
      <c r="A2" s="152" t="s">
        <v>298</v>
      </c>
      <c r="B2" s="152"/>
      <c r="C2" s="152"/>
      <c r="D2" s="152"/>
      <c r="E2" s="152"/>
      <c r="F2" s="152"/>
      <c r="G2" s="153"/>
      <c r="H2" s="153"/>
      <c r="I2" s="153"/>
      <c r="J2" s="153"/>
      <c r="K2" s="153"/>
      <c r="L2" s="153"/>
      <c r="M2" s="153"/>
      <c r="N2" s="153"/>
      <c r="O2" s="154"/>
      <c r="P2" s="154"/>
      <c r="Q2" s="154"/>
    </row>
    <row r="3" spans="1:17" x14ac:dyDescent="0.25">
      <c r="A3" s="152" t="s">
        <v>299</v>
      </c>
      <c r="B3" s="154"/>
      <c r="C3" s="154"/>
      <c r="D3" s="154"/>
      <c r="E3" s="154"/>
      <c r="F3" s="154"/>
      <c r="G3" s="154"/>
      <c r="H3" s="154"/>
      <c r="I3" s="154"/>
      <c r="J3" s="154"/>
      <c r="K3" s="154"/>
      <c r="L3" s="154"/>
      <c r="M3" s="154"/>
      <c r="N3" s="154"/>
      <c r="O3" s="154"/>
      <c r="P3" s="154"/>
      <c r="Q3" s="154"/>
    </row>
    <row r="4" spans="1:17" x14ac:dyDescent="0.25">
      <c r="A4" s="155" t="s">
        <v>69</v>
      </c>
      <c r="B4" s="155"/>
      <c r="C4" s="155"/>
      <c r="D4" s="155"/>
      <c r="E4" s="155"/>
      <c r="F4" s="155"/>
      <c r="G4" s="156"/>
      <c r="H4" s="156"/>
      <c r="I4" s="156"/>
      <c r="J4" s="156"/>
      <c r="K4" s="156"/>
      <c r="L4" s="156"/>
      <c r="M4" s="156"/>
      <c r="N4" s="156"/>
      <c r="O4" s="157"/>
      <c r="P4" s="157"/>
      <c r="Q4" s="157"/>
    </row>
    <row r="5" spans="1:17" x14ac:dyDescent="0.25">
      <c r="A5" s="22" t="s">
        <v>314</v>
      </c>
    </row>
    <row r="6" spans="1:17" ht="51.75" x14ac:dyDescent="0.25">
      <c r="A6" s="33" t="s">
        <v>275</v>
      </c>
      <c r="B6" s="34" t="s">
        <v>278</v>
      </c>
      <c r="C6" s="35" t="s">
        <v>279</v>
      </c>
      <c r="D6" s="35" t="s">
        <v>280</v>
      </c>
      <c r="E6" s="35" t="s">
        <v>281</v>
      </c>
      <c r="F6" s="36" t="s">
        <v>282</v>
      </c>
      <c r="G6" s="35" t="s">
        <v>283</v>
      </c>
      <c r="H6" s="35" t="s">
        <v>284</v>
      </c>
      <c r="I6" s="36" t="s">
        <v>285</v>
      </c>
      <c r="J6" s="35" t="s">
        <v>286</v>
      </c>
      <c r="K6" s="35" t="s">
        <v>287</v>
      </c>
      <c r="L6" s="36" t="s">
        <v>288</v>
      </c>
      <c r="M6" s="35" t="s">
        <v>289</v>
      </c>
      <c r="N6" s="37" t="s">
        <v>290</v>
      </c>
      <c r="O6" s="38" t="s">
        <v>291</v>
      </c>
      <c r="P6" s="39" t="s">
        <v>292</v>
      </c>
      <c r="Q6" s="39" t="s">
        <v>293</v>
      </c>
    </row>
    <row r="7" spans="1:17" x14ac:dyDescent="0.25">
      <c r="A7" t="s">
        <v>309</v>
      </c>
      <c r="B7" s="42" t="s">
        <v>295</v>
      </c>
      <c r="C7" s="40">
        <v>3.1735190000000001E-3</v>
      </c>
      <c r="D7" s="40">
        <v>1.6502503999999999E-3</v>
      </c>
      <c r="E7" s="40">
        <v>6.0942625000000002E-3</v>
      </c>
      <c r="F7" s="43">
        <v>1.2021314000000001E-3</v>
      </c>
      <c r="G7" s="40">
        <v>4.988379E-4</v>
      </c>
      <c r="H7" s="40">
        <v>2.8941016999999999E-3</v>
      </c>
      <c r="I7" s="43">
        <v>9.0447506999999996E-3</v>
      </c>
      <c r="J7" s="40">
        <v>4.9452513E-3</v>
      </c>
      <c r="K7" s="40">
        <v>1.6486335099999999E-2</v>
      </c>
      <c r="L7" s="43">
        <v>2.4346593000000001E-3</v>
      </c>
      <c r="M7" s="40">
        <v>1.0310581000000001E-3</v>
      </c>
      <c r="N7" s="41">
        <v>5.7380375000000003E-3</v>
      </c>
      <c r="O7" s="43">
        <v>3.3736348999999998E-3</v>
      </c>
      <c r="P7" s="40">
        <v>1.7426996000000001E-3</v>
      </c>
      <c r="Q7" s="41">
        <v>6.5209383999999997E-3</v>
      </c>
    </row>
    <row r="8" spans="1:17" x14ac:dyDescent="0.25">
      <c r="A8" t="s">
        <v>308</v>
      </c>
      <c r="B8" s="44" t="s">
        <v>295</v>
      </c>
      <c r="C8" s="46">
        <v>3.024755553908404E-3</v>
      </c>
      <c r="D8" s="46">
        <v>1.6296208287796788E-3</v>
      </c>
      <c r="E8" s="46">
        <v>5.6075705486120968E-3</v>
      </c>
      <c r="F8" s="45">
        <v>1.4311758628963518E-3</v>
      </c>
      <c r="G8" s="46">
        <v>7.3221281452404976E-4</v>
      </c>
      <c r="H8" s="46">
        <v>2.7954954785174469E-3</v>
      </c>
      <c r="I8" s="45">
        <v>6.5555763851487779E-3</v>
      </c>
      <c r="J8" s="46">
        <v>3.5384250775702042E-3</v>
      </c>
      <c r="K8" s="46">
        <v>1.2114121935339749E-2</v>
      </c>
      <c r="L8" s="45">
        <v>2.6284243248774868E-3</v>
      </c>
      <c r="M8" s="46">
        <v>1.2992146313917615E-3</v>
      </c>
      <c r="N8" s="47">
        <v>5.3103004147230567E-3</v>
      </c>
      <c r="O8" s="45">
        <v>3.1856386594902486E-3</v>
      </c>
      <c r="P8" s="46">
        <v>1.6673754131526961E-3</v>
      </c>
      <c r="Q8" s="46">
        <v>6.0779712332006616E-3</v>
      </c>
    </row>
    <row r="9" spans="1:17" x14ac:dyDescent="0.25">
      <c r="A9" t="s">
        <v>307</v>
      </c>
      <c r="B9" s="42" t="s">
        <v>295</v>
      </c>
      <c r="C9" s="40">
        <v>3.6989637057131793E-3</v>
      </c>
      <c r="D9" s="40">
        <v>1.9904939574558376E-3</v>
      </c>
      <c r="E9" s="40">
        <v>6.863752634446706E-3</v>
      </c>
      <c r="F9" s="43">
        <v>6.1493445858150863E-4</v>
      </c>
      <c r="G9" s="40">
        <v>2.55922693780024E-4</v>
      </c>
      <c r="H9" s="40">
        <v>1.4768287501214683E-3</v>
      </c>
      <c r="I9" s="43">
        <v>6.8843742870984097E-3</v>
      </c>
      <c r="J9" s="40">
        <v>3.381691481283965E-3</v>
      </c>
      <c r="K9" s="40">
        <v>1.3964225933591857E-2</v>
      </c>
      <c r="L9" s="43">
        <v>3.5357416065799441E-3</v>
      </c>
      <c r="M9" s="40">
        <v>1.8096498696769606E-3</v>
      </c>
      <c r="N9" s="41">
        <v>6.8968496290022869E-3</v>
      </c>
      <c r="O9" s="43">
        <v>4.0085379867616459E-3</v>
      </c>
      <c r="P9" s="40">
        <v>2.1367486977338485E-3</v>
      </c>
      <c r="Q9" s="40">
        <v>7.5076758565842923E-3</v>
      </c>
    </row>
    <row r="10" spans="1:17" x14ac:dyDescent="0.25">
      <c r="A10" t="s">
        <v>294</v>
      </c>
      <c r="B10" s="42" t="s">
        <v>295</v>
      </c>
      <c r="C10" s="40">
        <v>4.1492560432923355E-3</v>
      </c>
      <c r="D10" s="40">
        <v>2.147439312985062E-3</v>
      </c>
      <c r="E10" s="40">
        <v>8.0021771571246285E-3</v>
      </c>
      <c r="F10" s="43">
        <v>5.0159898889261213E-4</v>
      </c>
      <c r="G10" s="40">
        <v>1.9016749303774299E-4</v>
      </c>
      <c r="H10" s="40">
        <v>1.3223777649196702E-3</v>
      </c>
      <c r="I10" s="43">
        <v>6.8716849308892913E-3</v>
      </c>
      <c r="J10" s="40">
        <v>3.728185968569081E-3</v>
      </c>
      <c r="K10" s="40">
        <v>1.2632084891763774E-2</v>
      </c>
      <c r="L10" s="43">
        <v>4.1296329275027077E-3</v>
      </c>
      <c r="M10" s="40">
        <v>1.9047326813999238E-3</v>
      </c>
      <c r="N10" s="41">
        <v>8.9301653638803741E-3</v>
      </c>
      <c r="O10" s="43">
        <v>4.511236022560045E-3</v>
      </c>
      <c r="P10" s="40">
        <v>2.3205075205388558E-3</v>
      </c>
      <c r="Q10" s="40">
        <v>8.7520290444216206E-3</v>
      </c>
    </row>
    <row r="11" spans="1:17" x14ac:dyDescent="0.25">
      <c r="A11" t="s">
        <v>60</v>
      </c>
      <c r="B11" s="44" t="s">
        <v>295</v>
      </c>
      <c r="C11" s="46">
        <v>3.4001383253391576E-3</v>
      </c>
      <c r="D11" s="46">
        <v>1.7215851214097836E-3</v>
      </c>
      <c r="E11" s="46">
        <v>6.7042972666501556E-3</v>
      </c>
      <c r="F11" s="45">
        <v>2.8720814263939721E-4</v>
      </c>
      <c r="G11" s="46">
        <v>6.5711618722549752E-5</v>
      </c>
      <c r="H11" s="46">
        <v>1.254374405280499E-3</v>
      </c>
      <c r="I11" s="45">
        <v>4.9453744129118356E-3</v>
      </c>
      <c r="J11" s="46">
        <v>2.629363225202486E-3</v>
      </c>
      <c r="K11" s="46">
        <v>9.2824021570754485E-3</v>
      </c>
      <c r="L11" s="45">
        <v>3.5101265675565752E-3</v>
      </c>
      <c r="M11" s="46">
        <v>1.580039329939277E-3</v>
      </c>
      <c r="N11" s="47">
        <v>7.7795291778302153E-3</v>
      </c>
      <c r="O11" s="45">
        <v>3.7068034559373949E-3</v>
      </c>
      <c r="P11" s="46">
        <v>1.8629379970743218E-3</v>
      </c>
      <c r="Q11" s="46">
        <v>7.3621960999478578E-3</v>
      </c>
    </row>
    <row r="12" spans="1:17" x14ac:dyDescent="0.25">
      <c r="A12" t="s">
        <v>535</v>
      </c>
      <c r="B12" s="42" t="s">
        <v>295</v>
      </c>
      <c r="C12" s="103" t="s">
        <v>41</v>
      </c>
      <c r="D12" s="104" t="s">
        <v>41</v>
      </c>
      <c r="E12" s="105" t="s">
        <v>41</v>
      </c>
      <c r="F12" s="103" t="s">
        <v>41</v>
      </c>
      <c r="G12" s="104" t="s">
        <v>41</v>
      </c>
      <c r="H12" s="105" t="s">
        <v>41</v>
      </c>
      <c r="I12" s="43">
        <v>3.0558209366140479E-3</v>
      </c>
      <c r="J12" s="40">
        <v>1.6228118345869538E-3</v>
      </c>
      <c r="K12" s="41">
        <v>5.7469515340825917E-3</v>
      </c>
      <c r="L12" s="43">
        <v>3.9565635215901545E-3</v>
      </c>
      <c r="M12" s="40">
        <v>1.568766409302876E-3</v>
      </c>
      <c r="N12" s="41">
        <v>9.9426002848196585E-3</v>
      </c>
      <c r="O12" s="43">
        <v>3.8341521770209074E-3</v>
      </c>
      <c r="P12" s="40">
        <v>1.677618784742078E-3</v>
      </c>
      <c r="Q12" s="40">
        <v>8.7385851754512855E-3</v>
      </c>
    </row>
    <row r="13" spans="1:17" x14ac:dyDescent="0.25">
      <c r="A13" s="158" t="s">
        <v>536</v>
      </c>
      <c r="B13" s="158"/>
      <c r="C13" s="158"/>
      <c r="D13" s="158"/>
      <c r="E13" s="158"/>
      <c r="F13" s="158"/>
      <c r="G13" s="158"/>
      <c r="H13" s="153"/>
      <c r="I13" s="153"/>
      <c r="J13" s="153"/>
      <c r="K13" s="153"/>
      <c r="L13" s="153"/>
      <c r="M13" s="153"/>
      <c r="N13" s="153"/>
      <c r="O13" s="154"/>
      <c r="P13" s="154"/>
      <c r="Q13" s="154"/>
    </row>
    <row r="14" spans="1:17" x14ac:dyDescent="0.25">
      <c r="A14" s="102" t="s">
        <v>313</v>
      </c>
    </row>
    <row r="15" spans="1:17" ht="51.75" x14ac:dyDescent="0.25">
      <c r="A15" s="33" t="s">
        <v>275</v>
      </c>
      <c r="B15" s="34" t="s">
        <v>278</v>
      </c>
      <c r="C15" s="35" t="s">
        <v>279</v>
      </c>
      <c r="D15" s="35" t="s">
        <v>280</v>
      </c>
      <c r="E15" s="35" t="s">
        <v>281</v>
      </c>
      <c r="F15" s="36" t="s">
        <v>282</v>
      </c>
      <c r="G15" s="35" t="s">
        <v>283</v>
      </c>
      <c r="H15" s="35" t="s">
        <v>284</v>
      </c>
      <c r="I15" s="36" t="s">
        <v>285</v>
      </c>
      <c r="J15" s="35" t="s">
        <v>286</v>
      </c>
      <c r="K15" s="35" t="s">
        <v>287</v>
      </c>
      <c r="L15" s="36" t="s">
        <v>288</v>
      </c>
      <c r="M15" s="35" t="s">
        <v>289</v>
      </c>
      <c r="N15" s="37" t="s">
        <v>290</v>
      </c>
      <c r="O15" s="38" t="s">
        <v>291</v>
      </c>
      <c r="P15" s="39" t="s">
        <v>292</v>
      </c>
      <c r="Q15" s="39" t="s">
        <v>293</v>
      </c>
    </row>
    <row r="16" spans="1:17" x14ac:dyDescent="0.25">
      <c r="A16" t="s">
        <v>309</v>
      </c>
      <c r="B16" t="s">
        <v>432</v>
      </c>
      <c r="C16">
        <v>15</v>
      </c>
      <c r="D16">
        <v>8</v>
      </c>
      <c r="E16">
        <v>30</v>
      </c>
      <c r="F16">
        <v>1</v>
      </c>
      <c r="G16">
        <v>0</v>
      </c>
      <c r="H16" t="s">
        <v>424</v>
      </c>
      <c r="I16">
        <v>6</v>
      </c>
      <c r="J16">
        <v>3</v>
      </c>
      <c r="K16" t="s">
        <v>433</v>
      </c>
      <c r="L16">
        <v>9</v>
      </c>
      <c r="M16">
        <v>4</v>
      </c>
      <c r="N16" t="s">
        <v>434</v>
      </c>
      <c r="O16">
        <v>15</v>
      </c>
      <c r="P16">
        <v>8</v>
      </c>
      <c r="Q16" t="s">
        <v>435</v>
      </c>
    </row>
    <row r="17" spans="1:17" x14ac:dyDescent="0.25">
      <c r="A17" t="s">
        <v>308</v>
      </c>
      <c r="B17" t="s">
        <v>295</v>
      </c>
      <c r="C17">
        <v>15</v>
      </c>
      <c r="D17">
        <v>8</v>
      </c>
      <c r="E17">
        <v>27</v>
      </c>
      <c r="F17">
        <v>1</v>
      </c>
      <c r="G17">
        <v>0</v>
      </c>
      <c r="H17" t="s">
        <v>424</v>
      </c>
      <c r="I17">
        <v>4</v>
      </c>
      <c r="J17">
        <v>2</v>
      </c>
      <c r="K17" t="s">
        <v>430</v>
      </c>
      <c r="L17">
        <v>10</v>
      </c>
      <c r="M17">
        <v>5</v>
      </c>
      <c r="N17" t="s">
        <v>437</v>
      </c>
      <c r="O17">
        <v>14</v>
      </c>
      <c r="P17">
        <v>7</v>
      </c>
      <c r="Q17" t="s">
        <v>436</v>
      </c>
    </row>
    <row r="18" spans="1:17" x14ac:dyDescent="0.25">
      <c r="A18" t="s">
        <v>307</v>
      </c>
      <c r="B18" t="s">
        <v>295</v>
      </c>
      <c r="C18">
        <v>18</v>
      </c>
      <c r="D18">
        <v>10</v>
      </c>
      <c r="E18">
        <v>33</v>
      </c>
      <c r="F18">
        <v>0</v>
      </c>
      <c r="G18">
        <v>0</v>
      </c>
      <c r="H18" t="s">
        <v>424</v>
      </c>
      <c r="I18">
        <v>4</v>
      </c>
      <c r="J18">
        <v>2</v>
      </c>
      <c r="K18" t="s">
        <v>438</v>
      </c>
      <c r="L18">
        <v>13</v>
      </c>
      <c r="M18">
        <v>7</v>
      </c>
      <c r="N18" t="s">
        <v>439</v>
      </c>
      <c r="O18">
        <v>18</v>
      </c>
      <c r="P18">
        <v>9</v>
      </c>
      <c r="Q18" t="s">
        <v>423</v>
      </c>
    </row>
    <row r="19" spans="1:17" x14ac:dyDescent="0.25">
      <c r="A19" t="s">
        <v>294</v>
      </c>
      <c r="B19" t="s">
        <v>295</v>
      </c>
      <c r="C19">
        <v>20</v>
      </c>
      <c r="D19">
        <v>11</v>
      </c>
      <c r="E19">
        <v>39</v>
      </c>
      <c r="F19">
        <v>0</v>
      </c>
      <c r="G19">
        <v>0</v>
      </c>
      <c r="H19" t="s">
        <v>424</v>
      </c>
      <c r="I19">
        <v>4</v>
      </c>
      <c r="J19">
        <v>2</v>
      </c>
      <c r="K19" t="s">
        <v>430</v>
      </c>
      <c r="L19">
        <v>16</v>
      </c>
      <c r="M19">
        <v>7</v>
      </c>
      <c r="N19" t="s">
        <v>431</v>
      </c>
      <c r="O19">
        <v>20</v>
      </c>
      <c r="P19">
        <v>10</v>
      </c>
      <c r="Q19" t="s">
        <v>429</v>
      </c>
    </row>
    <row r="20" spans="1:17" x14ac:dyDescent="0.25">
      <c r="A20" t="s">
        <v>60</v>
      </c>
      <c r="B20" t="s">
        <v>295</v>
      </c>
      <c r="C20">
        <v>17</v>
      </c>
      <c r="D20">
        <v>8</v>
      </c>
      <c r="E20">
        <v>33</v>
      </c>
      <c r="F20">
        <v>0</v>
      </c>
      <c r="G20">
        <v>0</v>
      </c>
      <c r="H20" t="s">
        <v>424</v>
      </c>
      <c r="I20">
        <v>3</v>
      </c>
      <c r="J20">
        <v>2</v>
      </c>
      <c r="K20" t="s">
        <v>425</v>
      </c>
      <c r="L20">
        <v>14</v>
      </c>
      <c r="M20">
        <v>6</v>
      </c>
      <c r="N20" t="s">
        <v>426</v>
      </c>
      <c r="O20">
        <v>17</v>
      </c>
      <c r="P20">
        <v>8</v>
      </c>
      <c r="Q20" t="s">
        <v>423</v>
      </c>
    </row>
    <row r="22" spans="1:17" x14ac:dyDescent="0.25">
      <c r="A22" t="s">
        <v>427</v>
      </c>
    </row>
    <row r="23" spans="1:17" x14ac:dyDescent="0.25">
      <c r="A23" t="s">
        <v>428</v>
      </c>
    </row>
    <row r="24" spans="1:17" x14ac:dyDescent="0.25">
      <c r="A24" t="s">
        <v>57</v>
      </c>
    </row>
    <row r="26" spans="1:17" x14ac:dyDescent="0.25">
      <c r="A26" s="158" t="s">
        <v>302</v>
      </c>
      <c r="B26" s="158"/>
      <c r="C26" s="158"/>
      <c r="D26" s="158"/>
      <c r="E26" s="158"/>
      <c r="F26" s="158"/>
      <c r="G26" s="158"/>
      <c r="H26" s="153"/>
      <c r="I26" s="153"/>
      <c r="J26" s="153"/>
      <c r="K26" s="153"/>
      <c r="L26" s="153"/>
      <c r="M26" s="153"/>
      <c r="N26" s="153"/>
      <c r="O26" s="154"/>
      <c r="P26" s="154"/>
      <c r="Q26" s="154"/>
    </row>
    <row r="27" spans="1:17" x14ac:dyDescent="0.25">
      <c r="A27" s="152" t="s">
        <v>303</v>
      </c>
      <c r="B27" s="152"/>
      <c r="C27" s="152"/>
      <c r="D27" s="152"/>
      <c r="E27" s="152"/>
      <c r="F27" s="152"/>
      <c r="G27" s="152"/>
      <c r="H27" s="152"/>
      <c r="I27" s="152"/>
      <c r="J27" s="152"/>
      <c r="K27" s="152"/>
      <c r="L27" s="152"/>
      <c r="M27" s="152"/>
      <c r="N27" s="152"/>
      <c r="O27" s="154"/>
      <c r="P27" s="154"/>
      <c r="Q27" s="154"/>
    </row>
    <row r="28" spans="1:17" ht="24" customHeight="1" x14ac:dyDescent="0.25">
      <c r="A28" s="151" t="s">
        <v>304</v>
      </c>
      <c r="B28" s="151"/>
      <c r="C28" s="151"/>
      <c r="D28" s="151"/>
      <c r="E28" s="151"/>
      <c r="F28" s="151"/>
      <c r="G28" s="151"/>
      <c r="H28" s="151"/>
      <c r="I28" s="151"/>
      <c r="J28" s="151"/>
      <c r="K28" s="151"/>
      <c r="L28" s="151"/>
      <c r="M28" s="151"/>
      <c r="N28" s="151"/>
      <c r="O28" s="151"/>
      <c r="P28" s="151"/>
      <c r="Q28" s="151"/>
    </row>
    <row r="29" spans="1:17" x14ac:dyDescent="0.25">
      <c r="A29" s="152" t="s">
        <v>298</v>
      </c>
      <c r="B29" s="152"/>
      <c r="C29" s="152"/>
      <c r="D29" s="152"/>
      <c r="E29" s="152"/>
      <c r="F29" s="152"/>
      <c r="G29" s="153"/>
      <c r="H29" s="153"/>
      <c r="I29" s="153"/>
      <c r="J29" s="153"/>
      <c r="K29" s="153"/>
      <c r="L29" s="153"/>
      <c r="M29" s="153"/>
      <c r="N29" s="153"/>
      <c r="O29" s="154"/>
      <c r="P29" s="154"/>
      <c r="Q29" s="154"/>
    </row>
    <row r="30" spans="1:17" x14ac:dyDescent="0.25">
      <c r="A30" s="152" t="s">
        <v>299</v>
      </c>
      <c r="B30" s="154"/>
      <c r="C30" s="154"/>
      <c r="D30" s="154"/>
      <c r="E30" s="154"/>
      <c r="F30" s="154"/>
      <c r="G30" s="154"/>
      <c r="H30" s="154"/>
      <c r="I30" s="154"/>
      <c r="J30" s="154"/>
      <c r="K30" s="154"/>
      <c r="L30" s="154"/>
      <c r="M30" s="154"/>
      <c r="N30" s="154"/>
      <c r="O30" s="154"/>
      <c r="P30" s="154"/>
      <c r="Q30" s="154"/>
    </row>
    <row r="31" spans="1:17" x14ac:dyDescent="0.25">
      <c r="A31" s="155" t="s">
        <v>69</v>
      </c>
      <c r="B31" s="155"/>
      <c r="C31" s="155"/>
      <c r="D31" s="155"/>
      <c r="E31" s="155"/>
      <c r="F31" s="155"/>
      <c r="G31" s="156"/>
      <c r="H31" s="156"/>
      <c r="I31" s="156"/>
      <c r="J31" s="156"/>
      <c r="K31" s="156"/>
      <c r="L31" s="156"/>
      <c r="M31" s="156"/>
      <c r="N31" s="156"/>
      <c r="O31" s="157"/>
      <c r="P31" s="157"/>
      <c r="Q31" s="157"/>
    </row>
    <row r="32" spans="1:17" x14ac:dyDescent="0.25">
      <c r="A32" s="22" t="s">
        <v>312</v>
      </c>
    </row>
    <row r="33" spans="1:17" ht="51.75" x14ac:dyDescent="0.25">
      <c r="A33" s="33" t="s">
        <v>275</v>
      </c>
      <c r="B33" s="34" t="s">
        <v>278</v>
      </c>
      <c r="C33" s="35" t="s">
        <v>279</v>
      </c>
      <c r="D33" s="35" t="s">
        <v>280</v>
      </c>
      <c r="E33" s="35" t="s">
        <v>281</v>
      </c>
      <c r="F33" s="36" t="s">
        <v>282</v>
      </c>
      <c r="G33" s="35" t="s">
        <v>283</v>
      </c>
      <c r="H33" s="35" t="s">
        <v>284</v>
      </c>
      <c r="I33" s="36" t="s">
        <v>285</v>
      </c>
      <c r="J33" s="35" t="s">
        <v>286</v>
      </c>
      <c r="K33" s="35" t="s">
        <v>287</v>
      </c>
      <c r="L33" s="36" t="s">
        <v>288</v>
      </c>
      <c r="M33" s="35" t="s">
        <v>289</v>
      </c>
      <c r="N33" s="37" t="s">
        <v>290</v>
      </c>
      <c r="O33" s="38" t="s">
        <v>291</v>
      </c>
      <c r="P33" s="39" t="s">
        <v>292</v>
      </c>
      <c r="Q33" s="39" t="s">
        <v>293</v>
      </c>
    </row>
    <row r="34" spans="1:17" x14ac:dyDescent="0.25">
      <c r="A34" t="s">
        <v>308</v>
      </c>
      <c r="B34" s="44" t="s">
        <v>295</v>
      </c>
      <c r="C34" s="46">
        <v>2.4023244626110274E-2</v>
      </c>
      <c r="D34" s="46">
        <v>1.891055569172349E-2</v>
      </c>
      <c r="E34" s="46">
        <v>3.0475271377248613E-2</v>
      </c>
      <c r="F34" s="45">
        <v>3.4344633664339624E-2</v>
      </c>
      <c r="G34" s="46">
        <v>2.5461486498550828E-2</v>
      </c>
      <c r="H34" s="46">
        <v>4.6180122519383797E-2</v>
      </c>
      <c r="I34" s="45">
        <v>6.3616707138159229E-2</v>
      </c>
      <c r="J34" s="46">
        <v>4.8647534294155748E-2</v>
      </c>
      <c r="K34" s="46">
        <v>8.2791149238748626E-2</v>
      </c>
      <c r="L34" s="45">
        <v>1.6262442409844355E-2</v>
      </c>
      <c r="M34" s="46">
        <v>1.1683516380245203E-2</v>
      </c>
      <c r="N34" s="47">
        <v>2.2594883862543616E-2</v>
      </c>
      <c r="O34" s="45">
        <v>2.2981177199347131E-2</v>
      </c>
      <c r="P34" s="46">
        <v>1.7744167548222247E-2</v>
      </c>
      <c r="Q34" s="46">
        <v>2.9717074766205758E-2</v>
      </c>
    </row>
    <row r="35" spans="1:17" x14ac:dyDescent="0.25">
      <c r="A35" t="s">
        <v>307</v>
      </c>
      <c r="B35" s="42" t="s">
        <v>295</v>
      </c>
      <c r="C35" s="40">
        <v>2.1706843341886415E-2</v>
      </c>
      <c r="D35" s="40">
        <v>1.6979193372164716E-2</v>
      </c>
      <c r="E35" s="40">
        <v>2.7713738685118779E-2</v>
      </c>
      <c r="F35" s="43">
        <v>2.756759693127607E-2</v>
      </c>
      <c r="G35" s="40">
        <v>2.0319690485729954E-2</v>
      </c>
      <c r="H35" s="40">
        <v>3.7302348911951659E-2</v>
      </c>
      <c r="I35" s="43">
        <v>5.6884912728029931E-2</v>
      </c>
      <c r="J35" s="40">
        <v>4.2636451159113548E-2</v>
      </c>
      <c r="K35" s="40">
        <v>7.5519386724687165E-2</v>
      </c>
      <c r="L35" s="43">
        <v>1.5238216926486194E-2</v>
      </c>
      <c r="M35" s="40">
        <v>1.073948591269118E-2</v>
      </c>
      <c r="N35" s="41">
        <v>2.1580340071972983E-2</v>
      </c>
      <c r="O35" s="43">
        <v>2.1118440890388432E-2</v>
      </c>
      <c r="P35" s="40">
        <v>1.620626147362873E-2</v>
      </c>
      <c r="Q35" s="40">
        <v>2.7477934693841796E-2</v>
      </c>
    </row>
    <row r="36" spans="1:17" x14ac:dyDescent="0.25">
      <c r="A36" t="s">
        <v>294</v>
      </c>
      <c r="B36" s="42" t="s">
        <v>295</v>
      </c>
      <c r="C36" s="40">
        <v>2.6258410290550864E-2</v>
      </c>
      <c r="D36" s="40">
        <v>2.0485970600760812E-2</v>
      </c>
      <c r="E36" s="40">
        <v>3.3601583609922221E-2</v>
      </c>
      <c r="F36" s="43">
        <v>2.747855452648252E-2</v>
      </c>
      <c r="G36" s="40">
        <v>2.0145904193962557E-2</v>
      </c>
      <c r="H36" s="40">
        <v>3.7378311881357075E-2</v>
      </c>
      <c r="I36" s="43">
        <v>6.6357156913672971E-2</v>
      </c>
      <c r="J36" s="40">
        <v>5.050465559390592E-2</v>
      </c>
      <c r="K36" s="40">
        <v>8.6730960590969269E-2</v>
      </c>
      <c r="L36" s="43">
        <v>1.9632216066370337E-2</v>
      </c>
      <c r="M36" s="40">
        <v>1.4053671107218842E-2</v>
      </c>
      <c r="N36" s="41">
        <v>2.7363683429629478E-2</v>
      </c>
      <c r="O36" s="43">
        <v>2.6137211245835724E-2</v>
      </c>
      <c r="P36" s="40">
        <v>2.0132437522573186E-2</v>
      </c>
      <c r="Q36" s="40">
        <v>3.3871080838649086E-2</v>
      </c>
    </row>
    <row r="37" spans="1:17" x14ac:dyDescent="0.25">
      <c r="A37" t="s">
        <v>60</v>
      </c>
      <c r="B37" s="44" t="s">
        <v>295</v>
      </c>
      <c r="C37" s="46">
        <v>2.5705014135526529E-2</v>
      </c>
      <c r="D37" s="46">
        <v>1.9862286365809008E-2</v>
      </c>
      <c r="E37" s="46">
        <v>3.320821792723639E-2</v>
      </c>
      <c r="F37" s="45">
        <v>2.9092744177076774E-2</v>
      </c>
      <c r="G37" s="46">
        <v>2.136576365609566E-2</v>
      </c>
      <c r="H37" s="46">
        <v>3.9501410118893035E-2</v>
      </c>
      <c r="I37" s="45">
        <v>6.8277026491506965E-2</v>
      </c>
      <c r="J37" s="46">
        <v>5.251968903308718E-2</v>
      </c>
      <c r="K37" s="46">
        <v>8.8321298785644459E-2</v>
      </c>
      <c r="L37" s="45">
        <v>1.855012276338968E-2</v>
      </c>
      <c r="M37" s="46">
        <v>1.2943761486759296E-2</v>
      </c>
      <c r="N37" s="47">
        <v>2.6519538466542134E-2</v>
      </c>
      <c r="O37" s="45">
        <v>2.5371221917042174E-2</v>
      </c>
      <c r="P37" s="46">
        <v>1.9291499170025476E-2</v>
      </c>
      <c r="Q37" s="46">
        <v>3.3301908923718974E-2</v>
      </c>
    </row>
    <row r="38" spans="1:17" x14ac:dyDescent="0.25">
      <c r="A38" t="s">
        <v>535</v>
      </c>
      <c r="B38" s="44" t="s">
        <v>295</v>
      </c>
      <c r="C38" s="40">
        <v>6.0672718031054562E-2</v>
      </c>
      <c r="D38" s="40">
        <v>4.5747795698213807E-2</v>
      </c>
      <c r="E38" s="40">
        <v>8.005829491454157E-2</v>
      </c>
      <c r="F38" s="43">
        <v>4.0711834993726825E-2</v>
      </c>
      <c r="G38" s="40">
        <v>2.6223962065281044E-2</v>
      </c>
      <c r="H38" s="40">
        <v>6.2688503392366549E-2</v>
      </c>
      <c r="I38" s="43">
        <v>0.15196608338590198</v>
      </c>
      <c r="J38" s="40">
        <v>0.10702202712306391</v>
      </c>
      <c r="K38" s="40">
        <v>0.2113179647353664</v>
      </c>
      <c r="L38" s="43">
        <v>4.8763113972691854E-2</v>
      </c>
      <c r="M38" s="40">
        <v>3.3055667550853651E-2</v>
      </c>
      <c r="N38" s="41">
        <v>7.1383438371780031E-2</v>
      </c>
      <c r="O38" s="43">
        <v>6.2616339188932613E-2</v>
      </c>
      <c r="P38" s="40">
        <v>4.663252139113027E-2</v>
      </c>
      <c r="Q38" s="40">
        <v>8.359838175595885E-2</v>
      </c>
    </row>
    <row r="39" spans="1:17" x14ac:dyDescent="0.25">
      <c r="A39" t="s">
        <v>422</v>
      </c>
    </row>
    <row r="40" spans="1:17" x14ac:dyDescent="0.25">
      <c r="B40" t="s">
        <v>421</v>
      </c>
    </row>
    <row r="46" spans="1:17" x14ac:dyDescent="0.25">
      <c r="A46" s="148" t="s">
        <v>305</v>
      </c>
      <c r="B46" s="148"/>
      <c r="C46" s="148"/>
      <c r="D46" s="148"/>
      <c r="E46" s="148"/>
      <c r="F46" s="148"/>
      <c r="G46" s="148"/>
      <c r="H46" s="149"/>
      <c r="I46" s="149"/>
      <c r="J46" s="149"/>
      <c r="K46" s="149"/>
      <c r="L46" s="149"/>
      <c r="M46" s="149"/>
      <c r="N46" s="149"/>
      <c r="O46" s="150"/>
      <c r="P46" s="150"/>
      <c r="Q46" s="150"/>
    </row>
    <row r="47" spans="1:17" ht="87" customHeight="1" x14ac:dyDescent="0.25">
      <c r="A47" s="151" t="s">
        <v>306</v>
      </c>
      <c r="B47" s="151"/>
      <c r="C47" s="151"/>
      <c r="D47" s="151"/>
      <c r="E47" s="151"/>
      <c r="F47" s="151"/>
      <c r="G47" s="151"/>
      <c r="H47" s="151"/>
      <c r="I47" s="151"/>
      <c r="J47" s="151"/>
      <c r="K47" s="151"/>
      <c r="L47" s="151"/>
      <c r="M47" s="151"/>
      <c r="N47" s="151"/>
      <c r="O47" s="151"/>
      <c r="P47" s="151"/>
      <c r="Q47" s="151"/>
    </row>
    <row r="48" spans="1:17" x14ac:dyDescent="0.25">
      <c r="A48" s="152" t="s">
        <v>298</v>
      </c>
      <c r="B48" s="152"/>
      <c r="C48" s="152"/>
      <c r="D48" s="152"/>
      <c r="E48" s="152"/>
      <c r="F48" s="152"/>
      <c r="G48" s="153"/>
      <c r="H48" s="153"/>
      <c r="I48" s="153"/>
      <c r="J48" s="153"/>
      <c r="K48" s="153"/>
      <c r="L48" s="153"/>
      <c r="M48" s="153"/>
      <c r="N48" s="153"/>
      <c r="O48" s="154"/>
      <c r="P48" s="154"/>
      <c r="Q48" s="154"/>
    </row>
    <row r="49" spans="1:17" x14ac:dyDescent="0.25">
      <c r="A49" s="152" t="s">
        <v>299</v>
      </c>
      <c r="B49" s="154"/>
      <c r="C49" s="154"/>
      <c r="D49" s="154"/>
      <c r="E49" s="154"/>
      <c r="F49" s="154"/>
      <c r="G49" s="154"/>
      <c r="H49" s="154"/>
      <c r="I49" s="154"/>
      <c r="J49" s="154"/>
      <c r="K49" s="154"/>
      <c r="L49" s="154"/>
      <c r="M49" s="154"/>
      <c r="N49" s="154"/>
      <c r="O49" s="154"/>
      <c r="P49" s="154"/>
      <c r="Q49" s="154"/>
    </row>
    <row r="50" spans="1:17" x14ac:dyDescent="0.25">
      <c r="A50" s="155" t="s">
        <v>69</v>
      </c>
      <c r="B50" s="155"/>
      <c r="C50" s="155"/>
      <c r="D50" s="155"/>
      <c r="E50" s="155"/>
      <c r="F50" s="155"/>
      <c r="G50" s="156"/>
      <c r="H50" s="156"/>
      <c r="I50" s="156"/>
      <c r="J50" s="156"/>
      <c r="K50" s="156"/>
      <c r="L50" s="156"/>
      <c r="M50" s="156"/>
      <c r="N50" s="156"/>
      <c r="O50" s="157"/>
      <c r="P50" s="157"/>
      <c r="Q50" s="157"/>
    </row>
    <row r="51" spans="1:17" x14ac:dyDescent="0.25">
      <c r="A51" s="22" t="s">
        <v>312</v>
      </c>
    </row>
    <row r="52" spans="1:17" ht="51.75" x14ac:dyDescent="0.25">
      <c r="A52" s="33" t="s">
        <v>275</v>
      </c>
      <c r="B52" s="34" t="s">
        <v>278</v>
      </c>
      <c r="C52" s="35" t="s">
        <v>279</v>
      </c>
      <c r="D52" s="35" t="s">
        <v>280</v>
      </c>
      <c r="E52" s="35" t="s">
        <v>281</v>
      </c>
      <c r="F52" s="36" t="s">
        <v>282</v>
      </c>
      <c r="G52" s="35" t="s">
        <v>283</v>
      </c>
      <c r="H52" s="35" t="s">
        <v>284</v>
      </c>
      <c r="I52" s="36" t="s">
        <v>285</v>
      </c>
      <c r="J52" s="35" t="s">
        <v>286</v>
      </c>
      <c r="K52" s="35" t="s">
        <v>287</v>
      </c>
      <c r="L52" s="36" t="s">
        <v>288</v>
      </c>
      <c r="M52" s="35" t="s">
        <v>289</v>
      </c>
      <c r="N52" s="37" t="s">
        <v>290</v>
      </c>
      <c r="O52" s="38" t="s">
        <v>291</v>
      </c>
      <c r="P52" s="39" t="s">
        <v>292</v>
      </c>
      <c r="Q52" s="39" t="s">
        <v>293</v>
      </c>
    </row>
    <row r="53" spans="1:17" x14ac:dyDescent="0.25">
      <c r="A53" t="s">
        <v>310</v>
      </c>
      <c r="B53" s="42" t="s">
        <v>295</v>
      </c>
      <c r="C53" s="40">
        <v>2.31287425E-2</v>
      </c>
      <c r="D53" s="40">
        <v>1.8345552099999999E-2</v>
      </c>
      <c r="E53" s="40">
        <v>2.91220453E-2</v>
      </c>
      <c r="F53" s="43">
        <v>3.5653056400000001E-2</v>
      </c>
      <c r="G53" s="40">
        <v>2.6584474899999998E-2</v>
      </c>
      <c r="H53" s="40">
        <v>4.7663666899999999E-2</v>
      </c>
      <c r="I53" s="43">
        <v>6.3492724700000003E-2</v>
      </c>
      <c r="J53" s="40">
        <v>4.9425208700000001E-2</v>
      </c>
      <c r="K53" s="40">
        <v>8.1222052700000005E-2</v>
      </c>
      <c r="L53" s="43">
        <v>1.49492445E-2</v>
      </c>
      <c r="M53" s="40">
        <v>1.04083313E-2</v>
      </c>
      <c r="N53" s="41">
        <v>2.1428354600000001E-2</v>
      </c>
      <c r="O53" s="43">
        <v>2.1845215300000002E-2</v>
      </c>
      <c r="P53" s="40">
        <v>1.6944653399999999E-2</v>
      </c>
      <c r="Q53" s="41">
        <v>2.8122523399999998E-2</v>
      </c>
    </row>
    <row r="54" spans="1:17" x14ac:dyDescent="0.25">
      <c r="A54" t="s">
        <v>308</v>
      </c>
      <c r="B54" s="44" t="s">
        <v>295</v>
      </c>
      <c r="C54" s="46">
        <v>2.3127579717005107E-2</v>
      </c>
      <c r="D54" s="46">
        <v>1.8309012389620547E-2</v>
      </c>
      <c r="E54" s="46">
        <v>2.9176607558042272E-2</v>
      </c>
      <c r="F54" s="45">
        <v>3.2242119893518134E-2</v>
      </c>
      <c r="G54" s="46">
        <v>2.4310709601740029E-2</v>
      </c>
      <c r="H54" s="46">
        <v>4.2648058885676854E-2</v>
      </c>
      <c r="I54" s="45">
        <v>6.0500258776925837E-2</v>
      </c>
      <c r="J54" s="46">
        <v>4.6067093255057548E-2</v>
      </c>
      <c r="K54" s="46">
        <v>7.908057006227534E-2</v>
      </c>
      <c r="L54" s="45">
        <v>1.5876083907605715E-2</v>
      </c>
      <c r="M54" s="46">
        <v>1.1380069996029137E-2</v>
      </c>
      <c r="N54" s="47">
        <v>2.2108650348456219E-2</v>
      </c>
      <c r="O54" s="45">
        <v>2.2207375288438656E-2</v>
      </c>
      <c r="P54" s="46">
        <v>1.7227071371754846E-2</v>
      </c>
      <c r="Q54" s="46">
        <v>2.8585594000378883E-2</v>
      </c>
    </row>
    <row r="55" spans="1:17" x14ac:dyDescent="0.25">
      <c r="A55" t="s">
        <v>307</v>
      </c>
      <c r="B55" s="42" t="s">
        <v>295</v>
      </c>
      <c r="C55" s="40">
        <v>2.0005748279060206E-2</v>
      </c>
      <c r="D55" s="40">
        <v>1.543234670143119E-2</v>
      </c>
      <c r="E55" s="40">
        <v>2.5898833220612216E-2</v>
      </c>
      <c r="F55" s="43">
        <v>2.54825165550603E-2</v>
      </c>
      <c r="G55" s="40">
        <v>1.8754032165594115E-2</v>
      </c>
      <c r="H55" s="40">
        <v>3.454004150782447E-2</v>
      </c>
      <c r="I55" s="43">
        <v>5.1849653255293067E-2</v>
      </c>
      <c r="J55" s="40">
        <v>3.743168309008444E-2</v>
      </c>
      <c r="K55" s="40">
        <v>7.1409156127630685E-2</v>
      </c>
      <c r="L55" s="43">
        <v>1.4130121881329321E-2</v>
      </c>
      <c r="M55" s="40">
        <v>9.8570413813667771E-3</v>
      </c>
      <c r="N55" s="41">
        <v>2.0217781457306114E-2</v>
      </c>
      <c r="O55" s="43">
        <v>1.9455963808190917E-2</v>
      </c>
      <c r="P55" s="40">
        <v>1.4711635488836449E-2</v>
      </c>
      <c r="Q55" s="40">
        <v>2.5690388935693829E-2</v>
      </c>
    </row>
    <row r="56" spans="1:17" x14ac:dyDescent="0.25">
      <c r="A56" t="s">
        <v>294</v>
      </c>
      <c r="B56" s="42" t="s">
        <v>295</v>
      </c>
      <c r="C56" s="40">
        <v>2.4147041162882264E-2</v>
      </c>
      <c r="D56" s="40">
        <v>1.9159911482300646E-2</v>
      </c>
      <c r="E56" s="40">
        <v>3.0392047322872616E-2</v>
      </c>
      <c r="F56" s="43">
        <v>2.5631000524195834E-2</v>
      </c>
      <c r="G56" s="40">
        <v>1.8851403686688369E-2</v>
      </c>
      <c r="H56" s="40">
        <v>3.4762382608345507E-2</v>
      </c>
      <c r="I56" s="43">
        <v>6.2237942552296567E-2</v>
      </c>
      <c r="J56" s="40">
        <v>4.6838392766209762E-2</v>
      </c>
      <c r="K56" s="40">
        <v>8.2263590299540071E-2</v>
      </c>
      <c r="L56" s="43">
        <v>1.7815380487287265E-2</v>
      </c>
      <c r="M56" s="40">
        <v>1.3153028340862785E-2</v>
      </c>
      <c r="N56" s="41">
        <v>2.4090052573586981E-2</v>
      </c>
      <c r="O56" s="43">
        <v>2.3999812391102236E-2</v>
      </c>
      <c r="P56" s="40">
        <v>1.8815191532525467E-2</v>
      </c>
      <c r="Q56" s="40">
        <v>3.0568572467257117E-2</v>
      </c>
    </row>
    <row r="57" spans="1:17" x14ac:dyDescent="0.25">
      <c r="A57" t="s">
        <v>60</v>
      </c>
      <c r="B57" s="44" t="s">
        <v>295</v>
      </c>
      <c r="C57" s="46">
        <v>2.3529074672680884E-2</v>
      </c>
      <c r="D57" s="46">
        <v>1.8470596752301702E-2</v>
      </c>
      <c r="E57" s="46">
        <v>2.993065565170137E-2</v>
      </c>
      <c r="F57" s="45">
        <v>2.7833707136344855E-2</v>
      </c>
      <c r="G57" s="46">
        <v>2.0689232957688215E-2</v>
      </c>
      <c r="H57" s="46">
        <v>3.7351236661301808E-2</v>
      </c>
      <c r="I57" s="45">
        <v>6.028059957908425E-2</v>
      </c>
      <c r="J57" s="46">
        <v>4.5556051631761456E-2</v>
      </c>
      <c r="K57" s="46">
        <v>7.9368626348034835E-2</v>
      </c>
      <c r="L57" s="45">
        <v>1.7195479842356882E-2</v>
      </c>
      <c r="M57" s="46">
        <v>1.2196702949855054E-2</v>
      </c>
      <c r="N57" s="47">
        <v>2.4192811742024735E-2</v>
      </c>
      <c r="O57" s="45">
        <v>2.3105205190887872E-2</v>
      </c>
      <c r="P57" s="46">
        <v>1.7773196591373143E-2</v>
      </c>
      <c r="Q57" s="46">
        <v>2.9987993942942017E-2</v>
      </c>
    </row>
    <row r="58" spans="1:17" x14ac:dyDescent="0.25">
      <c r="A58" t="s">
        <v>535</v>
      </c>
      <c r="B58" s="42" t="s">
        <v>295</v>
      </c>
      <c r="C58" s="40">
        <v>5.4484328876375047E-2</v>
      </c>
      <c r="D58" s="40">
        <v>4.111742794119231E-2</v>
      </c>
      <c r="E58" s="40">
        <v>7.1870982993136434E-2</v>
      </c>
      <c r="F58" s="43">
        <v>3.731106490743967E-2</v>
      </c>
      <c r="G58" s="40">
        <v>2.2405067925371454E-2</v>
      </c>
      <c r="H58" s="40">
        <v>6.1509990394889386E-2</v>
      </c>
      <c r="I58" s="43">
        <v>0.14439510457465296</v>
      </c>
      <c r="J58" s="40">
        <v>0.1040608566906097</v>
      </c>
      <c r="K58" s="40">
        <v>0.19692674213163266</v>
      </c>
      <c r="L58" s="43">
        <v>4.2473571538806931E-2</v>
      </c>
      <c r="M58" s="40">
        <v>2.848341520931261E-2</v>
      </c>
      <c r="N58" s="41">
        <v>6.2890428789924208E-2</v>
      </c>
      <c r="O58" s="43">
        <v>5.615910050550834E-2</v>
      </c>
      <c r="P58" s="40">
        <v>4.1717013815731695E-2</v>
      </c>
      <c r="Q58" s="40">
        <v>7.5208526835738213E-2</v>
      </c>
    </row>
    <row r="66" ht="27.95" customHeight="1" x14ac:dyDescent="0.25"/>
    <row r="67" ht="27" customHeight="1" x14ac:dyDescent="0.25"/>
  </sheetData>
  <mergeCells count="16">
    <mergeCell ref="A1:Q1"/>
    <mergeCell ref="A2:Q2"/>
    <mergeCell ref="A3:Q3"/>
    <mergeCell ref="A4:Q4"/>
    <mergeCell ref="A26:Q26"/>
    <mergeCell ref="A13:Q13"/>
    <mergeCell ref="A27:Q27"/>
    <mergeCell ref="A29:Q29"/>
    <mergeCell ref="A30:Q30"/>
    <mergeCell ref="A31:Q31"/>
    <mergeCell ref="A28:Q28"/>
    <mergeCell ref="A46:Q46"/>
    <mergeCell ref="A47:Q47"/>
    <mergeCell ref="A48:Q48"/>
    <mergeCell ref="A49:Q49"/>
    <mergeCell ref="A50:Q5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CC929-9BAD-484D-8150-611BE8B66315}">
  <dimension ref="A1:Q52"/>
  <sheetViews>
    <sheetView workbookViewId="0">
      <selection activeCell="A5" sqref="A5:Q5"/>
    </sheetView>
  </sheetViews>
  <sheetFormatPr defaultRowHeight="15" x14ac:dyDescent="0.25"/>
  <sheetData>
    <row r="1" spans="1:17" x14ac:dyDescent="0.25">
      <c r="A1" s="158" t="s">
        <v>296</v>
      </c>
      <c r="B1" s="158"/>
      <c r="C1" s="158"/>
      <c r="D1" s="158"/>
      <c r="E1" s="158"/>
      <c r="F1" s="158"/>
      <c r="G1" s="158"/>
      <c r="H1" s="153"/>
      <c r="I1" s="153"/>
      <c r="J1" s="153"/>
      <c r="K1" s="153"/>
      <c r="L1" s="153"/>
      <c r="M1" s="153"/>
      <c r="N1" s="153"/>
      <c r="O1" s="154"/>
      <c r="P1" s="154"/>
      <c r="Q1" s="154"/>
    </row>
    <row r="2" spans="1:17" ht="28.5" customHeight="1" x14ac:dyDescent="0.25">
      <c r="A2" s="151" t="s">
        <v>297</v>
      </c>
      <c r="B2" s="151"/>
      <c r="C2" s="151"/>
      <c r="D2" s="151"/>
      <c r="E2" s="151"/>
      <c r="F2" s="151"/>
      <c r="G2" s="151"/>
      <c r="H2" s="151"/>
      <c r="I2" s="151"/>
      <c r="J2" s="151"/>
      <c r="K2" s="151"/>
      <c r="L2" s="151"/>
      <c r="M2" s="151"/>
      <c r="N2" s="151"/>
      <c r="O2" s="151"/>
      <c r="P2" s="151"/>
      <c r="Q2" s="151"/>
    </row>
    <row r="3" spans="1:17" x14ac:dyDescent="0.25">
      <c r="A3" s="152" t="s">
        <v>298</v>
      </c>
      <c r="B3" s="152"/>
      <c r="C3" s="152"/>
      <c r="D3" s="152"/>
      <c r="E3" s="152"/>
      <c r="F3" s="152"/>
      <c r="G3" s="153"/>
      <c r="H3" s="153"/>
      <c r="I3" s="153"/>
      <c r="J3" s="153"/>
      <c r="K3" s="153"/>
      <c r="L3" s="153"/>
      <c r="M3" s="153"/>
      <c r="N3" s="153"/>
      <c r="O3" s="154"/>
      <c r="P3" s="154"/>
      <c r="Q3" s="154"/>
    </row>
    <row r="4" spans="1:17" x14ac:dyDescent="0.25">
      <c r="A4" s="152" t="s">
        <v>299</v>
      </c>
      <c r="B4" s="154"/>
      <c r="C4" s="154"/>
      <c r="D4" s="154"/>
      <c r="E4" s="154"/>
      <c r="F4" s="154"/>
      <c r="G4" s="154"/>
      <c r="H4" s="154"/>
      <c r="I4" s="154"/>
      <c r="J4" s="154"/>
      <c r="K4" s="154"/>
      <c r="L4" s="154"/>
      <c r="M4" s="154"/>
      <c r="N4" s="154"/>
      <c r="O4" s="154"/>
      <c r="P4" s="154"/>
      <c r="Q4" s="154"/>
    </row>
    <row r="5" spans="1:17" x14ac:dyDescent="0.25">
      <c r="A5" s="155" t="s">
        <v>69</v>
      </c>
      <c r="B5" s="155"/>
      <c r="C5" s="155"/>
      <c r="D5" s="155"/>
      <c r="E5" s="155"/>
      <c r="F5" s="155"/>
      <c r="G5" s="156"/>
      <c r="H5" s="156"/>
      <c r="I5" s="156"/>
      <c r="J5" s="156"/>
      <c r="K5" s="156"/>
      <c r="L5" s="156"/>
      <c r="M5" s="156"/>
      <c r="N5" s="156"/>
      <c r="O5" s="157"/>
      <c r="P5" s="157"/>
      <c r="Q5" s="157"/>
    </row>
    <row r="6" spans="1:17" x14ac:dyDescent="0.25">
      <c r="A6" s="22" t="s">
        <v>312</v>
      </c>
    </row>
    <row r="7" spans="1:17" ht="51.75" x14ac:dyDescent="0.25">
      <c r="A7" s="33" t="s">
        <v>275</v>
      </c>
      <c r="B7" s="34" t="s">
        <v>278</v>
      </c>
      <c r="C7" s="35" t="s">
        <v>279</v>
      </c>
      <c r="D7" s="35" t="s">
        <v>280</v>
      </c>
      <c r="E7" s="35" t="s">
        <v>281</v>
      </c>
      <c r="F7" s="36" t="s">
        <v>282</v>
      </c>
      <c r="G7" s="35" t="s">
        <v>283</v>
      </c>
      <c r="H7" s="35" t="s">
        <v>284</v>
      </c>
      <c r="I7" s="36" t="s">
        <v>285</v>
      </c>
      <c r="J7" s="35" t="s">
        <v>286</v>
      </c>
      <c r="K7" s="35" t="s">
        <v>287</v>
      </c>
      <c r="L7" s="36" t="s">
        <v>288</v>
      </c>
      <c r="M7" s="35" t="s">
        <v>289</v>
      </c>
      <c r="N7" s="37" t="s">
        <v>290</v>
      </c>
      <c r="O7" s="38" t="s">
        <v>291</v>
      </c>
      <c r="P7" s="39" t="s">
        <v>292</v>
      </c>
      <c r="Q7" s="39" t="s">
        <v>293</v>
      </c>
    </row>
    <row r="8" spans="1:17" x14ac:dyDescent="0.25">
      <c r="A8" t="s">
        <v>310</v>
      </c>
      <c r="B8" s="42" t="s">
        <v>295</v>
      </c>
      <c r="C8" s="40">
        <v>3.9403100000000003E-2</v>
      </c>
      <c r="D8" s="40">
        <v>3.2013573900000002E-2</v>
      </c>
      <c r="E8" s="40">
        <v>4.8413003500000003E-2</v>
      </c>
      <c r="F8" s="43">
        <v>5.0147640600000001E-2</v>
      </c>
      <c r="G8" s="40">
        <v>3.9229255099999999E-2</v>
      </c>
      <c r="H8" s="40">
        <v>6.3902740299999997E-2</v>
      </c>
      <c r="I8" s="43">
        <v>8.5737012400000007E-2</v>
      </c>
      <c r="J8" s="40">
        <v>6.8475409000000001E-2</v>
      </c>
      <c r="K8" s="40">
        <v>0.1068508747</v>
      </c>
      <c r="L8" s="43">
        <v>3.0449178899999998E-2</v>
      </c>
      <c r="M8" s="40">
        <v>2.2984920200000002E-2</v>
      </c>
      <c r="N8" s="41">
        <v>4.0237595100000002E-2</v>
      </c>
      <c r="O8" s="43">
        <v>3.8302214399999999E-2</v>
      </c>
      <c r="P8" s="40">
        <v>3.06317729E-2</v>
      </c>
      <c r="Q8" s="41">
        <v>4.7798686E-2</v>
      </c>
    </row>
    <row r="9" spans="1:17" x14ac:dyDescent="0.25">
      <c r="A9" t="s">
        <v>309</v>
      </c>
      <c r="B9" s="42" t="s">
        <v>295</v>
      </c>
      <c r="C9" t="s">
        <v>311</v>
      </c>
    </row>
    <row r="10" spans="1:17" x14ac:dyDescent="0.25">
      <c r="A10" t="s">
        <v>308</v>
      </c>
      <c r="B10" s="44" t="s">
        <v>295</v>
      </c>
      <c r="C10" s="46">
        <v>4.0263421417564053E-2</v>
      </c>
      <c r="D10" s="46">
        <v>3.3594474348528018E-2</v>
      </c>
      <c r="E10" s="46">
        <v>4.8190227050001026E-2</v>
      </c>
      <c r="F10" s="45">
        <v>3.3929812402608679E-2</v>
      </c>
      <c r="G10" s="46">
        <v>2.4887871507003768E-2</v>
      </c>
      <c r="H10" s="46">
        <v>4.6101446174595544E-2</v>
      </c>
      <c r="I10" s="45">
        <v>7.1839881314493634E-2</v>
      </c>
      <c r="J10" s="46">
        <v>5.6717331505215365E-2</v>
      </c>
      <c r="K10" s="46">
        <v>9.0607251622944779E-2</v>
      </c>
      <c r="L10" s="45">
        <v>3.578776020706851E-2</v>
      </c>
      <c r="M10" s="46">
        <v>2.8390737601924579E-2</v>
      </c>
      <c r="N10" s="47">
        <v>4.5022723771084835E-2</v>
      </c>
      <c r="O10" s="45">
        <v>4.0902910163227224E-2</v>
      </c>
      <c r="P10" s="46">
        <v>3.3752294033369483E-2</v>
      </c>
      <c r="Q10" s="46">
        <v>4.9490832601094097E-2</v>
      </c>
    </row>
    <row r="11" spans="1:17" x14ac:dyDescent="0.25">
      <c r="A11" t="s">
        <v>307</v>
      </c>
      <c r="B11" s="42" t="s">
        <v>295</v>
      </c>
      <c r="C11" s="40">
        <v>3.8338179822485725E-2</v>
      </c>
      <c r="D11" s="40">
        <v>3.1601236463517458E-2</v>
      </c>
      <c r="E11" s="40">
        <v>4.6442467293129584E-2</v>
      </c>
      <c r="F11" s="43">
        <v>3.0395141912336752E-2</v>
      </c>
      <c r="G11" s="40">
        <v>2.242478574809631E-2</v>
      </c>
      <c r="H11" s="40">
        <v>4.1079329374067136E-2</v>
      </c>
      <c r="I11" s="43">
        <v>7.3707534152242002E-2</v>
      </c>
      <c r="J11" s="40">
        <v>5.931029809640509E-2</v>
      </c>
      <c r="K11" s="40">
        <v>9.1260566108428892E-2</v>
      </c>
      <c r="L11" s="43">
        <v>3.34517058957913E-2</v>
      </c>
      <c r="M11" s="40">
        <v>2.5909118839274797E-2</v>
      </c>
      <c r="N11" s="41">
        <v>4.3092929672911555E-2</v>
      </c>
      <c r="O11" s="43">
        <v>3.913577460737E-2</v>
      </c>
      <c r="P11" s="40">
        <v>3.1947719404231308E-2</v>
      </c>
      <c r="Q11" s="40">
        <v>4.7861142387539808E-2</v>
      </c>
    </row>
    <row r="12" spans="1:17" x14ac:dyDescent="0.25">
      <c r="A12" t="s">
        <v>294</v>
      </c>
      <c r="B12" s="42" t="s">
        <v>295</v>
      </c>
      <c r="C12" s="40">
        <v>4.206253825001225E-2</v>
      </c>
      <c r="D12" s="40">
        <v>3.4706354705889689E-2</v>
      </c>
      <c r="E12" s="40">
        <v>5.0895692597768057E-2</v>
      </c>
      <c r="F12" s="43">
        <v>3.2158430120371562E-2</v>
      </c>
      <c r="G12" s="40">
        <v>2.3471561124389102E-2</v>
      </c>
      <c r="H12" s="40">
        <v>4.3915741812230583E-2</v>
      </c>
      <c r="I12" s="43">
        <v>6.6855720791982556E-2</v>
      </c>
      <c r="J12" s="40">
        <v>5.2979223567033502E-2</v>
      </c>
      <c r="K12" s="40">
        <v>8.4044242941660449E-2</v>
      </c>
      <c r="L12" s="43">
        <v>3.9195414396059412E-2</v>
      </c>
      <c r="M12" s="40">
        <v>3.0497134068031447E-2</v>
      </c>
      <c r="N12" s="41">
        <v>5.0246010121462313E-2</v>
      </c>
      <c r="O12" s="43">
        <v>4.3045822533595027E-2</v>
      </c>
      <c r="P12" s="40">
        <v>3.5241700169391758E-2</v>
      </c>
      <c r="Q12" s="40">
        <v>5.2484118342809423E-2</v>
      </c>
    </row>
    <row r="13" spans="1:17" x14ac:dyDescent="0.25">
      <c r="A13" t="s">
        <v>60</v>
      </c>
      <c r="B13" s="44" t="s">
        <v>295</v>
      </c>
      <c r="C13" s="46">
        <v>3.8730861828816916E-2</v>
      </c>
      <c r="D13" s="46">
        <v>3.1239459147930752E-2</v>
      </c>
      <c r="E13" s="46">
        <v>4.7929864390312382E-2</v>
      </c>
      <c r="F13" s="45">
        <v>2.5666747973163862E-2</v>
      </c>
      <c r="G13" s="46">
        <v>1.810760191300665E-2</v>
      </c>
      <c r="H13" s="46">
        <v>3.626496401881437E-2</v>
      </c>
      <c r="I13" s="45">
        <v>5.0820316369484093E-2</v>
      </c>
      <c r="J13" s="46">
        <v>3.9724473354126939E-2</v>
      </c>
      <c r="K13" s="46">
        <v>6.4806288662823716E-2</v>
      </c>
      <c r="L13" s="45">
        <v>3.8301028485517287E-2</v>
      </c>
      <c r="M13" s="46">
        <v>2.93400393381722E-2</v>
      </c>
      <c r="N13" s="47">
        <v>4.9858289659755778E-2</v>
      </c>
      <c r="O13" s="45">
        <v>4.0018245783080192E-2</v>
      </c>
      <c r="P13" s="46">
        <v>3.2035020685524433E-2</v>
      </c>
      <c r="Q13" s="46">
        <v>4.988838013293305E-2</v>
      </c>
    </row>
    <row r="15" spans="1:17" x14ac:dyDescent="0.25">
      <c r="A15" s="22" t="s">
        <v>313</v>
      </c>
    </row>
    <row r="16" spans="1:17" ht="51.75" x14ac:dyDescent="0.25">
      <c r="A16" s="33" t="s">
        <v>275</v>
      </c>
      <c r="B16" s="34" t="s">
        <v>278</v>
      </c>
      <c r="C16" s="35" t="s">
        <v>279</v>
      </c>
      <c r="D16" s="35" t="s">
        <v>280</v>
      </c>
      <c r="E16" s="35" t="s">
        <v>281</v>
      </c>
      <c r="F16" s="36" t="s">
        <v>282</v>
      </c>
      <c r="G16" s="35" t="s">
        <v>283</v>
      </c>
      <c r="H16" s="35" t="s">
        <v>284</v>
      </c>
      <c r="I16" s="36" t="s">
        <v>285</v>
      </c>
      <c r="J16" s="35" t="s">
        <v>286</v>
      </c>
      <c r="K16" s="35" t="s">
        <v>287</v>
      </c>
      <c r="L16" s="36" t="s">
        <v>288</v>
      </c>
      <c r="M16" s="35" t="s">
        <v>289</v>
      </c>
      <c r="N16" s="37" t="s">
        <v>290</v>
      </c>
      <c r="O16" s="38" t="s">
        <v>291</v>
      </c>
      <c r="P16" s="39" t="s">
        <v>292</v>
      </c>
      <c r="Q16" s="39" t="s">
        <v>293</v>
      </c>
    </row>
    <row r="17" spans="1:17" x14ac:dyDescent="0.25">
      <c r="A17" t="s">
        <v>310</v>
      </c>
      <c r="B17" s="42" t="s">
        <v>295</v>
      </c>
      <c r="C17" s="50">
        <v>190</v>
      </c>
      <c r="D17" s="50">
        <v>154</v>
      </c>
      <c r="E17" s="50">
        <v>233</v>
      </c>
      <c r="F17" s="49">
        <v>22</v>
      </c>
      <c r="G17" s="50">
        <v>18</v>
      </c>
      <c r="H17" s="50">
        <v>29</v>
      </c>
      <c r="I17" s="49">
        <v>53</v>
      </c>
      <c r="J17" s="50">
        <v>43</v>
      </c>
      <c r="K17" s="50">
        <v>66</v>
      </c>
      <c r="L17" s="49">
        <v>114</v>
      </c>
      <c r="M17" s="50">
        <v>86</v>
      </c>
      <c r="N17" s="51">
        <v>151</v>
      </c>
      <c r="O17" s="49">
        <v>168</v>
      </c>
      <c r="P17" s="50">
        <v>134</v>
      </c>
      <c r="Q17" s="51">
        <v>209</v>
      </c>
    </row>
    <row r="18" spans="1:17" x14ac:dyDescent="0.25">
      <c r="A18" t="s">
        <v>309</v>
      </c>
      <c r="B18" t="s">
        <v>311</v>
      </c>
    </row>
    <row r="19" spans="1:17" x14ac:dyDescent="0.25">
      <c r="A19" t="s">
        <v>308</v>
      </c>
      <c r="B19" t="s">
        <v>295</v>
      </c>
      <c r="C19">
        <v>196</v>
      </c>
      <c r="D19">
        <v>163</v>
      </c>
      <c r="E19">
        <v>234</v>
      </c>
      <c r="F19">
        <v>15</v>
      </c>
      <c r="G19">
        <v>11</v>
      </c>
      <c r="H19" t="s">
        <v>441</v>
      </c>
      <c r="I19">
        <v>45</v>
      </c>
      <c r="J19">
        <v>36</v>
      </c>
      <c r="K19" t="s">
        <v>442</v>
      </c>
      <c r="L19">
        <v>136</v>
      </c>
      <c r="M19">
        <v>108</v>
      </c>
      <c r="N19" t="s">
        <v>443</v>
      </c>
      <c r="O19">
        <v>181</v>
      </c>
      <c r="P19">
        <v>149</v>
      </c>
      <c r="Q19" t="s">
        <v>444</v>
      </c>
    </row>
    <row r="20" spans="1:17" x14ac:dyDescent="0.25">
      <c r="A20" t="s">
        <v>307</v>
      </c>
      <c r="B20" t="s">
        <v>295</v>
      </c>
      <c r="C20">
        <v>187</v>
      </c>
      <c r="D20">
        <v>154</v>
      </c>
      <c r="E20">
        <v>227</v>
      </c>
      <c r="F20">
        <v>14</v>
      </c>
      <c r="G20">
        <v>10</v>
      </c>
      <c r="H20" t="s">
        <v>445</v>
      </c>
      <c r="I20">
        <v>46</v>
      </c>
      <c r="J20">
        <v>37</v>
      </c>
      <c r="K20" t="s">
        <v>442</v>
      </c>
      <c r="L20">
        <v>127</v>
      </c>
      <c r="M20">
        <v>99</v>
      </c>
      <c r="N20" t="s">
        <v>446</v>
      </c>
      <c r="O20">
        <v>173</v>
      </c>
      <c r="P20">
        <v>142</v>
      </c>
      <c r="Q20" t="s">
        <v>447</v>
      </c>
    </row>
    <row r="21" spans="1:17" x14ac:dyDescent="0.25">
      <c r="A21" t="s">
        <v>294</v>
      </c>
      <c r="B21" t="s">
        <v>295</v>
      </c>
      <c r="C21">
        <v>206</v>
      </c>
      <c r="D21">
        <v>170</v>
      </c>
      <c r="E21">
        <v>249</v>
      </c>
      <c r="F21">
        <v>14</v>
      </c>
      <c r="G21">
        <v>10</v>
      </c>
      <c r="H21" t="s">
        <v>448</v>
      </c>
      <c r="I21">
        <v>42</v>
      </c>
      <c r="J21">
        <v>33</v>
      </c>
      <c r="K21" t="s">
        <v>449</v>
      </c>
      <c r="L21">
        <v>150</v>
      </c>
      <c r="M21">
        <v>117</v>
      </c>
      <c r="N21" t="s">
        <v>420</v>
      </c>
      <c r="O21">
        <v>192</v>
      </c>
      <c r="P21">
        <v>157</v>
      </c>
      <c r="Q21" t="s">
        <v>440</v>
      </c>
    </row>
    <row r="22" spans="1:17" x14ac:dyDescent="0.25">
      <c r="A22" t="s">
        <v>60</v>
      </c>
      <c r="B22" s="42" t="s">
        <v>295</v>
      </c>
      <c r="C22">
        <v>191</v>
      </c>
      <c r="D22">
        <v>154</v>
      </c>
      <c r="E22">
        <v>236</v>
      </c>
      <c r="F22">
        <v>11</v>
      </c>
      <c r="G22">
        <v>8</v>
      </c>
      <c r="H22">
        <v>16</v>
      </c>
      <c r="I22">
        <v>31</v>
      </c>
      <c r="J22">
        <v>24</v>
      </c>
      <c r="K22">
        <v>40</v>
      </c>
      <c r="L22">
        <v>148</v>
      </c>
      <c r="M22">
        <v>113</v>
      </c>
      <c r="N22">
        <v>193</v>
      </c>
      <c r="O22">
        <v>179</v>
      </c>
      <c r="P22">
        <v>143</v>
      </c>
      <c r="Q22">
        <v>223</v>
      </c>
    </row>
    <row r="34" spans="1:17" x14ac:dyDescent="0.25">
      <c r="A34" s="158" t="s">
        <v>300</v>
      </c>
      <c r="B34" s="158"/>
      <c r="C34" s="158"/>
      <c r="D34" s="158"/>
      <c r="E34" s="158"/>
      <c r="F34" s="158"/>
      <c r="G34" s="158"/>
      <c r="H34" s="153"/>
      <c r="I34" s="153"/>
      <c r="J34" s="153"/>
      <c r="K34" s="153"/>
      <c r="L34" s="153"/>
      <c r="M34" s="153"/>
      <c r="N34" s="153"/>
      <c r="O34" s="154"/>
      <c r="P34" s="154"/>
      <c r="Q34" s="154"/>
    </row>
    <row r="35" spans="1:17" x14ac:dyDescent="0.25">
      <c r="A35" s="152" t="s">
        <v>301</v>
      </c>
      <c r="B35" s="152"/>
      <c r="C35" s="152"/>
      <c r="D35" s="152"/>
      <c r="E35" s="152"/>
      <c r="F35" s="152"/>
      <c r="G35" s="152"/>
      <c r="H35" s="152"/>
      <c r="I35" s="152"/>
      <c r="J35" s="152"/>
      <c r="K35" s="152"/>
      <c r="L35" s="152"/>
      <c r="M35" s="152"/>
      <c r="N35" s="152"/>
      <c r="O35" s="154"/>
      <c r="P35" s="154"/>
      <c r="Q35" s="154"/>
    </row>
    <row r="36" spans="1:17" ht="24" customHeight="1" x14ac:dyDescent="0.25">
      <c r="A36" s="151" t="s">
        <v>297</v>
      </c>
      <c r="B36" s="151"/>
      <c r="C36" s="151"/>
      <c r="D36" s="151"/>
      <c r="E36" s="151"/>
      <c r="F36" s="151"/>
      <c r="G36" s="151"/>
      <c r="H36" s="151"/>
      <c r="I36" s="151"/>
      <c r="J36" s="151"/>
      <c r="K36" s="151"/>
      <c r="L36" s="151"/>
      <c r="M36" s="151"/>
      <c r="N36" s="151"/>
      <c r="O36" s="151"/>
      <c r="P36" s="151"/>
      <c r="Q36" s="151"/>
    </row>
    <row r="37" spans="1:17" x14ac:dyDescent="0.25">
      <c r="A37" s="152" t="s">
        <v>298</v>
      </c>
      <c r="B37" s="152"/>
      <c r="C37" s="152"/>
      <c r="D37" s="152"/>
      <c r="E37" s="152"/>
      <c r="F37" s="152"/>
      <c r="G37" s="153"/>
      <c r="H37" s="153"/>
      <c r="I37" s="153"/>
      <c r="J37" s="153"/>
      <c r="K37" s="153"/>
      <c r="L37" s="153"/>
      <c r="M37" s="153"/>
      <c r="N37" s="153"/>
      <c r="O37" s="154"/>
      <c r="P37" s="154"/>
      <c r="Q37" s="154"/>
    </row>
    <row r="38" spans="1:17" x14ac:dyDescent="0.25">
      <c r="A38" s="152" t="s">
        <v>299</v>
      </c>
      <c r="B38" s="154"/>
      <c r="C38" s="154"/>
      <c r="D38" s="154"/>
      <c r="E38" s="154"/>
      <c r="F38" s="154"/>
      <c r="G38" s="154"/>
      <c r="H38" s="154"/>
      <c r="I38" s="154"/>
      <c r="J38" s="154"/>
      <c r="K38" s="154"/>
      <c r="L38" s="154"/>
      <c r="M38" s="154"/>
      <c r="N38" s="154"/>
      <c r="O38" s="154"/>
      <c r="P38" s="154"/>
      <c r="Q38" s="154"/>
    </row>
    <row r="39" spans="1:17" x14ac:dyDescent="0.25">
      <c r="A39" s="155" t="s">
        <v>69</v>
      </c>
      <c r="B39" s="155"/>
      <c r="C39" s="155"/>
      <c r="D39" s="155"/>
      <c r="E39" s="155"/>
      <c r="F39" s="155"/>
      <c r="G39" s="156"/>
      <c r="H39" s="156"/>
      <c r="I39" s="156"/>
      <c r="J39" s="156"/>
      <c r="K39" s="156"/>
      <c r="L39" s="156"/>
      <c r="M39" s="156"/>
      <c r="N39" s="156"/>
      <c r="O39" s="157"/>
      <c r="P39" s="157"/>
      <c r="Q39" s="157"/>
    </row>
    <row r="40" spans="1:17" x14ac:dyDescent="0.25">
      <c r="A40" s="22" t="s">
        <v>312</v>
      </c>
    </row>
    <row r="41" spans="1:17" ht="51.75" x14ac:dyDescent="0.25">
      <c r="A41" s="33" t="s">
        <v>275</v>
      </c>
      <c r="B41" s="34" t="s">
        <v>278</v>
      </c>
      <c r="C41" s="35" t="s">
        <v>279</v>
      </c>
      <c r="D41" s="35" t="s">
        <v>280</v>
      </c>
      <c r="E41" s="35" t="s">
        <v>281</v>
      </c>
      <c r="F41" s="36" t="s">
        <v>282</v>
      </c>
      <c r="G41" s="35" t="s">
        <v>283</v>
      </c>
      <c r="H41" s="35" t="s">
        <v>284</v>
      </c>
      <c r="I41" s="36" t="s">
        <v>285</v>
      </c>
      <c r="J41" s="35" t="s">
        <v>286</v>
      </c>
      <c r="K41" s="35" t="s">
        <v>287</v>
      </c>
      <c r="L41" s="36" t="s">
        <v>288</v>
      </c>
      <c r="M41" s="35" t="s">
        <v>289</v>
      </c>
      <c r="N41" s="37" t="s">
        <v>290</v>
      </c>
      <c r="O41" s="38" t="s">
        <v>291</v>
      </c>
      <c r="P41" s="39" t="s">
        <v>292</v>
      </c>
      <c r="Q41" s="39" t="s">
        <v>293</v>
      </c>
    </row>
    <row r="42" spans="1:17" x14ac:dyDescent="0.25">
      <c r="A42" t="s">
        <v>308</v>
      </c>
      <c r="B42" s="44" t="s">
        <v>295</v>
      </c>
      <c r="C42" s="46">
        <v>6.8311452466150004E-3</v>
      </c>
      <c r="D42" s="46">
        <v>5.0273309680523006E-3</v>
      </c>
      <c r="E42" s="46">
        <v>9.2761369762632273E-3</v>
      </c>
      <c r="F42" s="45">
        <v>5.4311860151731771E-3</v>
      </c>
      <c r="G42" s="46">
        <v>3.3487375564508503E-3</v>
      </c>
      <c r="H42" s="46">
        <v>8.797196854600068E-3</v>
      </c>
      <c r="I42" s="45">
        <v>1.0046720014741963E-2</v>
      </c>
      <c r="J42" s="46">
        <v>6.4693531487599407E-3</v>
      </c>
      <c r="K42" s="46">
        <v>1.5571264865449993E-2</v>
      </c>
      <c r="L42" s="45">
        <v>6.4641852524993356E-3</v>
      </c>
      <c r="M42" s="46">
        <v>4.3788910310433365E-3</v>
      </c>
      <c r="N42" s="47">
        <v>9.5330197722469628E-3</v>
      </c>
      <c r="O42" s="45">
        <v>6.9724837279232345E-3</v>
      </c>
      <c r="P42" s="46">
        <v>4.9863424075661366E-3</v>
      </c>
      <c r="Q42" s="46">
        <v>9.7419918223530313E-3</v>
      </c>
    </row>
    <row r="43" spans="1:17" x14ac:dyDescent="0.25">
      <c r="A43" t="s">
        <v>307</v>
      </c>
      <c r="B43" s="42" t="s">
        <v>295</v>
      </c>
      <c r="C43" s="40">
        <v>6.232287657978489E-3</v>
      </c>
      <c r="D43" s="40">
        <v>4.5832775294639876E-3</v>
      </c>
      <c r="E43" s="40">
        <v>8.4695444436006847E-3</v>
      </c>
      <c r="F43" s="43">
        <v>4.4833690455108885E-3</v>
      </c>
      <c r="G43" s="40">
        <v>2.8019212394800822E-3</v>
      </c>
      <c r="H43" s="40">
        <v>7.1666108465541735E-3</v>
      </c>
      <c r="I43" s="43">
        <v>9.7666326319040212E-3</v>
      </c>
      <c r="J43" s="40">
        <v>6.3465247819179602E-3</v>
      </c>
      <c r="K43" s="40">
        <v>1.5001991652494093E-2</v>
      </c>
      <c r="L43" s="43">
        <v>5.855571771580137E-3</v>
      </c>
      <c r="M43" s="40">
        <v>3.9595968377026704E-3</v>
      </c>
      <c r="N43" s="41">
        <v>8.6515114479355486E-3</v>
      </c>
      <c r="O43" s="43">
        <v>6.4078787487538546E-3</v>
      </c>
      <c r="P43" s="40">
        <v>4.6232449308688476E-3</v>
      </c>
      <c r="Q43" s="40">
        <v>8.8752623748963623E-3</v>
      </c>
    </row>
    <row r="44" spans="1:17" x14ac:dyDescent="0.25">
      <c r="A44" t="s">
        <v>294</v>
      </c>
      <c r="B44" s="42" t="s">
        <v>295</v>
      </c>
      <c r="C44" s="40">
        <v>6.0896254059166956E-3</v>
      </c>
      <c r="D44" s="40">
        <v>3.9710988418084278E-3</v>
      </c>
      <c r="E44" s="40">
        <v>9.3277724032104284E-3</v>
      </c>
      <c r="F44" s="43">
        <v>4.1502957520702195E-3</v>
      </c>
      <c r="G44" s="40">
        <v>2.5035032592605078E-3</v>
      </c>
      <c r="H44" s="40">
        <v>6.8728767406165837E-3</v>
      </c>
      <c r="I44" s="43">
        <v>8.997068585778414E-3</v>
      </c>
      <c r="J44" s="40">
        <v>5.8321850929595491E-3</v>
      </c>
      <c r="K44" s="40">
        <v>1.3855466619044948E-2</v>
      </c>
      <c r="L44" s="43">
        <v>5.8430693677429925E-3</v>
      </c>
      <c r="M44" s="40">
        <v>3.4195038073439213E-3</v>
      </c>
      <c r="N44" s="41">
        <v>9.9671522290011826E-3</v>
      </c>
      <c r="O44" s="43">
        <v>6.2821777776817878E-3</v>
      </c>
      <c r="P44" s="40">
        <v>4.0265691331844208E-3</v>
      </c>
      <c r="Q44" s="40">
        <v>9.7889173671221394E-3</v>
      </c>
    </row>
    <row r="45" spans="1:17" x14ac:dyDescent="0.25">
      <c r="A45" t="s">
        <v>60</v>
      </c>
      <c r="B45" s="44" t="s">
        <v>295</v>
      </c>
      <c r="C45" s="46">
        <v>4.9485539880650114E-3</v>
      </c>
      <c r="D45" s="46">
        <v>2.968612237622644E-3</v>
      </c>
      <c r="E45" s="46">
        <v>8.2381239508657021E-3</v>
      </c>
      <c r="F45" s="45">
        <v>3.9902482891877606E-3</v>
      </c>
      <c r="G45" s="46">
        <v>2.4116181991534983E-3</v>
      </c>
      <c r="H45" s="46">
        <v>6.5954077821254366E-3</v>
      </c>
      <c r="I45" s="45">
        <v>6.811998564301665E-3</v>
      </c>
      <c r="J45" s="46">
        <v>4.2046041060372829E-3</v>
      </c>
      <c r="K45" s="46">
        <v>1.1018421277797411E-2</v>
      </c>
      <c r="L45" s="45">
        <v>4.7618172277143272E-3</v>
      </c>
      <c r="M45" s="46">
        <v>2.4800797210455926E-3</v>
      </c>
      <c r="N45" s="47">
        <v>9.1236118428893107E-3</v>
      </c>
      <c r="O45" s="45">
        <v>5.0430171386013755E-3</v>
      </c>
      <c r="P45" s="46">
        <v>2.896153900301084E-3</v>
      </c>
      <c r="Q45" s="46">
        <v>8.7673157626561651E-3</v>
      </c>
    </row>
    <row r="47" spans="1:17" x14ac:dyDescent="0.25">
      <c r="A47" s="22" t="s">
        <v>313</v>
      </c>
    </row>
    <row r="48" spans="1:17" ht="51.75" x14ac:dyDescent="0.25">
      <c r="A48" s="33" t="s">
        <v>275</v>
      </c>
      <c r="B48" s="34" t="s">
        <v>278</v>
      </c>
      <c r="C48" s="35" t="s">
        <v>279</v>
      </c>
      <c r="D48" s="35" t="s">
        <v>280</v>
      </c>
      <c r="E48" s="35" t="s">
        <v>281</v>
      </c>
      <c r="F48" s="36" t="s">
        <v>282</v>
      </c>
      <c r="G48" s="35" t="s">
        <v>283</v>
      </c>
      <c r="H48" s="35" t="s">
        <v>284</v>
      </c>
      <c r="I48" s="36" t="s">
        <v>285</v>
      </c>
      <c r="J48" s="35" t="s">
        <v>286</v>
      </c>
      <c r="K48" s="35" t="s">
        <v>287</v>
      </c>
      <c r="L48" s="36" t="s">
        <v>288</v>
      </c>
      <c r="M48" s="35" t="s">
        <v>289</v>
      </c>
      <c r="N48" s="37" t="s">
        <v>290</v>
      </c>
      <c r="O48" s="38" t="s">
        <v>291</v>
      </c>
      <c r="P48" s="39" t="s">
        <v>292</v>
      </c>
      <c r="Q48" s="39" t="s">
        <v>293</v>
      </c>
    </row>
    <row r="49" spans="1:17" x14ac:dyDescent="0.25">
      <c r="A49" t="s">
        <v>308</v>
      </c>
      <c r="B49" t="s">
        <v>295</v>
      </c>
      <c r="C49">
        <v>33</v>
      </c>
      <c r="D49">
        <v>24</v>
      </c>
      <c r="E49" t="s">
        <v>450</v>
      </c>
      <c r="F49">
        <v>2</v>
      </c>
      <c r="G49">
        <v>1</v>
      </c>
      <c r="H49" t="s">
        <v>451</v>
      </c>
      <c r="I49">
        <v>6</v>
      </c>
      <c r="J49">
        <v>4</v>
      </c>
      <c r="K49" t="s">
        <v>433</v>
      </c>
      <c r="L49">
        <v>24</v>
      </c>
      <c r="M49">
        <v>17</v>
      </c>
      <c r="N49" t="s">
        <v>452</v>
      </c>
      <c r="O49">
        <v>31</v>
      </c>
      <c r="P49">
        <v>22</v>
      </c>
      <c r="Q49" t="s">
        <v>453</v>
      </c>
    </row>
    <row r="50" spans="1:17" x14ac:dyDescent="0.25">
      <c r="A50" t="s">
        <v>307</v>
      </c>
      <c r="B50" t="s">
        <v>295</v>
      </c>
      <c r="C50">
        <v>30</v>
      </c>
      <c r="D50">
        <v>22</v>
      </c>
      <c r="E50" t="s">
        <v>454</v>
      </c>
      <c r="F50">
        <v>2</v>
      </c>
      <c r="G50">
        <v>1</v>
      </c>
      <c r="H50" t="s">
        <v>455</v>
      </c>
      <c r="I50">
        <v>6</v>
      </c>
      <c r="J50">
        <v>4</v>
      </c>
      <c r="K50" t="s">
        <v>438</v>
      </c>
      <c r="L50">
        <v>22</v>
      </c>
      <c r="M50">
        <v>15</v>
      </c>
      <c r="N50" t="s">
        <v>423</v>
      </c>
      <c r="O50">
        <v>28</v>
      </c>
      <c r="P50">
        <v>20</v>
      </c>
      <c r="Q50" t="s">
        <v>429</v>
      </c>
    </row>
    <row r="51" spans="1:17" x14ac:dyDescent="0.25">
      <c r="A51" t="s">
        <v>294</v>
      </c>
      <c r="B51" t="s">
        <v>295</v>
      </c>
      <c r="C51">
        <v>30</v>
      </c>
      <c r="D51">
        <v>19</v>
      </c>
      <c r="E51" t="s">
        <v>456</v>
      </c>
      <c r="F51">
        <v>2</v>
      </c>
      <c r="G51">
        <v>1</v>
      </c>
      <c r="H51" t="s">
        <v>455</v>
      </c>
      <c r="I51">
        <v>6</v>
      </c>
      <c r="J51">
        <v>4</v>
      </c>
      <c r="K51" t="s">
        <v>438</v>
      </c>
      <c r="L51">
        <v>22</v>
      </c>
      <c r="M51">
        <v>13</v>
      </c>
      <c r="N51" t="s">
        <v>457</v>
      </c>
      <c r="O51">
        <v>28</v>
      </c>
      <c r="P51">
        <v>18</v>
      </c>
      <c r="Q51" t="s">
        <v>458</v>
      </c>
    </row>
    <row r="52" spans="1:17" x14ac:dyDescent="0.25">
      <c r="A52" t="s">
        <v>60</v>
      </c>
      <c r="B52" t="s">
        <v>295</v>
      </c>
      <c r="C52">
        <v>24</v>
      </c>
      <c r="D52">
        <v>15</v>
      </c>
      <c r="E52" t="s">
        <v>454</v>
      </c>
      <c r="F52">
        <v>2</v>
      </c>
      <c r="G52">
        <v>1</v>
      </c>
      <c r="H52" t="s">
        <v>455</v>
      </c>
      <c r="I52">
        <v>4</v>
      </c>
      <c r="J52">
        <v>3</v>
      </c>
      <c r="K52" t="s">
        <v>459</v>
      </c>
      <c r="L52">
        <v>18</v>
      </c>
      <c r="M52">
        <v>10</v>
      </c>
      <c r="N52" t="s">
        <v>460</v>
      </c>
      <c r="O52">
        <v>23</v>
      </c>
      <c r="P52">
        <v>13</v>
      </c>
      <c r="Q52" t="s">
        <v>429</v>
      </c>
    </row>
  </sheetData>
  <mergeCells count="11">
    <mergeCell ref="A1:Q1"/>
    <mergeCell ref="A2:Q2"/>
    <mergeCell ref="A3:Q3"/>
    <mergeCell ref="A4:Q4"/>
    <mergeCell ref="A5:Q5"/>
    <mergeCell ref="A34:Q34"/>
    <mergeCell ref="A39:Q39"/>
    <mergeCell ref="A35:Q35"/>
    <mergeCell ref="A36:Q36"/>
    <mergeCell ref="A37:Q37"/>
    <mergeCell ref="A38:Q38"/>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F5F92-1D8E-4E0F-BB04-8BC0FEE6CE2A}">
  <dimension ref="A1:J27"/>
  <sheetViews>
    <sheetView workbookViewId="0">
      <selection activeCell="C9" sqref="C9"/>
    </sheetView>
  </sheetViews>
  <sheetFormatPr defaultRowHeight="15" x14ac:dyDescent="0.25"/>
  <cols>
    <col min="1" max="1" width="20.5703125" bestFit="1" customWidth="1"/>
  </cols>
  <sheetData>
    <row r="1" spans="1:10" x14ac:dyDescent="0.25">
      <c r="B1" t="s">
        <v>394</v>
      </c>
    </row>
    <row r="2" spans="1:10" ht="15.75" thickBot="1" x14ac:dyDescent="0.3">
      <c r="A2" t="s">
        <v>315</v>
      </c>
      <c r="B2" t="s">
        <v>393</v>
      </c>
    </row>
    <row r="3" spans="1:10" ht="39" customHeight="1" thickBot="1" x14ac:dyDescent="0.3">
      <c r="A3" s="159" t="s">
        <v>278</v>
      </c>
      <c r="B3" s="161" t="s">
        <v>316</v>
      </c>
      <c r="C3" s="162"/>
      <c r="D3" s="163"/>
      <c r="E3" s="161" t="s">
        <v>317</v>
      </c>
      <c r="F3" s="162"/>
      <c r="G3" s="163"/>
      <c r="H3" s="161" t="s">
        <v>318</v>
      </c>
      <c r="I3" s="162"/>
      <c r="J3" s="163"/>
    </row>
    <row r="4" spans="1:10" ht="26.25" thickBot="1" x14ac:dyDescent="0.3">
      <c r="A4" s="160"/>
      <c r="B4" s="52" t="s">
        <v>319</v>
      </c>
      <c r="C4" s="52" t="s">
        <v>320</v>
      </c>
      <c r="D4" s="53" t="s">
        <v>321</v>
      </c>
      <c r="E4" s="52" t="s">
        <v>319</v>
      </c>
      <c r="F4" s="52" t="s">
        <v>320</v>
      </c>
      <c r="G4" s="53" t="s">
        <v>321</v>
      </c>
      <c r="H4" s="52" t="s">
        <v>319</v>
      </c>
      <c r="I4" s="52" t="s">
        <v>320</v>
      </c>
      <c r="J4" s="53" t="s">
        <v>321</v>
      </c>
    </row>
    <row r="5" spans="1:10" ht="15.75" x14ac:dyDescent="0.25">
      <c r="A5" s="54" t="s">
        <v>322</v>
      </c>
      <c r="B5" s="55" t="s">
        <v>323</v>
      </c>
      <c r="C5" s="55" t="s">
        <v>324</v>
      </c>
      <c r="D5" s="56" t="s">
        <v>325</v>
      </c>
      <c r="E5" s="55" t="s">
        <v>326</v>
      </c>
      <c r="F5" s="55" t="s">
        <v>327</v>
      </c>
      <c r="G5" s="56" t="s">
        <v>328</v>
      </c>
      <c r="H5" s="55" t="s">
        <v>329</v>
      </c>
      <c r="I5" s="55" t="s">
        <v>330</v>
      </c>
      <c r="J5" s="56" t="s">
        <v>331</v>
      </c>
    </row>
    <row r="6" spans="1:10" x14ac:dyDescent="0.25">
      <c r="A6" s="57" t="s">
        <v>295</v>
      </c>
      <c r="B6" s="55" t="s">
        <v>340</v>
      </c>
      <c r="C6" s="55" t="s">
        <v>352</v>
      </c>
      <c r="D6" s="56" t="s">
        <v>353</v>
      </c>
      <c r="E6" s="55" t="s">
        <v>343</v>
      </c>
      <c r="F6" s="55" t="s">
        <v>332</v>
      </c>
      <c r="G6" s="56" t="s">
        <v>333</v>
      </c>
      <c r="H6" s="55" t="s">
        <v>338</v>
      </c>
      <c r="I6" s="55" t="s">
        <v>334</v>
      </c>
      <c r="J6" s="56" t="s">
        <v>339</v>
      </c>
    </row>
    <row r="8" spans="1:10" x14ac:dyDescent="0.25">
      <c r="B8" t="s">
        <v>395</v>
      </c>
    </row>
    <row r="9" spans="1:10" ht="15.75" thickBot="1" x14ac:dyDescent="0.3">
      <c r="A9" s="48" t="s">
        <v>354</v>
      </c>
      <c r="B9" s="48" t="s">
        <v>364</v>
      </c>
    </row>
    <row r="10" spans="1:10" ht="39" customHeight="1" x14ac:dyDescent="0.25">
      <c r="A10" s="159" t="s">
        <v>278</v>
      </c>
      <c r="B10" s="165" t="s">
        <v>316</v>
      </c>
      <c r="C10" s="166"/>
      <c r="D10" s="167"/>
      <c r="E10" s="165" t="s">
        <v>317</v>
      </c>
      <c r="F10" s="166"/>
      <c r="G10" s="167"/>
      <c r="H10" s="165" t="s">
        <v>318</v>
      </c>
      <c r="I10" s="166"/>
      <c r="J10" s="167"/>
    </row>
    <row r="11" spans="1:10" ht="15.75" thickBot="1" x14ac:dyDescent="0.3">
      <c r="A11" s="164"/>
      <c r="B11" s="168"/>
      <c r="C11" s="169"/>
      <c r="D11" s="170"/>
      <c r="E11" s="168" t="s">
        <v>355</v>
      </c>
      <c r="F11" s="169"/>
      <c r="G11" s="170"/>
      <c r="H11" s="168" t="s">
        <v>355</v>
      </c>
      <c r="I11" s="169"/>
      <c r="J11" s="170"/>
    </row>
    <row r="12" spans="1:10" ht="26.25" thickBot="1" x14ac:dyDescent="0.3">
      <c r="A12" s="160"/>
      <c r="B12" s="52" t="s">
        <v>319</v>
      </c>
      <c r="C12" s="52" t="s">
        <v>320</v>
      </c>
      <c r="D12" s="53" t="s">
        <v>321</v>
      </c>
      <c r="E12" s="52" t="s">
        <v>319</v>
      </c>
      <c r="F12" s="52" t="s">
        <v>320</v>
      </c>
      <c r="G12" s="53" t="s">
        <v>321</v>
      </c>
      <c r="H12" s="52" t="s">
        <v>319</v>
      </c>
      <c r="I12" s="52" t="s">
        <v>320</v>
      </c>
      <c r="J12" s="53" t="s">
        <v>321</v>
      </c>
    </row>
    <row r="13" spans="1:10" ht="15.75" x14ac:dyDescent="0.25">
      <c r="A13" s="54" t="s">
        <v>322</v>
      </c>
      <c r="B13" s="55" t="s">
        <v>356</v>
      </c>
      <c r="C13" s="55" t="s">
        <v>356</v>
      </c>
      <c r="D13" s="56" t="s">
        <v>357</v>
      </c>
      <c r="E13" s="55" t="s">
        <v>358</v>
      </c>
      <c r="F13" s="55" t="s">
        <v>359</v>
      </c>
      <c r="G13" s="56" t="s">
        <v>360</v>
      </c>
      <c r="H13" s="55" t="s">
        <v>361</v>
      </c>
      <c r="I13" s="55" t="s">
        <v>362</v>
      </c>
      <c r="J13" s="56" t="s">
        <v>363</v>
      </c>
    </row>
    <row r="14" spans="1:10" x14ac:dyDescent="0.25">
      <c r="A14" s="57" t="s">
        <v>295</v>
      </c>
      <c r="B14" s="55" t="s">
        <v>365</v>
      </c>
      <c r="C14" s="55" t="s">
        <v>366</v>
      </c>
      <c r="D14" s="56" t="s">
        <v>357</v>
      </c>
      <c r="E14" s="55" t="s">
        <v>367</v>
      </c>
      <c r="F14" s="55" t="s">
        <v>368</v>
      </c>
      <c r="G14" s="56" t="s">
        <v>369</v>
      </c>
      <c r="H14" s="55" t="s">
        <v>370</v>
      </c>
      <c r="I14" s="55" t="s">
        <v>371</v>
      </c>
      <c r="J14" s="56" t="s">
        <v>372</v>
      </c>
    </row>
    <row r="15" spans="1:10" x14ac:dyDescent="0.25">
      <c r="B15" t="s">
        <v>396</v>
      </c>
    </row>
    <row r="16" spans="1:10" ht="15.75" thickBot="1" x14ac:dyDescent="0.3">
      <c r="A16" t="s">
        <v>373</v>
      </c>
      <c r="B16" t="s">
        <v>374</v>
      </c>
    </row>
    <row r="17" spans="1:10" ht="39" customHeight="1" thickBot="1" x14ac:dyDescent="0.3">
      <c r="A17" s="159" t="s">
        <v>278</v>
      </c>
      <c r="B17" s="161" t="s">
        <v>316</v>
      </c>
      <c r="C17" s="162"/>
      <c r="D17" s="163"/>
      <c r="E17" s="161" t="s">
        <v>317</v>
      </c>
      <c r="F17" s="162"/>
      <c r="G17" s="163"/>
      <c r="H17" s="161" t="s">
        <v>318</v>
      </c>
      <c r="I17" s="162"/>
      <c r="J17" s="163"/>
    </row>
    <row r="18" spans="1:10" ht="26.25" thickBot="1" x14ac:dyDescent="0.3">
      <c r="A18" s="160"/>
      <c r="B18" s="52" t="s">
        <v>319</v>
      </c>
      <c r="C18" s="52" t="s">
        <v>320</v>
      </c>
      <c r="D18" s="53" t="s">
        <v>321</v>
      </c>
      <c r="E18" s="52" t="s">
        <v>319</v>
      </c>
      <c r="F18" s="52" t="s">
        <v>320</v>
      </c>
      <c r="G18" s="53" t="s">
        <v>321</v>
      </c>
      <c r="H18" s="52" t="s">
        <v>319</v>
      </c>
      <c r="I18" s="52" t="s">
        <v>320</v>
      </c>
      <c r="J18" s="53" t="s">
        <v>321</v>
      </c>
    </row>
    <row r="19" spans="1:10" x14ac:dyDescent="0.25">
      <c r="A19" s="54" t="s">
        <v>322</v>
      </c>
      <c r="B19" s="55" t="s">
        <v>375</v>
      </c>
      <c r="C19" s="55" t="s">
        <v>351</v>
      </c>
      <c r="D19" s="56" t="s">
        <v>346</v>
      </c>
      <c r="E19" s="55" t="s">
        <v>337</v>
      </c>
      <c r="F19" s="55" t="s">
        <v>347</v>
      </c>
      <c r="G19" s="56" t="s">
        <v>348</v>
      </c>
      <c r="H19" s="55" t="s">
        <v>350</v>
      </c>
      <c r="I19" s="55" t="s">
        <v>349</v>
      </c>
      <c r="J19" s="56" t="s">
        <v>344</v>
      </c>
    </row>
    <row r="20" spans="1:10" x14ac:dyDescent="0.25">
      <c r="A20" s="57" t="s">
        <v>295</v>
      </c>
      <c r="B20" s="55" t="s">
        <v>343</v>
      </c>
      <c r="C20" s="55" t="s">
        <v>333</v>
      </c>
      <c r="D20" s="56" t="s">
        <v>341</v>
      </c>
      <c r="E20" s="55" t="s">
        <v>335</v>
      </c>
      <c r="F20" s="55" t="s">
        <v>345</v>
      </c>
      <c r="G20" s="56" t="s">
        <v>335</v>
      </c>
      <c r="H20" s="55" t="s">
        <v>336</v>
      </c>
      <c r="I20" s="55" t="s">
        <v>342</v>
      </c>
      <c r="J20" s="56" t="s">
        <v>335</v>
      </c>
    </row>
    <row r="21" spans="1:10" x14ac:dyDescent="0.25">
      <c r="B21" t="s">
        <v>397</v>
      </c>
    </row>
    <row r="22" spans="1:10" ht="15.75" thickBot="1" x14ac:dyDescent="0.3">
      <c r="A22" t="s">
        <v>376</v>
      </c>
      <c r="B22" t="s">
        <v>377</v>
      </c>
    </row>
    <row r="23" spans="1:10" ht="39" customHeight="1" x14ac:dyDescent="0.25">
      <c r="A23" s="159" t="s">
        <v>278</v>
      </c>
      <c r="B23" s="165" t="s">
        <v>316</v>
      </c>
      <c r="C23" s="166"/>
      <c r="D23" s="167"/>
      <c r="E23" s="165" t="s">
        <v>317</v>
      </c>
      <c r="F23" s="166"/>
      <c r="G23" s="167"/>
      <c r="H23" s="165" t="s">
        <v>318</v>
      </c>
      <c r="I23" s="166"/>
      <c r="J23" s="167"/>
    </row>
    <row r="24" spans="1:10" ht="15.75" thickBot="1" x14ac:dyDescent="0.3">
      <c r="A24" s="164"/>
      <c r="B24" s="168"/>
      <c r="C24" s="169"/>
      <c r="D24" s="170"/>
      <c r="E24" s="168" t="s">
        <v>355</v>
      </c>
      <c r="F24" s="169"/>
      <c r="G24" s="170"/>
      <c r="H24" s="168" t="s">
        <v>355</v>
      </c>
      <c r="I24" s="169"/>
      <c r="J24" s="170"/>
    </row>
    <row r="25" spans="1:10" ht="26.25" thickBot="1" x14ac:dyDescent="0.3">
      <c r="A25" s="160"/>
      <c r="B25" s="52" t="s">
        <v>319</v>
      </c>
      <c r="C25" s="52" t="s">
        <v>320</v>
      </c>
      <c r="D25" s="53" t="s">
        <v>321</v>
      </c>
      <c r="E25" s="52" t="s">
        <v>319</v>
      </c>
      <c r="F25" s="52" t="s">
        <v>320</v>
      </c>
      <c r="G25" s="53" t="s">
        <v>321</v>
      </c>
      <c r="H25" s="52" t="s">
        <v>319</v>
      </c>
      <c r="I25" s="52" t="s">
        <v>320</v>
      </c>
      <c r="J25" s="53" t="s">
        <v>321</v>
      </c>
    </row>
    <row r="26" spans="1:10" x14ac:dyDescent="0.25">
      <c r="A26" s="54" t="s">
        <v>322</v>
      </c>
      <c r="B26" s="55" t="s">
        <v>378</v>
      </c>
      <c r="C26" s="55" t="s">
        <v>378</v>
      </c>
      <c r="D26" s="56" t="s">
        <v>378</v>
      </c>
      <c r="E26" s="55" t="s">
        <v>379</v>
      </c>
      <c r="F26" s="55" t="s">
        <v>380</v>
      </c>
      <c r="G26" s="56" t="s">
        <v>381</v>
      </c>
      <c r="H26" s="55" t="s">
        <v>382</v>
      </c>
      <c r="I26" s="55" t="s">
        <v>383</v>
      </c>
      <c r="J26" s="56" t="s">
        <v>383</v>
      </c>
    </row>
    <row r="27" spans="1:10" x14ac:dyDescent="0.25">
      <c r="A27" s="57" t="s">
        <v>295</v>
      </c>
      <c r="B27" s="55" t="s">
        <v>384</v>
      </c>
      <c r="C27" s="55" t="s">
        <v>385</v>
      </c>
      <c r="D27" s="56" t="s">
        <v>386</v>
      </c>
      <c r="E27" s="55" t="s">
        <v>387</v>
      </c>
      <c r="F27" s="55" t="s">
        <v>388</v>
      </c>
      <c r="G27" s="56" t="s">
        <v>389</v>
      </c>
      <c r="H27" s="55" t="s">
        <v>390</v>
      </c>
      <c r="I27" s="55" t="s">
        <v>391</v>
      </c>
      <c r="J27" s="56" t="s">
        <v>392</v>
      </c>
    </row>
  </sheetData>
  <mergeCells count="20">
    <mergeCell ref="A3:A4"/>
    <mergeCell ref="B3:D3"/>
    <mergeCell ref="E3:G3"/>
    <mergeCell ref="H3:J3"/>
    <mergeCell ref="A10:A12"/>
    <mergeCell ref="B10:D11"/>
    <mergeCell ref="E10:G10"/>
    <mergeCell ref="E11:G11"/>
    <mergeCell ref="H10:J10"/>
    <mergeCell ref="H11:J11"/>
    <mergeCell ref="A17:A18"/>
    <mergeCell ref="B17:D17"/>
    <mergeCell ref="E17:G17"/>
    <mergeCell ref="H17:J17"/>
    <mergeCell ref="A23:A25"/>
    <mergeCell ref="B23:D24"/>
    <mergeCell ref="E23:G23"/>
    <mergeCell ref="E24:G24"/>
    <mergeCell ref="H23:J23"/>
    <mergeCell ref="H24:J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70768-EEAF-48B5-BE57-9AB623FF5E7E}">
  <dimension ref="A1:K44"/>
  <sheetViews>
    <sheetView workbookViewId="0">
      <selection activeCell="G44" sqref="G44"/>
    </sheetView>
  </sheetViews>
  <sheetFormatPr defaultRowHeight="15" x14ac:dyDescent="0.25"/>
  <cols>
    <col min="1" max="1" width="34" customWidth="1"/>
    <col min="2" max="3" width="11.5703125" bestFit="1" customWidth="1"/>
  </cols>
  <sheetData>
    <row r="1" spans="1:11" x14ac:dyDescent="0.25">
      <c r="A1" t="s">
        <v>473</v>
      </c>
    </row>
    <row r="2" spans="1:11" ht="15.75" thickBot="1" x14ac:dyDescent="0.3">
      <c r="A2" s="174" t="s">
        <v>474</v>
      </c>
      <c r="B2" s="175"/>
      <c r="C2" s="175"/>
      <c r="D2" s="175"/>
      <c r="E2" s="175"/>
      <c r="F2" s="175"/>
      <c r="G2" s="175"/>
      <c r="H2" s="175"/>
      <c r="I2" s="175"/>
      <c r="J2" s="175"/>
      <c r="K2" s="175"/>
    </row>
    <row r="3" spans="1:11" x14ac:dyDescent="0.25">
      <c r="A3" s="176" t="s">
        <v>475</v>
      </c>
      <c r="B3" s="65" t="s">
        <v>468</v>
      </c>
      <c r="C3" s="65" t="s">
        <v>468</v>
      </c>
      <c r="D3" s="65" t="s">
        <v>469</v>
      </c>
      <c r="E3" s="65" t="s">
        <v>469</v>
      </c>
      <c r="F3" s="65" t="s">
        <v>470</v>
      </c>
      <c r="G3" s="65" t="s">
        <v>470</v>
      </c>
      <c r="H3" s="65" t="s">
        <v>471</v>
      </c>
      <c r="I3" s="65" t="s">
        <v>471</v>
      </c>
      <c r="J3" s="65" t="s">
        <v>472</v>
      </c>
      <c r="K3" s="66" t="s">
        <v>472</v>
      </c>
    </row>
    <row r="4" spans="1:11" ht="15.75" thickBot="1" x14ac:dyDescent="0.3">
      <c r="A4" s="177"/>
      <c r="B4" s="67">
        <v>-2018</v>
      </c>
      <c r="C4" s="67">
        <v>-2019</v>
      </c>
      <c r="D4" s="67">
        <v>-2018</v>
      </c>
      <c r="E4" s="67">
        <v>-2019</v>
      </c>
      <c r="F4" s="67">
        <v>-2018</v>
      </c>
      <c r="G4" s="67">
        <v>-2019</v>
      </c>
      <c r="H4" s="67">
        <v>-2018</v>
      </c>
      <c r="I4" s="67">
        <v>-2019</v>
      </c>
      <c r="J4" s="67">
        <v>-2018</v>
      </c>
      <c r="K4" s="68">
        <v>-2019</v>
      </c>
    </row>
    <row r="5" spans="1:11" ht="16.5" thickTop="1" thickBot="1" x14ac:dyDescent="0.3">
      <c r="A5" s="69" t="s">
        <v>11</v>
      </c>
      <c r="B5" s="70">
        <v>8094</v>
      </c>
      <c r="C5" s="70">
        <v>8313</v>
      </c>
      <c r="D5" s="71" t="s">
        <v>480</v>
      </c>
      <c r="E5" s="71">
        <v>894</v>
      </c>
      <c r="F5" s="70">
        <v>7412</v>
      </c>
      <c r="G5" s="70">
        <v>7419</v>
      </c>
      <c r="H5" s="70">
        <v>2599</v>
      </c>
      <c r="I5" s="70">
        <v>2514</v>
      </c>
      <c r="J5" s="70">
        <v>4814</v>
      </c>
      <c r="K5" s="72">
        <v>4905</v>
      </c>
    </row>
    <row r="6" spans="1:11" ht="16.5" thickTop="1" thickBot="1" x14ac:dyDescent="0.3">
      <c r="A6" s="73" t="s">
        <v>13</v>
      </c>
      <c r="B6" s="74">
        <v>4421</v>
      </c>
      <c r="C6" s="74">
        <v>4836</v>
      </c>
      <c r="D6" s="75" t="s">
        <v>481</v>
      </c>
      <c r="E6" s="75">
        <v>699</v>
      </c>
      <c r="F6" s="74">
        <v>3910</v>
      </c>
      <c r="G6" s="74">
        <v>4136</v>
      </c>
      <c r="H6" s="74">
        <v>2003</v>
      </c>
      <c r="I6" s="74">
        <v>1960</v>
      </c>
      <c r="J6" s="74">
        <v>1907</v>
      </c>
      <c r="K6" s="76">
        <v>2176</v>
      </c>
    </row>
    <row r="7" spans="1:11" ht="16.5" thickTop="1" thickBot="1" x14ac:dyDescent="0.3">
      <c r="A7" s="77" t="s">
        <v>17</v>
      </c>
      <c r="B7" s="71">
        <v>977</v>
      </c>
      <c r="C7" s="70">
        <v>1011</v>
      </c>
      <c r="D7" s="71">
        <v>5</v>
      </c>
      <c r="E7" s="71">
        <v>5</v>
      </c>
      <c r="F7" s="71">
        <v>973</v>
      </c>
      <c r="G7" s="70">
        <v>1006</v>
      </c>
      <c r="H7" s="71">
        <v>212</v>
      </c>
      <c r="I7" s="71">
        <v>250</v>
      </c>
      <c r="J7" s="71">
        <v>760</v>
      </c>
      <c r="K7" s="78">
        <v>756</v>
      </c>
    </row>
    <row r="8" spans="1:11" ht="16.5" thickTop="1" thickBot="1" x14ac:dyDescent="0.3">
      <c r="A8" s="86" t="s">
        <v>23</v>
      </c>
      <c r="B8" s="75">
        <v>526</v>
      </c>
      <c r="C8" s="75">
        <v>438</v>
      </c>
      <c r="D8" s="75">
        <v>4</v>
      </c>
      <c r="E8" s="75" t="s">
        <v>27</v>
      </c>
      <c r="F8" s="75">
        <v>522</v>
      </c>
      <c r="G8" s="75">
        <v>438</v>
      </c>
      <c r="H8" s="75">
        <v>101</v>
      </c>
      <c r="I8" s="75">
        <v>62</v>
      </c>
      <c r="J8" s="75">
        <v>421</v>
      </c>
      <c r="K8" s="79">
        <v>376</v>
      </c>
    </row>
    <row r="9" spans="1:11" ht="16.5" thickTop="1" thickBot="1" x14ac:dyDescent="0.3">
      <c r="A9" s="77" t="s">
        <v>24</v>
      </c>
      <c r="B9" s="71">
        <v>273</v>
      </c>
      <c r="C9" s="71">
        <v>274</v>
      </c>
      <c r="D9" s="71">
        <v>38</v>
      </c>
      <c r="E9" s="71">
        <v>40</v>
      </c>
      <c r="F9" s="71">
        <v>235</v>
      </c>
      <c r="G9" s="71">
        <v>234</v>
      </c>
      <c r="H9" s="71">
        <v>138</v>
      </c>
      <c r="I9" s="71">
        <v>122</v>
      </c>
      <c r="J9" s="71">
        <v>97</v>
      </c>
      <c r="K9" s="78">
        <v>112</v>
      </c>
    </row>
    <row r="10" spans="1:11" ht="16.5" thickTop="1" thickBot="1" x14ac:dyDescent="0.3">
      <c r="A10" s="73" t="s">
        <v>29</v>
      </c>
      <c r="B10" s="75">
        <v>129</v>
      </c>
      <c r="C10" s="75">
        <v>125</v>
      </c>
      <c r="D10" s="75" t="s">
        <v>482</v>
      </c>
      <c r="E10" s="75">
        <v>62</v>
      </c>
      <c r="F10" s="75">
        <v>95</v>
      </c>
      <c r="G10" s="75">
        <v>63</v>
      </c>
      <c r="H10" s="75">
        <v>40</v>
      </c>
      <c r="I10" s="75">
        <v>25</v>
      </c>
      <c r="J10" s="75">
        <v>55</v>
      </c>
      <c r="K10" s="79">
        <v>38</v>
      </c>
    </row>
    <row r="11" spans="1:11" ht="16.5" thickTop="1" thickBot="1" x14ac:dyDescent="0.3">
      <c r="A11" s="77" t="s">
        <v>32</v>
      </c>
      <c r="B11" s="70">
        <v>1051</v>
      </c>
      <c r="C11" s="70">
        <v>1048</v>
      </c>
      <c r="D11" s="71">
        <v>18</v>
      </c>
      <c r="E11" s="71">
        <v>19</v>
      </c>
      <c r="F11" s="70">
        <v>1033</v>
      </c>
      <c r="G11" s="70">
        <v>1029</v>
      </c>
      <c r="H11" s="71">
        <v>134</v>
      </c>
      <c r="I11" s="71">
        <v>125</v>
      </c>
      <c r="J11" s="71">
        <v>899</v>
      </c>
      <c r="K11" s="78">
        <v>904</v>
      </c>
    </row>
    <row r="12" spans="1:11" ht="16.5" thickTop="1" thickBot="1" x14ac:dyDescent="0.3">
      <c r="A12" s="73" t="s">
        <v>33</v>
      </c>
      <c r="B12" s="74">
        <v>2552</v>
      </c>
      <c r="C12" s="74">
        <v>2215</v>
      </c>
      <c r="D12" s="75">
        <v>183</v>
      </c>
      <c r="E12" s="75">
        <v>203</v>
      </c>
      <c r="F12" s="74">
        <v>2370</v>
      </c>
      <c r="G12" s="74">
        <v>2011</v>
      </c>
      <c r="H12" s="75">
        <v>551</v>
      </c>
      <c r="I12" s="75">
        <v>448</v>
      </c>
      <c r="J12" s="74">
        <v>1819</v>
      </c>
      <c r="K12" s="76">
        <v>1563</v>
      </c>
    </row>
    <row r="13" spans="1:11" ht="16.5" thickTop="1" thickBot="1" x14ac:dyDescent="0.3">
      <c r="A13" s="85" t="s">
        <v>34</v>
      </c>
      <c r="B13" s="70">
        <v>1694</v>
      </c>
      <c r="C13" s="70">
        <v>1366</v>
      </c>
      <c r="D13" s="71">
        <v>104</v>
      </c>
      <c r="E13" s="71">
        <v>87</v>
      </c>
      <c r="F13" s="70">
        <v>1591</v>
      </c>
      <c r="G13" s="70">
        <v>1279</v>
      </c>
      <c r="H13" s="71">
        <v>248</v>
      </c>
      <c r="I13" s="71">
        <v>196</v>
      </c>
      <c r="J13" s="70">
        <v>1343</v>
      </c>
      <c r="K13" s="72">
        <v>1083</v>
      </c>
    </row>
    <row r="14" spans="1:11" ht="16.5" thickTop="1" thickBot="1" x14ac:dyDescent="0.3">
      <c r="A14" s="81" t="s">
        <v>35</v>
      </c>
      <c r="B14" s="75">
        <v>561</v>
      </c>
      <c r="C14" s="75">
        <v>558</v>
      </c>
      <c r="D14" s="75">
        <v>53</v>
      </c>
      <c r="E14" s="75">
        <v>66</v>
      </c>
      <c r="F14" s="75">
        <v>508</v>
      </c>
      <c r="G14" s="75">
        <v>492</v>
      </c>
      <c r="H14" s="75">
        <v>185</v>
      </c>
      <c r="I14" s="75">
        <v>188</v>
      </c>
      <c r="J14" s="75">
        <v>323</v>
      </c>
      <c r="K14" s="79">
        <v>303</v>
      </c>
    </row>
    <row r="15" spans="1:11" ht="16.5" thickTop="1" thickBot="1" x14ac:dyDescent="0.3">
      <c r="A15" s="80" t="s">
        <v>36</v>
      </c>
      <c r="B15" s="71">
        <v>751</v>
      </c>
      <c r="C15" s="71">
        <v>681</v>
      </c>
      <c r="D15" s="71">
        <v>68</v>
      </c>
      <c r="E15" s="71">
        <v>96</v>
      </c>
      <c r="F15" s="71">
        <v>683</v>
      </c>
      <c r="G15" s="71">
        <v>585</v>
      </c>
      <c r="H15" s="71">
        <v>224</v>
      </c>
      <c r="I15" s="71">
        <v>161</v>
      </c>
      <c r="J15" s="71">
        <v>458</v>
      </c>
      <c r="K15" s="78">
        <v>424</v>
      </c>
    </row>
    <row r="16" spans="1:11" ht="16.5" thickTop="1" thickBot="1" x14ac:dyDescent="0.3">
      <c r="A16" s="82" t="s">
        <v>37</v>
      </c>
      <c r="B16" s="75">
        <v>673</v>
      </c>
      <c r="C16" s="75">
        <v>586</v>
      </c>
      <c r="D16" s="75">
        <v>61</v>
      </c>
      <c r="E16" s="75">
        <v>78</v>
      </c>
      <c r="F16" s="75">
        <v>612</v>
      </c>
      <c r="G16" s="75">
        <v>508</v>
      </c>
      <c r="H16" s="75" t="s">
        <v>483</v>
      </c>
      <c r="I16" s="75">
        <v>142</v>
      </c>
      <c r="J16" s="75">
        <v>390</v>
      </c>
      <c r="K16" s="79">
        <v>366</v>
      </c>
    </row>
    <row r="17" spans="1:11" ht="16.5" thickTop="1" thickBot="1" x14ac:dyDescent="0.3">
      <c r="A17" s="83" t="s">
        <v>39</v>
      </c>
      <c r="B17" s="71">
        <v>113</v>
      </c>
      <c r="C17" s="71">
        <v>162</v>
      </c>
      <c r="D17" s="71">
        <v>12</v>
      </c>
      <c r="E17" s="71">
        <v>25</v>
      </c>
      <c r="F17" s="71">
        <v>100</v>
      </c>
      <c r="G17" s="71">
        <v>137</v>
      </c>
      <c r="H17" s="71">
        <v>9</v>
      </c>
      <c r="I17" s="71">
        <v>25</v>
      </c>
      <c r="J17" s="71">
        <v>91</v>
      </c>
      <c r="K17" s="78">
        <v>111</v>
      </c>
    </row>
    <row r="18" spans="1:11" ht="16.5" thickTop="1" thickBot="1" x14ac:dyDescent="0.3">
      <c r="A18" s="82" t="s">
        <v>40</v>
      </c>
      <c r="B18" s="75" t="s">
        <v>41</v>
      </c>
      <c r="C18" s="75" t="s">
        <v>41</v>
      </c>
      <c r="D18" s="75" t="s">
        <v>41</v>
      </c>
      <c r="E18" s="75" t="s">
        <v>41</v>
      </c>
      <c r="F18" s="75" t="s">
        <v>41</v>
      </c>
      <c r="G18" s="75" t="s">
        <v>41</v>
      </c>
      <c r="H18" s="75" t="s">
        <v>41</v>
      </c>
      <c r="I18" s="75" t="s">
        <v>41</v>
      </c>
      <c r="J18" s="75" t="s">
        <v>41</v>
      </c>
      <c r="K18" s="79" t="s">
        <v>41</v>
      </c>
    </row>
    <row r="19" spans="1:11" ht="16.5" thickTop="1" thickBot="1" x14ac:dyDescent="0.3">
      <c r="A19" s="86" t="s">
        <v>42</v>
      </c>
      <c r="B19" s="71" t="s">
        <v>484</v>
      </c>
      <c r="C19" s="70">
        <v>1622</v>
      </c>
      <c r="D19" s="71">
        <v>108</v>
      </c>
      <c r="E19" s="71">
        <v>87</v>
      </c>
      <c r="F19" s="70">
        <v>1920</v>
      </c>
      <c r="G19" s="70">
        <v>1535</v>
      </c>
      <c r="H19" s="71" t="s">
        <v>485</v>
      </c>
      <c r="I19" s="71">
        <v>227</v>
      </c>
      <c r="J19" s="70">
        <v>1608</v>
      </c>
      <c r="K19" s="72">
        <v>1309</v>
      </c>
    </row>
    <row r="20" spans="1:11" ht="16.5" thickTop="1" thickBot="1" x14ac:dyDescent="0.3">
      <c r="A20" s="73" t="s">
        <v>486</v>
      </c>
      <c r="B20" s="74">
        <v>4408</v>
      </c>
      <c r="C20" s="74">
        <v>4098</v>
      </c>
      <c r="D20" s="75">
        <v>245</v>
      </c>
      <c r="E20" s="75">
        <v>278</v>
      </c>
      <c r="F20" s="74">
        <v>4163</v>
      </c>
      <c r="G20" s="74">
        <v>3820</v>
      </c>
      <c r="H20" s="75" t="s">
        <v>487</v>
      </c>
      <c r="I20" s="75">
        <v>772</v>
      </c>
      <c r="J20" s="74">
        <v>3248</v>
      </c>
      <c r="K20" s="76">
        <v>3048</v>
      </c>
    </row>
    <row r="21" spans="1:11" ht="16.5" thickTop="1" thickBot="1" x14ac:dyDescent="0.3">
      <c r="A21" s="69" t="s">
        <v>51</v>
      </c>
      <c r="B21" s="70">
        <v>14818</v>
      </c>
      <c r="C21" s="70">
        <v>14504</v>
      </c>
      <c r="D21" s="71">
        <v>401</v>
      </c>
      <c r="E21" s="71">
        <v>414</v>
      </c>
      <c r="F21" s="70">
        <v>14418</v>
      </c>
      <c r="G21" s="70">
        <v>14090</v>
      </c>
      <c r="H21" s="71" t="s">
        <v>488</v>
      </c>
      <c r="I21" s="70">
        <v>3132</v>
      </c>
      <c r="J21" s="70">
        <v>10994</v>
      </c>
      <c r="K21" s="72">
        <v>10959</v>
      </c>
    </row>
    <row r="22" spans="1:11" ht="16.5" thickTop="1" thickBot="1" x14ac:dyDescent="0.3">
      <c r="A22" s="84" t="s">
        <v>476</v>
      </c>
      <c r="B22" s="74">
        <v>2654</v>
      </c>
      <c r="C22" s="74">
        <v>2414</v>
      </c>
      <c r="D22" s="75">
        <v>166</v>
      </c>
      <c r="E22" s="75">
        <v>189</v>
      </c>
      <c r="F22" s="74">
        <v>2487</v>
      </c>
      <c r="G22" s="74">
        <v>2225</v>
      </c>
      <c r="H22" s="75">
        <v>905</v>
      </c>
      <c r="I22" s="75">
        <v>875</v>
      </c>
      <c r="J22" s="74">
        <v>1582</v>
      </c>
      <c r="K22" s="76">
        <v>1350</v>
      </c>
    </row>
    <row r="23" spans="1:11" ht="16.5" thickTop="1" thickBot="1" x14ac:dyDescent="0.3">
      <c r="A23" s="69" t="s">
        <v>477</v>
      </c>
      <c r="B23" s="70">
        <v>20258</v>
      </c>
      <c r="C23" s="70">
        <v>20404</v>
      </c>
      <c r="D23" s="71" t="s">
        <v>489</v>
      </c>
      <c r="E23" s="70">
        <v>1119</v>
      </c>
      <c r="F23" s="70">
        <v>19343</v>
      </c>
      <c r="G23" s="70">
        <v>19285</v>
      </c>
      <c r="H23" s="71" t="s">
        <v>490</v>
      </c>
      <c r="I23" s="70">
        <v>4771</v>
      </c>
      <c r="J23" s="70">
        <v>14225</v>
      </c>
      <c r="K23" s="72">
        <v>14514</v>
      </c>
    </row>
    <row r="24" spans="1:11" ht="16.5" thickTop="1" thickBot="1" x14ac:dyDescent="0.3">
      <c r="A24" s="84" t="s">
        <v>478</v>
      </c>
      <c r="B24" s="74">
        <v>5440</v>
      </c>
      <c r="C24" s="74">
        <v>5900</v>
      </c>
      <c r="D24" s="75" t="s">
        <v>491</v>
      </c>
      <c r="E24" s="75">
        <v>705</v>
      </c>
      <c r="F24" s="74">
        <v>4925</v>
      </c>
      <c r="G24" s="74">
        <v>5195</v>
      </c>
      <c r="H24" s="74">
        <v>1694</v>
      </c>
      <c r="I24" s="74">
        <v>1639</v>
      </c>
      <c r="J24" s="74">
        <v>3231</v>
      </c>
      <c r="K24" s="76">
        <v>3556</v>
      </c>
    </row>
    <row r="25" spans="1:11" ht="16.5" thickTop="1" thickBot="1" x14ac:dyDescent="0.3">
      <c r="A25" s="69" t="s">
        <v>479</v>
      </c>
      <c r="B25" s="70">
        <v>12165</v>
      </c>
      <c r="C25" s="70">
        <v>12090</v>
      </c>
      <c r="D25" s="71">
        <v>234</v>
      </c>
      <c r="E25" s="71">
        <v>225</v>
      </c>
      <c r="F25" s="70">
        <v>11930</v>
      </c>
      <c r="G25" s="70">
        <v>11866</v>
      </c>
      <c r="H25" s="71" t="s">
        <v>492</v>
      </c>
      <c r="I25" s="70">
        <v>2257</v>
      </c>
      <c r="J25" s="70">
        <v>9411</v>
      </c>
      <c r="K25" s="72">
        <v>9609</v>
      </c>
    </row>
    <row r="26" spans="1:11" ht="22.5" customHeight="1" thickTop="1" x14ac:dyDescent="0.25">
      <c r="A26" s="178" t="s">
        <v>52</v>
      </c>
      <c r="B26" s="179"/>
      <c r="C26" s="179"/>
      <c r="D26" s="179"/>
      <c r="E26" s="179"/>
      <c r="F26" s="179"/>
      <c r="G26" s="179"/>
      <c r="H26" s="179"/>
      <c r="I26" s="179"/>
      <c r="J26" s="179"/>
      <c r="K26" s="180"/>
    </row>
    <row r="27" spans="1:11" ht="22.5" customHeight="1" x14ac:dyDescent="0.25">
      <c r="A27" s="181" t="s">
        <v>493</v>
      </c>
      <c r="B27" s="182"/>
      <c r="C27" s="182"/>
      <c r="D27" s="182"/>
      <c r="E27" s="182"/>
      <c r="F27" s="182"/>
      <c r="G27" s="182"/>
      <c r="H27" s="182"/>
      <c r="I27" s="182"/>
      <c r="J27" s="182"/>
      <c r="K27" s="183"/>
    </row>
    <row r="28" spans="1:11" ht="22.5" customHeight="1" x14ac:dyDescent="0.25">
      <c r="A28" s="181" t="s">
        <v>494</v>
      </c>
      <c r="B28" s="182"/>
      <c r="C28" s="182"/>
      <c r="D28" s="182"/>
      <c r="E28" s="182"/>
      <c r="F28" s="182"/>
      <c r="G28" s="182"/>
      <c r="H28" s="182"/>
      <c r="I28" s="182"/>
      <c r="J28" s="182"/>
      <c r="K28" s="183"/>
    </row>
    <row r="29" spans="1:11" x14ac:dyDescent="0.25">
      <c r="A29" s="181" t="s">
        <v>56</v>
      </c>
      <c r="B29" s="182"/>
      <c r="C29" s="182"/>
      <c r="D29" s="182"/>
      <c r="E29" s="182"/>
      <c r="F29" s="182"/>
      <c r="G29" s="182"/>
      <c r="H29" s="182"/>
      <c r="I29" s="182"/>
      <c r="J29" s="182"/>
      <c r="K29" s="183"/>
    </row>
    <row r="30" spans="1:11" ht="15.75" thickBot="1" x14ac:dyDescent="0.3">
      <c r="A30" s="171" t="s">
        <v>57</v>
      </c>
      <c r="B30" s="172"/>
      <c r="C30" s="172"/>
      <c r="D30" s="172"/>
      <c r="E30" s="172"/>
      <c r="F30" s="172"/>
      <c r="G30" s="172"/>
      <c r="H30" s="172"/>
      <c r="I30" s="172"/>
      <c r="J30" s="172"/>
      <c r="K30" s="173"/>
    </row>
    <row r="31" spans="1:11" x14ac:dyDescent="0.25">
      <c r="A31" t="s">
        <v>495</v>
      </c>
    </row>
    <row r="38" spans="1:7" ht="15.75" thickBot="1" x14ac:dyDescent="0.3"/>
    <row r="39" spans="1:7" x14ac:dyDescent="0.25">
      <c r="B39" s="65" t="s">
        <v>470</v>
      </c>
      <c r="C39" s="65" t="s">
        <v>470</v>
      </c>
    </row>
    <row r="40" spans="1:7" ht="15.75" thickBot="1" x14ac:dyDescent="0.3">
      <c r="B40" s="67">
        <v>-2018</v>
      </c>
      <c r="C40" s="67">
        <v>-2019</v>
      </c>
    </row>
    <row r="41" spans="1:7" ht="16.5" thickTop="1" thickBot="1" x14ac:dyDescent="0.3">
      <c r="A41" s="86" t="s">
        <v>42</v>
      </c>
      <c r="B41" s="70">
        <v>1920</v>
      </c>
      <c r="C41" s="70">
        <v>1535</v>
      </c>
    </row>
    <row r="42" spans="1:7" ht="15.75" thickTop="1" x14ac:dyDescent="0.25">
      <c r="B42">
        <v>2E-3</v>
      </c>
      <c r="C42">
        <v>2E-3</v>
      </c>
    </row>
    <row r="43" spans="1:7" x14ac:dyDescent="0.25">
      <c r="B43" s="87">
        <f>B41*1000*(B42)</f>
        <v>3840</v>
      </c>
      <c r="C43" s="87">
        <f>C41*1000*(C42)</f>
        <v>3070</v>
      </c>
    </row>
    <row r="44" spans="1:7" x14ac:dyDescent="0.25">
      <c r="B44">
        <f>B43/PrevalenceDeaths!G18</f>
        <v>0.10651727158877333</v>
      </c>
      <c r="C44">
        <f>C43/PrevalenceDeaths!G19</f>
        <v>8.9201362804851719E-2</v>
      </c>
      <c r="G44" t="s">
        <v>408</v>
      </c>
    </row>
  </sheetData>
  <mergeCells count="7">
    <mergeCell ref="A30:K30"/>
    <mergeCell ref="A2:K2"/>
    <mergeCell ref="A3:A4"/>
    <mergeCell ref="A26:K26"/>
    <mergeCell ref="A27:K27"/>
    <mergeCell ref="A28:K28"/>
    <mergeCell ref="A29:K29"/>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5F57-0B98-4172-9180-461CEF49869E}">
  <dimension ref="A1:S19"/>
  <sheetViews>
    <sheetView workbookViewId="0">
      <selection activeCell="C1" sqref="C1"/>
    </sheetView>
  </sheetViews>
  <sheetFormatPr defaultRowHeight="15" x14ac:dyDescent="0.25"/>
  <sheetData>
    <row r="1" spans="1:19" x14ac:dyDescent="0.25">
      <c r="A1" t="s">
        <v>275</v>
      </c>
      <c r="B1" s="30" t="s">
        <v>415</v>
      </c>
      <c r="C1" s="30" t="s">
        <v>416</v>
      </c>
    </row>
    <row r="2" spans="1:19" x14ac:dyDescent="0.25">
      <c r="A2">
        <v>2002</v>
      </c>
      <c r="B2" s="16">
        <v>117</v>
      </c>
      <c r="C2" t="s">
        <v>88</v>
      </c>
      <c r="D2" s="16"/>
      <c r="E2" s="16"/>
      <c r="G2" s="16"/>
      <c r="H2" s="16"/>
      <c r="I2" s="16"/>
      <c r="J2" s="16"/>
      <c r="K2" s="16"/>
      <c r="L2" s="16"/>
      <c r="M2" s="16"/>
      <c r="N2" s="16"/>
      <c r="O2" s="16"/>
      <c r="P2" s="16"/>
      <c r="R2" s="16"/>
    </row>
    <row r="3" spans="1:19" x14ac:dyDescent="0.25">
      <c r="A3">
        <v>2003</v>
      </c>
      <c r="B3">
        <v>92</v>
      </c>
      <c r="C3" t="s">
        <v>88</v>
      </c>
      <c r="O3" s="28"/>
      <c r="P3" s="28"/>
      <c r="Q3" s="28"/>
      <c r="R3" s="6"/>
      <c r="S3" s="6"/>
    </row>
    <row r="4" spans="1:19" x14ac:dyDescent="0.25">
      <c r="A4">
        <v>2004</v>
      </c>
      <c r="B4" s="16">
        <v>118</v>
      </c>
      <c r="C4" t="s">
        <v>88</v>
      </c>
    </row>
    <row r="5" spans="1:19" x14ac:dyDescent="0.25">
      <c r="A5">
        <v>2005</v>
      </c>
      <c r="B5" s="16">
        <v>108</v>
      </c>
      <c r="C5" t="s">
        <v>88</v>
      </c>
    </row>
    <row r="6" spans="1:19" x14ac:dyDescent="0.25">
      <c r="A6">
        <v>2006</v>
      </c>
      <c r="B6">
        <v>90</v>
      </c>
      <c r="C6" t="s">
        <v>88</v>
      </c>
    </row>
    <row r="7" spans="1:19" x14ac:dyDescent="0.25">
      <c r="A7">
        <v>2007</v>
      </c>
      <c r="B7" s="16">
        <v>106</v>
      </c>
      <c r="C7" t="s">
        <v>88</v>
      </c>
    </row>
    <row r="8" spans="1:19" x14ac:dyDescent="0.25">
      <c r="A8">
        <v>2008</v>
      </c>
      <c r="B8" s="16">
        <v>116</v>
      </c>
      <c r="C8" t="s">
        <v>88</v>
      </c>
    </row>
    <row r="9" spans="1:19" x14ac:dyDescent="0.25">
      <c r="A9">
        <v>2009</v>
      </c>
      <c r="B9" s="16">
        <v>187</v>
      </c>
      <c r="C9" t="s">
        <v>88</v>
      </c>
    </row>
    <row r="10" spans="1:19" x14ac:dyDescent="0.25">
      <c r="A10">
        <v>2010</v>
      </c>
      <c r="B10" s="16">
        <v>142</v>
      </c>
      <c r="C10" t="s">
        <v>88</v>
      </c>
    </row>
    <row r="11" spans="1:19" x14ac:dyDescent="0.25">
      <c r="A11">
        <v>2011</v>
      </c>
      <c r="B11" s="16">
        <v>178</v>
      </c>
      <c r="C11" t="s">
        <v>88</v>
      </c>
    </row>
    <row r="12" spans="1:19" x14ac:dyDescent="0.25">
      <c r="A12">
        <v>2012</v>
      </c>
      <c r="B12" s="16">
        <v>156</v>
      </c>
      <c r="C12" t="s">
        <v>88</v>
      </c>
    </row>
    <row r="13" spans="1:19" x14ac:dyDescent="0.25">
      <c r="A13">
        <v>2013</v>
      </c>
      <c r="B13" s="16">
        <v>169</v>
      </c>
      <c r="C13" t="s">
        <v>88</v>
      </c>
    </row>
    <row r="14" spans="1:19" x14ac:dyDescent="0.25">
      <c r="A14">
        <v>2014</v>
      </c>
      <c r="B14" s="16">
        <v>212</v>
      </c>
      <c r="C14" t="s">
        <v>88</v>
      </c>
    </row>
    <row r="15" spans="1:19" x14ac:dyDescent="0.25">
      <c r="A15">
        <v>2015</v>
      </c>
      <c r="B15" s="16">
        <v>135</v>
      </c>
      <c r="C15" s="28">
        <v>2126</v>
      </c>
    </row>
    <row r="16" spans="1:19" x14ac:dyDescent="0.25">
      <c r="A16">
        <v>2016</v>
      </c>
      <c r="B16" s="16">
        <v>170</v>
      </c>
      <c r="C16" s="28">
        <v>2139</v>
      </c>
    </row>
    <row r="17" spans="1:3" x14ac:dyDescent="0.25">
      <c r="A17">
        <v>2017</v>
      </c>
      <c r="B17">
        <v>81</v>
      </c>
      <c r="C17" s="28">
        <v>2010</v>
      </c>
    </row>
    <row r="18" spans="1:3" x14ac:dyDescent="0.25">
      <c r="A18">
        <v>2018</v>
      </c>
      <c r="B18" s="16">
        <v>117</v>
      </c>
      <c r="C18" s="6">
        <v>1908</v>
      </c>
    </row>
    <row r="19" spans="1:3" x14ac:dyDescent="0.25">
      <c r="A19">
        <v>2019</v>
      </c>
      <c r="B19">
        <v>50</v>
      </c>
      <c r="C19" s="6">
        <v>1607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65944-D382-4B9C-B39A-1A9BA9EBA590}">
  <dimension ref="A1:D19"/>
  <sheetViews>
    <sheetView workbookViewId="0">
      <selection activeCell="N18" sqref="N18"/>
    </sheetView>
  </sheetViews>
  <sheetFormatPr defaultRowHeight="15" x14ac:dyDescent="0.25"/>
  <sheetData>
    <row r="1" spans="1:4" x14ac:dyDescent="0.25">
      <c r="A1" t="s">
        <v>275</v>
      </c>
      <c r="B1" t="s">
        <v>497</v>
      </c>
      <c r="C1" t="s">
        <v>496</v>
      </c>
      <c r="D1" t="s">
        <v>498</v>
      </c>
    </row>
    <row r="2" spans="1:4" x14ac:dyDescent="0.25">
      <c r="A2">
        <f>IncidenceDeaths!A2</f>
        <v>2002</v>
      </c>
      <c r="B2">
        <f>IncidenceDeaths!B2+IncidenceDeaths!C2</f>
        <v>0</v>
      </c>
      <c r="C2" t="e">
        <f>PrevalenceDeaths!B2+PrevalenceDeaths!C2</f>
        <v>#VALUE!</v>
      </c>
    </row>
    <row r="3" spans="1:4" x14ac:dyDescent="0.25">
      <c r="A3">
        <f>IncidenceDeaths!A3</f>
        <v>2003</v>
      </c>
      <c r="B3">
        <f>IncidenceDeaths!B3+IncidenceDeaths!C3</f>
        <v>0</v>
      </c>
      <c r="C3" t="e">
        <f>PrevalenceDeaths!B3+PrevalenceDeaths!C3</f>
        <v>#VALUE!</v>
      </c>
      <c r="D3" t="e">
        <f>(C2+B3)-C3</f>
        <v>#VALUE!</v>
      </c>
    </row>
    <row r="4" spans="1:4" x14ac:dyDescent="0.25">
      <c r="A4">
        <f>IncidenceDeaths!A4</f>
        <v>2004</v>
      </c>
      <c r="B4">
        <f>IncidenceDeaths!B4+IncidenceDeaths!C4</f>
        <v>0</v>
      </c>
      <c r="C4" t="e">
        <f>PrevalenceDeaths!B4+PrevalenceDeaths!C4</f>
        <v>#VALUE!</v>
      </c>
      <c r="D4" t="e">
        <f t="shared" ref="D4:D16" si="0">(C3+B4)-C4</f>
        <v>#VALUE!</v>
      </c>
    </row>
    <row r="5" spans="1:4" x14ac:dyDescent="0.25">
      <c r="A5">
        <f>IncidenceDeaths!A5</f>
        <v>2005</v>
      </c>
      <c r="B5">
        <f>IncidenceDeaths!B5+IncidenceDeaths!C5</f>
        <v>0</v>
      </c>
      <c r="C5">
        <f>PrevalenceDeaths!B5+PrevalenceDeaths!C5</f>
        <v>0</v>
      </c>
      <c r="D5" t="e">
        <f t="shared" si="0"/>
        <v>#VALUE!</v>
      </c>
    </row>
    <row r="6" spans="1:4" x14ac:dyDescent="0.25">
      <c r="A6">
        <f>IncidenceDeaths!A6</f>
        <v>2006</v>
      </c>
      <c r="B6">
        <f>IncidenceDeaths!B6+IncidenceDeaths!C6</f>
        <v>0</v>
      </c>
      <c r="C6" t="e">
        <f>PrevalenceDeaths!B6+PrevalenceDeaths!C6</f>
        <v>#VALUE!</v>
      </c>
      <c r="D6" t="e">
        <f t="shared" si="0"/>
        <v>#VALUE!</v>
      </c>
    </row>
    <row r="7" spans="1:4" x14ac:dyDescent="0.25">
      <c r="A7">
        <f>IncidenceDeaths!A7</f>
        <v>2007</v>
      </c>
      <c r="B7">
        <f>IncidenceDeaths!B7+IncidenceDeaths!C7</f>
        <v>0</v>
      </c>
      <c r="C7">
        <f>PrevalenceDeaths!B7+PrevalenceDeaths!C7</f>
        <v>0</v>
      </c>
      <c r="D7" t="e">
        <f t="shared" si="0"/>
        <v>#VALUE!</v>
      </c>
    </row>
    <row r="8" spans="1:4" x14ac:dyDescent="0.25">
      <c r="A8">
        <f>IncidenceDeaths!A8</f>
        <v>2008</v>
      </c>
      <c r="B8">
        <f>IncidenceDeaths!B8+IncidenceDeaths!C8</f>
        <v>381.45346925353499</v>
      </c>
      <c r="C8">
        <f>PrevalenceDeaths!B8+PrevalenceDeaths!C8</f>
        <v>0</v>
      </c>
      <c r="D8">
        <f t="shared" si="0"/>
        <v>381.45346925353499</v>
      </c>
    </row>
    <row r="9" spans="1:4" x14ac:dyDescent="0.25">
      <c r="A9">
        <f>IncidenceDeaths!A9</f>
        <v>2009</v>
      </c>
      <c r="B9">
        <f>IncidenceDeaths!B9+IncidenceDeaths!C9</f>
        <v>513.42281879194627</v>
      </c>
      <c r="C9">
        <f>PrevalenceDeaths!B9+PrevalenceDeaths!C9</f>
        <v>0</v>
      </c>
      <c r="D9">
        <f t="shared" si="0"/>
        <v>513.42281879194627</v>
      </c>
    </row>
    <row r="10" spans="1:4" x14ac:dyDescent="0.25">
      <c r="A10">
        <f>IncidenceDeaths!A10</f>
        <v>2010</v>
      </c>
      <c r="B10">
        <f>IncidenceDeaths!B10+IncidenceDeaths!C10</f>
        <v>701.11915734035551</v>
      </c>
      <c r="C10">
        <f>PrevalenceDeaths!B10+PrevalenceDeaths!C10</f>
        <v>0</v>
      </c>
      <c r="D10">
        <f t="shared" si="0"/>
        <v>701.11915734035551</v>
      </c>
    </row>
    <row r="11" spans="1:4" x14ac:dyDescent="0.25">
      <c r="A11">
        <f>IncidenceDeaths!A11</f>
        <v>2011</v>
      </c>
      <c r="B11">
        <f>IncidenceDeaths!B11+IncidenceDeaths!C11</f>
        <v>688.50967007963607</v>
      </c>
      <c r="C11">
        <f>PrevalenceDeaths!B11+PrevalenceDeaths!C11</f>
        <v>0</v>
      </c>
      <c r="D11">
        <f t="shared" si="0"/>
        <v>688.50967007963607</v>
      </c>
    </row>
    <row r="12" spans="1:4" x14ac:dyDescent="0.25">
      <c r="A12">
        <f>IncidenceDeaths!A12</f>
        <v>2012</v>
      </c>
      <c r="B12">
        <f>IncidenceDeaths!B12+IncidenceDeaths!C12</f>
        <v>579.4360965726828</v>
      </c>
      <c r="C12">
        <f>PrevalenceDeaths!B12+PrevalenceDeaths!C12</f>
        <v>0</v>
      </c>
      <c r="D12">
        <f t="shared" si="0"/>
        <v>579.4360965726828</v>
      </c>
    </row>
    <row r="13" spans="1:4" x14ac:dyDescent="0.25">
      <c r="A13">
        <f>IncidenceDeaths!A13</f>
        <v>2013</v>
      </c>
      <c r="B13">
        <f>IncidenceDeaths!B13+IncidenceDeaths!C13</f>
        <v>777.76432118202729</v>
      </c>
      <c r="C13">
        <f>PrevalenceDeaths!B13+PrevalenceDeaths!C13</f>
        <v>0</v>
      </c>
      <c r="D13">
        <f t="shared" si="0"/>
        <v>777.76432118202729</v>
      </c>
    </row>
    <row r="14" spans="1:4" x14ac:dyDescent="0.25">
      <c r="A14">
        <f>IncidenceDeaths!A14</f>
        <v>2014</v>
      </c>
      <c r="B14">
        <f>IncidenceDeaths!B14+IncidenceDeaths!C14</f>
        <v>561.37696236050692</v>
      </c>
      <c r="C14">
        <f>PrevalenceDeaths!B14+PrevalenceDeaths!C14</f>
        <v>24852.320675105486</v>
      </c>
      <c r="D14">
        <f t="shared" si="0"/>
        <v>-24290.943712744978</v>
      </c>
    </row>
    <row r="15" spans="1:4" x14ac:dyDescent="0.25">
      <c r="A15" s="22">
        <f>IncidenceDeaths!A15</f>
        <v>2015</v>
      </c>
      <c r="B15" s="22">
        <f>IncidenceDeaths!B15+IncidenceDeaths!C15</f>
        <v>4202.8876418088785</v>
      </c>
      <c r="C15" t="e">
        <f>PrevalenceDeaths!B15+PrevalenceDeaths!C15</f>
        <v>#VALUE!</v>
      </c>
      <c r="D15" t="e">
        <f t="shared" si="0"/>
        <v>#VALUE!</v>
      </c>
    </row>
    <row r="16" spans="1:4" x14ac:dyDescent="0.25">
      <c r="A16" s="15">
        <f>IncidenceDeaths!A16</f>
        <v>2016</v>
      </c>
      <c r="B16" s="15">
        <f>IncidenceDeaths!B16+IncidenceDeaths!C16</f>
        <v>4915.7770956927689</v>
      </c>
      <c r="C16" s="15">
        <f>PrevalenceDeaths!B16+PrevalenceDeaths!C16</f>
        <v>40259.251432948571</v>
      </c>
      <c r="D16" t="e">
        <f t="shared" si="0"/>
        <v>#VALUE!</v>
      </c>
    </row>
    <row r="17" spans="1:4" x14ac:dyDescent="0.25">
      <c r="A17">
        <f>IncidenceDeaths!A17</f>
        <v>2017</v>
      </c>
      <c r="B17">
        <f>IncidenceDeaths!B17+IncidenceDeaths!C17</f>
        <v>3398.2410593203731</v>
      </c>
      <c r="C17">
        <f>PrevalenceDeaths!B17+PrevalenceDeaths!C17</f>
        <v>26170.579479719901</v>
      </c>
      <c r="D17">
        <f>(C16+B17)-C17</f>
        <v>17486.913012549045</v>
      </c>
    </row>
    <row r="18" spans="1:4" x14ac:dyDescent="0.25">
      <c r="A18">
        <f>IncidenceDeaths!A18</f>
        <v>2018</v>
      </c>
      <c r="B18">
        <f>IncidenceDeaths!B18+IncidenceDeaths!C18</f>
        <v>3694.0695176735085</v>
      </c>
      <c r="C18">
        <f>PrevalenceDeaths!B18+PrevalenceDeaths!C18</f>
        <v>36050.491556194975</v>
      </c>
      <c r="D18">
        <f>(C17+B18)-C18</f>
        <v>-6185.8425588015634</v>
      </c>
    </row>
    <row r="19" spans="1:4" x14ac:dyDescent="0.25">
      <c r="A19">
        <f>IncidenceDeaths!A19</f>
        <v>2019</v>
      </c>
      <c r="B19">
        <f>IncidenceDeaths!B19+IncidenceDeaths!C19</f>
        <v>3632.6640043937095</v>
      </c>
      <c r="C19">
        <f>PrevalenceDeaths!B19+PrevalenceDeaths!C19</f>
        <v>34416.514540437274</v>
      </c>
      <c r="D19">
        <f>(C18+B19)-C19</f>
        <v>5266.6410201514082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1194-AB30-455B-8653-7A9070A0C4B3}">
  <dimension ref="A1:H19"/>
  <sheetViews>
    <sheetView workbookViewId="0">
      <selection activeCell="H1" sqref="H1"/>
    </sheetView>
  </sheetViews>
  <sheetFormatPr defaultRowHeight="15" x14ac:dyDescent="0.25"/>
  <sheetData>
    <row r="1" spans="1:8" s="20" customFormat="1" ht="165" x14ac:dyDescent="0.25">
      <c r="A1" s="20" t="s">
        <v>275</v>
      </c>
      <c r="B1" s="20" t="s">
        <v>274</v>
      </c>
      <c r="C1" s="20" t="s">
        <v>276</v>
      </c>
      <c r="D1" s="20" t="s">
        <v>272</v>
      </c>
      <c r="E1" s="20" t="s">
        <v>273</v>
      </c>
      <c r="F1" s="20" t="s">
        <v>499</v>
      </c>
      <c r="G1" s="20" t="s">
        <v>511</v>
      </c>
      <c r="H1" s="20" t="s">
        <v>512</v>
      </c>
    </row>
    <row r="2" spans="1:8" x14ac:dyDescent="0.25">
      <c r="A2">
        <v>2002</v>
      </c>
    </row>
    <row r="3" spans="1:8" x14ac:dyDescent="0.25">
      <c r="A3">
        <v>2003</v>
      </c>
    </row>
    <row r="4" spans="1:8" x14ac:dyDescent="0.25">
      <c r="A4">
        <v>2004</v>
      </c>
    </row>
    <row r="5" spans="1:8" x14ac:dyDescent="0.25">
      <c r="A5">
        <v>2005</v>
      </c>
    </row>
    <row r="6" spans="1:8" x14ac:dyDescent="0.25">
      <c r="A6">
        <v>2006</v>
      </c>
    </row>
    <row r="7" spans="1:8" x14ac:dyDescent="0.25">
      <c r="A7">
        <v>2007</v>
      </c>
    </row>
    <row r="8" spans="1:8" x14ac:dyDescent="0.25">
      <c r="A8">
        <v>2008</v>
      </c>
      <c r="B8">
        <f>Calculations_Initiation!H20</f>
        <v>381.45346925353499</v>
      </c>
      <c r="D8">
        <f>Calculations_Initiation!H21</f>
        <v>93.452726323695785</v>
      </c>
    </row>
    <row r="9" spans="1:8" x14ac:dyDescent="0.25">
      <c r="A9">
        <v>2009</v>
      </c>
      <c r="B9">
        <f>Calculations_Initiation!I20</f>
        <v>513.42281879194627</v>
      </c>
      <c r="D9">
        <f>Calculations_Initiation!I21</f>
        <v>124.05652579650857</v>
      </c>
    </row>
    <row r="10" spans="1:8" x14ac:dyDescent="0.25">
      <c r="A10">
        <v>2010</v>
      </c>
      <c r="B10">
        <f>Calculations_Initiation!J20</f>
        <v>701.11915734035551</v>
      </c>
      <c r="D10">
        <f>Calculations_Initiation!J21</f>
        <v>168.42368228833644</v>
      </c>
    </row>
    <row r="11" spans="1:8" x14ac:dyDescent="0.25">
      <c r="A11">
        <v>2011</v>
      </c>
      <c r="B11">
        <f>Calculations_Initiation!K20</f>
        <v>688.50967007963607</v>
      </c>
      <c r="D11">
        <f>Calculations_Initiation!K21</f>
        <v>162.35640327953823</v>
      </c>
    </row>
    <row r="12" spans="1:8" x14ac:dyDescent="0.25">
      <c r="A12">
        <v>2012</v>
      </c>
      <c r="B12">
        <f>Calculations_Initiation!L20</f>
        <v>579.4360965726828</v>
      </c>
      <c r="D12">
        <f>Calculations_Initiation!L21</f>
        <v>134.47331392542529</v>
      </c>
    </row>
    <row r="13" spans="1:8" x14ac:dyDescent="0.25">
      <c r="A13">
        <v>2013</v>
      </c>
      <c r="B13">
        <f>Calculations_Initiation!M20</f>
        <v>777.76432118202729</v>
      </c>
      <c r="D13">
        <f>Calculations_Initiation!M21</f>
        <v>178.09384615677632</v>
      </c>
    </row>
    <row r="14" spans="1:8" x14ac:dyDescent="0.25">
      <c r="A14">
        <v>2014</v>
      </c>
      <c r="B14">
        <f>Calculations_Initiation!N20</f>
        <v>561.37696236050692</v>
      </c>
      <c r="D14">
        <f>Calculations_Initiation!N21</f>
        <v>126.77460392274583</v>
      </c>
    </row>
    <row r="15" spans="1:8" x14ac:dyDescent="0.25">
      <c r="A15">
        <v>2015</v>
      </c>
      <c r="B15">
        <f>Calculations_Initiation!O20</f>
        <v>291.12754158964879</v>
      </c>
      <c r="C15">
        <f>Calculations_Initiation!O26</f>
        <v>3911.7601002192296</v>
      </c>
      <c r="D15">
        <f>Calculations_Initiation!O21</f>
        <v>64.776771923149397</v>
      </c>
      <c r="E15">
        <f>Calculations_Initiation!O27</f>
        <v>870.37863352392128</v>
      </c>
      <c r="F15">
        <f>B15+C15</f>
        <v>4202.8876418088785</v>
      </c>
    </row>
    <row r="16" spans="1:8" x14ac:dyDescent="0.25">
      <c r="A16">
        <v>2016</v>
      </c>
      <c r="B16">
        <f>Calculations_Initiation!P20</f>
        <v>604.55192034139407</v>
      </c>
      <c r="C16">
        <f>Calculations_Initiation!P26</f>
        <v>4311.2251753513747</v>
      </c>
      <c r="D16">
        <f>Calculations_Initiation!P21</f>
        <v>132.35629143937291</v>
      </c>
      <c r="E16">
        <f>Calculations_Initiation!P27</f>
        <v>943.86893262589729</v>
      </c>
      <c r="F16">
        <f>B16+C16</f>
        <v>4915.7770956927689</v>
      </c>
    </row>
    <row r="17" spans="1:6" x14ac:dyDescent="0.25">
      <c r="A17">
        <v>2017</v>
      </c>
      <c r="B17">
        <f>Calculations_Initiation!Q20</f>
        <v>214.61806901899962</v>
      </c>
      <c r="C17">
        <f>Calculations_Initiation!Q26</f>
        <v>3183.6229903013736</v>
      </c>
      <c r="D17">
        <f>Calculations_Initiation!Q21</f>
        <v>46.421170471829441</v>
      </c>
      <c r="E17">
        <f>Calculations_Initiation!Q27</f>
        <v>688.60700418347437</v>
      </c>
      <c r="F17">
        <f>B17+C17</f>
        <v>3398.2410593203731</v>
      </c>
    </row>
    <row r="18" spans="1:6" x14ac:dyDescent="0.25">
      <c r="A18">
        <v>2018</v>
      </c>
      <c r="B18">
        <f>Calculations_Initiation!R20</f>
        <v>273.25503803549981</v>
      </c>
      <c r="C18">
        <f>Calculations_Initiation!R26</f>
        <v>3420.8144796380088</v>
      </c>
      <c r="D18">
        <f>Calculations_Initiation!R21</f>
        <v>58.313690507901242</v>
      </c>
      <c r="E18">
        <f>Calculations_Initiation!R27</f>
        <v>730.01514733149281</v>
      </c>
      <c r="F18">
        <f>B18+C18</f>
        <v>3694.0695176735085</v>
      </c>
    </row>
    <row r="19" spans="1:6" x14ac:dyDescent="0.25">
      <c r="A19">
        <v>2019</v>
      </c>
      <c r="B19">
        <f>Calculations_Initiation!S20</f>
        <v>128.47965738758029</v>
      </c>
      <c r="C19">
        <f>Calculations_Initiation!S26</f>
        <v>3504.1843470061294</v>
      </c>
      <c r="D19">
        <f>Calculations_Initiation!S21</f>
        <v>27.137703382839561</v>
      </c>
      <c r="E19">
        <f>Calculations_Initiation!S27</f>
        <v>740.16009492436774</v>
      </c>
      <c r="F19">
        <f>B19+C19</f>
        <v>3632.6640043937095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712D2-833E-4343-A1BB-9E9291597A87}">
  <dimension ref="A1:AH38"/>
  <sheetViews>
    <sheetView workbookViewId="0">
      <selection activeCell="U10" sqref="U10"/>
    </sheetView>
  </sheetViews>
  <sheetFormatPr defaultRowHeight="15" x14ac:dyDescent="0.25"/>
  <cols>
    <col min="1" max="1" width="63.5703125" customWidth="1"/>
    <col min="22" max="22" width="10.5703125" customWidth="1"/>
  </cols>
  <sheetData>
    <row r="1" spans="1:34" x14ac:dyDescent="0.25">
      <c r="A1" t="s">
        <v>534</v>
      </c>
      <c r="B1">
        <v>2002</v>
      </c>
      <c r="C1">
        <v>2003</v>
      </c>
      <c r="D1">
        <v>2004</v>
      </c>
      <c r="E1">
        <v>2005</v>
      </c>
      <c r="F1">
        <v>2006</v>
      </c>
      <c r="G1">
        <v>2007</v>
      </c>
      <c r="H1">
        <v>2008</v>
      </c>
      <c r="I1">
        <v>2009</v>
      </c>
      <c r="J1">
        <v>2010</v>
      </c>
      <c r="K1">
        <v>2011</v>
      </c>
      <c r="L1">
        <v>2012</v>
      </c>
      <c r="M1">
        <v>2013</v>
      </c>
      <c r="N1">
        <v>2014</v>
      </c>
      <c r="O1">
        <v>2015</v>
      </c>
      <c r="P1">
        <v>2016</v>
      </c>
      <c r="Q1">
        <v>2017</v>
      </c>
      <c r="R1">
        <v>2018</v>
      </c>
      <c r="S1">
        <v>2019</v>
      </c>
      <c r="T1">
        <v>2020</v>
      </c>
    </row>
    <row r="2" spans="1:34" x14ac:dyDescent="0.25">
      <c r="A2" s="30" t="s">
        <v>23</v>
      </c>
      <c r="B2" s="16">
        <v>117</v>
      </c>
      <c r="C2">
        <v>92</v>
      </c>
      <c r="D2" s="16">
        <v>118</v>
      </c>
      <c r="E2" s="16">
        <v>108</v>
      </c>
      <c r="F2">
        <v>90</v>
      </c>
      <c r="G2" s="16">
        <v>106</v>
      </c>
      <c r="H2" s="16">
        <v>116</v>
      </c>
      <c r="I2" s="16">
        <v>187</v>
      </c>
      <c r="J2" s="16">
        <v>142</v>
      </c>
      <c r="K2" s="16">
        <v>178</v>
      </c>
      <c r="L2" s="16">
        <v>156</v>
      </c>
      <c r="M2" s="16">
        <v>169</v>
      </c>
      <c r="N2" s="16">
        <v>212</v>
      </c>
      <c r="O2" s="16">
        <v>135</v>
      </c>
      <c r="P2" s="16">
        <v>170</v>
      </c>
      <c r="Q2">
        <v>81</v>
      </c>
      <c r="R2" s="16">
        <v>117</v>
      </c>
      <c r="S2">
        <v>50</v>
      </c>
      <c r="T2">
        <v>103</v>
      </c>
    </row>
    <row r="3" spans="1:34" x14ac:dyDescent="0.25">
      <c r="A3" s="30" t="s">
        <v>207</v>
      </c>
      <c r="B3" t="s">
        <v>88</v>
      </c>
      <c r="C3" t="s">
        <v>88</v>
      </c>
      <c r="D3" t="s">
        <v>88</v>
      </c>
      <c r="E3" t="s">
        <v>88</v>
      </c>
      <c r="F3" t="s">
        <v>88</v>
      </c>
      <c r="G3" t="s">
        <v>88</v>
      </c>
      <c r="H3" t="s">
        <v>88</v>
      </c>
      <c r="I3" t="s">
        <v>88</v>
      </c>
      <c r="J3" t="s">
        <v>88</v>
      </c>
      <c r="K3" t="s">
        <v>88</v>
      </c>
      <c r="L3" t="s">
        <v>88</v>
      </c>
      <c r="M3" t="s">
        <v>88</v>
      </c>
      <c r="N3" t="s">
        <v>88</v>
      </c>
      <c r="O3" s="28">
        <v>2126</v>
      </c>
      <c r="P3" s="28">
        <v>2139</v>
      </c>
      <c r="Q3" s="28">
        <v>2010</v>
      </c>
      <c r="R3" s="6">
        <v>1908</v>
      </c>
      <c r="S3" s="6">
        <v>1607</v>
      </c>
      <c r="T3">
        <v>1223</v>
      </c>
    </row>
    <row r="5" spans="1:34" x14ac:dyDescent="0.25">
      <c r="A5" s="22" t="s">
        <v>271</v>
      </c>
    </row>
    <row r="6" spans="1:34" x14ac:dyDescent="0.25">
      <c r="A6" t="s">
        <v>268</v>
      </c>
      <c r="J6">
        <v>309321666</v>
      </c>
      <c r="K6">
        <v>311556874</v>
      </c>
      <c r="L6">
        <v>313830990</v>
      </c>
      <c r="M6">
        <v>315993715</v>
      </c>
      <c r="N6">
        <v>318301008</v>
      </c>
      <c r="O6">
        <v>320635163</v>
      </c>
      <c r="P6">
        <v>322941311</v>
      </c>
      <c r="Q6">
        <v>324985539</v>
      </c>
      <c r="R6">
        <v>326687501</v>
      </c>
      <c r="S6">
        <v>328239523</v>
      </c>
    </row>
    <row r="7" spans="1:34" x14ac:dyDescent="0.25">
      <c r="A7" t="s">
        <v>269</v>
      </c>
      <c r="J7">
        <v>5690475</v>
      </c>
      <c r="K7">
        <v>5705288</v>
      </c>
      <c r="L7">
        <v>5719960</v>
      </c>
      <c r="M7">
        <v>5736754</v>
      </c>
      <c r="N7">
        <v>5751525</v>
      </c>
      <c r="O7">
        <v>5760940</v>
      </c>
      <c r="P7">
        <v>5772628</v>
      </c>
      <c r="Q7">
        <v>5790186</v>
      </c>
      <c r="R7">
        <v>5807406</v>
      </c>
      <c r="S7">
        <v>5822434</v>
      </c>
    </row>
    <row r="8" spans="1:34" x14ac:dyDescent="0.25">
      <c r="A8" s="31" t="s">
        <v>270</v>
      </c>
      <c r="J8" s="32">
        <v>489218</v>
      </c>
      <c r="K8" s="32">
        <v>496009</v>
      </c>
      <c r="L8" s="32">
        <v>502902</v>
      </c>
      <c r="M8" s="32">
        <v>509762</v>
      </c>
      <c r="N8" s="32">
        <v>516282</v>
      </c>
      <c r="O8" s="32">
        <v>523000</v>
      </c>
      <c r="P8" s="32">
        <v>531296</v>
      </c>
      <c r="Q8" s="32">
        <v>537453</v>
      </c>
      <c r="R8" s="32">
        <v>541948</v>
      </c>
      <c r="S8" s="32">
        <v>546695</v>
      </c>
    </row>
    <row r="9" spans="1:34" x14ac:dyDescent="0.25">
      <c r="A9" t="s">
        <v>257</v>
      </c>
      <c r="J9">
        <f>J8/J6</f>
        <v>1.5815833605396397E-3</v>
      </c>
      <c r="K9">
        <f t="shared" ref="K9:S9" si="0">K8/K6</f>
        <v>1.5920335623857878E-3</v>
      </c>
      <c r="L9">
        <f t="shared" si="0"/>
        <v>1.6024612483298733E-3</v>
      </c>
      <c r="M9">
        <f t="shared" si="0"/>
        <v>1.6132029714578343E-3</v>
      </c>
      <c r="N9">
        <f t="shared" si="0"/>
        <v>1.621992978419974E-3</v>
      </c>
      <c r="O9">
        <f>O8/O6</f>
        <v>1.6311373808991748E-3</v>
      </c>
      <c r="P9">
        <f t="shared" si="0"/>
        <v>1.6451781853328762E-3</v>
      </c>
      <c r="Q9">
        <f t="shared" si="0"/>
        <v>1.6537751238217403E-3</v>
      </c>
      <c r="R9">
        <f t="shared" si="0"/>
        <v>1.6589186863319879E-3</v>
      </c>
      <c r="S9">
        <f t="shared" si="0"/>
        <v>1.6655367854650459E-3</v>
      </c>
      <c r="AE9" t="s">
        <v>264</v>
      </c>
      <c r="AF9" t="s">
        <v>265</v>
      </c>
      <c r="AG9" t="s">
        <v>266</v>
      </c>
      <c r="AH9" t="s">
        <v>267</v>
      </c>
    </row>
    <row r="10" spans="1:34" x14ac:dyDescent="0.25">
      <c r="A10" t="s">
        <v>274</v>
      </c>
      <c r="J10">
        <f>J2*1000*J9</f>
        <v>224.58483719662883</v>
      </c>
      <c r="K10">
        <f t="shared" ref="K10:S10" si="1">K2*1000*K9</f>
        <v>283.38197410467023</v>
      </c>
      <c r="L10">
        <f t="shared" si="1"/>
        <v>249.98395473946024</v>
      </c>
      <c r="M10">
        <f t="shared" si="1"/>
        <v>272.63130217637399</v>
      </c>
      <c r="N10">
        <f t="shared" si="1"/>
        <v>343.86251142503448</v>
      </c>
      <c r="O10">
        <f t="shared" si="1"/>
        <v>220.20354642138861</v>
      </c>
      <c r="P10">
        <f t="shared" si="1"/>
        <v>279.68029150658896</v>
      </c>
      <c r="Q10">
        <f t="shared" si="1"/>
        <v>133.95578502956096</v>
      </c>
      <c r="R10">
        <f t="shared" si="1"/>
        <v>194.09348630084259</v>
      </c>
      <c r="S10">
        <f t="shared" si="1"/>
        <v>83.276839273252293</v>
      </c>
      <c r="AC10" t="s">
        <v>258</v>
      </c>
      <c r="AE10">
        <f>MAX(J10:S10)</f>
        <v>343.86251142503448</v>
      </c>
      <c r="AF10">
        <f>AVERAGE(J10:S10)</f>
        <v>228.56545281738013</v>
      </c>
      <c r="AG10">
        <f>MIN(J10:S10)</f>
        <v>83.276839273252293</v>
      </c>
      <c r="AH10">
        <f>_xlfn.STDEV.P(J10:S10)</f>
        <v>72.557146090144386</v>
      </c>
    </row>
    <row r="11" spans="1:34" x14ac:dyDescent="0.25">
      <c r="A11" t="s">
        <v>276</v>
      </c>
      <c r="J11" t="s">
        <v>88</v>
      </c>
      <c r="K11" t="s">
        <v>88</v>
      </c>
      <c r="L11" t="s">
        <v>88</v>
      </c>
      <c r="M11" t="s">
        <v>88</v>
      </c>
      <c r="N11" t="s">
        <v>88</v>
      </c>
      <c r="O11">
        <f>O3*1000*O9</f>
        <v>3467.7980717916457</v>
      </c>
      <c r="P11">
        <f>P3*1000*P9</f>
        <v>3519.0361384270223</v>
      </c>
      <c r="Q11">
        <f>Q3*1000*Q9</f>
        <v>3324.0879988816982</v>
      </c>
      <c r="R11">
        <f>R3*1000*R9</f>
        <v>3165.2168535214328</v>
      </c>
      <c r="S11">
        <f>S3*1000*S9</f>
        <v>2676.5176142423288</v>
      </c>
      <c r="AC11" t="s">
        <v>259</v>
      </c>
      <c r="AE11">
        <f>MAX(J11:S11)</f>
        <v>3519.0361384270223</v>
      </c>
      <c r="AF11">
        <f>AVERAGE(O11:S11)</f>
        <v>3230.5313353728257</v>
      </c>
      <c r="AG11">
        <f>MIN(J11:S11)</f>
        <v>2676.5176142423288</v>
      </c>
      <c r="AH11">
        <f>_xlfn.STDEV.P(O11:S11)</f>
        <v>303.14371496815397</v>
      </c>
    </row>
    <row r="12" spans="1:34" x14ac:dyDescent="0.25">
      <c r="A12" t="s">
        <v>272</v>
      </c>
      <c r="J12">
        <f>(J10/J$8)*100000</f>
        <v>45.906903915356516</v>
      </c>
      <c r="K12">
        <f t="shared" ref="K12:S13" si="2">(K10/K$8)*100000</f>
        <v>57.132425844021022</v>
      </c>
      <c r="L12">
        <f t="shared" si="2"/>
        <v>49.708284067166218</v>
      </c>
      <c r="M12">
        <f t="shared" si="2"/>
        <v>53.482076376107671</v>
      </c>
      <c r="N12">
        <f t="shared" si="2"/>
        <v>66.603621940147931</v>
      </c>
      <c r="O12">
        <f t="shared" si="2"/>
        <v>42.103928570055182</v>
      </c>
      <c r="P12">
        <f t="shared" si="2"/>
        <v>52.641143826904198</v>
      </c>
      <c r="Q12">
        <f t="shared" si="2"/>
        <v>24.924185934316295</v>
      </c>
      <c r="R12">
        <f t="shared" si="2"/>
        <v>35.814042362153302</v>
      </c>
      <c r="S12">
        <f t="shared" si="2"/>
        <v>15.232778655969469</v>
      </c>
      <c r="AC12" t="s">
        <v>258</v>
      </c>
      <c r="AE12">
        <f>MAX(J12:S12)</f>
        <v>66.603621940147931</v>
      </c>
      <c r="AF12">
        <f>AVERAGE(J12:S12)</f>
        <v>44.354939149219788</v>
      </c>
      <c r="AG12">
        <f>MIN(J12:S12)</f>
        <v>15.232778655969469</v>
      </c>
      <c r="AH12">
        <f>_xlfn.STDEV.P(J12:S12)</f>
        <v>14.645713159077856</v>
      </c>
    </row>
    <row r="13" spans="1:34" x14ac:dyDescent="0.25">
      <c r="A13" t="s">
        <v>273</v>
      </c>
      <c r="J13" t="s">
        <v>88</v>
      </c>
      <c r="K13" t="s">
        <v>88</v>
      </c>
      <c r="L13" t="s">
        <v>88</v>
      </c>
      <c r="M13" t="s">
        <v>88</v>
      </c>
      <c r="N13" t="s">
        <v>88</v>
      </c>
      <c r="O13">
        <f t="shared" si="2"/>
        <v>663.05890474027638</v>
      </c>
      <c r="P13">
        <f>(P11/P$8)*100000</f>
        <v>662.34945085734171</v>
      </c>
      <c r="Q13">
        <f>(Q11/Q$8)*100000</f>
        <v>618.48905837007112</v>
      </c>
      <c r="R13">
        <f>(R11/R$8)*100000</f>
        <v>584.04438313665389</v>
      </c>
      <c r="S13">
        <f>(S11/S$8)*100000</f>
        <v>489.58150600285876</v>
      </c>
      <c r="AC13" t="s">
        <v>259</v>
      </c>
      <c r="AE13">
        <f>MAX(J13:S13)</f>
        <v>663.05890474027638</v>
      </c>
      <c r="AF13">
        <f>AVERAGE(O13:S13)</f>
        <v>603.50466062144039</v>
      </c>
      <c r="AG13">
        <f>MIN(J13:S13)</f>
        <v>489.58150600285876</v>
      </c>
      <c r="AH13">
        <f>_xlfn.STDEV.P(O13:S13)</f>
        <v>64.173416715017737</v>
      </c>
    </row>
    <row r="15" spans="1:34" x14ac:dyDescent="0.25">
      <c r="A15" s="22" t="s">
        <v>398</v>
      </c>
    </row>
    <row r="16" spans="1:34" x14ac:dyDescent="0.25">
      <c r="A16" t="s">
        <v>402</v>
      </c>
      <c r="B16" s="59">
        <v>377135</v>
      </c>
      <c r="C16" s="60">
        <v>382859</v>
      </c>
      <c r="D16" s="59">
        <v>387894</v>
      </c>
      <c r="E16" s="60">
        <v>392890</v>
      </c>
      <c r="F16" s="59">
        <v>398205</v>
      </c>
      <c r="G16" s="60">
        <v>403235</v>
      </c>
      <c r="H16" s="59">
        <v>408178</v>
      </c>
      <c r="I16" s="60">
        <v>413862</v>
      </c>
      <c r="J16" s="59">
        <v>416283</v>
      </c>
      <c r="K16" s="60">
        <v>424073</v>
      </c>
      <c r="L16" s="59">
        <v>430893</v>
      </c>
      <c r="M16" s="60">
        <v>436716</v>
      </c>
      <c r="N16" s="59">
        <v>442815</v>
      </c>
      <c r="O16" s="60">
        <v>449432</v>
      </c>
      <c r="P16" s="59">
        <v>456761</v>
      </c>
      <c r="Q16" s="60">
        <v>462328</v>
      </c>
      <c r="R16" s="59">
        <v>468595</v>
      </c>
      <c r="S16" s="60">
        <v>473436</v>
      </c>
    </row>
    <row r="17" spans="1:19" x14ac:dyDescent="0.25">
      <c r="A17" t="s">
        <v>414</v>
      </c>
      <c r="B17" s="59">
        <v>2181</v>
      </c>
      <c r="C17" s="60">
        <v>2168</v>
      </c>
      <c r="D17" s="59">
        <v>1969</v>
      </c>
      <c r="E17" s="60">
        <v>2118</v>
      </c>
      <c r="F17" s="59">
        <v>2160</v>
      </c>
      <c r="G17" s="60">
        <v>2397</v>
      </c>
      <c r="H17" s="59">
        <v>3041</v>
      </c>
      <c r="I17" s="60">
        <v>3278</v>
      </c>
      <c r="J17" s="59">
        <v>3038</v>
      </c>
      <c r="K17" s="60">
        <v>4395</v>
      </c>
      <c r="L17" s="59">
        <v>5923</v>
      </c>
      <c r="M17" s="60">
        <v>8257</v>
      </c>
      <c r="N17" s="59">
        <v>10574</v>
      </c>
      <c r="O17" s="60">
        <v>12984</v>
      </c>
      <c r="P17" s="59">
        <v>15466</v>
      </c>
      <c r="Q17" s="60">
        <v>15474</v>
      </c>
      <c r="R17" s="59">
        <v>14986</v>
      </c>
      <c r="S17" s="60">
        <v>14010</v>
      </c>
    </row>
    <row r="18" spans="1:19" x14ac:dyDescent="0.25">
      <c r="A18" t="s">
        <v>403</v>
      </c>
      <c r="B18" s="59" t="s">
        <v>401</v>
      </c>
      <c r="C18" s="60" t="s">
        <v>401</v>
      </c>
      <c r="D18" s="59" t="s">
        <v>401</v>
      </c>
      <c r="E18" s="60">
        <v>5</v>
      </c>
      <c r="F18" s="59" t="s">
        <v>401</v>
      </c>
      <c r="G18" s="60">
        <v>7</v>
      </c>
      <c r="H18" s="59">
        <v>10</v>
      </c>
      <c r="I18" s="60">
        <v>9</v>
      </c>
      <c r="J18" s="59">
        <v>15</v>
      </c>
      <c r="K18" s="60">
        <v>17</v>
      </c>
      <c r="L18" s="59">
        <v>22</v>
      </c>
      <c r="M18" s="60">
        <v>38</v>
      </c>
      <c r="N18" s="59">
        <v>28</v>
      </c>
      <c r="O18" s="60">
        <v>28</v>
      </c>
      <c r="P18" s="59">
        <v>55</v>
      </c>
      <c r="Q18" s="60">
        <v>41</v>
      </c>
      <c r="R18" s="59">
        <v>35</v>
      </c>
      <c r="S18" s="60">
        <v>36</v>
      </c>
    </row>
    <row r="19" spans="1:19" x14ac:dyDescent="0.25">
      <c r="A19" t="s">
        <v>404</v>
      </c>
      <c r="B19" t="e">
        <f>B18/B17</f>
        <v>#VALUE!</v>
      </c>
      <c r="C19" t="e">
        <f t="shared" ref="C19:S19" si="3">C18/C17</f>
        <v>#VALUE!</v>
      </c>
      <c r="D19" t="e">
        <f t="shared" si="3"/>
        <v>#VALUE!</v>
      </c>
      <c r="E19">
        <f t="shared" si="3"/>
        <v>2.360717658168083E-3</v>
      </c>
      <c r="F19" t="e">
        <f t="shared" si="3"/>
        <v>#VALUE!</v>
      </c>
      <c r="G19">
        <f t="shared" si="3"/>
        <v>2.9203170629954109E-3</v>
      </c>
      <c r="H19">
        <f t="shared" si="3"/>
        <v>3.2883919763235779E-3</v>
      </c>
      <c r="I19">
        <f t="shared" si="3"/>
        <v>2.7455765710799268E-3</v>
      </c>
      <c r="J19">
        <f t="shared" si="3"/>
        <v>4.9374588545095461E-3</v>
      </c>
      <c r="K19">
        <f t="shared" si="3"/>
        <v>3.8680318543799774E-3</v>
      </c>
      <c r="L19">
        <f t="shared" si="3"/>
        <v>3.7143339523889921E-3</v>
      </c>
      <c r="M19">
        <f t="shared" si="3"/>
        <v>4.602155746639215E-3</v>
      </c>
      <c r="N19">
        <f t="shared" si="3"/>
        <v>2.6480045394363535E-3</v>
      </c>
      <c r="O19">
        <f t="shared" si="3"/>
        <v>2.1565003080714724E-3</v>
      </c>
      <c r="P19">
        <f t="shared" si="3"/>
        <v>3.5561877667140826E-3</v>
      </c>
      <c r="Q19">
        <f t="shared" si="3"/>
        <v>2.6496057903580201E-3</v>
      </c>
      <c r="R19">
        <f t="shared" si="3"/>
        <v>2.3355131456025626E-3</v>
      </c>
      <c r="S19">
        <f t="shared" si="3"/>
        <v>2.5695931477516059E-3</v>
      </c>
    </row>
    <row r="20" spans="1:19" x14ac:dyDescent="0.25">
      <c r="A20" t="s">
        <v>274</v>
      </c>
      <c r="B20" t="e">
        <f>B19*B2*1000</f>
        <v>#VALUE!</v>
      </c>
      <c r="C20" t="e">
        <f t="shared" ref="C20:R20" si="4">C19*C2*1000</f>
        <v>#VALUE!</v>
      </c>
      <c r="D20" t="e">
        <f t="shared" si="4"/>
        <v>#VALUE!</v>
      </c>
      <c r="E20">
        <f t="shared" si="4"/>
        <v>254.95750708215297</v>
      </c>
      <c r="F20" t="e">
        <f t="shared" si="4"/>
        <v>#VALUE!</v>
      </c>
      <c r="G20">
        <f t="shared" si="4"/>
        <v>309.55360867751358</v>
      </c>
      <c r="H20">
        <f t="shared" si="4"/>
        <v>381.45346925353499</v>
      </c>
      <c r="I20">
        <f t="shared" si="4"/>
        <v>513.42281879194627</v>
      </c>
      <c r="J20">
        <f t="shared" si="4"/>
        <v>701.11915734035551</v>
      </c>
      <c r="K20">
        <f t="shared" si="4"/>
        <v>688.50967007963607</v>
      </c>
      <c r="L20">
        <f t="shared" si="4"/>
        <v>579.4360965726828</v>
      </c>
      <c r="M20">
        <f t="shared" si="4"/>
        <v>777.76432118202729</v>
      </c>
      <c r="N20">
        <f t="shared" si="4"/>
        <v>561.37696236050692</v>
      </c>
      <c r="O20">
        <f t="shared" si="4"/>
        <v>291.12754158964879</v>
      </c>
      <c r="P20">
        <f t="shared" si="4"/>
        <v>604.55192034139407</v>
      </c>
      <c r="Q20">
        <f t="shared" si="4"/>
        <v>214.61806901899962</v>
      </c>
      <c r="R20">
        <f t="shared" si="4"/>
        <v>273.25503803549981</v>
      </c>
      <c r="S20">
        <f>S19*S2*1000</f>
        <v>128.47965738758029</v>
      </c>
    </row>
    <row r="21" spans="1:19" x14ac:dyDescent="0.25">
      <c r="A21" t="s">
        <v>406</v>
      </c>
      <c r="B21" t="e">
        <f>(B20/B16)*100000</f>
        <v>#VALUE!</v>
      </c>
      <c r="C21" t="e">
        <f t="shared" ref="C21:S21" si="5">C20/C16*100000</f>
        <v>#VALUE!</v>
      </c>
      <c r="D21" t="e">
        <f t="shared" si="5"/>
        <v>#VALUE!</v>
      </c>
      <c r="E21">
        <f t="shared" si="5"/>
        <v>64.892847128242764</v>
      </c>
      <c r="F21" t="e">
        <f t="shared" si="5"/>
        <v>#VALUE!</v>
      </c>
      <c r="G21">
        <f t="shared" si="5"/>
        <v>76.767544652005299</v>
      </c>
      <c r="H21">
        <f t="shared" si="5"/>
        <v>93.452726323695785</v>
      </c>
      <c r="I21">
        <f t="shared" si="5"/>
        <v>124.05652579650857</v>
      </c>
      <c r="J21">
        <f t="shared" si="5"/>
        <v>168.42368228833644</v>
      </c>
      <c r="K21">
        <f t="shared" si="5"/>
        <v>162.35640327953823</v>
      </c>
      <c r="L21">
        <f t="shared" si="5"/>
        <v>134.47331392542529</v>
      </c>
      <c r="M21">
        <f t="shared" si="5"/>
        <v>178.09384615677632</v>
      </c>
      <c r="N21">
        <f t="shared" si="5"/>
        <v>126.77460392274583</v>
      </c>
      <c r="O21">
        <f t="shared" si="5"/>
        <v>64.776771923149397</v>
      </c>
      <c r="P21">
        <f t="shared" si="5"/>
        <v>132.35629143937291</v>
      </c>
      <c r="Q21">
        <f t="shared" si="5"/>
        <v>46.421170471829441</v>
      </c>
      <c r="R21">
        <f t="shared" si="5"/>
        <v>58.313690507901242</v>
      </c>
      <c r="S21">
        <f t="shared" si="5"/>
        <v>27.137703382839561</v>
      </c>
    </row>
    <row r="23" spans="1:19" x14ac:dyDescent="0.25">
      <c r="A23" t="s">
        <v>413</v>
      </c>
      <c r="B23" s="59">
        <v>8109</v>
      </c>
      <c r="C23" s="60">
        <v>9283</v>
      </c>
      <c r="D23" s="59">
        <v>10792</v>
      </c>
      <c r="E23" s="60">
        <v>12045</v>
      </c>
      <c r="F23" s="59">
        <v>15274</v>
      </c>
      <c r="G23" s="60">
        <v>15843</v>
      </c>
      <c r="H23" s="59">
        <v>16294</v>
      </c>
      <c r="I23" s="60">
        <v>17334</v>
      </c>
      <c r="J23" s="59">
        <v>18479</v>
      </c>
      <c r="K23" s="60">
        <v>18724</v>
      </c>
      <c r="L23" s="59">
        <v>17651</v>
      </c>
      <c r="M23" s="60">
        <v>17997</v>
      </c>
      <c r="N23" s="59">
        <v>21053</v>
      </c>
      <c r="O23" s="60">
        <v>25544</v>
      </c>
      <c r="P23" s="59">
        <v>37211</v>
      </c>
      <c r="Q23" s="60">
        <v>46089</v>
      </c>
      <c r="R23" s="59">
        <v>46852</v>
      </c>
      <c r="S23" s="60">
        <v>50904</v>
      </c>
    </row>
    <row r="24" spans="1:19" x14ac:dyDescent="0.25">
      <c r="A24" t="s">
        <v>411</v>
      </c>
      <c r="B24" s="63">
        <v>12</v>
      </c>
      <c r="C24" s="63">
        <v>0</v>
      </c>
      <c r="D24" s="63">
        <v>26</v>
      </c>
      <c r="E24" s="63">
        <v>15</v>
      </c>
      <c r="F24" s="63">
        <v>17</v>
      </c>
      <c r="G24" s="63">
        <v>33</v>
      </c>
      <c r="H24" s="63">
        <v>19</v>
      </c>
      <c r="I24" s="63">
        <v>25</v>
      </c>
      <c r="J24" s="63">
        <v>29</v>
      </c>
      <c r="K24" s="63">
        <v>49</v>
      </c>
      <c r="L24" s="63">
        <v>38</v>
      </c>
      <c r="M24" s="63">
        <v>45</v>
      </c>
      <c r="N24" s="63">
        <v>31</v>
      </c>
      <c r="O24" s="63">
        <v>47</v>
      </c>
      <c r="P24" s="63">
        <v>75</v>
      </c>
      <c r="Q24" s="63">
        <v>73</v>
      </c>
      <c r="R24" s="63">
        <v>84</v>
      </c>
      <c r="S24" s="60">
        <v>111</v>
      </c>
    </row>
    <row r="25" spans="1:19" x14ac:dyDescent="0.25">
      <c r="A25" t="s">
        <v>412</v>
      </c>
      <c r="B25">
        <f>B24/B23</f>
        <v>1.4798372179060304E-3</v>
      </c>
      <c r="C25">
        <f t="shared" ref="C25:S25" si="6">C24/C23</f>
        <v>0</v>
      </c>
      <c r="D25">
        <f t="shared" si="6"/>
        <v>2.4091919940696814E-3</v>
      </c>
      <c r="E25">
        <f t="shared" si="6"/>
        <v>1.2453300124533001E-3</v>
      </c>
      <c r="F25">
        <f t="shared" si="6"/>
        <v>1.1130024878879142E-3</v>
      </c>
      <c r="G25">
        <f t="shared" si="6"/>
        <v>2.0829388373414127E-3</v>
      </c>
      <c r="H25">
        <f t="shared" si="6"/>
        <v>1.1660734012519946E-3</v>
      </c>
      <c r="I25">
        <f t="shared" si="6"/>
        <v>1.4422522210684205E-3</v>
      </c>
      <c r="J25">
        <f t="shared" si="6"/>
        <v>1.5693489907462525E-3</v>
      </c>
      <c r="K25">
        <f t="shared" si="6"/>
        <v>2.6169621875667595E-3</v>
      </c>
      <c r="L25">
        <f t="shared" si="6"/>
        <v>2.1528525296017221E-3</v>
      </c>
      <c r="M25">
        <f t="shared" si="6"/>
        <v>2.5004167361226872E-3</v>
      </c>
      <c r="N25">
        <f t="shared" si="6"/>
        <v>1.4724742317009452E-3</v>
      </c>
      <c r="O25">
        <f t="shared" si="6"/>
        <v>1.8399624177889132E-3</v>
      </c>
      <c r="P25">
        <f t="shared" si="6"/>
        <v>2.0155330413049906E-3</v>
      </c>
      <c r="Q25">
        <f t="shared" si="6"/>
        <v>1.5838920349758078E-3</v>
      </c>
      <c r="R25">
        <f t="shared" si="6"/>
        <v>1.792879706309229E-3</v>
      </c>
      <c r="S25">
        <f t="shared" si="6"/>
        <v>2.1805752003771807E-3</v>
      </c>
    </row>
    <row r="26" spans="1:19" x14ac:dyDescent="0.25">
      <c r="A26" t="s">
        <v>405</v>
      </c>
      <c r="B26" t="e">
        <f>B25*B3*1000</f>
        <v>#VALUE!</v>
      </c>
      <c r="C26" t="e">
        <f t="shared" ref="C26:R26" si="7">C25*C3*1000</f>
        <v>#VALUE!</v>
      </c>
      <c r="D26" t="e">
        <f t="shared" si="7"/>
        <v>#VALUE!</v>
      </c>
      <c r="E26" t="e">
        <f t="shared" si="7"/>
        <v>#VALUE!</v>
      </c>
      <c r="F26" t="e">
        <f t="shared" si="7"/>
        <v>#VALUE!</v>
      </c>
      <c r="G26" t="e">
        <f t="shared" si="7"/>
        <v>#VALUE!</v>
      </c>
      <c r="H26" t="e">
        <f t="shared" si="7"/>
        <v>#VALUE!</v>
      </c>
      <c r="I26" t="e">
        <f t="shared" si="7"/>
        <v>#VALUE!</v>
      </c>
      <c r="J26" t="e">
        <f t="shared" si="7"/>
        <v>#VALUE!</v>
      </c>
      <c r="K26" t="e">
        <f t="shared" si="7"/>
        <v>#VALUE!</v>
      </c>
      <c r="L26" t="e">
        <f t="shared" si="7"/>
        <v>#VALUE!</v>
      </c>
      <c r="M26" t="e">
        <f t="shared" si="7"/>
        <v>#VALUE!</v>
      </c>
      <c r="N26" t="e">
        <f>N25*N3*1000</f>
        <v>#VALUE!</v>
      </c>
      <c r="O26">
        <f t="shared" si="7"/>
        <v>3911.7601002192296</v>
      </c>
      <c r="P26">
        <f t="shared" si="7"/>
        <v>4311.2251753513747</v>
      </c>
      <c r="Q26">
        <f t="shared" si="7"/>
        <v>3183.6229903013736</v>
      </c>
      <c r="R26">
        <f t="shared" si="7"/>
        <v>3420.8144796380088</v>
      </c>
      <c r="S26">
        <f>S25*S3*1000</f>
        <v>3504.1843470061294</v>
      </c>
    </row>
    <row r="27" spans="1:19" x14ac:dyDescent="0.25">
      <c r="A27" t="s">
        <v>407</v>
      </c>
      <c r="B27" t="e">
        <f>(B26/B16)*100000</f>
        <v>#VALUE!</v>
      </c>
      <c r="C27" t="e">
        <f t="shared" ref="C27:S27" si="8">(C26/C16)*100000</f>
        <v>#VALUE!</v>
      </c>
      <c r="D27" t="e">
        <f t="shared" si="8"/>
        <v>#VALUE!</v>
      </c>
      <c r="E27" t="e">
        <f t="shared" si="8"/>
        <v>#VALUE!</v>
      </c>
      <c r="F27" t="e">
        <f t="shared" si="8"/>
        <v>#VALUE!</v>
      </c>
      <c r="G27" t="e">
        <f t="shared" si="8"/>
        <v>#VALUE!</v>
      </c>
      <c r="H27" t="e">
        <f t="shared" si="8"/>
        <v>#VALUE!</v>
      </c>
      <c r="I27" t="e">
        <f t="shared" si="8"/>
        <v>#VALUE!</v>
      </c>
      <c r="J27" t="e">
        <f t="shared" si="8"/>
        <v>#VALUE!</v>
      </c>
      <c r="K27" t="e">
        <f t="shared" si="8"/>
        <v>#VALUE!</v>
      </c>
      <c r="L27" t="e">
        <f t="shared" si="8"/>
        <v>#VALUE!</v>
      </c>
      <c r="M27" t="e">
        <f t="shared" si="8"/>
        <v>#VALUE!</v>
      </c>
      <c r="N27" t="e">
        <f t="shared" si="8"/>
        <v>#VALUE!</v>
      </c>
      <c r="O27">
        <f t="shared" si="8"/>
        <v>870.37863352392128</v>
      </c>
      <c r="P27">
        <f t="shared" si="8"/>
        <v>943.86893262589729</v>
      </c>
      <c r="Q27">
        <f t="shared" si="8"/>
        <v>688.60700418347437</v>
      </c>
      <c r="R27">
        <f t="shared" si="8"/>
        <v>730.01514733149281</v>
      </c>
      <c r="S27">
        <f t="shared" si="8"/>
        <v>740.16009492436774</v>
      </c>
    </row>
    <row r="30" spans="1:19" x14ac:dyDescent="0.25">
      <c r="A30" t="s">
        <v>261</v>
      </c>
    </row>
    <row r="31" spans="1:19" x14ac:dyDescent="0.25">
      <c r="A31" t="s">
        <v>262</v>
      </c>
      <c r="R31" t="s">
        <v>408</v>
      </c>
    </row>
    <row r="32" spans="1:19" x14ac:dyDescent="0.25">
      <c r="A32" t="s">
        <v>260</v>
      </c>
    </row>
    <row r="33" spans="1:1" x14ac:dyDescent="0.25">
      <c r="A33" t="s">
        <v>263</v>
      </c>
    </row>
    <row r="34" spans="1:1" ht="15.75" x14ac:dyDescent="0.25">
      <c r="A34" s="58" t="s">
        <v>399</v>
      </c>
    </row>
    <row r="35" spans="1:1" x14ac:dyDescent="0.25">
      <c r="A35" t="s">
        <v>400</v>
      </c>
    </row>
    <row r="36" spans="1:1" ht="45.75" x14ac:dyDescent="0.25">
      <c r="A36" s="61" t="s">
        <v>409</v>
      </c>
    </row>
    <row r="37" spans="1:1" x14ac:dyDescent="0.25">
      <c r="A37" s="62"/>
    </row>
    <row r="38" spans="1:1" ht="34.5" x14ac:dyDescent="0.25">
      <c r="A38" s="61" t="s">
        <v>410</v>
      </c>
    </row>
  </sheetData>
  <hyperlinks>
    <hyperlink ref="A34" r:id="rId1" xr:uid="{0B5BEBC1-21A2-4966-A306-92983654D1C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A5130-333F-45DB-AFB6-81F87D5BDD41}">
  <dimension ref="A1:K32"/>
  <sheetViews>
    <sheetView workbookViewId="0">
      <selection activeCell="J33" sqref="J33"/>
    </sheetView>
  </sheetViews>
  <sheetFormatPr defaultRowHeight="15" x14ac:dyDescent="0.25"/>
  <cols>
    <col min="7" max="7" width="11" bestFit="1" customWidth="1"/>
    <col min="8" max="9" width="10.5703125" bestFit="1" customWidth="1"/>
    <col min="10" max="11" width="9.140625" bestFit="1" customWidth="1"/>
  </cols>
  <sheetData>
    <row r="1" spans="1:11" s="20" customFormat="1" ht="150" x14ac:dyDescent="0.25">
      <c r="A1" s="20" t="s">
        <v>275</v>
      </c>
      <c r="B1" s="20" t="s">
        <v>462</v>
      </c>
      <c r="C1" s="20" t="s">
        <v>463</v>
      </c>
      <c r="D1" s="20" t="s">
        <v>466</v>
      </c>
      <c r="E1" s="20" t="s">
        <v>465</v>
      </c>
      <c r="F1" s="20" t="s">
        <v>500</v>
      </c>
      <c r="G1" s="20" t="s">
        <v>499</v>
      </c>
      <c r="H1" s="20" t="s">
        <v>511</v>
      </c>
      <c r="I1" s="20" t="s">
        <v>512</v>
      </c>
    </row>
    <row r="2" spans="1:11" x14ac:dyDescent="0.25">
      <c r="A2">
        <v>2002</v>
      </c>
      <c r="B2" t="e">
        <v>#VALUE!</v>
      </c>
      <c r="C2">
        <v>0</v>
      </c>
      <c r="D2">
        <v>0</v>
      </c>
      <c r="E2" t="e">
        <v>#VALUE!</v>
      </c>
      <c r="H2" t="e">
        <f>Calculations_Prevalence!Q3+Calculations_Prevalence!Y3</f>
        <v>#VALUE!</v>
      </c>
      <c r="I2" t="e">
        <f>Calculations_Prevalence!R3+Calculations_Prevalence!Z3</f>
        <v>#VALUE!</v>
      </c>
    </row>
    <row r="3" spans="1:11" x14ac:dyDescent="0.25">
      <c r="A3">
        <v>2003</v>
      </c>
      <c r="B3" t="e">
        <v>#VALUE!</v>
      </c>
      <c r="C3">
        <v>0</v>
      </c>
      <c r="D3">
        <v>0</v>
      </c>
      <c r="E3" t="e">
        <v>#VALUE!</v>
      </c>
      <c r="H3" t="e">
        <f>Calculations_Prevalence!Q4+Calculations_Prevalence!Y4</f>
        <v>#VALUE!</v>
      </c>
      <c r="I3" t="e">
        <f>Calculations_Prevalence!R4+Calculations_Prevalence!Z4</f>
        <v>#VALUE!</v>
      </c>
    </row>
    <row r="4" spans="1:11" x14ac:dyDescent="0.25">
      <c r="A4">
        <v>2004</v>
      </c>
      <c r="B4" t="e">
        <v>#VALUE!</v>
      </c>
      <c r="C4">
        <v>0</v>
      </c>
      <c r="D4">
        <v>0</v>
      </c>
      <c r="E4" t="e">
        <v>#VALUE!</v>
      </c>
      <c r="H4" t="e">
        <f>Calculations_Prevalence!Q5+Calculations_Prevalence!Y5</f>
        <v>#VALUE!</v>
      </c>
      <c r="I4" t="e">
        <f>Calculations_Prevalence!R5+Calculations_Prevalence!Z5</f>
        <v>#VALUE!</v>
      </c>
    </row>
    <row r="5" spans="1:11" x14ac:dyDescent="0.25">
      <c r="A5">
        <v>2005</v>
      </c>
      <c r="B5">
        <v>0</v>
      </c>
      <c r="C5">
        <v>0</v>
      </c>
      <c r="D5">
        <v>0</v>
      </c>
      <c r="E5">
        <v>0</v>
      </c>
      <c r="H5">
        <f>Calculations_Prevalence!Q6+Calculations_Prevalence!Y6</f>
        <v>0</v>
      </c>
      <c r="I5">
        <f>Calculations_Prevalence!R6+Calculations_Prevalence!Z6</f>
        <v>0</v>
      </c>
    </row>
    <row r="6" spans="1:11" x14ac:dyDescent="0.25">
      <c r="A6">
        <v>2006</v>
      </c>
      <c r="B6" t="e">
        <v>#VALUE!</v>
      </c>
      <c r="C6">
        <v>0</v>
      </c>
      <c r="D6">
        <v>0</v>
      </c>
      <c r="E6" t="e">
        <v>#VALUE!</v>
      </c>
      <c r="H6" t="e">
        <f>Calculations_Prevalence!Q7+Calculations_Prevalence!Y7</f>
        <v>#VALUE!</v>
      </c>
      <c r="I6" t="e">
        <f>Calculations_Prevalence!R7+Calculations_Prevalence!Z7</f>
        <v>#VALUE!</v>
      </c>
    </row>
    <row r="7" spans="1:11" x14ac:dyDescent="0.25">
      <c r="A7">
        <v>2007</v>
      </c>
      <c r="B7">
        <v>0</v>
      </c>
      <c r="C7">
        <v>0</v>
      </c>
      <c r="D7">
        <v>0</v>
      </c>
      <c r="E7">
        <v>0</v>
      </c>
      <c r="H7">
        <f>Calculations_Prevalence!Q8+Calculations_Prevalence!Y8</f>
        <v>0</v>
      </c>
      <c r="I7">
        <f>Calculations_Prevalence!R8+Calculations_Prevalence!Z8</f>
        <v>0</v>
      </c>
    </row>
    <row r="8" spans="1:11" x14ac:dyDescent="0.25">
      <c r="A8">
        <v>2008</v>
      </c>
      <c r="B8">
        <v>0</v>
      </c>
      <c r="C8">
        <v>0</v>
      </c>
      <c r="D8">
        <v>0</v>
      </c>
      <c r="E8">
        <v>0</v>
      </c>
      <c r="H8">
        <f>Calculations_Prevalence!Q9+Calculations_Prevalence!Y9</f>
        <v>0</v>
      </c>
      <c r="I8">
        <f>Calculations_Prevalence!R9+Calculations_Prevalence!Z9</f>
        <v>0</v>
      </c>
    </row>
    <row r="9" spans="1:11" x14ac:dyDescent="0.25">
      <c r="A9">
        <v>2009</v>
      </c>
      <c r="B9">
        <v>0</v>
      </c>
      <c r="C9">
        <v>0</v>
      </c>
      <c r="D9">
        <v>0</v>
      </c>
      <c r="E9">
        <v>0</v>
      </c>
      <c r="H9">
        <f>Calculations_Prevalence!Q10+Calculations_Prevalence!Y10</f>
        <v>0</v>
      </c>
      <c r="I9">
        <f>Calculations_Prevalence!R10+Calculations_Prevalence!Z10</f>
        <v>0</v>
      </c>
    </row>
    <row r="10" spans="1:11" x14ac:dyDescent="0.25">
      <c r="A10">
        <v>2010</v>
      </c>
      <c r="B10">
        <v>0</v>
      </c>
      <c r="C10">
        <v>0</v>
      </c>
      <c r="D10">
        <v>0</v>
      </c>
      <c r="E10">
        <v>0</v>
      </c>
      <c r="H10">
        <f>Calculations_Prevalence!Q11+Calculations_Prevalence!Y11</f>
        <v>0</v>
      </c>
      <c r="I10">
        <f>Calculations_Prevalence!R11+Calculations_Prevalence!Z11</f>
        <v>0</v>
      </c>
    </row>
    <row r="11" spans="1:11" x14ac:dyDescent="0.25">
      <c r="A11">
        <v>2011</v>
      </c>
      <c r="B11">
        <v>0</v>
      </c>
      <c r="C11">
        <v>0</v>
      </c>
      <c r="D11">
        <v>0</v>
      </c>
      <c r="E11">
        <v>0</v>
      </c>
      <c r="H11">
        <f>Calculations_Prevalence!Q12+Calculations_Prevalence!Y12</f>
        <v>0</v>
      </c>
      <c r="I11">
        <f>Calculations_Prevalence!R12+Calculations_Prevalence!Z12</f>
        <v>0</v>
      </c>
    </row>
    <row r="12" spans="1:11" x14ac:dyDescent="0.25">
      <c r="A12">
        <v>2012</v>
      </c>
      <c r="B12">
        <v>0</v>
      </c>
      <c r="C12">
        <v>0</v>
      </c>
      <c r="D12">
        <v>0</v>
      </c>
      <c r="E12">
        <v>0</v>
      </c>
      <c r="H12">
        <f>Calculations_Prevalence!Q13+Calculations_Prevalence!Y13</f>
        <v>0</v>
      </c>
      <c r="I12">
        <f>Calculations_Prevalence!R13+Calculations_Prevalence!Z13</f>
        <v>0</v>
      </c>
    </row>
    <row r="13" spans="1:11" x14ac:dyDescent="0.25">
      <c r="A13">
        <v>2013</v>
      </c>
      <c r="B13">
        <v>0</v>
      </c>
      <c r="C13">
        <v>0</v>
      </c>
      <c r="D13">
        <v>0</v>
      </c>
      <c r="E13">
        <v>0</v>
      </c>
      <c r="H13">
        <f>Calculations_Prevalence!Q14+Calculations_Prevalence!Y14</f>
        <v>0</v>
      </c>
      <c r="I13">
        <f>Calculations_Prevalence!R14+Calculations_Prevalence!Z14</f>
        <v>0</v>
      </c>
    </row>
    <row r="14" spans="1:11" x14ac:dyDescent="0.25">
      <c r="A14">
        <v>2014</v>
      </c>
      <c r="B14">
        <v>0</v>
      </c>
      <c r="C14">
        <v>24852.320675105486</v>
      </c>
      <c r="D14">
        <v>5612.348424309359</v>
      </c>
      <c r="E14">
        <v>0</v>
      </c>
      <c r="H14">
        <f>Calculations_Prevalence!Q15+Calculations_Prevalence!Y15</f>
        <v>20143.459915611817</v>
      </c>
      <c r="I14">
        <f>Calculations_Prevalence!R15+Calculations_Prevalence!Z15</f>
        <v>30476.793248945152</v>
      </c>
    </row>
    <row r="15" spans="1:11" x14ac:dyDescent="0.25">
      <c r="A15">
        <v>2015</v>
      </c>
      <c r="B15">
        <v>2110.5527638190956</v>
      </c>
      <c r="C15" t="e">
        <v>#VALUE!</v>
      </c>
      <c r="D15" t="e">
        <v>#VALUE!</v>
      </c>
      <c r="E15">
        <v>469.60447049144159</v>
      </c>
      <c r="H15" t="e">
        <f>Calculations_Prevalence!Q16+Calculations_Prevalence!Y16</f>
        <v>#VALUE!</v>
      </c>
      <c r="I15" t="e">
        <f>Calculations_Prevalence!R16+Calculations_Prevalence!Z16</f>
        <v>#VALUE!</v>
      </c>
    </row>
    <row r="16" spans="1:11" x14ac:dyDescent="0.25">
      <c r="A16">
        <v>2016</v>
      </c>
      <c r="B16">
        <v>2854.6712802768166</v>
      </c>
      <c r="C16">
        <v>37404.580152671755</v>
      </c>
      <c r="D16">
        <v>8189.0923596085822</v>
      </c>
      <c r="E16">
        <v>624.98139733401422</v>
      </c>
      <c r="F16">
        <f>SUM(D16:E16)</f>
        <v>8814.0737569425964</v>
      </c>
      <c r="G16" s="87">
        <f>B16+C16</f>
        <v>40259.251432948571</v>
      </c>
      <c r="H16" s="87">
        <f>Calculations_Prevalence!Q17+Calculations_Prevalence!Y17</f>
        <v>32629.361578488606</v>
      </c>
      <c r="I16" s="87">
        <f>Calculations_Prevalence!R17+Calculations_Prevalence!Z17</f>
        <v>49794.896854116596</v>
      </c>
      <c r="J16" s="106">
        <f>G16-H16</f>
        <v>7629.8898544599651</v>
      </c>
      <c r="K16" s="106">
        <f>I16-G16</f>
        <v>9535.6454211680248</v>
      </c>
    </row>
    <row r="17" spans="1:11" x14ac:dyDescent="0.25">
      <c r="A17">
        <v>2017</v>
      </c>
      <c r="B17">
        <v>2388.3495145631068</v>
      </c>
      <c r="C17">
        <v>23782.229965156796</v>
      </c>
      <c r="D17">
        <v>5144.0167943877059</v>
      </c>
      <c r="E17">
        <v>516.59201142113545</v>
      </c>
      <c r="F17">
        <f>SUM(D17:E17)</f>
        <v>5660.6088058088417</v>
      </c>
      <c r="G17" s="87">
        <f>B17+C17</f>
        <v>26170.579479719901</v>
      </c>
      <c r="H17" s="87">
        <f>Calculations_Prevalence!Q18+Calculations_Prevalence!Y18</f>
        <v>20912.226695082489</v>
      </c>
      <c r="I17" s="87">
        <f>Calculations_Prevalence!R18+Calculations_Prevalence!Z18</f>
        <v>33247.978755793105</v>
      </c>
      <c r="J17" s="106">
        <f>G17-H17</f>
        <v>5258.3527846374127</v>
      </c>
      <c r="K17" s="106">
        <f>I17-G17</f>
        <v>7077.3992760732035</v>
      </c>
    </row>
    <row r="18" spans="1:11" x14ac:dyDescent="0.25">
      <c r="A18">
        <v>2018</v>
      </c>
      <c r="B18">
        <v>3153.1531531531532</v>
      </c>
      <c r="C18">
        <v>32897.338403041824</v>
      </c>
      <c r="D18">
        <v>7020.4202782876091</v>
      </c>
      <c r="E18">
        <v>672.89517667776079</v>
      </c>
      <c r="F18">
        <f>SUM(D18:E18)</f>
        <v>7693.31545496537</v>
      </c>
      <c r="G18" s="87">
        <f>B18+C18</f>
        <v>36050.491556194975</v>
      </c>
      <c r="H18" s="87">
        <f>Calculations_Prevalence!Q19+Calculations_Prevalence!Y19</f>
        <v>28882.523207618266</v>
      </c>
      <c r="I18" s="87">
        <f>Calculations_Prevalence!R19+Calculations_Prevalence!Z19</f>
        <v>45912.907203781724</v>
      </c>
      <c r="J18" s="106">
        <f>G18-H18</f>
        <v>7167.9683485767091</v>
      </c>
      <c r="K18" s="106">
        <f>I18-G18</f>
        <v>9862.4156475867494</v>
      </c>
    </row>
    <row r="19" spans="1:11" x14ac:dyDescent="0.25">
      <c r="A19">
        <v>2019</v>
      </c>
      <c r="B19">
        <v>2914.2857142857142</v>
      </c>
      <c r="C19">
        <v>31502.22882615156</v>
      </c>
      <c r="D19">
        <v>6653.9572035399842</v>
      </c>
      <c r="E19">
        <v>615.56064901818081</v>
      </c>
      <c r="F19">
        <f>SUM(D19:E19)</f>
        <v>7269.517852558165</v>
      </c>
      <c r="G19" s="87">
        <f>B19+C19</f>
        <v>34416.514540437274</v>
      </c>
      <c r="H19" s="87">
        <f>Calculations_Prevalence!Q20+Calculations_Prevalence!Y20</f>
        <v>26771.131394608365</v>
      </c>
      <c r="I19" s="87">
        <f>Calculations_Prevalence!R20+Calculations_Prevalence!Z20</f>
        <v>44086.563362343448</v>
      </c>
      <c r="J19" s="106">
        <f>G19-H19</f>
        <v>7645.3831458289096</v>
      </c>
      <c r="K19" s="106">
        <f>I19-G19</f>
        <v>9670.0488219061735</v>
      </c>
    </row>
    <row r="21" spans="1:11" x14ac:dyDescent="0.25">
      <c r="F21" t="s">
        <v>265</v>
      </c>
      <c r="G21" s="106">
        <f>AVERAGE(G16:G19)</f>
        <v>34224.209252325178</v>
      </c>
      <c r="H21" s="106">
        <f>AVERAGE(H16:H19)</f>
        <v>27298.810718949429</v>
      </c>
      <c r="I21" s="106">
        <f>AVERAGE(I16:I19)</f>
        <v>43260.586544008722</v>
      </c>
      <c r="J21" s="106">
        <f>G21-H21</f>
        <v>6925.3985333757482</v>
      </c>
      <c r="K21" s="106">
        <f>I21-G21</f>
        <v>9036.3772916835442</v>
      </c>
    </row>
    <row r="22" spans="1:11" x14ac:dyDescent="0.25">
      <c r="F22" t="s">
        <v>537</v>
      </c>
      <c r="G22">
        <v>4000</v>
      </c>
    </row>
    <row r="23" spans="1:11" x14ac:dyDescent="0.25">
      <c r="E23" s="111" t="s">
        <v>543</v>
      </c>
      <c r="F23" t="s">
        <v>538</v>
      </c>
      <c r="G23" s="108">
        <f>5/(G21)</f>
        <v>1.4609541342902764E-4</v>
      </c>
      <c r="H23" s="108">
        <f>5/(H21)</f>
        <v>1.8315816214401081E-4</v>
      </c>
      <c r="I23" s="108">
        <f>5/(I21)</f>
        <v>1.1557864558571187E-4</v>
      </c>
    </row>
    <row r="24" spans="1:11" x14ac:dyDescent="0.25">
      <c r="E24" s="111"/>
      <c r="F24" t="s">
        <v>539</v>
      </c>
      <c r="G24" s="108">
        <f>10/(G21)</f>
        <v>2.9219082685805528E-4</v>
      </c>
      <c r="H24" s="107">
        <f>10/(H21)</f>
        <v>3.6631632428802161E-4</v>
      </c>
      <c r="I24" s="107">
        <f>10/(I21)</f>
        <v>2.3115729117142373E-4</v>
      </c>
    </row>
    <row r="25" spans="1:11" x14ac:dyDescent="0.25">
      <c r="E25" s="111"/>
      <c r="F25" t="s">
        <v>540</v>
      </c>
      <c r="G25" s="108">
        <f>450/(G21)</f>
        <v>1.3148587208612488E-2</v>
      </c>
      <c r="H25" s="107">
        <f>450/(H21)</f>
        <v>1.6484234592960972E-2</v>
      </c>
      <c r="I25" s="107">
        <f>450/(I21)</f>
        <v>1.0402078102714069E-2</v>
      </c>
    </row>
    <row r="26" spans="1:11" x14ac:dyDescent="0.25">
      <c r="E26" s="111"/>
      <c r="F26" t="s">
        <v>542</v>
      </c>
      <c r="G26" s="108">
        <f>2/5</f>
        <v>0.4</v>
      </c>
      <c r="H26" s="108">
        <f>2/5</f>
        <v>0.4</v>
      </c>
      <c r="I26" s="108">
        <f>2/5</f>
        <v>0.4</v>
      </c>
    </row>
    <row r="27" spans="1:11" x14ac:dyDescent="0.25">
      <c r="E27" s="111"/>
      <c r="F27" t="s">
        <v>541</v>
      </c>
      <c r="G27" s="108">
        <f>1-SUM(G23:G26)</f>
        <v>0.58641312655110034</v>
      </c>
      <c r="H27" s="106">
        <f>1-SUM(H23:H26)</f>
        <v>0.58296629092060703</v>
      </c>
      <c r="I27" s="106">
        <f>1-SUM(I23:I26)</f>
        <v>0.58925118596052872</v>
      </c>
    </row>
    <row r="28" spans="1:11" x14ac:dyDescent="0.25">
      <c r="E28" s="111" t="s">
        <v>544</v>
      </c>
      <c r="F28" t="s">
        <v>538</v>
      </c>
      <c r="G28" s="107">
        <f>G23</f>
        <v>1.4609541342902764E-4</v>
      </c>
      <c r="H28" s="107">
        <f>H23</f>
        <v>1.8315816214401081E-4</v>
      </c>
      <c r="I28" s="107">
        <f>I23</f>
        <v>1.1557864558571187E-4</v>
      </c>
    </row>
    <row r="29" spans="1:11" x14ac:dyDescent="0.25">
      <c r="E29" s="111"/>
      <c r="F29" t="s">
        <v>539</v>
      </c>
      <c r="G29" s="107">
        <f>G28+G24</f>
        <v>4.3828624028708295E-4</v>
      </c>
      <c r="H29" s="107">
        <f t="shared" ref="H29:I32" si="0">H28+H24</f>
        <v>5.4947448643203245E-4</v>
      </c>
      <c r="I29" s="107">
        <f t="shared" si="0"/>
        <v>3.467359367571356E-4</v>
      </c>
    </row>
    <row r="30" spans="1:11" x14ac:dyDescent="0.25">
      <c r="E30" s="111"/>
      <c r="F30" t="s">
        <v>540</v>
      </c>
      <c r="G30" s="107">
        <f>G29+G25</f>
        <v>1.3586873448899571E-2</v>
      </c>
      <c r="H30" s="107">
        <f t="shared" si="0"/>
        <v>1.7033709079393004E-2</v>
      </c>
      <c r="I30" s="107">
        <f t="shared" si="0"/>
        <v>1.0748814039471205E-2</v>
      </c>
    </row>
    <row r="31" spans="1:11" x14ac:dyDescent="0.25">
      <c r="E31" s="111"/>
      <c r="F31" t="s">
        <v>542</v>
      </c>
      <c r="G31" s="107">
        <f>G30+G26</f>
        <v>0.41358687344889961</v>
      </c>
      <c r="H31" s="107">
        <f t="shared" si="0"/>
        <v>0.41703370907939302</v>
      </c>
      <c r="I31" s="107">
        <f>I30+I26</f>
        <v>0.41074881403947122</v>
      </c>
    </row>
    <row r="32" spans="1:11" x14ac:dyDescent="0.25">
      <c r="E32" s="111"/>
      <c r="F32" t="s">
        <v>541</v>
      </c>
      <c r="G32" s="107">
        <f>G31+G27</f>
        <v>1</v>
      </c>
      <c r="H32" s="107">
        <f t="shared" si="0"/>
        <v>1</v>
      </c>
      <c r="I32" s="107">
        <f t="shared" si="0"/>
        <v>1</v>
      </c>
    </row>
  </sheetData>
  <mergeCells count="2">
    <mergeCell ref="E23:E27"/>
    <mergeCell ref="E28:E32"/>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42BD2-AC1E-48AB-B9D6-2502D472CF07}">
  <dimension ref="A1:AB33"/>
  <sheetViews>
    <sheetView tabSelected="1" workbookViewId="0">
      <selection activeCell="L17" sqref="L17"/>
    </sheetView>
  </sheetViews>
  <sheetFormatPr defaultRowHeight="15" x14ac:dyDescent="0.25"/>
  <cols>
    <col min="1" max="1" width="5" bestFit="1" customWidth="1"/>
    <col min="12" max="12" width="22.7109375" bestFit="1" customWidth="1"/>
    <col min="13" max="13" width="13" bestFit="1" customWidth="1"/>
    <col min="27" max="27" width="8.85546875" customWidth="1"/>
  </cols>
  <sheetData>
    <row r="1" spans="1:28" x14ac:dyDescent="0.25">
      <c r="B1" s="112" t="s">
        <v>514</v>
      </c>
      <c r="C1" s="112"/>
      <c r="D1" s="112"/>
      <c r="E1" s="112"/>
      <c r="F1" s="112"/>
      <c r="G1" s="112"/>
      <c r="H1" s="112"/>
      <c r="I1" s="112"/>
      <c r="L1" s="112" t="s">
        <v>515</v>
      </c>
      <c r="M1" s="112"/>
      <c r="N1" s="112"/>
      <c r="O1" s="112"/>
      <c r="P1" s="112"/>
      <c r="Q1" s="112"/>
      <c r="R1" s="112"/>
      <c r="S1" s="112"/>
      <c r="U1" s="112" t="s">
        <v>516</v>
      </c>
      <c r="V1" s="112"/>
      <c r="W1" s="112"/>
      <c r="X1" s="112"/>
      <c r="Y1" s="112"/>
      <c r="Z1" s="112"/>
      <c r="AA1" s="112"/>
      <c r="AB1" s="112"/>
    </row>
    <row r="2" spans="1:28" s="20" customFormat="1" ht="150" x14ac:dyDescent="0.25">
      <c r="A2" s="20" t="s">
        <v>275</v>
      </c>
      <c r="C2" s="20" t="s">
        <v>461</v>
      </c>
      <c r="D2" s="20" t="s">
        <v>501</v>
      </c>
      <c r="E2" s="20" t="s">
        <v>502</v>
      </c>
      <c r="F2" s="20" t="s">
        <v>505</v>
      </c>
      <c r="G2" s="20" t="s">
        <v>506</v>
      </c>
      <c r="H2" s="20" t="s">
        <v>503</v>
      </c>
      <c r="I2" s="20" t="s">
        <v>504</v>
      </c>
      <c r="J2" s="20" t="s">
        <v>545</v>
      </c>
      <c r="K2" s="88" t="s">
        <v>398</v>
      </c>
      <c r="L2" s="20" t="s">
        <v>402</v>
      </c>
      <c r="M2" s="20" t="s">
        <v>418</v>
      </c>
      <c r="N2" s="20" t="s">
        <v>403</v>
      </c>
      <c r="O2" s="20" t="s">
        <v>404</v>
      </c>
      <c r="P2" s="20" t="s">
        <v>462</v>
      </c>
      <c r="Q2" s="20" t="s">
        <v>507</v>
      </c>
      <c r="R2" s="20" t="s">
        <v>508</v>
      </c>
      <c r="S2" s="20" t="s">
        <v>464</v>
      </c>
      <c r="U2" s="20" t="s">
        <v>419</v>
      </c>
      <c r="V2" s="20" t="s">
        <v>411</v>
      </c>
      <c r="W2" s="20" t="s">
        <v>412</v>
      </c>
      <c r="X2" s="20" t="s">
        <v>463</v>
      </c>
      <c r="Y2" s="20" t="s">
        <v>509</v>
      </c>
      <c r="Z2" s="20" t="s">
        <v>510</v>
      </c>
      <c r="AA2" s="20" t="s">
        <v>467</v>
      </c>
    </row>
    <row r="3" spans="1:28" x14ac:dyDescent="0.25">
      <c r="A3">
        <v>2002</v>
      </c>
      <c r="L3" s="59">
        <v>377135</v>
      </c>
      <c r="M3" s="64">
        <v>15</v>
      </c>
      <c r="N3" s="59" t="s">
        <v>401</v>
      </c>
      <c r="O3" t="e">
        <f t="shared" ref="O3:O20" si="0">N3/M3</f>
        <v>#VALUE!</v>
      </c>
      <c r="P3" t="e">
        <f t="shared" ref="P3:P20" si="1">$O3*D3</f>
        <v>#VALUE!</v>
      </c>
      <c r="Q3" t="e">
        <f t="shared" ref="Q3:Q20" si="2">$O3*E3</f>
        <v>#VALUE!</v>
      </c>
      <c r="R3" t="e">
        <f t="shared" ref="R3:R20" si="3">$O3*F3</f>
        <v>#VALUE!</v>
      </c>
      <c r="S3" t="e">
        <f>(P3/L3)*100000</f>
        <v>#VALUE!</v>
      </c>
      <c r="U3" s="64">
        <v>98</v>
      </c>
      <c r="V3" s="63">
        <v>12</v>
      </c>
      <c r="W3">
        <f t="shared" ref="W3:W20" si="4">V3/U3</f>
        <v>0.12244897959183673</v>
      </c>
      <c r="X3">
        <f t="shared" ref="X3:X20" si="5">$W3*G3</f>
        <v>0</v>
      </c>
      <c r="Y3">
        <f t="shared" ref="Y3:Y20" si="6">$W3*H3</f>
        <v>0</v>
      </c>
      <c r="Z3">
        <f t="shared" ref="Z3:Z20" si="7">$W3*I3</f>
        <v>0</v>
      </c>
      <c r="AA3">
        <f t="shared" ref="AA3:AA20" si="8">(X3/L3)*100000</f>
        <v>0</v>
      </c>
    </row>
    <row r="4" spans="1:28" x14ac:dyDescent="0.25">
      <c r="A4">
        <v>2003</v>
      </c>
      <c r="L4" s="60">
        <v>382859</v>
      </c>
      <c r="M4" s="64">
        <v>13</v>
      </c>
      <c r="N4" s="60" t="s">
        <v>401</v>
      </c>
      <c r="O4" t="e">
        <f t="shared" si="0"/>
        <v>#VALUE!</v>
      </c>
      <c r="P4" t="e">
        <f t="shared" si="1"/>
        <v>#VALUE!</v>
      </c>
      <c r="Q4" t="e">
        <f t="shared" si="2"/>
        <v>#VALUE!</v>
      </c>
      <c r="R4" t="e">
        <f t="shared" si="3"/>
        <v>#VALUE!</v>
      </c>
      <c r="S4" t="e">
        <f t="shared" ref="S4:S20" si="9">P4/L4*100000</f>
        <v>#VALUE!</v>
      </c>
      <c r="U4" s="64">
        <v>77</v>
      </c>
      <c r="V4" s="63">
        <v>0</v>
      </c>
      <c r="W4">
        <f t="shared" si="4"/>
        <v>0</v>
      </c>
      <c r="X4">
        <f t="shared" si="5"/>
        <v>0</v>
      </c>
      <c r="Y4">
        <f t="shared" si="6"/>
        <v>0</v>
      </c>
      <c r="Z4">
        <f t="shared" si="7"/>
        <v>0</v>
      </c>
      <c r="AA4">
        <f t="shared" si="8"/>
        <v>0</v>
      </c>
    </row>
    <row r="5" spans="1:28" x14ac:dyDescent="0.25">
      <c r="A5">
        <v>2004</v>
      </c>
      <c r="L5" s="59">
        <v>387894</v>
      </c>
      <c r="M5" s="64">
        <v>10</v>
      </c>
      <c r="N5" s="59" t="s">
        <v>401</v>
      </c>
      <c r="O5" t="e">
        <f t="shared" si="0"/>
        <v>#VALUE!</v>
      </c>
      <c r="P5" t="e">
        <f t="shared" si="1"/>
        <v>#VALUE!</v>
      </c>
      <c r="Q5" t="e">
        <f t="shared" si="2"/>
        <v>#VALUE!</v>
      </c>
      <c r="R5" t="e">
        <f t="shared" si="3"/>
        <v>#VALUE!</v>
      </c>
      <c r="S5" t="e">
        <f t="shared" si="9"/>
        <v>#VALUE!</v>
      </c>
      <c r="U5" s="64">
        <v>122</v>
      </c>
      <c r="V5" s="63">
        <v>26</v>
      </c>
      <c r="W5">
        <f t="shared" si="4"/>
        <v>0.21311475409836064</v>
      </c>
      <c r="X5">
        <f t="shared" si="5"/>
        <v>0</v>
      </c>
      <c r="Y5">
        <f t="shared" si="6"/>
        <v>0</v>
      </c>
      <c r="Z5">
        <f t="shared" si="7"/>
        <v>0</v>
      </c>
      <c r="AA5">
        <f t="shared" si="8"/>
        <v>0</v>
      </c>
    </row>
    <row r="6" spans="1:28" x14ac:dyDescent="0.25">
      <c r="A6">
        <v>2005</v>
      </c>
      <c r="L6" s="60">
        <v>392890</v>
      </c>
      <c r="M6" s="64">
        <v>24</v>
      </c>
      <c r="N6" s="60">
        <v>5</v>
      </c>
      <c r="O6">
        <f t="shared" si="0"/>
        <v>0.20833333333333334</v>
      </c>
      <c r="P6">
        <f t="shared" si="1"/>
        <v>0</v>
      </c>
      <c r="Q6">
        <f t="shared" si="2"/>
        <v>0</v>
      </c>
      <c r="R6">
        <f t="shared" si="3"/>
        <v>0</v>
      </c>
      <c r="S6">
        <f t="shared" si="9"/>
        <v>0</v>
      </c>
      <c r="U6" s="64">
        <v>116</v>
      </c>
      <c r="V6" s="63">
        <v>15</v>
      </c>
      <c r="W6">
        <f t="shared" si="4"/>
        <v>0.12931034482758622</v>
      </c>
      <c r="X6">
        <f t="shared" si="5"/>
        <v>0</v>
      </c>
      <c r="Y6">
        <f t="shared" si="6"/>
        <v>0</v>
      </c>
      <c r="Z6">
        <f t="shared" si="7"/>
        <v>0</v>
      </c>
      <c r="AA6">
        <f t="shared" si="8"/>
        <v>0</v>
      </c>
    </row>
    <row r="7" spans="1:28" x14ac:dyDescent="0.25">
      <c r="A7">
        <v>2006</v>
      </c>
      <c r="L7" s="59">
        <v>398205</v>
      </c>
      <c r="M7" s="64">
        <v>13</v>
      </c>
      <c r="N7" s="59" t="s">
        <v>401</v>
      </c>
      <c r="O7" t="e">
        <f t="shared" si="0"/>
        <v>#VALUE!</v>
      </c>
      <c r="P7" t="e">
        <f t="shared" si="1"/>
        <v>#VALUE!</v>
      </c>
      <c r="Q7" t="e">
        <f t="shared" si="2"/>
        <v>#VALUE!</v>
      </c>
      <c r="R7" t="e">
        <f t="shared" si="3"/>
        <v>#VALUE!</v>
      </c>
      <c r="S7" t="e">
        <f t="shared" si="9"/>
        <v>#VALUE!</v>
      </c>
      <c r="U7" s="64">
        <v>162</v>
      </c>
      <c r="V7" s="63">
        <v>17</v>
      </c>
      <c r="W7">
        <f t="shared" si="4"/>
        <v>0.10493827160493827</v>
      </c>
      <c r="X7">
        <f t="shared" si="5"/>
        <v>0</v>
      </c>
      <c r="Y7">
        <f t="shared" si="6"/>
        <v>0</v>
      </c>
      <c r="Z7">
        <f t="shared" si="7"/>
        <v>0</v>
      </c>
      <c r="AA7">
        <f t="shared" si="8"/>
        <v>0</v>
      </c>
    </row>
    <row r="8" spans="1:28" x14ac:dyDescent="0.25">
      <c r="A8">
        <v>2007</v>
      </c>
      <c r="L8" s="60">
        <v>403235</v>
      </c>
      <c r="M8" s="64">
        <v>25</v>
      </c>
      <c r="N8" s="60">
        <v>7</v>
      </c>
      <c r="O8">
        <f t="shared" si="0"/>
        <v>0.28000000000000003</v>
      </c>
      <c r="P8">
        <f t="shared" si="1"/>
        <v>0</v>
      </c>
      <c r="Q8">
        <f t="shared" si="2"/>
        <v>0</v>
      </c>
      <c r="R8">
        <f t="shared" si="3"/>
        <v>0</v>
      </c>
      <c r="S8">
        <f t="shared" si="9"/>
        <v>0</v>
      </c>
      <c r="U8" s="64">
        <v>199</v>
      </c>
      <c r="V8" s="63">
        <v>33</v>
      </c>
      <c r="W8">
        <f t="shared" si="4"/>
        <v>0.16582914572864321</v>
      </c>
      <c r="X8">
        <f t="shared" si="5"/>
        <v>0</v>
      </c>
      <c r="Y8">
        <f t="shared" si="6"/>
        <v>0</v>
      </c>
      <c r="Z8">
        <f t="shared" si="7"/>
        <v>0</v>
      </c>
      <c r="AA8">
        <f t="shared" si="8"/>
        <v>0</v>
      </c>
    </row>
    <row r="9" spans="1:28" x14ac:dyDescent="0.25">
      <c r="A9">
        <v>2008</v>
      </c>
      <c r="L9" s="59">
        <v>408178</v>
      </c>
      <c r="M9" s="64">
        <v>44</v>
      </c>
      <c r="N9" s="59">
        <v>10</v>
      </c>
      <c r="O9">
        <f t="shared" si="0"/>
        <v>0.22727272727272727</v>
      </c>
      <c r="P9">
        <f t="shared" si="1"/>
        <v>0</v>
      </c>
      <c r="Q9">
        <f t="shared" si="2"/>
        <v>0</v>
      </c>
      <c r="R9">
        <f t="shared" si="3"/>
        <v>0</v>
      </c>
      <c r="S9">
        <f t="shared" si="9"/>
        <v>0</v>
      </c>
      <c r="U9" s="64">
        <v>158</v>
      </c>
      <c r="V9" s="63">
        <v>19</v>
      </c>
      <c r="W9">
        <f t="shared" si="4"/>
        <v>0.12025316455696203</v>
      </c>
      <c r="X9">
        <f t="shared" si="5"/>
        <v>0</v>
      </c>
      <c r="Y9">
        <f t="shared" si="6"/>
        <v>0</v>
      </c>
      <c r="Z9">
        <f t="shared" si="7"/>
        <v>0</v>
      </c>
      <c r="AA9">
        <f t="shared" si="8"/>
        <v>0</v>
      </c>
    </row>
    <row r="10" spans="1:28" x14ac:dyDescent="0.25">
      <c r="A10">
        <v>2009</v>
      </c>
      <c r="L10" s="60">
        <v>413862</v>
      </c>
      <c r="M10" s="64">
        <v>45</v>
      </c>
      <c r="N10" s="60">
        <v>9</v>
      </c>
      <c r="O10">
        <f t="shared" si="0"/>
        <v>0.2</v>
      </c>
      <c r="P10">
        <f t="shared" si="1"/>
        <v>0</v>
      </c>
      <c r="Q10">
        <f t="shared" si="2"/>
        <v>0</v>
      </c>
      <c r="R10">
        <f t="shared" si="3"/>
        <v>0</v>
      </c>
      <c r="S10">
        <f t="shared" si="9"/>
        <v>0</v>
      </c>
      <c r="U10" s="64">
        <v>175</v>
      </c>
      <c r="V10" s="63">
        <v>25</v>
      </c>
      <c r="W10">
        <f t="shared" si="4"/>
        <v>0.14285714285714285</v>
      </c>
      <c r="X10">
        <f t="shared" si="5"/>
        <v>0</v>
      </c>
      <c r="Y10">
        <f t="shared" si="6"/>
        <v>0</v>
      </c>
      <c r="Z10">
        <f t="shared" si="7"/>
        <v>0</v>
      </c>
      <c r="AA10">
        <f t="shared" si="8"/>
        <v>0</v>
      </c>
    </row>
    <row r="11" spans="1:28" x14ac:dyDescent="0.25">
      <c r="A11">
        <v>2010</v>
      </c>
      <c r="L11" s="59">
        <v>416283</v>
      </c>
      <c r="M11" s="64">
        <v>60</v>
      </c>
      <c r="N11" s="59">
        <v>15</v>
      </c>
      <c r="O11">
        <f t="shared" si="0"/>
        <v>0.25</v>
      </c>
      <c r="P11">
        <f t="shared" si="1"/>
        <v>0</v>
      </c>
      <c r="Q11">
        <f t="shared" si="2"/>
        <v>0</v>
      </c>
      <c r="R11">
        <f t="shared" si="3"/>
        <v>0</v>
      </c>
      <c r="S11">
        <f t="shared" si="9"/>
        <v>0</v>
      </c>
      <c r="U11" s="64">
        <v>177</v>
      </c>
      <c r="V11" s="63">
        <v>29</v>
      </c>
      <c r="W11">
        <f t="shared" si="4"/>
        <v>0.16384180790960451</v>
      </c>
      <c r="X11">
        <f t="shared" si="5"/>
        <v>0</v>
      </c>
      <c r="Y11">
        <f t="shared" si="6"/>
        <v>0</v>
      </c>
      <c r="Z11">
        <f t="shared" si="7"/>
        <v>0</v>
      </c>
      <c r="AA11">
        <f t="shared" si="8"/>
        <v>0</v>
      </c>
    </row>
    <row r="12" spans="1:28" x14ac:dyDescent="0.25">
      <c r="A12">
        <v>2011</v>
      </c>
      <c r="L12" s="60">
        <v>424073</v>
      </c>
      <c r="M12" s="64">
        <v>71</v>
      </c>
      <c r="N12" s="60">
        <v>17</v>
      </c>
      <c r="O12">
        <f t="shared" si="0"/>
        <v>0.23943661971830985</v>
      </c>
      <c r="P12">
        <f t="shared" si="1"/>
        <v>0</v>
      </c>
      <c r="Q12">
        <f t="shared" si="2"/>
        <v>0</v>
      </c>
      <c r="R12">
        <f t="shared" si="3"/>
        <v>0</v>
      </c>
      <c r="S12">
        <f t="shared" si="9"/>
        <v>0</v>
      </c>
      <c r="U12" s="64">
        <v>199</v>
      </c>
      <c r="V12" s="63">
        <v>49</v>
      </c>
      <c r="W12">
        <f t="shared" si="4"/>
        <v>0.24623115577889448</v>
      </c>
      <c r="X12">
        <f t="shared" si="5"/>
        <v>0</v>
      </c>
      <c r="Y12">
        <f t="shared" si="6"/>
        <v>0</v>
      </c>
      <c r="Z12">
        <f t="shared" si="7"/>
        <v>0</v>
      </c>
      <c r="AA12">
        <f t="shared" si="8"/>
        <v>0</v>
      </c>
    </row>
    <row r="13" spans="1:28" x14ac:dyDescent="0.25">
      <c r="A13">
        <v>2012</v>
      </c>
      <c r="L13" s="59">
        <v>430893</v>
      </c>
      <c r="M13" s="64">
        <v>125</v>
      </c>
      <c r="N13" s="59">
        <v>22</v>
      </c>
      <c r="O13">
        <f t="shared" si="0"/>
        <v>0.17599999999999999</v>
      </c>
      <c r="P13">
        <f t="shared" si="1"/>
        <v>0</v>
      </c>
      <c r="Q13">
        <f t="shared" si="2"/>
        <v>0</v>
      </c>
      <c r="R13">
        <f t="shared" si="3"/>
        <v>0</v>
      </c>
      <c r="S13">
        <f t="shared" si="9"/>
        <v>0</v>
      </c>
      <c r="U13" s="64">
        <v>185</v>
      </c>
      <c r="V13" s="63">
        <v>38</v>
      </c>
      <c r="W13">
        <f t="shared" si="4"/>
        <v>0.20540540540540542</v>
      </c>
      <c r="X13">
        <f t="shared" si="5"/>
        <v>0</v>
      </c>
      <c r="Y13">
        <f t="shared" si="6"/>
        <v>0</v>
      </c>
      <c r="Z13">
        <f t="shared" si="7"/>
        <v>0</v>
      </c>
      <c r="AA13">
        <f t="shared" si="8"/>
        <v>0</v>
      </c>
    </row>
    <row r="14" spans="1:28" x14ac:dyDescent="0.25">
      <c r="A14">
        <v>2013</v>
      </c>
      <c r="L14" s="60">
        <v>436716</v>
      </c>
      <c r="M14" s="64">
        <v>159</v>
      </c>
      <c r="N14" s="60">
        <v>38</v>
      </c>
      <c r="O14">
        <f t="shared" si="0"/>
        <v>0.2389937106918239</v>
      </c>
      <c r="P14">
        <f t="shared" si="1"/>
        <v>0</v>
      </c>
      <c r="Q14">
        <f t="shared" si="2"/>
        <v>0</v>
      </c>
      <c r="R14">
        <f t="shared" si="3"/>
        <v>0</v>
      </c>
      <c r="S14">
        <f t="shared" si="9"/>
        <v>0</v>
      </c>
      <c r="U14" s="64">
        <v>244</v>
      </c>
      <c r="V14" s="63">
        <v>45</v>
      </c>
      <c r="W14">
        <f t="shared" si="4"/>
        <v>0.18442622950819673</v>
      </c>
      <c r="X14">
        <f t="shared" si="5"/>
        <v>0</v>
      </c>
      <c r="Y14">
        <f t="shared" si="6"/>
        <v>0</v>
      </c>
      <c r="Z14">
        <f t="shared" si="7"/>
        <v>0</v>
      </c>
      <c r="AA14">
        <f t="shared" si="8"/>
        <v>0</v>
      </c>
    </row>
    <row r="15" spans="1:28" x14ac:dyDescent="0.25">
      <c r="A15">
        <v>2014</v>
      </c>
      <c r="G15" s="6">
        <f>'Est Pain Reliever Use'!C17*1000</f>
        <v>190000</v>
      </c>
      <c r="H15" s="6">
        <f>'Est Pain Reliever Use'!$D$17*1000</f>
        <v>154000</v>
      </c>
      <c r="I15" s="6">
        <f>'Est Pain Reliever Use'!$E$17*1000</f>
        <v>233000</v>
      </c>
      <c r="J15" s="6"/>
      <c r="K15" s="6"/>
      <c r="L15" s="59">
        <v>442815</v>
      </c>
      <c r="M15" s="64">
        <v>206</v>
      </c>
      <c r="N15" s="59">
        <v>28</v>
      </c>
      <c r="O15">
        <f t="shared" si="0"/>
        <v>0.13592233009708737</v>
      </c>
      <c r="P15">
        <f t="shared" si="1"/>
        <v>0</v>
      </c>
      <c r="Q15">
        <f t="shared" si="2"/>
        <v>0</v>
      </c>
      <c r="R15">
        <f t="shared" si="3"/>
        <v>0</v>
      </c>
      <c r="S15">
        <f t="shared" si="9"/>
        <v>0</v>
      </c>
      <c r="U15" s="64">
        <v>237</v>
      </c>
      <c r="V15" s="63">
        <v>31</v>
      </c>
      <c r="W15">
        <f t="shared" si="4"/>
        <v>0.13080168776371309</v>
      </c>
      <c r="X15">
        <f t="shared" si="5"/>
        <v>24852.320675105486</v>
      </c>
      <c r="Y15">
        <f>$W15*H15</f>
        <v>20143.459915611817</v>
      </c>
      <c r="Z15">
        <f>$W15*I15</f>
        <v>30476.793248945152</v>
      </c>
      <c r="AA15">
        <f t="shared" si="8"/>
        <v>5612.348424309359</v>
      </c>
    </row>
    <row r="16" spans="1:28" x14ac:dyDescent="0.25">
      <c r="A16">
        <v>2015</v>
      </c>
      <c r="D16">
        <f>'Est Heroin Use'!C16*1000</f>
        <v>15000</v>
      </c>
      <c r="E16">
        <f>'Est Heroin Use'!D16*1000</f>
        <v>8000</v>
      </c>
      <c r="F16">
        <f>'Est Heroin Use'!$E$16*1000</f>
        <v>30000</v>
      </c>
      <c r="G16" s="6">
        <f>'Est Pain Reliever Use'!C18*1000</f>
        <v>0</v>
      </c>
      <c r="H16" t="s">
        <v>311</v>
      </c>
      <c r="I16" t="s">
        <v>311</v>
      </c>
      <c r="L16" s="60">
        <v>449432</v>
      </c>
      <c r="M16" s="64">
        <v>199</v>
      </c>
      <c r="N16" s="60">
        <v>28</v>
      </c>
      <c r="O16">
        <f t="shared" si="0"/>
        <v>0.1407035175879397</v>
      </c>
      <c r="P16">
        <f t="shared" si="1"/>
        <v>2110.5527638190956</v>
      </c>
      <c r="Q16">
        <f t="shared" si="2"/>
        <v>1125.6281407035176</v>
      </c>
      <c r="R16">
        <f t="shared" si="3"/>
        <v>4221.1055276381912</v>
      </c>
      <c r="S16">
        <f t="shared" si="9"/>
        <v>469.60447049144159</v>
      </c>
      <c r="U16" s="64">
        <v>251</v>
      </c>
      <c r="V16" s="63">
        <v>47</v>
      </c>
      <c r="W16">
        <f t="shared" si="4"/>
        <v>0.18725099601593626</v>
      </c>
      <c r="X16">
        <f t="shared" si="5"/>
        <v>0</v>
      </c>
      <c r="Y16" t="e">
        <f t="shared" si="6"/>
        <v>#VALUE!</v>
      </c>
      <c r="Z16" t="e">
        <f t="shared" si="7"/>
        <v>#VALUE!</v>
      </c>
      <c r="AA16">
        <f t="shared" si="8"/>
        <v>0</v>
      </c>
    </row>
    <row r="17" spans="1:27" x14ac:dyDescent="0.25">
      <c r="A17">
        <v>2016</v>
      </c>
      <c r="D17">
        <f>'Est Heroin Use'!C17*1000</f>
        <v>15000</v>
      </c>
      <c r="E17">
        <f>'Est Heroin Use'!D17*1000</f>
        <v>8000</v>
      </c>
      <c r="F17">
        <f>'Est Heroin Use'!$E$17*1000</f>
        <v>27000</v>
      </c>
      <c r="G17" s="6">
        <f>'Est Pain Reliever Use'!C19*1000</f>
        <v>196000</v>
      </c>
      <c r="H17" s="6">
        <f>'Est Pain Reliever Use'!$D$19*1000</f>
        <v>163000</v>
      </c>
      <c r="I17" s="6">
        <f>'Est Pain Reliever Use'!$E$19*1000</f>
        <v>234000</v>
      </c>
      <c r="L17" s="59">
        <v>456761</v>
      </c>
      <c r="M17" s="64">
        <v>289</v>
      </c>
      <c r="N17" s="59">
        <v>55</v>
      </c>
      <c r="O17">
        <f t="shared" si="0"/>
        <v>0.19031141868512111</v>
      </c>
      <c r="P17">
        <f t="shared" si="1"/>
        <v>2854.6712802768166</v>
      </c>
      <c r="Q17">
        <f t="shared" si="2"/>
        <v>1522.4913494809689</v>
      </c>
      <c r="R17">
        <f t="shared" si="3"/>
        <v>5138.4083044982699</v>
      </c>
      <c r="S17">
        <f t="shared" si="9"/>
        <v>624.98139733401422</v>
      </c>
      <c r="U17" s="64">
        <v>393</v>
      </c>
      <c r="V17" s="63">
        <v>75</v>
      </c>
      <c r="W17">
        <f t="shared" si="4"/>
        <v>0.19083969465648856</v>
      </c>
      <c r="X17">
        <f t="shared" si="5"/>
        <v>37404.580152671755</v>
      </c>
      <c r="Y17">
        <f t="shared" si="6"/>
        <v>31106.870229007636</v>
      </c>
      <c r="Z17">
        <f t="shared" si="7"/>
        <v>44656.488549618327</v>
      </c>
      <c r="AA17">
        <f t="shared" si="8"/>
        <v>8189.0923596085822</v>
      </c>
    </row>
    <row r="18" spans="1:27" x14ac:dyDescent="0.25">
      <c r="A18">
        <v>2017</v>
      </c>
      <c r="D18">
        <f>'Est Heroin Use'!C18*1000</f>
        <v>18000</v>
      </c>
      <c r="E18">
        <f>'Est Heroin Use'!D18*1000</f>
        <v>10000</v>
      </c>
      <c r="F18">
        <f>'Est Heroin Use'!$E$18*1000</f>
        <v>33000</v>
      </c>
      <c r="G18" s="6">
        <f>'Est Pain Reliever Use'!C20*1000</f>
        <v>187000</v>
      </c>
      <c r="H18" s="6">
        <f>'Est Pain Reliever Use'!$D$20*1000</f>
        <v>154000</v>
      </c>
      <c r="I18" s="6">
        <f>'Est Pain Reliever Use'!$E$20*1000</f>
        <v>227000</v>
      </c>
      <c r="J18" s="6">
        <f>G18+D18</f>
        <v>205000</v>
      </c>
      <c r="L18" s="60">
        <v>462328</v>
      </c>
      <c r="M18" s="64">
        <v>309</v>
      </c>
      <c r="N18" s="60">
        <v>41</v>
      </c>
      <c r="O18">
        <f t="shared" si="0"/>
        <v>0.13268608414239483</v>
      </c>
      <c r="P18">
        <f t="shared" si="1"/>
        <v>2388.3495145631068</v>
      </c>
      <c r="Q18">
        <f t="shared" si="2"/>
        <v>1326.8608414239484</v>
      </c>
      <c r="R18">
        <f t="shared" si="3"/>
        <v>4378.6407766990296</v>
      </c>
      <c r="S18">
        <f t="shared" si="9"/>
        <v>516.59201142113545</v>
      </c>
      <c r="U18" s="64">
        <v>574</v>
      </c>
      <c r="V18" s="63">
        <v>73</v>
      </c>
      <c r="W18">
        <f t="shared" si="4"/>
        <v>0.12717770034843207</v>
      </c>
      <c r="X18">
        <f t="shared" si="5"/>
        <v>23782.229965156796</v>
      </c>
      <c r="Y18">
        <f t="shared" si="6"/>
        <v>19585.365853658539</v>
      </c>
      <c r="Z18">
        <f t="shared" si="7"/>
        <v>28869.337979094078</v>
      </c>
      <c r="AA18">
        <f t="shared" si="8"/>
        <v>5144.0167943877059</v>
      </c>
    </row>
    <row r="19" spans="1:27" x14ac:dyDescent="0.25">
      <c r="A19">
        <v>2018</v>
      </c>
      <c r="D19">
        <f>'Est Heroin Use'!C19*1000</f>
        <v>20000</v>
      </c>
      <c r="E19">
        <f>'Est Heroin Use'!D19*1000</f>
        <v>11000</v>
      </c>
      <c r="F19">
        <f>'Est Heroin Use'!$E$19*1000</f>
        <v>39000</v>
      </c>
      <c r="G19" s="6">
        <f>'Est Pain Reliever Use'!C21*1000</f>
        <v>206000</v>
      </c>
      <c r="H19" s="6">
        <f>'Est Pain Reliever Use'!$D$21*1000</f>
        <v>170000</v>
      </c>
      <c r="I19" s="6">
        <f>'Est Pain Reliever Use'!$E$21*1000</f>
        <v>249000</v>
      </c>
      <c r="L19" s="59">
        <v>468595</v>
      </c>
      <c r="M19" s="64">
        <v>222</v>
      </c>
      <c r="N19" s="59">
        <v>35</v>
      </c>
      <c r="O19">
        <f t="shared" si="0"/>
        <v>0.15765765765765766</v>
      </c>
      <c r="P19">
        <f t="shared" si="1"/>
        <v>3153.1531531531532</v>
      </c>
      <c r="Q19">
        <f t="shared" si="2"/>
        <v>1734.2342342342342</v>
      </c>
      <c r="R19">
        <f t="shared" si="3"/>
        <v>6148.6486486486483</v>
      </c>
      <c r="S19">
        <f t="shared" si="9"/>
        <v>672.89517667776079</v>
      </c>
      <c r="U19" s="64">
        <v>526</v>
      </c>
      <c r="V19" s="63">
        <v>84</v>
      </c>
      <c r="W19">
        <f t="shared" si="4"/>
        <v>0.1596958174904943</v>
      </c>
      <c r="X19">
        <f t="shared" si="5"/>
        <v>32897.338403041824</v>
      </c>
      <c r="Y19">
        <f t="shared" si="6"/>
        <v>27148.288973384031</v>
      </c>
      <c r="Z19">
        <f t="shared" si="7"/>
        <v>39764.258555133078</v>
      </c>
      <c r="AA19">
        <f t="shared" si="8"/>
        <v>7020.4202782876091</v>
      </c>
    </row>
    <row r="20" spans="1:27" x14ac:dyDescent="0.25">
      <c r="A20">
        <v>2019</v>
      </c>
      <c r="D20">
        <f>'Est Heroin Use'!C20*1000</f>
        <v>17000</v>
      </c>
      <c r="E20">
        <f>'Est Heroin Use'!D20*1000</f>
        <v>8000</v>
      </c>
      <c r="F20">
        <f>'Est Heroin Use'!$E$20*1000</f>
        <v>33000</v>
      </c>
      <c r="G20" s="6">
        <f>'Est Pain Reliever Use'!C22*1000</f>
        <v>191000</v>
      </c>
      <c r="H20" s="6">
        <f>'Est Pain Reliever Use'!$D$22*1000</f>
        <v>154000</v>
      </c>
      <c r="I20" s="6">
        <f>'Est Pain Reliever Use'!$E$17*1000</f>
        <v>233000</v>
      </c>
      <c r="L20" s="60">
        <v>473436</v>
      </c>
      <c r="M20" s="64">
        <v>210</v>
      </c>
      <c r="N20" s="60">
        <v>36</v>
      </c>
      <c r="O20">
        <f t="shared" si="0"/>
        <v>0.17142857142857143</v>
      </c>
      <c r="P20">
        <f t="shared" si="1"/>
        <v>2914.2857142857142</v>
      </c>
      <c r="Q20">
        <f t="shared" si="2"/>
        <v>1371.4285714285713</v>
      </c>
      <c r="R20">
        <f t="shared" si="3"/>
        <v>5657.1428571428569</v>
      </c>
      <c r="S20">
        <f t="shared" si="9"/>
        <v>615.56064901818081</v>
      </c>
      <c r="U20" s="64">
        <v>673</v>
      </c>
      <c r="V20" s="60">
        <v>111</v>
      </c>
      <c r="W20">
        <f t="shared" si="4"/>
        <v>0.16493313521545319</v>
      </c>
      <c r="X20">
        <f t="shared" si="5"/>
        <v>31502.22882615156</v>
      </c>
      <c r="Y20">
        <f t="shared" si="6"/>
        <v>25399.702823179792</v>
      </c>
      <c r="Z20">
        <f t="shared" si="7"/>
        <v>38429.420505200593</v>
      </c>
      <c r="AA20">
        <f t="shared" si="8"/>
        <v>6653.9572035399842</v>
      </c>
    </row>
    <row r="22" spans="1:27" x14ac:dyDescent="0.25">
      <c r="A22" t="s">
        <v>513</v>
      </c>
      <c r="M22">
        <f>SUM(N3:N20,V3:V20)/(SUM(M3:M20,U3:U20))</f>
        <v>0.1627554882664648</v>
      </c>
      <c r="N22">
        <f>(N18+V18)/(M18+U18)</f>
        <v>0.12910532276330691</v>
      </c>
    </row>
    <row r="23" spans="1:27" ht="15.75" x14ac:dyDescent="0.25">
      <c r="A23" s="58" t="s">
        <v>417</v>
      </c>
    </row>
    <row r="32" spans="1:27" ht="23.25" x14ac:dyDescent="0.35">
      <c r="L32" s="110">
        <f>5.896*1000000</f>
        <v>5896000</v>
      </c>
      <c r="M32" s="109">
        <v>563951</v>
      </c>
    </row>
    <row r="33" spans="13:13" x14ac:dyDescent="0.25">
      <c r="M33" s="106">
        <f>M32/L32</f>
        <v>9.564976255088195E-2</v>
      </c>
    </row>
  </sheetData>
  <mergeCells count="3">
    <mergeCell ref="B1:I1"/>
    <mergeCell ref="L1:S1"/>
    <mergeCell ref="U1:AB1"/>
  </mergeCells>
  <hyperlinks>
    <hyperlink ref="A23" r:id="rId1" xr:uid="{C94F624F-72DD-4170-B9D3-E3E5139C7F6B}"/>
  </hyperlinks>
  <pageMargins left="0.7" right="0.7" top="0.75" bottom="0.75" header="0.3" footer="0.3"/>
  <pageSetup orientation="portrait" horizontalDpi="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0B77-BFED-45EE-B398-DC090C32E8C5}">
  <dimension ref="A2:F11"/>
  <sheetViews>
    <sheetView workbookViewId="0">
      <selection activeCell="A7" sqref="A7"/>
    </sheetView>
  </sheetViews>
  <sheetFormatPr defaultRowHeight="15" x14ac:dyDescent="0.25"/>
  <cols>
    <col min="1" max="1" width="41.42578125" customWidth="1"/>
    <col min="3" max="3" width="40.85546875" customWidth="1"/>
    <col min="4" max="4" width="61.5703125" customWidth="1"/>
    <col min="6" max="6" width="65.140625" customWidth="1"/>
  </cols>
  <sheetData>
    <row r="2" spans="1:6" x14ac:dyDescent="0.25">
      <c r="A2" t="s">
        <v>60</v>
      </c>
      <c r="B2" t="s">
        <v>61</v>
      </c>
    </row>
    <row r="3" spans="1:6" ht="15.75" x14ac:dyDescent="0.25">
      <c r="A3" t="s">
        <v>58</v>
      </c>
      <c r="B3" s="58" t="s">
        <v>59</v>
      </c>
    </row>
    <row r="6" spans="1:6" x14ac:dyDescent="0.25">
      <c r="A6" s="18" t="s">
        <v>82</v>
      </c>
      <c r="C6" t="s">
        <v>86</v>
      </c>
      <c r="D6" s="29" t="s">
        <v>246</v>
      </c>
      <c r="F6" t="s">
        <v>256</v>
      </c>
    </row>
    <row r="7" spans="1:6" ht="168" x14ac:dyDescent="0.25">
      <c r="A7" s="19" t="s">
        <v>83</v>
      </c>
      <c r="C7" s="21" t="s">
        <v>87</v>
      </c>
      <c r="D7" s="19" t="s">
        <v>244</v>
      </c>
      <c r="F7" s="20" t="s">
        <v>255</v>
      </c>
    </row>
    <row r="9" spans="1:6" ht="241.5" x14ac:dyDescent="0.25">
      <c r="A9" s="19" t="s">
        <v>84</v>
      </c>
      <c r="D9" s="19" t="s">
        <v>245</v>
      </c>
    </row>
    <row r="11" spans="1:6" ht="21" x14ac:dyDescent="0.25">
      <c r="A11" s="19" t="s">
        <v>85</v>
      </c>
    </row>
  </sheetData>
  <hyperlinks>
    <hyperlink ref="B3" r:id="rId1" xr:uid="{65AEF6FE-2759-45E7-84F2-E4AFEC6D9A1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3C93-DBAB-4D39-8F74-975DE83D0D7A}">
  <dimension ref="A27:K62"/>
  <sheetViews>
    <sheetView workbookViewId="0">
      <selection activeCell="A35" sqref="A35:K35"/>
    </sheetView>
  </sheetViews>
  <sheetFormatPr defaultRowHeight="15" x14ac:dyDescent="0.25"/>
  <sheetData>
    <row r="27" ht="47.1" customHeight="1" x14ac:dyDescent="0.25"/>
    <row r="35" spans="1:11" ht="15.75" thickBot="1" x14ac:dyDescent="0.3">
      <c r="A35" s="116" t="s">
        <v>517</v>
      </c>
      <c r="B35" s="117"/>
      <c r="C35" s="117"/>
      <c r="D35" s="117"/>
      <c r="E35" s="117"/>
      <c r="F35" s="117"/>
      <c r="G35" s="117"/>
      <c r="H35" s="117"/>
      <c r="I35" s="117"/>
      <c r="J35" s="117"/>
      <c r="K35" s="117"/>
    </row>
    <row r="36" spans="1:11" ht="15.75" thickBot="1" x14ac:dyDescent="0.3">
      <c r="A36" s="89" t="s">
        <v>1</v>
      </c>
      <c r="B36" s="118" t="s">
        <v>518</v>
      </c>
      <c r="C36" s="118"/>
      <c r="D36" s="118" t="s">
        <v>519</v>
      </c>
      <c r="E36" s="118"/>
      <c r="F36" s="118" t="s">
        <v>520</v>
      </c>
      <c r="G36" s="118"/>
      <c r="H36" s="118" t="s">
        <v>521</v>
      </c>
      <c r="I36" s="118"/>
      <c r="J36" s="118" t="s">
        <v>522</v>
      </c>
      <c r="K36" s="118"/>
    </row>
    <row r="37" spans="1:11" x14ac:dyDescent="0.25">
      <c r="A37" s="90" t="s">
        <v>523</v>
      </c>
      <c r="B37" s="91"/>
      <c r="C37" s="91"/>
      <c r="D37" s="91"/>
      <c r="E37" s="91"/>
      <c r="F37" s="91"/>
      <c r="G37" s="91"/>
      <c r="H37" s="91"/>
      <c r="I37" s="91"/>
      <c r="J37" s="91"/>
      <c r="K37" s="91"/>
    </row>
    <row r="38" spans="1:11" x14ac:dyDescent="0.25">
      <c r="A38" s="92" t="s">
        <v>524</v>
      </c>
      <c r="B38" s="93">
        <v>4370</v>
      </c>
      <c r="C38" s="94">
        <v>-217</v>
      </c>
      <c r="D38" s="93">
        <v>1482</v>
      </c>
      <c r="E38" s="94">
        <v>-105</v>
      </c>
      <c r="F38" s="93">
        <v>2888</v>
      </c>
      <c r="G38" s="94">
        <v>-183</v>
      </c>
      <c r="H38" s="93">
        <v>2640</v>
      </c>
      <c r="I38" s="94">
        <v>-155</v>
      </c>
      <c r="J38" s="94">
        <v>247</v>
      </c>
      <c r="K38" s="94">
        <v>-68</v>
      </c>
    </row>
    <row r="39" spans="1:11" x14ac:dyDescent="0.25">
      <c r="A39" s="95" t="s">
        <v>48</v>
      </c>
      <c r="B39" s="93">
        <v>1338</v>
      </c>
      <c r="C39" s="94">
        <v>-140</v>
      </c>
      <c r="D39" s="94">
        <v>202</v>
      </c>
      <c r="E39" s="94">
        <v>-32</v>
      </c>
      <c r="F39" s="93">
        <v>1137</v>
      </c>
      <c r="G39" s="94">
        <v>-136</v>
      </c>
      <c r="H39" s="94">
        <v>643</v>
      </c>
      <c r="I39" s="94">
        <v>-69</v>
      </c>
      <c r="J39" s="94">
        <v>494</v>
      </c>
      <c r="K39" s="94">
        <v>-117</v>
      </c>
    </row>
    <row r="40" spans="1:11" x14ac:dyDescent="0.25">
      <c r="A40" s="92" t="s">
        <v>525</v>
      </c>
      <c r="B40" s="93">
        <v>2852</v>
      </c>
      <c r="C40" s="94">
        <v>-186</v>
      </c>
      <c r="D40" s="94">
        <v>924</v>
      </c>
      <c r="E40" s="94">
        <v>-80</v>
      </c>
      <c r="F40" s="93">
        <v>1929</v>
      </c>
      <c r="G40" s="94">
        <v>-169</v>
      </c>
      <c r="H40" s="93">
        <v>1160</v>
      </c>
      <c r="I40" s="94">
        <v>-101</v>
      </c>
      <c r="J40" s="94">
        <v>768</v>
      </c>
      <c r="K40" s="94">
        <v>-137</v>
      </c>
    </row>
    <row r="41" spans="1:11" x14ac:dyDescent="0.25">
      <c r="A41" s="92" t="s">
        <v>526</v>
      </c>
      <c r="B41" s="93">
        <v>5793</v>
      </c>
      <c r="C41" s="94">
        <v>-275</v>
      </c>
      <c r="D41" s="93">
        <v>1210</v>
      </c>
      <c r="E41" s="94">
        <v>-92</v>
      </c>
      <c r="F41" s="93">
        <v>4583</v>
      </c>
      <c r="G41" s="94">
        <v>-255</v>
      </c>
      <c r="H41" s="93">
        <v>3163</v>
      </c>
      <c r="I41" s="94">
        <v>-176</v>
      </c>
      <c r="J41" s="93">
        <v>1420</v>
      </c>
      <c r="K41" s="94">
        <v>-189</v>
      </c>
    </row>
    <row r="42" spans="1:11" x14ac:dyDescent="0.25">
      <c r="A42" s="90" t="s">
        <v>51</v>
      </c>
      <c r="B42" s="93">
        <v>13367</v>
      </c>
      <c r="C42" s="94">
        <v>-374</v>
      </c>
      <c r="D42" s="93">
        <v>6189</v>
      </c>
      <c r="E42" s="94">
        <v>-200</v>
      </c>
      <c r="F42" s="93">
        <v>7178</v>
      </c>
      <c r="G42" s="94">
        <v>-288</v>
      </c>
      <c r="H42" s="93">
        <v>6615</v>
      </c>
      <c r="I42" s="94">
        <v>-240</v>
      </c>
      <c r="J42" s="94">
        <v>563</v>
      </c>
      <c r="K42" s="94">
        <v>-109</v>
      </c>
    </row>
    <row r="43" spans="1:11" x14ac:dyDescent="0.25">
      <c r="A43" s="90" t="s">
        <v>11</v>
      </c>
      <c r="B43" s="94"/>
      <c r="C43" s="94"/>
      <c r="D43" s="94"/>
      <c r="E43" s="94"/>
      <c r="F43" s="94"/>
      <c r="G43" s="94"/>
      <c r="H43" s="94"/>
      <c r="I43" s="94"/>
      <c r="J43" s="94"/>
      <c r="K43" s="94"/>
    </row>
    <row r="44" spans="1:11" x14ac:dyDescent="0.25">
      <c r="A44" s="92" t="s">
        <v>13</v>
      </c>
      <c r="B44" s="93">
        <v>9527</v>
      </c>
      <c r="C44" s="94">
        <v>-355</v>
      </c>
      <c r="D44" s="93">
        <v>3700</v>
      </c>
      <c r="E44" s="94">
        <v>-158</v>
      </c>
      <c r="F44" s="93">
        <v>5827</v>
      </c>
      <c r="G44" s="94">
        <v>-318</v>
      </c>
      <c r="H44" s="93">
        <v>3396</v>
      </c>
      <c r="I44" s="94">
        <v>-178</v>
      </c>
      <c r="J44" s="93">
        <v>2431</v>
      </c>
      <c r="K44" s="94">
        <v>-259</v>
      </c>
    </row>
    <row r="45" spans="1:11" x14ac:dyDescent="0.25">
      <c r="A45" s="92" t="s">
        <v>17</v>
      </c>
      <c r="B45" s="93">
        <v>1838</v>
      </c>
      <c r="C45" s="94">
        <v>-154</v>
      </c>
      <c r="D45" s="94">
        <v>162</v>
      </c>
      <c r="E45" s="94">
        <v>-37</v>
      </c>
      <c r="F45" s="93">
        <v>1675</v>
      </c>
      <c r="G45" s="94">
        <v>-146</v>
      </c>
      <c r="H45" s="93">
        <v>1305</v>
      </c>
      <c r="I45" s="94">
        <v>-114</v>
      </c>
      <c r="J45" s="94">
        <v>371</v>
      </c>
      <c r="K45" s="94">
        <v>-88</v>
      </c>
    </row>
    <row r="46" spans="1:11" x14ac:dyDescent="0.25">
      <c r="A46" s="95" t="s">
        <v>22</v>
      </c>
      <c r="B46" s="94">
        <v>252</v>
      </c>
      <c r="C46" s="94">
        <v>-75</v>
      </c>
      <c r="D46" s="94">
        <v>31</v>
      </c>
      <c r="E46" s="94">
        <v>-18</v>
      </c>
      <c r="F46" s="94">
        <v>220</v>
      </c>
      <c r="G46" s="94">
        <v>-73</v>
      </c>
      <c r="H46" s="94">
        <v>47</v>
      </c>
      <c r="I46" s="94">
        <v>-17</v>
      </c>
      <c r="J46" s="94">
        <v>173</v>
      </c>
      <c r="K46" s="94">
        <v>-71</v>
      </c>
    </row>
    <row r="47" spans="1:11" x14ac:dyDescent="0.25">
      <c r="A47" s="92" t="s">
        <v>23</v>
      </c>
      <c r="B47" s="94">
        <v>137</v>
      </c>
      <c r="C47" s="94">
        <v>-48</v>
      </c>
      <c r="D47" s="94" t="s">
        <v>27</v>
      </c>
      <c r="E47" s="94" t="s">
        <v>527</v>
      </c>
      <c r="F47" s="94">
        <v>137</v>
      </c>
      <c r="G47" s="94">
        <v>-48</v>
      </c>
      <c r="H47" s="94">
        <v>51</v>
      </c>
      <c r="I47" s="94">
        <v>-21</v>
      </c>
      <c r="J47" s="94">
        <v>85</v>
      </c>
      <c r="K47" s="94">
        <v>-43</v>
      </c>
    </row>
    <row r="48" spans="1:11" x14ac:dyDescent="0.25">
      <c r="A48" s="92" t="s">
        <v>24</v>
      </c>
      <c r="B48" s="93">
        <v>3344</v>
      </c>
      <c r="C48" s="94">
        <v>-224</v>
      </c>
      <c r="D48" s="94">
        <v>770</v>
      </c>
      <c r="E48" s="94">
        <v>-72</v>
      </c>
      <c r="F48" s="93">
        <v>2574</v>
      </c>
      <c r="G48" s="94">
        <v>-212</v>
      </c>
      <c r="H48" s="93">
        <v>1865</v>
      </c>
      <c r="I48" s="94">
        <v>-149</v>
      </c>
      <c r="J48" s="94">
        <v>709</v>
      </c>
      <c r="K48" s="94">
        <v>-129</v>
      </c>
    </row>
    <row r="49" spans="1:11" x14ac:dyDescent="0.25">
      <c r="A49" s="95" t="s">
        <v>25</v>
      </c>
      <c r="B49" s="93">
        <v>2421</v>
      </c>
      <c r="C49" s="94">
        <v>-190</v>
      </c>
      <c r="D49" s="94">
        <v>562</v>
      </c>
      <c r="E49" s="94">
        <v>-63</v>
      </c>
      <c r="F49" s="93">
        <v>1859</v>
      </c>
      <c r="G49" s="94">
        <v>-178</v>
      </c>
      <c r="H49" s="93">
        <v>1259</v>
      </c>
      <c r="I49" s="94">
        <v>-125</v>
      </c>
      <c r="J49" s="94">
        <v>599</v>
      </c>
      <c r="K49" s="94">
        <v>-120</v>
      </c>
    </row>
    <row r="50" spans="1:11" x14ac:dyDescent="0.25">
      <c r="A50" s="95" t="s">
        <v>26</v>
      </c>
      <c r="B50" s="94">
        <v>83</v>
      </c>
      <c r="C50" s="94">
        <v>-25</v>
      </c>
      <c r="D50" s="94">
        <v>43</v>
      </c>
      <c r="E50" s="94">
        <v>-19</v>
      </c>
      <c r="F50" s="94">
        <v>41</v>
      </c>
      <c r="G50" s="94">
        <v>-16</v>
      </c>
      <c r="H50" s="94">
        <v>41</v>
      </c>
      <c r="I50" s="94">
        <v>-16</v>
      </c>
      <c r="J50" s="94" t="s">
        <v>27</v>
      </c>
      <c r="K50" s="94" t="s">
        <v>527</v>
      </c>
    </row>
    <row r="51" spans="1:11" x14ac:dyDescent="0.25">
      <c r="A51" s="95" t="s">
        <v>28</v>
      </c>
      <c r="B51" s="93">
        <v>2039</v>
      </c>
      <c r="C51" s="94">
        <v>-154</v>
      </c>
      <c r="D51" s="94">
        <v>317</v>
      </c>
      <c r="E51" s="94">
        <v>-52</v>
      </c>
      <c r="F51" s="93">
        <v>1722</v>
      </c>
      <c r="G51" s="94">
        <v>-150</v>
      </c>
      <c r="H51" s="93">
        <v>1228</v>
      </c>
      <c r="I51" s="94">
        <v>-111</v>
      </c>
      <c r="J51" s="94">
        <v>494</v>
      </c>
      <c r="K51" s="94">
        <v>-99</v>
      </c>
    </row>
    <row r="52" spans="1:11" x14ac:dyDescent="0.25">
      <c r="A52" s="92" t="s">
        <v>29</v>
      </c>
      <c r="B52" s="93">
        <v>2001</v>
      </c>
      <c r="C52" s="94">
        <v>-147</v>
      </c>
      <c r="D52" s="93">
        <v>1044</v>
      </c>
      <c r="E52" s="94">
        <v>-78</v>
      </c>
      <c r="F52" s="94">
        <v>957</v>
      </c>
      <c r="G52" s="94">
        <v>-121</v>
      </c>
      <c r="H52" s="94">
        <v>686</v>
      </c>
      <c r="I52" s="94">
        <v>-81</v>
      </c>
      <c r="J52" s="94">
        <v>272</v>
      </c>
      <c r="K52" s="94">
        <v>-82</v>
      </c>
    </row>
    <row r="53" spans="1:11" x14ac:dyDescent="0.25">
      <c r="A53" s="92" t="s">
        <v>32</v>
      </c>
      <c r="B53" s="94">
        <v>505</v>
      </c>
      <c r="C53" s="94">
        <v>-91</v>
      </c>
      <c r="D53" s="94">
        <v>70</v>
      </c>
      <c r="E53" s="94">
        <v>-19</v>
      </c>
      <c r="F53" s="94">
        <v>435</v>
      </c>
      <c r="G53" s="94">
        <v>-89</v>
      </c>
      <c r="H53" s="94">
        <v>173</v>
      </c>
      <c r="I53" s="94">
        <v>-37</v>
      </c>
      <c r="J53" s="94">
        <v>263</v>
      </c>
      <c r="K53" s="94">
        <v>-80</v>
      </c>
    </row>
    <row r="54" spans="1:11" x14ac:dyDescent="0.25">
      <c r="A54" s="92" t="s">
        <v>33</v>
      </c>
      <c r="B54" s="94"/>
      <c r="C54" s="94"/>
      <c r="D54" s="94"/>
      <c r="E54" s="94"/>
      <c r="F54" s="94"/>
      <c r="G54" s="94"/>
      <c r="H54" s="94"/>
      <c r="I54" s="94"/>
      <c r="J54" s="94"/>
      <c r="K54" s="94"/>
    </row>
    <row r="55" spans="1:11" x14ac:dyDescent="0.25">
      <c r="A55" s="95" t="s">
        <v>34</v>
      </c>
      <c r="B55" s="93">
        <v>4402</v>
      </c>
      <c r="C55" s="94">
        <v>-310</v>
      </c>
      <c r="D55" s="94">
        <v>670</v>
      </c>
      <c r="E55" s="94">
        <v>-71</v>
      </c>
      <c r="F55" s="93">
        <v>3732</v>
      </c>
      <c r="G55" s="94">
        <v>-298</v>
      </c>
      <c r="H55" s="93">
        <v>1107</v>
      </c>
      <c r="I55" s="94">
        <v>-92</v>
      </c>
      <c r="J55" s="93">
        <v>2625</v>
      </c>
      <c r="K55" s="94">
        <v>-287</v>
      </c>
    </row>
    <row r="56" spans="1:11" x14ac:dyDescent="0.25">
      <c r="A56" s="95" t="s">
        <v>37</v>
      </c>
      <c r="B56" s="93">
        <v>2601</v>
      </c>
      <c r="C56" s="94">
        <v>-214</v>
      </c>
      <c r="D56" s="94">
        <v>507</v>
      </c>
      <c r="E56" s="94">
        <v>-60</v>
      </c>
      <c r="F56" s="93">
        <v>2094</v>
      </c>
      <c r="G56" s="94">
        <v>-205</v>
      </c>
      <c r="H56" s="94">
        <v>902</v>
      </c>
      <c r="I56" s="94">
        <v>-104</v>
      </c>
      <c r="J56" s="93">
        <v>1192</v>
      </c>
      <c r="K56" s="94">
        <v>-176</v>
      </c>
    </row>
    <row r="57" spans="1:11" x14ac:dyDescent="0.25">
      <c r="A57" s="95" t="s">
        <v>35</v>
      </c>
      <c r="B57" s="93">
        <v>2469</v>
      </c>
      <c r="C57" s="94">
        <v>-173</v>
      </c>
      <c r="D57" s="94">
        <v>652</v>
      </c>
      <c r="E57" s="94">
        <v>-72</v>
      </c>
      <c r="F57" s="93">
        <v>1818</v>
      </c>
      <c r="G57" s="94">
        <v>-157</v>
      </c>
      <c r="H57" s="94">
        <v>998</v>
      </c>
      <c r="I57" s="94">
        <v>-101</v>
      </c>
      <c r="J57" s="94">
        <v>820</v>
      </c>
      <c r="K57" s="94">
        <v>-123</v>
      </c>
    </row>
    <row r="58" spans="1:11" ht="15.75" thickBot="1" x14ac:dyDescent="0.3">
      <c r="A58" s="96" t="s">
        <v>39</v>
      </c>
      <c r="B58" s="91">
        <v>654</v>
      </c>
      <c r="C58" s="91">
        <v>-134</v>
      </c>
      <c r="D58" s="91">
        <v>64</v>
      </c>
      <c r="E58" s="91">
        <v>-19</v>
      </c>
      <c r="F58" s="91">
        <v>591</v>
      </c>
      <c r="G58" s="91">
        <v>-133</v>
      </c>
      <c r="H58" s="91">
        <v>107</v>
      </c>
      <c r="I58" s="91">
        <v>-29</v>
      </c>
      <c r="J58" s="91">
        <v>483</v>
      </c>
      <c r="K58" s="91">
        <v>-130</v>
      </c>
    </row>
    <row r="59" spans="1:11" x14ac:dyDescent="0.25">
      <c r="A59" s="113" t="s">
        <v>528</v>
      </c>
      <c r="B59" s="113"/>
      <c r="C59" s="113"/>
      <c r="D59" s="113"/>
      <c r="E59" s="113"/>
      <c r="F59" s="113"/>
      <c r="G59" s="113"/>
      <c r="H59" s="113"/>
      <c r="I59" s="113"/>
      <c r="J59" s="113"/>
      <c r="K59" s="113"/>
    </row>
    <row r="60" spans="1:11" x14ac:dyDescent="0.25">
      <c r="A60" s="114" t="s">
        <v>529</v>
      </c>
      <c r="B60" s="114"/>
      <c r="C60" s="114"/>
      <c r="D60" s="114"/>
      <c r="E60" s="114"/>
      <c r="F60" s="114"/>
      <c r="G60" s="114"/>
      <c r="H60" s="114"/>
      <c r="I60" s="114"/>
      <c r="J60" s="114"/>
      <c r="K60" s="114"/>
    </row>
    <row r="61" spans="1:11" ht="15.75" x14ac:dyDescent="0.25">
      <c r="A61" s="115" t="s">
        <v>530</v>
      </c>
      <c r="B61" s="115"/>
      <c r="C61" s="115"/>
      <c r="D61" s="115"/>
      <c r="E61" s="115"/>
      <c r="F61" s="115"/>
      <c r="G61" s="115"/>
      <c r="H61" s="115"/>
      <c r="I61" s="115"/>
      <c r="J61" s="115"/>
      <c r="K61" s="115"/>
    </row>
    <row r="62" spans="1:11" x14ac:dyDescent="0.25">
      <c r="A62" s="114" t="s">
        <v>531</v>
      </c>
      <c r="B62" s="114"/>
      <c r="C62" s="114"/>
      <c r="D62" s="114"/>
      <c r="E62" s="114"/>
      <c r="F62" s="114"/>
      <c r="G62" s="114"/>
      <c r="H62" s="114"/>
      <c r="I62" s="114"/>
      <c r="J62" s="114"/>
      <c r="K62" s="114"/>
    </row>
  </sheetData>
  <mergeCells count="10">
    <mergeCell ref="A59:K59"/>
    <mergeCell ref="A60:K60"/>
    <mergeCell ref="A61:K61"/>
    <mergeCell ref="A62:K62"/>
    <mergeCell ref="A35:K35"/>
    <mergeCell ref="B36:C36"/>
    <mergeCell ref="D36:E36"/>
    <mergeCell ref="F36:G36"/>
    <mergeCell ref="H36:I36"/>
    <mergeCell ref="J36:K36"/>
  </mergeCells>
  <hyperlinks>
    <hyperlink ref="A61" r:id="rId1" display="https://www.samhsa.gov/data/" xr:uid="{5C0F77A1-2AA3-4F76-A509-4CCCD5EC7A3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Graphs</vt:lpstr>
      <vt:lpstr>NSDUH_Initiation</vt:lpstr>
      <vt:lpstr>Rate of exit</vt:lpstr>
      <vt:lpstr>IncidenceDeaths</vt:lpstr>
      <vt:lpstr>Calculations_Initiation</vt:lpstr>
      <vt:lpstr>PrevalenceDeaths</vt:lpstr>
      <vt:lpstr>Calculations_Prevalence</vt:lpstr>
      <vt:lpstr>Info</vt:lpstr>
      <vt:lpstr>Est_DailyNewUse</vt:lpstr>
      <vt:lpstr>RawTables</vt:lpstr>
      <vt:lpstr>Est Heroin Use</vt:lpstr>
      <vt:lpstr>Est Pain Reliever Use</vt:lpstr>
      <vt:lpstr>Old Est OUD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White</dc:creator>
  <cp:lastModifiedBy>vmwhite</cp:lastModifiedBy>
  <cp:lastPrinted>2021-10-21T16:53:35Z</cp:lastPrinted>
  <dcterms:created xsi:type="dcterms:W3CDTF">2020-11-02T22:05:09Z</dcterms:created>
  <dcterms:modified xsi:type="dcterms:W3CDTF">2024-05-16T05:24:07Z</dcterms:modified>
</cp:coreProperties>
</file>