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vmw24\Documents\GitHub\DaneCountyOpioidSimulation\DataSources\NSDUH - Age\"/>
    </mc:Choice>
  </mc:AlternateContent>
  <xr:revisionPtr revIDLastSave="0" documentId="13_ncr:1_{060BEC5E-2F3E-4BC3-84B1-DCE1B777EB11}" xr6:coauthVersionLast="47" xr6:coauthVersionMax="47" xr10:uidLastSave="{00000000-0000-0000-0000-000000000000}"/>
  <bookViews>
    <workbookView xWindow="14290" yWindow="2690" windowWidth="21300" windowHeight="17040" xr2:uid="{00000000-000D-0000-FFFF-FFFF00000000}"/>
  </bookViews>
  <sheets>
    <sheet name="Table 1.19A" sheetId="1" r:id="rId1"/>
    <sheet name="Table 1.19B" sheetId="2" r:id="rId2"/>
    <sheet name="Table 4.4" sheetId="7" r:id="rId3"/>
    <sheet name="Table 4.5B" sheetId="3" r:id="rId4"/>
    <sheet name="Table 4.7B" sheetId="4" r:id="rId5"/>
    <sheet name="Table 4.8" sheetId="5" r:id="rId6"/>
    <sheet name="Table 4 Summary"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1" l="1"/>
  <c r="F28" i="6"/>
  <c r="E32" i="6" l="1"/>
  <c r="E19" i="6"/>
  <c r="E20" i="6"/>
  <c r="E21" i="6"/>
  <c r="E22" i="6"/>
  <c r="E17" i="6"/>
  <c r="E23" i="6"/>
  <c r="G52" i="1"/>
  <c r="E24" i="6"/>
  <c r="E27" i="6" s="1"/>
  <c r="E28" i="6" s="1"/>
  <c r="E29" i="6"/>
  <c r="E30" i="6"/>
  <c r="G65" i="1"/>
  <c r="G62" i="1"/>
  <c r="F29" i="6"/>
  <c r="F18" i="6"/>
  <c r="I12" i="6"/>
  <c r="I13" i="6"/>
  <c r="I14" i="6"/>
  <c r="D14" i="6"/>
  <c r="D13" i="6"/>
  <c r="D12" i="6"/>
  <c r="I8" i="6"/>
  <c r="C8" i="6"/>
  <c r="B8" i="6"/>
  <c r="H8" i="6"/>
  <c r="H7" i="6"/>
  <c r="H6" i="6"/>
  <c r="Q8" i="6"/>
  <c r="P8" i="6"/>
  <c r="O8" i="6"/>
  <c r="N8" i="6"/>
  <c r="M8" i="6"/>
  <c r="L8" i="6"/>
  <c r="K8" i="6"/>
  <c r="J8" i="6"/>
  <c r="G8" i="6"/>
  <c r="F8" i="6"/>
  <c r="E8" i="6"/>
  <c r="D8" i="6"/>
  <c r="G7" i="6"/>
  <c r="G6" i="6"/>
  <c r="F7" i="6"/>
  <c r="F6" i="6"/>
  <c r="E7" i="6"/>
  <c r="E6" i="6"/>
  <c r="D7" i="6"/>
  <c r="D6" i="6"/>
  <c r="C7" i="6"/>
  <c r="C6" i="6"/>
  <c r="B7" i="6"/>
  <c r="B6" i="6"/>
  <c r="F20" i="6"/>
  <c r="F17" i="6"/>
  <c r="F24" i="6" s="1"/>
  <c r="H60" i="1"/>
  <c r="H61" i="1"/>
  <c r="H51" i="1"/>
  <c r="G51" i="1"/>
  <c r="H57" i="1"/>
  <c r="G57" i="1"/>
  <c r="H54" i="1"/>
  <c r="G54" i="1"/>
  <c r="G55" i="1" s="1"/>
  <c r="G56" i="1" s="1"/>
  <c r="H53" i="1"/>
  <c r="H55" i="1" s="1"/>
  <c r="H56" i="1" s="1"/>
  <c r="G53" i="1"/>
  <c r="G60" i="1" l="1"/>
  <c r="F21" i="6"/>
  <c r="F22" i="6" s="1"/>
  <c r="F23" i="6" s="1"/>
  <c r="F27" i="6" s="1"/>
  <c r="G61" i="1" l="1"/>
  <c r="G66" i="1"/>
  <c r="E33" i="6"/>
  <c r="B14" i="6"/>
  <c r="F14" i="6" s="1"/>
  <c r="B47" i="1"/>
  <c r="B13" i="6"/>
  <c r="F13" i="6" s="1"/>
  <c r="B12" i="6"/>
  <c r="F12" i="6" s="1"/>
  <c r="G38" i="1"/>
  <c r="E34" i="1"/>
  <c r="E35" i="1"/>
  <c r="G35" i="1" s="1"/>
  <c r="F35" i="1"/>
  <c r="H35" i="1" s="1"/>
  <c r="E36" i="1"/>
  <c r="G36" i="1" s="1"/>
  <c r="F36" i="1"/>
  <c r="H36" i="1" s="1"/>
  <c r="E37" i="1"/>
  <c r="G37" i="1" s="1"/>
  <c r="F37" i="1"/>
  <c r="H37" i="1" s="1"/>
  <c r="E38" i="1"/>
  <c r="F38" i="1"/>
  <c r="H38" i="1" s="1"/>
  <c r="E39" i="1"/>
  <c r="G39" i="1" s="1"/>
  <c r="F39" i="1"/>
  <c r="H39" i="1" s="1"/>
  <c r="E40" i="1"/>
  <c r="G40" i="1" s="1"/>
  <c r="G48" i="1" s="1"/>
  <c r="F40" i="1"/>
  <c r="H40" i="1" s="1"/>
  <c r="H48" i="1" s="1"/>
  <c r="E41" i="1"/>
  <c r="G41" i="1" s="1"/>
  <c r="F41" i="1"/>
  <c r="H41" i="1" s="1"/>
  <c r="E42" i="1"/>
  <c r="G42" i="1" s="1"/>
  <c r="F42" i="1"/>
  <c r="H42" i="1" s="1"/>
  <c r="E43" i="1"/>
  <c r="G43" i="1" s="1"/>
  <c r="F43" i="1"/>
  <c r="H43" i="1" s="1"/>
  <c r="E44" i="1"/>
  <c r="G44" i="1" s="1"/>
  <c r="F44" i="1"/>
  <c r="H44" i="1" s="1"/>
  <c r="E45" i="1"/>
  <c r="G45" i="1" s="1"/>
  <c r="F45" i="1"/>
  <c r="H45" i="1" s="1"/>
  <c r="E46" i="1"/>
  <c r="G46" i="1" s="1"/>
  <c r="F46" i="1"/>
  <c r="H46" i="1" s="1"/>
  <c r="E47" i="1"/>
  <c r="F47" i="1"/>
  <c r="F34" i="1"/>
  <c r="Q4" i="6"/>
  <c r="Q3" i="6"/>
  <c r="P4" i="6"/>
  <c r="P3" i="6"/>
  <c r="O4" i="6"/>
  <c r="O3" i="6"/>
  <c r="N4" i="6"/>
  <c r="N3" i="6"/>
  <c r="M4" i="6"/>
  <c r="M3" i="6"/>
  <c r="M5" i="6" s="1"/>
  <c r="L4" i="6"/>
  <c r="L3" i="6"/>
  <c r="K4" i="6"/>
  <c r="K3" i="6"/>
  <c r="K5" i="6" s="1"/>
  <c r="J4" i="6"/>
  <c r="J3" i="6"/>
  <c r="I4" i="6"/>
  <c r="I3" i="6"/>
  <c r="H4" i="6"/>
  <c r="G4" i="6"/>
  <c r="G3" i="6"/>
  <c r="F4" i="6"/>
  <c r="F3" i="6"/>
  <c r="E4" i="6"/>
  <c r="E3" i="6"/>
  <c r="D4" i="6"/>
  <c r="D3" i="6"/>
  <c r="C4" i="6"/>
  <c r="C3" i="6"/>
  <c r="C5" i="6" s="1"/>
  <c r="B4" i="6"/>
  <c r="B3" i="6"/>
  <c r="L20" i="1"/>
  <c r="L12" i="1"/>
  <c r="F15" i="6" l="1"/>
  <c r="F5" i="6"/>
  <c r="G5" i="6"/>
  <c r="O5" i="6"/>
  <c r="F19" i="6"/>
  <c r="L5" i="6"/>
  <c r="B5" i="6"/>
  <c r="H62" i="1"/>
  <c r="H52" i="1"/>
  <c r="G47" i="1"/>
  <c r="H47" i="1"/>
  <c r="H50" i="1"/>
  <c r="G34" i="1"/>
  <c r="H34" i="1"/>
  <c r="Q5" i="6"/>
  <c r="P5" i="6"/>
  <c r="N5" i="6"/>
  <c r="J5" i="6"/>
  <c r="I5" i="6"/>
  <c r="H5" i="6"/>
  <c r="C14" i="6" s="1"/>
  <c r="E5" i="6"/>
  <c r="D5" i="6"/>
  <c r="C13" i="6" s="1"/>
  <c r="L26" i="1"/>
  <c r="M26" i="1"/>
  <c r="N26" i="1"/>
  <c r="O26" i="1"/>
  <c r="L27" i="1"/>
  <c r="M27" i="1"/>
  <c r="N27" i="1"/>
  <c r="O27" i="1"/>
  <c r="L28" i="1"/>
  <c r="M28" i="1"/>
  <c r="N28" i="1"/>
  <c r="O28" i="1"/>
  <c r="M25" i="1"/>
  <c r="N25" i="1"/>
  <c r="O25" i="1"/>
  <c r="L25" i="1"/>
  <c r="M20" i="1"/>
  <c r="N20" i="1"/>
  <c r="O20" i="1"/>
  <c r="L21" i="1"/>
  <c r="M21" i="1"/>
  <c r="N21" i="1"/>
  <c r="O21" i="1"/>
  <c r="L22" i="1"/>
  <c r="M22" i="1"/>
  <c r="N22" i="1"/>
  <c r="O22" i="1"/>
  <c r="L23" i="1"/>
  <c r="M23" i="1"/>
  <c r="N23" i="1"/>
  <c r="O23" i="1"/>
  <c r="L24" i="1"/>
  <c r="M24" i="1"/>
  <c r="N24" i="1"/>
  <c r="O24" i="1"/>
  <c r="M19" i="1"/>
  <c r="N19" i="1"/>
  <c r="O19" i="1"/>
  <c r="L19" i="1"/>
  <c r="L18" i="1"/>
  <c r="M18" i="1"/>
  <c r="N18" i="1"/>
  <c r="O18" i="1"/>
  <c r="L16" i="1"/>
  <c r="M16" i="1"/>
  <c r="N16" i="1"/>
  <c r="O16" i="1"/>
  <c r="L17" i="1"/>
  <c r="M17" i="1"/>
  <c r="N17" i="1"/>
  <c r="O17" i="1"/>
  <c r="M15" i="1"/>
  <c r="N15" i="1"/>
  <c r="O15" i="1"/>
  <c r="L15" i="1"/>
  <c r="M14" i="1"/>
  <c r="N14" i="1"/>
  <c r="O14" i="1"/>
  <c r="L14" i="1"/>
  <c r="O13" i="1"/>
  <c r="M13" i="1"/>
  <c r="N13" i="1"/>
  <c r="L13" i="1"/>
  <c r="M12" i="1"/>
  <c r="N12" i="1"/>
  <c r="O12" i="1"/>
  <c r="L10" i="1"/>
  <c r="M10" i="1"/>
  <c r="N10" i="1"/>
  <c r="O10" i="1"/>
  <c r="L11" i="1"/>
  <c r="M11" i="1"/>
  <c r="N11" i="1"/>
  <c r="O11" i="1"/>
  <c r="M9" i="1"/>
  <c r="N9" i="1"/>
  <c r="O9" i="1"/>
  <c r="L9" i="1"/>
  <c r="M8" i="1"/>
  <c r="N8" i="1"/>
  <c r="O8" i="1"/>
  <c r="L8" i="1"/>
  <c r="M7" i="1"/>
  <c r="N7" i="1"/>
  <c r="O7" i="1"/>
  <c r="L7" i="1"/>
  <c r="M6" i="1"/>
  <c r="N6" i="1"/>
  <c r="O6" i="1"/>
  <c r="L6" i="1"/>
  <c r="G7" i="1"/>
  <c r="H7" i="1"/>
  <c r="I7" i="1"/>
  <c r="J7" i="1"/>
  <c r="G8" i="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H18" i="1"/>
  <c r="I18" i="1"/>
  <c r="J18" i="1"/>
  <c r="G19" i="1"/>
  <c r="H19" i="1"/>
  <c r="I19" i="1"/>
  <c r="J19" i="1"/>
  <c r="G20" i="1"/>
  <c r="H20" i="1"/>
  <c r="I20" i="1"/>
  <c r="J20" i="1"/>
  <c r="G21" i="1"/>
  <c r="H21" i="1"/>
  <c r="I21" i="1"/>
  <c r="J21" i="1"/>
  <c r="G22" i="1"/>
  <c r="H22" i="1"/>
  <c r="I22" i="1"/>
  <c r="J22" i="1"/>
  <c r="G23" i="1"/>
  <c r="H23" i="1"/>
  <c r="I23" i="1"/>
  <c r="J23" i="1"/>
  <c r="G24" i="1"/>
  <c r="H24" i="1"/>
  <c r="I24" i="1"/>
  <c r="J24" i="1"/>
  <c r="G25" i="1"/>
  <c r="H25" i="1"/>
  <c r="I25" i="1"/>
  <c r="J25" i="1"/>
  <c r="G26" i="1"/>
  <c r="H26" i="1"/>
  <c r="I26" i="1"/>
  <c r="J26" i="1"/>
  <c r="G27" i="1"/>
  <c r="H27" i="1"/>
  <c r="I27" i="1"/>
  <c r="J27" i="1"/>
  <c r="G28" i="1"/>
  <c r="H28" i="1"/>
  <c r="I28" i="1"/>
  <c r="J28" i="1"/>
  <c r="H6" i="1"/>
  <c r="I6" i="1"/>
  <c r="J6" i="1"/>
  <c r="G6" i="1"/>
  <c r="H14" i="6" l="1"/>
  <c r="E14" i="6"/>
  <c r="C12" i="6"/>
  <c r="H13" i="6"/>
  <c r="E13" i="6"/>
  <c r="G63" i="1"/>
  <c r="H12" i="6" l="1"/>
  <c r="E12" i="6"/>
  <c r="E15" i="6" s="1"/>
</calcChain>
</file>

<file path=xl/sharedStrings.xml><?xml version="1.0" encoding="utf-8"?>
<sst xmlns="http://schemas.openxmlformats.org/spreadsheetml/2006/main" count="1141" uniqueCount="166">
  <si>
    <t>Age Category</t>
  </si>
  <si>
    <t>Misuse in Past Year</t>
  </si>
  <si>
    <t>Misuse in Past Month</t>
  </si>
  <si>
    <t>TOTAL</t>
  </si>
  <si>
    <t>21 or Older</t>
  </si>
  <si>
    <t>14-15</t>
  </si>
  <si>
    <t>16-17</t>
  </si>
  <si>
    <t>16-25</t>
  </si>
  <si>
    <t>18 or Older</t>
  </si>
  <si>
    <t>18-25</t>
  </si>
  <si>
    <t>18-20</t>
  </si>
  <si>
    <t>21-25</t>
  </si>
  <si>
    <t>26 or Older</t>
  </si>
  <si>
    <t>26-49</t>
  </si>
  <si>
    <t>26-29</t>
  </si>
  <si>
    <t>30-34</t>
  </si>
  <si>
    <t>35-39</t>
  </si>
  <si>
    <t>40-44</t>
  </si>
  <si>
    <t>45-49</t>
  </si>
  <si>
    <t>50 or Older</t>
  </si>
  <si>
    <t>50-54</t>
  </si>
  <si>
    <t>55-59</t>
  </si>
  <si>
    <t>60-64</t>
  </si>
  <si>
    <t>65 or Older</t>
  </si>
  <si>
    <t>12 TO 20</t>
  </si>
  <si>
    <t>12 TO 13</t>
  </si>
  <si>
    <t> Category</t>
  </si>
  <si>
    <r>
      <t>3.7</t>
    </r>
    <r>
      <rPr>
        <vertAlign val="superscript"/>
        <sz val="6"/>
        <color rgb="FF000000"/>
        <rFont val="Times New Roman"/>
        <family val="1"/>
      </rPr>
      <t>a</t>
    </r>
  </si>
  <si>
    <r>
      <t>2.8</t>
    </r>
    <r>
      <rPr>
        <vertAlign val="superscript"/>
        <sz val="6"/>
        <color rgb="FF000000"/>
        <rFont val="Times New Roman"/>
        <family val="1"/>
      </rPr>
      <t>a</t>
    </r>
  </si>
  <si>
    <r>
      <t>5.4</t>
    </r>
    <r>
      <rPr>
        <vertAlign val="superscript"/>
        <sz val="6"/>
        <color rgb="FF000000"/>
        <rFont val="Times New Roman"/>
        <family val="1"/>
      </rPr>
      <t>a</t>
    </r>
  </si>
  <si>
    <t>Table 1.19B – Misuse of Opioids in Past Year and Past Month among Persons Aged 12 or Older, by Detailed Age Category: Percentages, 2018 and 2019</t>
  </si>
  <si>
    <t>Table 1.19A – Misuse of Opioids in Past Year and Past Month among Persons Aged 12 or Older, by Detailed Age Category: Numbers in Thousands, 2018 and 2019</t>
  </si>
  <si>
    <t>12 to 17</t>
  </si>
  <si>
    <t>cumulative</t>
  </si>
  <si>
    <t>reformated for age</t>
  </si>
  <si>
    <t>Table 4.5B – Past Year Initiation of Substance Use among Persons Aged 12 to 17, Persons Aged 12 to 17 at Risk for Initiation of Substance Use, and Past Year Substance Users Aged 12 to 17: Numbers in Thousands and Percentages, 2018 and 2019</t>
  </si>
  <si>
    <t>Substance</t>
  </si>
  <si>
    <t>Number of Past Year</t>
  </si>
  <si>
    <t>Initiates (1,000s)</t>
  </si>
  <si>
    <t>Percentage of</t>
  </si>
  <si>
    <t>Past Year Initiates</t>
  </si>
  <si>
    <t>Percentage of Past Year</t>
  </si>
  <si>
    <t>Initiates among Persons at</t>
  </si>
  <si>
    <t>Risk for Initiation</t>
  </si>
  <si>
    <t>Initiates among Past Year</t>
  </si>
  <si>
    <t>Users</t>
  </si>
  <si>
    <t>ILLICIT DRUGS</t>
  </si>
  <si>
    <t>nr</t>
  </si>
  <si>
    <t>Marijuana</t>
  </si>
  <si>
    <t>Cocaine</t>
  </si>
  <si>
    <t>*</t>
  </si>
  <si>
    <t>Crack</t>
  </si>
  <si>
    <t>Heroin</t>
  </si>
  <si>
    <t>Hallucinogens</t>
  </si>
  <si>
    <t>LSD</t>
  </si>
  <si>
    <r>
      <t>142</t>
    </r>
    <r>
      <rPr>
        <vertAlign val="superscript"/>
        <sz val="8"/>
        <color rgb="FF000000"/>
        <rFont val="Times New Roman"/>
        <family val="1"/>
      </rPr>
      <t>a</t>
    </r>
  </si>
  <si>
    <r>
      <t>0.6</t>
    </r>
    <r>
      <rPr>
        <vertAlign val="superscript"/>
        <sz val="8"/>
        <color rgb="FF000000"/>
        <rFont val="Times New Roman"/>
        <family val="1"/>
      </rPr>
      <t>a</t>
    </r>
  </si>
  <si>
    <t>PCP</t>
  </si>
  <si>
    <t>Ecstasy</t>
  </si>
  <si>
    <t>Inhalants</t>
  </si>
  <si>
    <t>Methamphetamine</t>
  </si>
  <si>
    <t>Misuse of Psychotherapeutics</t>
  </si>
  <si>
    <t>Pain Relievers</t>
  </si>
  <si>
    <t>Stimulants</t>
  </si>
  <si>
    <t>Tranquilizers or Sedatives</t>
  </si>
  <si>
    <t>Tranquilizers</t>
  </si>
  <si>
    <t>Sedatives</t>
  </si>
  <si>
    <t>Benzodiazepines</t>
  </si>
  <si>
    <t>--</t>
  </si>
  <si>
    <t>Opioids</t>
  </si>
  <si>
    <r>
      <t>Illicit Drugs Other Than Marijuana</t>
    </r>
    <r>
      <rPr>
        <vertAlign val="superscript"/>
        <sz val="8"/>
        <color rgb="FF000000"/>
        <rFont val="Times New Roman"/>
        <family val="1"/>
      </rPr>
      <t>1</t>
    </r>
  </si>
  <si>
    <t>CIGARETTES</t>
  </si>
  <si>
    <t>Daily Cigarette Use</t>
  </si>
  <si>
    <t>SMOKELESS TOBACCO</t>
  </si>
  <si>
    <t>CIGARS</t>
  </si>
  <si>
    <t>ALCOHOL</t>
  </si>
  <si>
    <t>* = low precision; -- = not available; da = does not apply; nc = not comparable due to methodological changes; nr = not reported due to measurement issues.</t>
  </si>
  <si>
    <r>
      <t>NOTE: Methodological limitations preclude the estimation of past year initiates for aggregate substance use categories having at least one prescription psychotherapeutic, including categories for overall illicit drugs, misuse of psychotherapeutics, tranquilizers or sedatives, opioids, and illicit drugs other than marijuana (see Section 3.4.2 in Chapter 3 of the </t>
    </r>
    <r>
      <rPr>
        <i/>
        <sz val="8"/>
        <color rgb="FF000000"/>
        <rFont val="Times New Roman"/>
        <family val="1"/>
      </rPr>
      <t>2019 National Survey on Drug Use and Health: Methodological Summary and Definitions</t>
    </r>
    <r>
      <rPr>
        <sz val="8"/>
        <color rgb="FF000000"/>
        <rFont val="Times New Roman"/>
        <family val="1"/>
      </rPr>
      <t>).</t>
    </r>
  </si>
  <si>
    <r>
      <t>a</t>
    </r>
    <r>
      <rPr>
        <sz val="8"/>
        <color rgb="FF000000"/>
        <rFont val="Times New Roman"/>
        <family val="1"/>
      </rPr>
      <t> The difference between this estimate and the 2019 estimate is statistically significant at the .05 level. Rounding may make the estimates appear identical.</t>
    </r>
  </si>
  <si>
    <r>
      <t>1</t>
    </r>
    <r>
      <rPr>
        <sz val="8"/>
        <color rgb="FF000000"/>
        <rFont val="Times New Roman"/>
        <family val="1"/>
      </rPr>
      <t> Illicit Drugs Other Than Marijuana excludes respondents who used only marijuana but includes those who used marijuana in addition to other illicit drugs.</t>
    </r>
  </si>
  <si>
    <t>Definitions: Measures and terms are defined in Appendix A.</t>
  </si>
  <si>
    <t>Source: SAMHSA, Center for Behavioral Health Statistics and Quality, National Survey on Drug Use and Health, 2018 and 2019.</t>
  </si>
  <si>
    <t>Table 4.7B – Past Year Initiation of Substance Use among Persons Aged 18 to 25, Persons Aged 18 to 25 at Risk for Initiation of Substance Use, and Past Year Substance Users Aged 18 to 25: Numbers in Thousands and Percentages, 2018 and 2019</t>
  </si>
  <si>
    <r>
      <t>616</t>
    </r>
    <r>
      <rPr>
        <vertAlign val="superscript"/>
        <sz val="8"/>
        <color rgb="FF000000"/>
        <rFont val="Times New Roman"/>
        <family val="1"/>
      </rPr>
      <t>a</t>
    </r>
  </si>
  <si>
    <r>
      <t>1.8</t>
    </r>
    <r>
      <rPr>
        <vertAlign val="superscript"/>
        <sz val="8"/>
        <color rgb="FF000000"/>
        <rFont val="Times New Roman"/>
        <family val="1"/>
      </rPr>
      <t>a</t>
    </r>
  </si>
  <si>
    <r>
      <t>2.0</t>
    </r>
    <r>
      <rPr>
        <vertAlign val="superscript"/>
        <sz val="8"/>
        <color rgb="FF000000"/>
        <rFont val="Times New Roman"/>
        <family val="1"/>
      </rPr>
      <t>a</t>
    </r>
  </si>
  <si>
    <r>
      <t>517</t>
    </r>
    <r>
      <rPr>
        <vertAlign val="superscript"/>
        <sz val="8"/>
        <color rgb="FF000000"/>
        <rFont val="Times New Roman"/>
        <family val="1"/>
      </rPr>
      <t>a</t>
    </r>
  </si>
  <si>
    <r>
      <t>1.5</t>
    </r>
    <r>
      <rPr>
        <vertAlign val="superscript"/>
        <sz val="8"/>
        <color rgb="FF000000"/>
        <rFont val="Times New Roman"/>
        <family val="1"/>
      </rPr>
      <t>a</t>
    </r>
  </si>
  <si>
    <r>
      <t>23.4</t>
    </r>
    <r>
      <rPr>
        <vertAlign val="superscript"/>
        <sz val="8"/>
        <color rgb="FF000000"/>
        <rFont val="Times New Roman"/>
        <family val="1"/>
      </rPr>
      <t>a</t>
    </r>
  </si>
  <si>
    <r>
      <t>434</t>
    </r>
    <r>
      <rPr>
        <vertAlign val="superscript"/>
        <sz val="8"/>
        <color rgb="FF000000"/>
        <rFont val="Times New Roman"/>
        <family val="1"/>
      </rPr>
      <t>a</t>
    </r>
  </si>
  <si>
    <r>
      <t>1,141</t>
    </r>
    <r>
      <rPr>
        <vertAlign val="superscript"/>
        <sz val="8"/>
        <color rgb="FF000000"/>
        <rFont val="Times New Roman"/>
        <family val="1"/>
      </rPr>
      <t>a</t>
    </r>
  </si>
  <si>
    <r>
      <t>3.4</t>
    </r>
    <r>
      <rPr>
        <vertAlign val="superscript"/>
        <sz val="8"/>
        <color rgb="FF000000"/>
        <rFont val="Times New Roman"/>
        <family val="1"/>
      </rPr>
      <t>a</t>
    </r>
  </si>
  <si>
    <r>
      <t>5.8</t>
    </r>
    <r>
      <rPr>
        <vertAlign val="superscript"/>
        <sz val="8"/>
        <color rgb="FF000000"/>
        <rFont val="Times New Roman"/>
        <family val="1"/>
      </rPr>
      <t>a</t>
    </r>
  </si>
  <si>
    <r>
      <t>353</t>
    </r>
    <r>
      <rPr>
        <vertAlign val="superscript"/>
        <sz val="8"/>
        <color rgb="FF000000"/>
        <rFont val="Times New Roman"/>
        <family val="1"/>
      </rPr>
      <t>a</t>
    </r>
  </si>
  <si>
    <r>
      <t>1.0</t>
    </r>
    <r>
      <rPr>
        <vertAlign val="superscript"/>
        <sz val="8"/>
        <color rgb="FF000000"/>
        <rFont val="Times New Roman"/>
        <family val="1"/>
      </rPr>
      <t>a</t>
    </r>
  </si>
  <si>
    <r>
      <t>1.2</t>
    </r>
    <r>
      <rPr>
        <vertAlign val="superscript"/>
        <sz val="8"/>
        <color rgb="FF000000"/>
        <rFont val="Times New Roman"/>
        <family val="1"/>
      </rPr>
      <t>a</t>
    </r>
  </si>
  <si>
    <t>Table 4.8B – Past Year Initiation of Substance Use among Persons Aged 26 or Older, Persons Aged 26 or Older at Risk for Initiation of Substance Use, and Past Year Substance Users Aged 26 or Older: Numbers in Thousands and Percentages, 2018 and 2019</t>
  </si>
  <si>
    <r>
      <t>525</t>
    </r>
    <r>
      <rPr>
        <vertAlign val="superscript"/>
        <sz val="8"/>
        <color rgb="FF000000"/>
        <rFont val="Times New Roman"/>
        <family val="1"/>
      </rPr>
      <t>a</t>
    </r>
  </si>
  <si>
    <r>
      <t>0.2</t>
    </r>
    <r>
      <rPr>
        <vertAlign val="superscript"/>
        <sz val="8"/>
        <color rgb="FF000000"/>
        <rFont val="Times New Roman"/>
        <family val="1"/>
      </rPr>
      <t>a</t>
    </r>
  </si>
  <si>
    <r>
      <t>0.5</t>
    </r>
    <r>
      <rPr>
        <vertAlign val="superscript"/>
        <sz val="8"/>
        <color rgb="FF000000"/>
        <rFont val="Times New Roman"/>
        <family val="1"/>
      </rPr>
      <t>a</t>
    </r>
  </si>
  <si>
    <r>
      <t>80</t>
    </r>
    <r>
      <rPr>
        <vertAlign val="superscript"/>
        <sz val="8"/>
        <color rgb="FF000000"/>
        <rFont val="Times New Roman"/>
        <family val="1"/>
      </rPr>
      <t>a</t>
    </r>
  </si>
  <si>
    <r>
      <t>0.0</t>
    </r>
    <r>
      <rPr>
        <vertAlign val="superscript"/>
        <sz val="8"/>
        <color rgb="FF000000"/>
        <rFont val="Times New Roman"/>
        <family val="1"/>
      </rPr>
      <t>a</t>
    </r>
  </si>
  <si>
    <r>
      <t>0.1</t>
    </r>
    <r>
      <rPr>
        <vertAlign val="superscript"/>
        <sz val="8"/>
        <color rgb="FF000000"/>
        <rFont val="Times New Roman"/>
        <family val="1"/>
      </rPr>
      <t>a</t>
    </r>
  </si>
  <si>
    <r>
      <t>63</t>
    </r>
    <r>
      <rPr>
        <vertAlign val="superscript"/>
        <sz val="8"/>
        <color rgb="FF000000"/>
        <rFont val="Times New Roman"/>
        <family val="1"/>
      </rPr>
      <t>a</t>
    </r>
  </si>
  <si>
    <t>Table 4.5D – Past Year Initiation of Substance Use among Persons Aged 12 to 17, Persons Aged 12 to 17 at Risk for Initiation of Substance Use, and Past Year Substance Users Aged 12 to 17: Standard Errors of Numbers in Thousands and Standard Errors of Percentages, 2018 and 2019</t>
  </si>
  <si>
    <t>Table 4.7D – Past Year Initiation of Substance Use among Persons Aged 18 to 25, Persons Aged 18 to 25 at Risk for Initiation of Substance Use, and Past Year Substance Users Aged 18 to 25: Standard Errors of Numbers in Thousands and Standard Errors of Percentages, 2018 and 2019</t>
  </si>
  <si>
    <t>Table 4.8D – Past Year Initiation of Substance Use among Persons Aged 26 or Older, Persons Aged 26 or Older at Risk for Initiation of Substance Use, and Past Year Substance Users Aged 26 or Older: Standard Errors of Numbers in Thousands and Standard Errors of Percentages, 2018 and 2019</t>
  </si>
  <si>
    <t>Number in thousands</t>
  </si>
  <si>
    <t>SE in thousands</t>
  </si>
  <si>
    <t>Age group</t>
  </si>
  <si>
    <t>18 to 25</t>
  </si>
  <si>
    <t>26 and oder</t>
  </si>
  <si>
    <t>Metric</t>
  </si>
  <si>
    <t>Table 4.4B – Past Year Initiation of Substance Use among Persons Aged 12 or Older, Persons Aged 12 or Older at Risk for Initiation of Substance Use, and Past Year Substance Users Aged 12 or Older: Numbers in Thousands and Percentages, 2018 and 2019</t>
  </si>
  <si>
    <r>
      <t>3,061</t>
    </r>
    <r>
      <rPr>
        <vertAlign val="superscript"/>
        <sz val="8"/>
        <color rgb="FF000000"/>
        <rFont val="Times New Roman"/>
        <family val="1"/>
      </rPr>
      <t>a</t>
    </r>
  </si>
  <si>
    <r>
      <t>1.1</t>
    </r>
    <r>
      <rPr>
        <vertAlign val="superscript"/>
        <sz val="8"/>
        <color rgb="FF000000"/>
        <rFont val="Times New Roman"/>
        <family val="1"/>
      </rPr>
      <t>a</t>
    </r>
  </si>
  <si>
    <r>
      <t>874</t>
    </r>
    <r>
      <rPr>
        <vertAlign val="superscript"/>
        <sz val="8"/>
        <color rgb="FF000000"/>
        <rFont val="Times New Roman"/>
        <family val="1"/>
      </rPr>
      <t>a</t>
    </r>
  </si>
  <si>
    <r>
      <t>0.3</t>
    </r>
    <r>
      <rPr>
        <vertAlign val="superscript"/>
        <sz val="8"/>
        <color rgb="FF000000"/>
        <rFont val="Times New Roman"/>
        <family val="1"/>
      </rPr>
      <t>a</t>
    </r>
  </si>
  <si>
    <r>
      <t>0.4</t>
    </r>
    <r>
      <rPr>
        <vertAlign val="superscript"/>
        <sz val="8"/>
        <color rgb="FF000000"/>
        <rFont val="Times New Roman"/>
        <family val="1"/>
      </rPr>
      <t>a</t>
    </r>
  </si>
  <si>
    <r>
      <t>15.8</t>
    </r>
    <r>
      <rPr>
        <vertAlign val="superscript"/>
        <sz val="8"/>
        <color rgb="FF000000"/>
        <rFont val="Times New Roman"/>
        <family val="1"/>
      </rPr>
      <t>a</t>
    </r>
  </si>
  <si>
    <r>
      <t>117</t>
    </r>
    <r>
      <rPr>
        <vertAlign val="superscript"/>
        <sz val="8"/>
        <color rgb="FF000000"/>
        <rFont val="Times New Roman"/>
        <family val="1"/>
      </rPr>
      <t>a</t>
    </r>
  </si>
  <si>
    <r>
      <t>14.5</t>
    </r>
    <r>
      <rPr>
        <vertAlign val="superscript"/>
        <sz val="8"/>
        <color rgb="FF000000"/>
        <rFont val="Times New Roman"/>
        <family val="1"/>
      </rPr>
      <t>a</t>
    </r>
  </si>
  <si>
    <r>
      <t>576</t>
    </r>
    <r>
      <rPr>
        <vertAlign val="superscript"/>
        <sz val="8"/>
        <color rgb="FF000000"/>
        <rFont val="Times New Roman"/>
        <family val="1"/>
      </rPr>
      <t>a</t>
    </r>
  </si>
  <si>
    <r>
      <t>1,210</t>
    </r>
    <r>
      <rPr>
        <vertAlign val="superscript"/>
        <sz val="8"/>
        <color rgb="FF000000"/>
        <rFont val="Times New Roman"/>
        <family val="1"/>
      </rPr>
      <t>a</t>
    </r>
  </si>
  <si>
    <r>
      <t>1,825</t>
    </r>
    <r>
      <rPr>
        <vertAlign val="superscript"/>
        <sz val="8"/>
        <color rgb="FF000000"/>
        <rFont val="Times New Roman"/>
        <family val="1"/>
      </rPr>
      <t>a</t>
    </r>
  </si>
  <si>
    <r>
      <t>0.7</t>
    </r>
    <r>
      <rPr>
        <vertAlign val="superscript"/>
        <sz val="8"/>
        <color rgb="FF000000"/>
        <rFont val="Times New Roman"/>
        <family val="1"/>
      </rPr>
      <t>a</t>
    </r>
  </si>
  <si>
    <t>Table 4.4D – Past Year Initiation of Substance Use among Persons Aged 12 or Older, Persons Aged 12 or Older at Risk for Initiation of Substance Use, and Past Year Substance Users Aged 12 or Older: Standard Errors of Numbers in Thousands and Standard Errors of Percentages, 2018 and 2019</t>
  </si>
  <si>
    <t>12 AND OLDER</t>
  </si>
  <si>
    <t>% in thousands</t>
  </si>
  <si>
    <t>% SE in thousands</t>
  </si>
  <si>
    <t>Age</t>
  </si>
  <si>
    <t>% in age group of new initiates</t>
  </si>
  <si>
    <t>age mid</t>
  </si>
  <si>
    <t>Percent  in age group</t>
  </si>
  <si>
    <t>weighted age sum</t>
  </si>
  <si>
    <t>percentile age</t>
  </si>
  <si>
    <t>percental val</t>
  </si>
  <si>
    <t>sigma</t>
  </si>
  <si>
    <t xml:space="preserve">mostlilkely </t>
  </si>
  <si>
    <t>&lt;- mid point aige of highest percentage</t>
  </si>
  <si>
    <t>sigma v1</t>
  </si>
  <si>
    <t>2018 and 2019 age prevalcne estimates for normal</t>
  </si>
  <si>
    <t>mid age</t>
  </si>
  <si>
    <t>weighted age</t>
  </si>
  <si>
    <t>United States</t>
  </si>
  <si>
    <t>USA</t>
  </si>
  <si>
    <t>https://ourworldindata.org/life-expectancy</t>
  </si>
  <si>
    <t>c</t>
  </si>
  <si>
    <t>zq^2</t>
  </si>
  <si>
    <t>sqrt sum</t>
  </si>
  <si>
    <t>sqrt term</t>
  </si>
  <si>
    <t xml:space="preserve"> - zq</t>
  </si>
  <si>
    <t>mu EST</t>
  </si>
  <si>
    <t>mu DATA</t>
  </si>
  <si>
    <t>OVERALL</t>
  </si>
  <si>
    <t>MU</t>
  </si>
  <si>
    <t>SIGMA</t>
  </si>
  <si>
    <t>&lt;- AVERAGE MU</t>
  </si>
  <si>
    <t>&lt;- BASED ON HIGHER POP PERCENATAGE</t>
  </si>
  <si>
    <t>Total 2018</t>
  </si>
  <si>
    <t>Pain Relievers 2018</t>
  </si>
  <si>
    <t>Heroin 2018</t>
  </si>
  <si>
    <t>Heroin 2019</t>
  </si>
  <si>
    <t>Pain Relievers 2019</t>
  </si>
  <si>
    <t>Total 2019</t>
  </si>
  <si>
    <t>weighted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</si>
</sst>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2" formatCode="0.000"/>
  </numFmts>
  <fonts count="9" x14ac:knownFonts="1">
    <font>
      <sz val="11"/>
      <color theme="1"/>
      <name val="Calibri"/>
      <family val="2"/>
      <scheme val="minor"/>
    </font>
    <font>
      <sz val="11"/>
      <color theme="1"/>
      <name val="Calibri"/>
      <family val="2"/>
      <scheme val="minor"/>
    </font>
    <font>
      <b/>
      <sz val="14"/>
      <color rgb="FF000000"/>
      <name val="Times New Roman"/>
      <family val="1"/>
    </font>
    <font>
      <sz val="14"/>
      <color rgb="FF000000"/>
      <name val="Times New Roman"/>
      <family val="1"/>
    </font>
    <font>
      <vertAlign val="superscript"/>
      <sz val="6"/>
      <color rgb="FF000000"/>
      <name val="Times New Roman"/>
      <family val="1"/>
    </font>
    <font>
      <b/>
      <sz val="11"/>
      <color theme="1"/>
      <name val="Calibri"/>
      <family val="2"/>
      <scheme val="minor"/>
    </font>
    <font>
      <vertAlign val="superscript"/>
      <sz val="8"/>
      <color rgb="FF000000"/>
      <name val="Times New Roman"/>
      <family val="1"/>
    </font>
    <font>
      <sz val="8"/>
      <color rgb="FF000000"/>
      <name val="Times New Roman"/>
      <family val="1"/>
    </font>
    <font>
      <i/>
      <sz val="8"/>
      <color rgb="FF000000"/>
      <name val="Times New Roman"/>
      <family val="1"/>
    </font>
  </fonts>
  <fills count="6">
    <fill>
      <patternFill patternType="none"/>
    </fill>
    <fill>
      <patternFill patternType="gray125"/>
    </fill>
    <fill>
      <patternFill patternType="solid">
        <fgColor rgb="FFF9F9F9"/>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13">
    <border>
      <left/>
      <right/>
      <top/>
      <bottom/>
      <diagonal/>
    </border>
    <border>
      <left style="medium">
        <color rgb="FF111111"/>
      </left>
      <right style="medium">
        <color rgb="FF111111"/>
      </right>
      <top style="medium">
        <color rgb="FF111111"/>
      </top>
      <bottom style="medium">
        <color rgb="FF111111"/>
      </bottom>
      <diagonal/>
    </border>
    <border>
      <left style="medium">
        <color rgb="FF111111"/>
      </left>
      <right style="medium">
        <color rgb="FF111111"/>
      </right>
      <top style="medium">
        <color rgb="FF111111"/>
      </top>
      <bottom/>
      <diagonal/>
    </border>
    <border>
      <left style="medium">
        <color rgb="FF111111"/>
      </left>
      <right style="medium">
        <color rgb="FF111111"/>
      </right>
      <top/>
      <bottom style="medium">
        <color rgb="FF111111"/>
      </bottom>
      <diagonal/>
    </border>
    <border>
      <left style="medium">
        <color rgb="FF111111"/>
      </left>
      <right/>
      <top/>
      <bottom/>
      <diagonal/>
    </border>
    <border>
      <left style="medium">
        <color rgb="FF111111"/>
      </left>
      <right style="medium">
        <color rgb="FF111111"/>
      </right>
      <top/>
      <bottom/>
      <diagonal/>
    </border>
    <border>
      <left style="medium">
        <color rgb="FF111111"/>
      </left>
      <right/>
      <top style="medium">
        <color rgb="FF111111"/>
      </top>
      <bottom/>
      <diagonal/>
    </border>
    <border>
      <left/>
      <right style="medium">
        <color rgb="FF111111"/>
      </right>
      <top style="medium">
        <color rgb="FF111111"/>
      </top>
      <bottom/>
      <diagonal/>
    </border>
    <border>
      <left/>
      <right style="medium">
        <color rgb="FF111111"/>
      </right>
      <top/>
      <bottom/>
      <diagonal/>
    </border>
    <border>
      <left style="medium">
        <color rgb="FF111111"/>
      </left>
      <right/>
      <top/>
      <bottom style="medium">
        <color rgb="FF111111"/>
      </bottom>
      <diagonal/>
    </border>
    <border>
      <left/>
      <right style="medium">
        <color rgb="FF111111"/>
      </right>
      <top/>
      <bottom style="medium">
        <color rgb="FF111111"/>
      </bottom>
      <diagonal/>
    </border>
    <border>
      <left/>
      <right/>
      <top style="medium">
        <color rgb="FF111111"/>
      </top>
      <bottom/>
      <diagonal/>
    </border>
    <border>
      <left/>
      <right/>
      <top/>
      <bottom style="medium">
        <color rgb="FF111111"/>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left" vertical="center" indent="1"/>
    </xf>
    <xf numFmtId="3" fontId="3" fillId="2" borderId="1" xfId="0" applyNumberFormat="1" applyFont="1" applyFill="1" applyBorder="1" applyAlignment="1">
      <alignment horizontal="right" vertical="center" indent="1"/>
    </xf>
    <xf numFmtId="16" fontId="3" fillId="0" borderId="1" xfId="0" applyNumberFormat="1" applyFont="1" applyBorder="1" applyAlignment="1">
      <alignment horizontal="left" vertical="center" indent="2"/>
    </xf>
    <xf numFmtId="0" fontId="3" fillId="0" borderId="1" xfId="0" applyFont="1" applyBorder="1" applyAlignment="1">
      <alignment horizontal="right" vertical="center" indent="1"/>
    </xf>
    <xf numFmtId="3" fontId="3" fillId="0" borderId="1" xfId="0" applyNumberFormat="1" applyFont="1" applyBorder="1" applyAlignment="1">
      <alignment horizontal="right" vertical="center" indent="1"/>
    </xf>
    <xf numFmtId="0" fontId="3" fillId="2" borderId="1" xfId="0" applyFont="1" applyFill="1" applyBorder="1" applyAlignment="1">
      <alignment horizontal="left" vertical="center" indent="2"/>
    </xf>
    <xf numFmtId="16" fontId="2" fillId="0" borderId="1" xfId="0" applyNumberFormat="1" applyFont="1" applyBorder="1" applyAlignment="1">
      <alignment horizontal="left" vertical="center" indent="1"/>
    </xf>
    <xf numFmtId="16" fontId="3" fillId="2" borderId="1" xfId="0" applyNumberFormat="1" applyFont="1" applyFill="1" applyBorder="1" applyAlignment="1">
      <alignment horizontal="left" vertical="center" indent="2"/>
    </xf>
    <xf numFmtId="0" fontId="3" fillId="2" borderId="1" xfId="0" applyFont="1" applyFill="1" applyBorder="1" applyAlignment="1">
      <alignment horizontal="right" vertical="center" indent="1"/>
    </xf>
    <xf numFmtId="0" fontId="3" fillId="0" borderId="1" xfId="0" applyFont="1" applyBorder="1" applyAlignment="1">
      <alignment horizontal="left" vertical="center" indent="2"/>
    </xf>
    <xf numFmtId="0" fontId="3" fillId="0" borderId="1" xfId="0" applyFont="1" applyBorder="1" applyAlignment="1">
      <alignment horizontal="left" vertical="center" indent="1"/>
    </xf>
    <xf numFmtId="0" fontId="2" fillId="0" borderId="1" xfId="0" applyFont="1" applyBorder="1" applyAlignment="1">
      <alignment horizontal="left" vertical="center" indent="1"/>
    </xf>
    <xf numFmtId="0" fontId="3" fillId="2" borderId="1" xfId="0" applyFont="1" applyFill="1" applyBorder="1" applyAlignment="1">
      <alignment horizontal="left" vertical="center" indent="3"/>
    </xf>
    <xf numFmtId="0" fontId="3" fillId="0" borderId="1" xfId="0" applyFont="1" applyBorder="1" applyAlignment="1">
      <alignment horizontal="left" vertical="center" indent="3"/>
    </xf>
    <xf numFmtId="0" fontId="2" fillId="0" borderId="4" xfId="0" applyFont="1" applyBorder="1" applyAlignment="1">
      <alignment horizontal="center" vertical="center"/>
    </xf>
    <xf numFmtId="0" fontId="2" fillId="0" borderId="0" xfId="0" applyFont="1"/>
    <xf numFmtId="10" fontId="0" fillId="0" borderId="0" xfId="1" applyNumberFormat="1" applyFont="1"/>
    <xf numFmtId="0" fontId="2" fillId="0" borderId="2" xfId="0" applyFont="1" applyBorder="1" applyAlignment="1">
      <alignment horizontal="left" vertical="center" indent="1"/>
    </xf>
    <xf numFmtId="0" fontId="2" fillId="0" borderId="3" xfId="0" applyFont="1" applyBorder="1" applyAlignment="1">
      <alignment horizontal="left" vertical="center" indent="1"/>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3" fontId="0" fillId="0" borderId="0" xfId="0" applyNumberFormat="1"/>
    <xf numFmtId="0" fontId="3" fillId="0" borderId="1" xfId="0" applyFont="1" applyBorder="1" applyAlignment="1">
      <alignment horizontal="left" vertical="center" indent="4"/>
    </xf>
    <xf numFmtId="0" fontId="3" fillId="2" borderId="1" xfId="0" applyFont="1" applyFill="1" applyBorder="1" applyAlignment="1">
      <alignment horizontal="left" vertical="center" indent="4"/>
    </xf>
    <xf numFmtId="0" fontId="3" fillId="0" borderId="0" xfId="0" applyFont="1"/>
    <xf numFmtId="0" fontId="3" fillId="0" borderId="1" xfId="0" applyFont="1" applyBorder="1" applyAlignment="1">
      <alignment horizontal="left" vertical="center" indent="6"/>
    </xf>
    <xf numFmtId="0" fontId="3" fillId="2" borderId="1" xfId="0" applyFont="1" applyFill="1" applyBorder="1" applyAlignment="1">
      <alignment horizontal="left" vertical="center" indent="6"/>
    </xf>
    <xf numFmtId="0" fontId="7" fillId="0" borderId="6" xfId="0" applyFont="1" applyBorder="1" applyAlignment="1">
      <alignment horizontal="left" vertical="center" wrapText="1" indent="1"/>
    </xf>
    <xf numFmtId="0" fontId="7" fillId="0" borderId="4" xfId="0" applyFont="1" applyBorder="1" applyAlignment="1">
      <alignment horizontal="left" vertical="center" wrapText="1" indent="1"/>
    </xf>
    <xf numFmtId="0" fontId="4" fillId="0" borderId="4" xfId="0" applyFont="1" applyBorder="1" applyAlignment="1">
      <alignment horizontal="left" vertical="center" wrapText="1" indent="1"/>
    </xf>
    <xf numFmtId="0" fontId="0" fillId="0" borderId="12" xfId="0" applyBorder="1"/>
    <xf numFmtId="0" fontId="0" fillId="0" borderId="12" xfId="0" applyBorder="1" applyAlignment="1">
      <alignment horizontal="left" vertical="center"/>
    </xf>
    <xf numFmtId="0" fontId="2" fillId="0" borderId="5" xfId="0" applyFont="1" applyBorder="1" applyAlignment="1">
      <alignment horizontal="left" vertical="center" inden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7" fillId="0" borderId="11" xfId="0" applyFont="1" applyBorder="1" applyAlignment="1">
      <alignment horizontal="left" vertical="center" wrapText="1" indent="1"/>
    </xf>
    <xf numFmtId="0" fontId="7" fillId="0" borderId="7" xfId="0" applyFont="1" applyBorder="1" applyAlignment="1">
      <alignment horizontal="left" vertical="center" wrapText="1" indent="1"/>
    </xf>
    <xf numFmtId="0" fontId="7" fillId="0" borderId="0" xfId="0" applyFont="1" applyAlignment="1">
      <alignment horizontal="left" vertical="center" wrapText="1" indent="1"/>
    </xf>
    <xf numFmtId="0" fontId="7" fillId="0" borderId="8" xfId="0" applyFont="1" applyBorder="1" applyAlignment="1">
      <alignment horizontal="left" vertical="center" wrapText="1" indent="1"/>
    </xf>
    <xf numFmtId="0" fontId="4" fillId="0" borderId="0" xfId="0" applyFont="1" applyAlignment="1">
      <alignment horizontal="left" vertical="center" wrapText="1" indent="1"/>
    </xf>
    <xf numFmtId="0" fontId="4" fillId="0" borderId="8" xfId="0" applyFont="1" applyBorder="1" applyAlignment="1">
      <alignment horizontal="left" vertical="center" wrapText="1" indent="1"/>
    </xf>
    <xf numFmtId="0" fontId="3" fillId="3" borderId="1" xfId="0" applyFont="1" applyFill="1" applyBorder="1" applyAlignment="1">
      <alignment horizontal="right" vertical="center" indent="1"/>
    </xf>
    <xf numFmtId="0" fontId="3" fillId="3" borderId="1" xfId="0" applyFont="1" applyFill="1" applyBorder="1" applyAlignment="1">
      <alignment horizontal="left" vertical="center" indent="2"/>
    </xf>
    <xf numFmtId="0" fontId="0" fillId="3" borderId="0" xfId="0" applyFill="1"/>
    <xf numFmtId="0" fontId="3" fillId="3" borderId="1" xfId="0" applyFont="1" applyFill="1" applyBorder="1" applyAlignment="1">
      <alignment horizontal="left" vertical="center" indent="4"/>
    </xf>
    <xf numFmtId="3" fontId="3" fillId="3" borderId="1" xfId="0" applyNumberFormat="1" applyFont="1" applyFill="1" applyBorder="1" applyAlignment="1">
      <alignment horizontal="right" vertical="center" indent="1"/>
    </xf>
    <xf numFmtId="0" fontId="0" fillId="0" borderId="0" xfId="0" applyAlignment="1">
      <alignment wrapText="1"/>
    </xf>
    <xf numFmtId="0" fontId="3" fillId="2" borderId="1" xfId="0" applyFont="1" applyFill="1" applyBorder="1" applyAlignment="1">
      <alignment horizontal="left" vertical="center" wrapText="1"/>
    </xf>
    <xf numFmtId="3" fontId="0" fillId="0" borderId="0" xfId="0" applyNumberFormat="1" applyAlignment="1">
      <alignment wrapText="1"/>
    </xf>
    <xf numFmtId="164" fontId="0" fillId="0" borderId="0" xfId="1" applyNumberFormat="1" applyFont="1"/>
    <xf numFmtId="164" fontId="0" fillId="0" borderId="0" xfId="0" applyNumberFormat="1"/>
    <xf numFmtId="0" fontId="5" fillId="0" borderId="0" xfId="0" applyFont="1"/>
    <xf numFmtId="0" fontId="0" fillId="4" borderId="0" xfId="0" applyFill="1"/>
    <xf numFmtId="0" fontId="2" fillId="0" borderId="2" xfId="0" applyFont="1" applyBorder="1" applyAlignment="1">
      <alignment horizontal="left" vertical="center" indent="1"/>
    </xf>
    <xf numFmtId="0" fontId="2" fillId="0" borderId="3" xfId="0" applyFont="1" applyBorder="1" applyAlignment="1">
      <alignment horizontal="left" vertical="center" indent="1"/>
    </xf>
    <xf numFmtId="0" fontId="7" fillId="0" borderId="4" xfId="0" applyFont="1" applyBorder="1" applyAlignment="1">
      <alignment horizontal="left" vertical="center" wrapText="1" indent="1"/>
    </xf>
    <xf numFmtId="0" fontId="7" fillId="0" borderId="0" xfId="0" applyFont="1" applyAlignment="1">
      <alignment horizontal="left" vertical="center" wrapText="1" indent="1"/>
    </xf>
    <xf numFmtId="0" fontId="7" fillId="0" borderId="8" xfId="0" applyFont="1" applyBorder="1" applyAlignment="1">
      <alignment horizontal="left" vertical="center" wrapText="1" indent="1"/>
    </xf>
    <xf numFmtId="0" fontId="7" fillId="0" borderId="9" xfId="0" applyFont="1" applyBorder="1" applyAlignment="1">
      <alignment horizontal="left" vertical="center" wrapText="1" indent="1"/>
    </xf>
    <xf numFmtId="0" fontId="7" fillId="0" borderId="12" xfId="0" applyFont="1" applyBorder="1" applyAlignment="1">
      <alignment horizontal="left" vertical="center" wrapText="1" indent="1"/>
    </xf>
    <xf numFmtId="0" fontId="7" fillId="0" borderId="10" xfId="0" applyFont="1" applyBorder="1" applyAlignment="1">
      <alignment horizontal="left" vertical="center" wrapText="1" indent="1"/>
    </xf>
    <xf numFmtId="0" fontId="2" fillId="0" borderId="4"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7" fillId="0" borderId="6" xfId="0" applyFont="1" applyBorder="1" applyAlignment="1">
      <alignment horizontal="left" vertical="center" wrapText="1" indent="1"/>
    </xf>
    <xf numFmtId="0" fontId="7" fillId="0" borderId="11" xfId="0" applyFont="1" applyBorder="1" applyAlignment="1">
      <alignment horizontal="left" vertical="center" wrapText="1" indent="1"/>
    </xf>
    <xf numFmtId="0" fontId="7" fillId="0" borderId="7"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0" xfId="0" applyFont="1" applyAlignment="1">
      <alignment horizontal="left" vertical="center" wrapText="1" indent="1"/>
    </xf>
    <xf numFmtId="0" fontId="4" fillId="0" borderId="8" xfId="0" applyFont="1" applyBorder="1" applyAlignment="1">
      <alignment horizontal="left" vertical="center" wrapText="1" inden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2" fillId="0" borderId="5" xfId="0" applyFont="1" applyBorder="1" applyAlignment="1">
      <alignment horizontal="left" vertical="center" indent="1"/>
    </xf>
    <xf numFmtId="0" fontId="0" fillId="5" borderId="0" xfId="0" applyFill="1"/>
    <xf numFmtId="164" fontId="0" fillId="5" borderId="0" xfId="0" applyNumberFormat="1" applyFill="1"/>
    <xf numFmtId="2" fontId="0" fillId="3" borderId="0" xfId="0" applyNumberFormat="1" applyFill="1"/>
    <xf numFmtId="172" fontId="0" fillId="5" borderId="0" xfId="0" applyNumberFormat="1" applyFill="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76"/>
  <sheetViews>
    <sheetView tabSelected="1" topLeftCell="C29" workbookViewId="0">
      <selection activeCell="E40" sqref="E40"/>
    </sheetView>
  </sheetViews>
  <sheetFormatPr defaultRowHeight="14.5" x14ac:dyDescent="0.35"/>
  <cols>
    <col min="1" max="1" width="17.1796875" bestFit="1" customWidth="1"/>
    <col min="2" max="3" width="23.08984375" bestFit="1" customWidth="1"/>
    <col min="4" max="4" width="8.90625" customWidth="1"/>
    <col min="5" max="5" width="25.08984375" bestFit="1" customWidth="1"/>
    <col min="7" max="7" width="19.1796875" bestFit="1" customWidth="1"/>
  </cols>
  <sheetData>
    <row r="2" spans="1:15" ht="18" thickBot="1" x14ac:dyDescent="0.4">
      <c r="A2" s="18" t="s">
        <v>31</v>
      </c>
    </row>
    <row r="3" spans="1:15" ht="17.5" x14ac:dyDescent="0.35">
      <c r="A3" s="58" t="s">
        <v>0</v>
      </c>
      <c r="B3" s="1" t="s">
        <v>1</v>
      </c>
      <c r="C3" s="1" t="s">
        <v>1</v>
      </c>
      <c r="D3" s="1" t="s">
        <v>2</v>
      </c>
      <c r="E3" s="1" t="s">
        <v>2</v>
      </c>
      <c r="G3" s="17"/>
    </row>
    <row r="4" spans="1:15" ht="18" thickBot="1" x14ac:dyDescent="0.4">
      <c r="A4" s="59"/>
      <c r="B4" s="2">
        <v>-2018</v>
      </c>
      <c r="C4" s="2">
        <v>-2019</v>
      </c>
      <c r="D4" s="2">
        <v>-2018</v>
      </c>
      <c r="E4" s="2">
        <v>-2019</v>
      </c>
    </row>
    <row r="5" spans="1:15" ht="18.5" thickBot="1" x14ac:dyDescent="0.4">
      <c r="A5" s="3" t="s">
        <v>3</v>
      </c>
      <c r="B5" s="4">
        <v>10250</v>
      </c>
      <c r="C5" s="4">
        <v>10065</v>
      </c>
      <c r="D5" s="4">
        <v>3042</v>
      </c>
      <c r="E5" s="4">
        <v>3101</v>
      </c>
      <c r="G5" s="19"/>
      <c r="H5" s="19"/>
      <c r="I5" s="19"/>
      <c r="J5" s="19"/>
      <c r="L5" t="s">
        <v>33</v>
      </c>
    </row>
    <row r="6" spans="1:15" ht="18.5" thickBot="1" x14ac:dyDescent="0.4">
      <c r="A6" s="5" t="s">
        <v>24</v>
      </c>
      <c r="B6" s="7">
        <v>1410</v>
      </c>
      <c r="C6" s="7">
        <v>1145</v>
      </c>
      <c r="D6" s="6">
        <v>349</v>
      </c>
      <c r="E6" s="6">
        <v>305</v>
      </c>
      <c r="G6" s="19">
        <f>B6/B$5</f>
        <v>0.13756097560975611</v>
      </c>
      <c r="H6" s="19">
        <f t="shared" ref="H6:J6" si="0">C6/C$5</f>
        <v>0.1137605563835072</v>
      </c>
      <c r="I6" s="19">
        <f t="shared" si="0"/>
        <v>0.11472715318869164</v>
      </c>
      <c r="J6" s="19">
        <f t="shared" si="0"/>
        <v>9.8355369235730405E-2</v>
      </c>
      <c r="L6" s="19">
        <f>B6/B$5</f>
        <v>0.13756097560975611</v>
      </c>
      <c r="M6" s="19">
        <f t="shared" ref="M6:O6" si="1">C6/C$5</f>
        <v>0.1137605563835072</v>
      </c>
      <c r="N6" s="19">
        <f t="shared" si="1"/>
        <v>0.11472715318869164</v>
      </c>
      <c r="O6" s="19">
        <f t="shared" si="1"/>
        <v>9.8355369235730405E-2</v>
      </c>
    </row>
    <row r="7" spans="1:15" ht="18.5" thickBot="1" x14ac:dyDescent="0.4">
      <c r="A7" s="8" t="s">
        <v>4</v>
      </c>
      <c r="B7" s="4">
        <v>8840</v>
      </c>
      <c r="C7" s="4">
        <v>8920</v>
      </c>
      <c r="D7" s="4">
        <v>2693</v>
      </c>
      <c r="E7" s="4">
        <v>2796</v>
      </c>
      <c r="G7" s="19">
        <f t="shared" ref="G7:G28" si="2">B7/B$5</f>
        <v>0.86243902439024389</v>
      </c>
      <c r="H7" s="19">
        <f t="shared" ref="H7:H28" si="3">C7/C$5</f>
        <v>0.88623944361649276</v>
      </c>
      <c r="I7" s="19">
        <f t="shared" ref="I7:I28" si="4">D7/D$5</f>
        <v>0.88527284681130836</v>
      </c>
      <c r="J7" s="19">
        <f t="shared" ref="J7:J28" si="5">E7/E$5</f>
        <v>0.90164463076426959</v>
      </c>
      <c r="L7" s="19">
        <f>SUM(B6:B7)/B$5</f>
        <v>1</v>
      </c>
      <c r="M7" s="19">
        <f t="shared" ref="M7:O7" si="6">SUM(C6:C7)/C$5</f>
        <v>1</v>
      </c>
      <c r="N7" s="19">
        <f t="shared" si="6"/>
        <v>1</v>
      </c>
      <c r="O7" s="19">
        <f t="shared" si="6"/>
        <v>1</v>
      </c>
    </row>
    <row r="8" spans="1:15" ht="18.5" thickBot="1" x14ac:dyDescent="0.4">
      <c r="A8" s="9" t="s">
        <v>32</v>
      </c>
      <c r="B8" s="6">
        <v>699</v>
      </c>
      <c r="C8" s="6">
        <v>567</v>
      </c>
      <c r="D8" s="6">
        <v>169</v>
      </c>
      <c r="E8" s="6">
        <v>165</v>
      </c>
      <c r="G8" s="19">
        <f t="shared" si="2"/>
        <v>6.8195121951219517E-2</v>
      </c>
      <c r="H8" s="19">
        <f t="shared" si="3"/>
        <v>5.6333830104321907E-2</v>
      </c>
      <c r="I8" s="19">
        <f t="shared" si="4"/>
        <v>5.5555555555555552E-2</v>
      </c>
      <c r="J8" s="19">
        <f t="shared" si="5"/>
        <v>5.3208642373427928E-2</v>
      </c>
      <c r="L8" s="19">
        <f>SUM(B$8:B8)/B$5</f>
        <v>6.8195121951219517E-2</v>
      </c>
      <c r="M8" s="19">
        <f>SUM(C$8:C8)/C$5</f>
        <v>5.6333830104321907E-2</v>
      </c>
      <c r="N8" s="19">
        <f>SUM(D$8:D8)/D$5</f>
        <v>5.5555555555555552E-2</v>
      </c>
      <c r="O8" s="19">
        <f>SUM(E$8:E8)/E$5</f>
        <v>5.3208642373427928E-2</v>
      </c>
    </row>
    <row r="9" spans="1:15" ht="18.5" thickBot="1" x14ac:dyDescent="0.4">
      <c r="A9" s="10" t="s">
        <v>25</v>
      </c>
      <c r="B9" s="11">
        <v>128</v>
      </c>
      <c r="C9" s="11">
        <v>112</v>
      </c>
      <c r="D9" s="11">
        <v>26</v>
      </c>
      <c r="E9" s="11">
        <v>36</v>
      </c>
      <c r="G9" s="19">
        <f t="shared" si="2"/>
        <v>1.2487804878048781E-2</v>
      </c>
      <c r="H9" s="19">
        <f t="shared" si="3"/>
        <v>1.1127670144063587E-2</v>
      </c>
      <c r="I9" s="19">
        <f t="shared" si="4"/>
        <v>8.5470085470085479E-3</v>
      </c>
      <c r="J9" s="19">
        <f t="shared" si="5"/>
        <v>1.1609158336020638E-2</v>
      </c>
      <c r="L9" s="19">
        <f>SUM(B$9:B9)/B$5</f>
        <v>1.2487804878048781E-2</v>
      </c>
      <c r="M9" s="19">
        <f>SUM(C$9:C9)/C$5</f>
        <v>1.1127670144063587E-2</v>
      </c>
      <c r="N9" s="19">
        <f>SUM(D$9:D9)/D$5</f>
        <v>8.5470085470085479E-3</v>
      </c>
      <c r="O9" s="19">
        <f>SUM(E$9:E9)/E$5</f>
        <v>1.1609158336020638E-2</v>
      </c>
    </row>
    <row r="10" spans="1:15" ht="18.5" thickBot="1" x14ac:dyDescent="0.4">
      <c r="A10" s="12" t="s">
        <v>5</v>
      </c>
      <c r="B10" s="6">
        <v>213</v>
      </c>
      <c r="C10" s="6">
        <v>176</v>
      </c>
      <c r="D10" s="6">
        <v>50</v>
      </c>
      <c r="E10" s="6">
        <v>51</v>
      </c>
      <c r="G10" s="19">
        <f t="shared" si="2"/>
        <v>2.078048780487805E-2</v>
      </c>
      <c r="H10" s="19">
        <f t="shared" si="3"/>
        <v>1.7486338797814208E-2</v>
      </c>
      <c r="I10" s="19">
        <f t="shared" si="4"/>
        <v>1.6436554898093359E-2</v>
      </c>
      <c r="J10" s="19">
        <f t="shared" si="5"/>
        <v>1.6446307642695904E-2</v>
      </c>
      <c r="L10" s="19">
        <f>SUM(B$9:B10)/B$5</f>
        <v>3.3268292682926831E-2</v>
      </c>
      <c r="M10" s="19">
        <f>SUM(C$9:C10)/C$5</f>
        <v>2.8614008941877794E-2</v>
      </c>
      <c r="N10" s="19">
        <f>SUM(D$9:D10)/D$5</f>
        <v>2.4983563445101907E-2</v>
      </c>
      <c r="O10" s="19">
        <f>SUM(E$9:E10)/E$5</f>
        <v>2.8055465978716543E-2</v>
      </c>
    </row>
    <row r="11" spans="1:15" ht="18.5" thickBot="1" x14ac:dyDescent="0.4">
      <c r="A11" s="8" t="s">
        <v>6</v>
      </c>
      <c r="B11" s="11">
        <v>358</v>
      </c>
      <c r="C11" s="11">
        <v>278</v>
      </c>
      <c r="D11" s="11">
        <v>93</v>
      </c>
      <c r="E11" s="11">
        <v>77</v>
      </c>
      <c r="G11" s="19">
        <f t="shared" si="2"/>
        <v>3.4926829268292686E-2</v>
      </c>
      <c r="H11" s="19">
        <f t="shared" si="3"/>
        <v>2.7620466964729262E-2</v>
      </c>
      <c r="I11" s="19">
        <f t="shared" si="4"/>
        <v>3.0571992110453649E-2</v>
      </c>
      <c r="J11" s="19">
        <f t="shared" si="5"/>
        <v>2.4830699774266364E-2</v>
      </c>
      <c r="L11" s="19">
        <f>SUM(B$9:B11)/B$5</f>
        <v>6.8195121951219517E-2</v>
      </c>
      <c r="M11" s="19">
        <f>SUM(C$9:C11)/C$5</f>
        <v>5.6234475906607052E-2</v>
      </c>
      <c r="N11" s="19">
        <f>SUM(D$9:D11)/D$5</f>
        <v>5.5555555555555552E-2</v>
      </c>
      <c r="O11" s="19">
        <f>SUM(E$9:E11)/E$5</f>
        <v>5.2886165752982911E-2</v>
      </c>
    </row>
    <row r="12" spans="1:15" ht="18.5" thickBot="1" x14ac:dyDescent="0.4">
      <c r="A12" s="13" t="s">
        <v>7</v>
      </c>
      <c r="B12" s="7">
        <v>2253</v>
      </c>
      <c r="C12" s="7">
        <v>2054</v>
      </c>
      <c r="D12" s="6">
        <v>601</v>
      </c>
      <c r="E12" s="6">
        <v>517</v>
      </c>
      <c r="G12" s="19">
        <f t="shared" si="2"/>
        <v>0.21980487804878049</v>
      </c>
      <c r="H12" s="19">
        <f t="shared" si="3"/>
        <v>0.204073522106309</v>
      </c>
      <c r="I12" s="19">
        <f t="shared" si="4"/>
        <v>0.19756738987508218</v>
      </c>
      <c r="J12" s="19">
        <f t="shared" si="5"/>
        <v>0.16672041277007418</v>
      </c>
      <c r="L12" s="19">
        <f>SUM(B$9:B10,B12)/B$5</f>
        <v>0.25307317073170732</v>
      </c>
      <c r="M12" s="19">
        <f>SUM(C$9:C10,C12)/C$5</f>
        <v>0.23268753104818679</v>
      </c>
      <c r="N12" s="19">
        <f>SUM(D$9:D10,D12)/D$5</f>
        <v>0.2225509533201841</v>
      </c>
      <c r="O12" s="19">
        <f>SUM(E$9:E10,E12)/E$5</f>
        <v>0.19477587874879071</v>
      </c>
    </row>
    <row r="13" spans="1:15" ht="18.5" thickBot="1" x14ac:dyDescent="0.4">
      <c r="A13" s="3" t="s">
        <v>8</v>
      </c>
      <c r="B13" s="4">
        <v>9551</v>
      </c>
      <c r="C13" s="4">
        <v>9499</v>
      </c>
      <c r="D13" s="4">
        <v>2874</v>
      </c>
      <c r="E13" s="4">
        <v>2936</v>
      </c>
      <c r="G13" s="19">
        <f t="shared" si="2"/>
        <v>0.93180487804878054</v>
      </c>
      <c r="H13" s="19">
        <f t="shared" si="3"/>
        <v>0.94376552409339298</v>
      </c>
      <c r="I13" s="19">
        <f t="shared" si="4"/>
        <v>0.94477317554240636</v>
      </c>
      <c r="J13" s="19">
        <f t="shared" si="5"/>
        <v>0.94679135762657207</v>
      </c>
      <c r="L13" s="19">
        <f>SUM(B$9:B11,B13)/B$5</f>
        <v>1</v>
      </c>
      <c r="M13" s="19">
        <f>SUM(C$9:C11,C13)/C$5</f>
        <v>1</v>
      </c>
      <c r="N13" s="19">
        <f>SUM(D$9:D11,D13)/D$5</f>
        <v>1.0003287310979618</v>
      </c>
      <c r="O13" s="19">
        <f>SUM(E$9:E11,E13)/E$5</f>
        <v>0.99967752337955496</v>
      </c>
    </row>
    <row r="14" spans="1:15" ht="18.5" thickBot="1" x14ac:dyDescent="0.4">
      <c r="A14" s="14" t="s">
        <v>9</v>
      </c>
      <c r="B14" s="7">
        <v>1895</v>
      </c>
      <c r="C14" s="7">
        <v>1776</v>
      </c>
      <c r="D14" s="6">
        <v>508</v>
      </c>
      <c r="E14" s="6">
        <v>439</v>
      </c>
      <c r="G14" s="19">
        <f t="shared" si="2"/>
        <v>0.1848780487804878</v>
      </c>
      <c r="H14" s="19">
        <f t="shared" si="3"/>
        <v>0.17645305514157975</v>
      </c>
      <c r="I14" s="19">
        <f t="shared" si="4"/>
        <v>0.16699539776462854</v>
      </c>
      <c r="J14" s="19">
        <f t="shared" si="5"/>
        <v>0.14156723637536278</v>
      </c>
      <c r="L14" s="19">
        <f>SUM(B$8,B14)/B$5</f>
        <v>0.25307317073170732</v>
      </c>
      <c r="M14" s="19">
        <f t="shared" ref="M14:O14" si="7">SUM(C$8,C14)/C$5</f>
        <v>0.23278688524590163</v>
      </c>
      <c r="N14" s="19">
        <f t="shared" si="7"/>
        <v>0.2225509533201841</v>
      </c>
      <c r="O14" s="19">
        <f t="shared" si="7"/>
        <v>0.19477587874879071</v>
      </c>
    </row>
    <row r="15" spans="1:15" ht="18.5" thickBot="1" x14ac:dyDescent="0.4">
      <c r="A15" s="8" t="s">
        <v>10</v>
      </c>
      <c r="B15" s="11">
        <v>711</v>
      </c>
      <c r="C15" s="11">
        <v>578</v>
      </c>
      <c r="D15" s="11">
        <v>181</v>
      </c>
      <c r="E15" s="11">
        <v>140</v>
      </c>
      <c r="G15" s="19">
        <f t="shared" si="2"/>
        <v>6.9365853658536591E-2</v>
      </c>
      <c r="H15" s="19">
        <f t="shared" si="3"/>
        <v>5.7426726279185297E-2</v>
      </c>
      <c r="I15" s="19">
        <f t="shared" si="4"/>
        <v>5.9500328731097965E-2</v>
      </c>
      <c r="J15" s="19">
        <f t="shared" si="5"/>
        <v>4.5146726862302484E-2</v>
      </c>
      <c r="L15" s="19">
        <f>SUM(B$8,B$15:B15)/B$5</f>
        <v>0.13756097560975611</v>
      </c>
      <c r="M15" s="19">
        <f>SUM(C$8,C$15:C15)/C$5</f>
        <v>0.1137605563835072</v>
      </c>
      <c r="N15" s="19">
        <f>SUM(D$8,D$15:D15)/D$5</f>
        <v>0.11505588428665352</v>
      </c>
      <c r="O15" s="19">
        <f>SUM(E$8,E$15:E15)/E$5</f>
        <v>9.8355369235730405E-2</v>
      </c>
    </row>
    <row r="16" spans="1:15" ht="18.5" thickBot="1" x14ac:dyDescent="0.4">
      <c r="A16" s="12" t="s">
        <v>11</v>
      </c>
      <c r="B16" s="7">
        <v>1184</v>
      </c>
      <c r="C16" s="7">
        <v>1197</v>
      </c>
      <c r="D16" s="6">
        <v>327</v>
      </c>
      <c r="E16" s="6">
        <v>300</v>
      </c>
      <c r="G16" s="19">
        <f t="shared" si="2"/>
        <v>0.11551219512195122</v>
      </c>
      <c r="H16" s="19">
        <f t="shared" si="3"/>
        <v>0.11892697466467958</v>
      </c>
      <c r="I16" s="19">
        <f t="shared" si="4"/>
        <v>0.10749506903353057</v>
      </c>
      <c r="J16" s="19">
        <f t="shared" si="5"/>
        <v>9.6742986133505321E-2</v>
      </c>
      <c r="L16" s="19">
        <f>SUM(B$8,B$15:B16)/B$5</f>
        <v>0.25307317073170732</v>
      </c>
      <c r="M16" s="19">
        <f>SUM(C$8,C$15:C16)/C$5</f>
        <v>0.23268753104818679</v>
      </c>
      <c r="N16" s="19">
        <f>SUM(D$8,D$15:D16)/D$5</f>
        <v>0.2225509533201841</v>
      </c>
      <c r="O16" s="19">
        <f>SUM(E$8,E$15:E16)/E$5</f>
        <v>0.19509835536923573</v>
      </c>
    </row>
    <row r="17" spans="1:15" ht="18.5" thickBot="1" x14ac:dyDescent="0.4">
      <c r="A17" s="3" t="s">
        <v>12</v>
      </c>
      <c r="B17" s="4">
        <v>7656</v>
      </c>
      <c r="C17" s="4">
        <v>7723</v>
      </c>
      <c r="D17" s="4">
        <v>2366</v>
      </c>
      <c r="E17" s="4">
        <v>2497</v>
      </c>
      <c r="G17" s="19">
        <f t="shared" si="2"/>
        <v>0.74692682926829268</v>
      </c>
      <c r="H17" s="19">
        <f t="shared" si="3"/>
        <v>0.76731246895181326</v>
      </c>
      <c r="I17" s="19">
        <f t="shared" si="4"/>
        <v>0.77777777777777779</v>
      </c>
      <c r="J17" s="19">
        <f t="shared" si="5"/>
        <v>0.80522412125120923</v>
      </c>
      <c r="L17" s="19">
        <f>SUM(B$8,B$15:B17)/B$5</f>
        <v>1</v>
      </c>
      <c r="M17" s="19">
        <f>SUM(C$8,C$15:C17)/C$5</f>
        <v>1</v>
      </c>
      <c r="N17" s="19">
        <f>SUM(D$8,D$15:D17)/D$5</f>
        <v>1.0003287310979618</v>
      </c>
      <c r="O17" s="19">
        <f>SUM(E$8,E$15:E17)/E$5</f>
        <v>1.000322476620445</v>
      </c>
    </row>
    <row r="18" spans="1:15" ht="18.5" thickBot="1" x14ac:dyDescent="0.4">
      <c r="A18" s="12" t="s">
        <v>13</v>
      </c>
      <c r="B18" s="7">
        <v>4913</v>
      </c>
      <c r="C18" s="7">
        <v>4971</v>
      </c>
      <c r="D18" s="7">
        <v>1599</v>
      </c>
      <c r="E18" s="7">
        <v>1514</v>
      </c>
      <c r="G18" s="19">
        <f t="shared" si="2"/>
        <v>0.47931707317073169</v>
      </c>
      <c r="H18" s="19">
        <f t="shared" si="3"/>
        <v>0.49388971684053651</v>
      </c>
      <c r="I18" s="19">
        <f t="shared" si="4"/>
        <v>0.52564102564102566</v>
      </c>
      <c r="J18" s="19">
        <f t="shared" si="5"/>
        <v>0.48822960335375687</v>
      </c>
      <c r="L18" s="19">
        <f>SUM(B$8,B$14,B$18:B18)/B$5</f>
        <v>0.73239024390243901</v>
      </c>
      <c r="M18" s="19">
        <f>SUM(C$8,C$14,C$18:C18)/C$5</f>
        <v>0.72667660208643814</v>
      </c>
      <c r="N18" s="19">
        <f>SUM(D$8,D$14,D$18:D18)/D$5</f>
        <v>0.7481919789612097</v>
      </c>
      <c r="O18" s="19">
        <f>SUM(E$8,E$14,E$18:E18)/E$5</f>
        <v>0.68300548210254752</v>
      </c>
    </row>
    <row r="19" spans="1:15" ht="18.5" thickBot="1" x14ac:dyDescent="0.4">
      <c r="A19" s="15" t="s">
        <v>14</v>
      </c>
      <c r="B19" s="11">
        <v>986</v>
      </c>
      <c r="C19" s="4">
        <v>1041</v>
      </c>
      <c r="D19" s="11">
        <v>301</v>
      </c>
      <c r="E19" s="11">
        <v>351</v>
      </c>
      <c r="G19" s="19">
        <f t="shared" si="2"/>
        <v>9.6195121951219514E-2</v>
      </c>
      <c r="H19" s="19">
        <f t="shared" si="3"/>
        <v>0.10342771982116244</v>
      </c>
      <c r="I19" s="19">
        <f t="shared" si="4"/>
        <v>9.8948060486522021E-2</v>
      </c>
      <c r="J19" s="19">
        <f t="shared" si="5"/>
        <v>0.11318929377620122</v>
      </c>
      <c r="L19" s="19">
        <f>SUM(B$8,B$14,B$19:B19)/B$5</f>
        <v>0.34926829268292681</v>
      </c>
      <c r="M19" s="19">
        <f>SUM(C$8,C$14,C$19:C19)/C$5</f>
        <v>0.33621460506706408</v>
      </c>
      <c r="N19" s="19">
        <f>SUM(D$8,D$14,D$19:D19)/D$5</f>
        <v>0.32149901380670609</v>
      </c>
      <c r="O19" s="19">
        <f>SUM(E$8,E$14,E$19:E19)/E$5</f>
        <v>0.30796517252499195</v>
      </c>
    </row>
    <row r="20" spans="1:15" ht="18.5" thickBot="1" x14ac:dyDescent="0.4">
      <c r="A20" s="16" t="s">
        <v>15</v>
      </c>
      <c r="B20" s="7">
        <v>1308</v>
      </c>
      <c r="C20" s="7">
        <v>1271</v>
      </c>
      <c r="D20" s="6">
        <v>396</v>
      </c>
      <c r="E20" s="6">
        <v>351</v>
      </c>
      <c r="G20" s="19">
        <f t="shared" si="2"/>
        <v>0.12760975609756098</v>
      </c>
      <c r="H20" s="19">
        <f t="shared" si="3"/>
        <v>0.12627918529557874</v>
      </c>
      <c r="I20" s="19">
        <f t="shared" si="4"/>
        <v>0.13017751479289941</v>
      </c>
      <c r="J20" s="19">
        <f t="shared" si="5"/>
        <v>0.11318929377620122</v>
      </c>
      <c r="L20" s="19">
        <f>SUM(B$8,B$14,B$19:B20)/B$5</f>
        <v>0.47687804878048778</v>
      </c>
      <c r="M20" s="19">
        <f>SUM(C$8,C$14,C$19:C20)/C$5</f>
        <v>0.46249379036264282</v>
      </c>
      <c r="N20" s="19">
        <f>SUM(D$8,D$14,D$19:D20)/D$5</f>
        <v>0.4516765285996055</v>
      </c>
      <c r="O20" s="19">
        <f>SUM(E$8,E$14,E$19:E20)/E$5</f>
        <v>0.42115446630119319</v>
      </c>
    </row>
    <row r="21" spans="1:15" ht="18.5" thickBot="1" x14ac:dyDescent="0.4">
      <c r="A21" s="15" t="s">
        <v>16</v>
      </c>
      <c r="B21" s="4">
        <v>1123</v>
      </c>
      <c r="C21" s="4">
        <v>1126</v>
      </c>
      <c r="D21" s="11">
        <v>366</v>
      </c>
      <c r="E21" s="11">
        <v>328</v>
      </c>
      <c r="G21" s="19">
        <f t="shared" si="2"/>
        <v>0.1095609756097561</v>
      </c>
      <c r="H21" s="19">
        <f t="shared" si="3"/>
        <v>0.11187282662692499</v>
      </c>
      <c r="I21" s="19">
        <f t="shared" si="4"/>
        <v>0.1203155818540434</v>
      </c>
      <c r="J21" s="19">
        <f t="shared" si="5"/>
        <v>0.10577233150596582</v>
      </c>
      <c r="L21" s="19">
        <f>SUM(B$8,B$14,B$19:B21)/B$5</f>
        <v>0.58643902439024387</v>
      </c>
      <c r="M21" s="19">
        <f>SUM(C$8,C$14,C$19:C21)/C$5</f>
        <v>0.57436661698956781</v>
      </c>
      <c r="N21" s="19">
        <f>SUM(D$8,D$14,D$19:D21)/D$5</f>
        <v>0.57199211045364895</v>
      </c>
      <c r="O21" s="19">
        <f>SUM(E$8,E$14,E$19:E21)/E$5</f>
        <v>0.52692679780715901</v>
      </c>
    </row>
    <row r="22" spans="1:15" ht="18.5" thickBot="1" x14ac:dyDescent="0.4">
      <c r="A22" s="16" t="s">
        <v>17</v>
      </c>
      <c r="B22" s="6">
        <v>788</v>
      </c>
      <c r="C22" s="6">
        <v>821</v>
      </c>
      <c r="D22" s="6">
        <v>275</v>
      </c>
      <c r="E22" s="6">
        <v>222</v>
      </c>
      <c r="G22" s="19">
        <f t="shared" si="2"/>
        <v>7.6878048780487804E-2</v>
      </c>
      <c r="H22" s="19">
        <f t="shared" si="3"/>
        <v>8.1569796323894689E-2</v>
      </c>
      <c r="I22" s="19">
        <f t="shared" si="4"/>
        <v>9.0401051939513477E-2</v>
      </c>
      <c r="J22" s="19">
        <f t="shared" si="5"/>
        <v>7.1589809738793933E-2</v>
      </c>
      <c r="L22" s="19">
        <f>SUM(B$8,B$14,B$19:B22)/B$5</f>
        <v>0.66331707317073174</v>
      </c>
      <c r="M22" s="19">
        <f>SUM(C$8,C$14,C$19:C22)/C$5</f>
        <v>0.65593641331346253</v>
      </c>
      <c r="N22" s="19">
        <f>SUM(D$8,D$14,D$19:D22)/D$5</f>
        <v>0.66239316239316237</v>
      </c>
      <c r="O22" s="19">
        <f>SUM(E$8,E$14,E$19:E22)/E$5</f>
        <v>0.59851660754595293</v>
      </c>
    </row>
    <row r="23" spans="1:15" ht="18.5" thickBot="1" x14ac:dyDescent="0.4">
      <c r="A23" s="15" t="s">
        <v>18</v>
      </c>
      <c r="B23" s="11">
        <v>708</v>
      </c>
      <c r="C23" s="11">
        <v>712</v>
      </c>
      <c r="D23" s="11">
        <v>261</v>
      </c>
      <c r="E23" s="11">
        <v>262</v>
      </c>
      <c r="G23" s="19">
        <f t="shared" si="2"/>
        <v>6.9073170731707323E-2</v>
      </c>
      <c r="H23" s="19">
        <f t="shared" si="3"/>
        <v>7.0740188772975665E-2</v>
      </c>
      <c r="I23" s="19">
        <f t="shared" si="4"/>
        <v>8.5798816568047331E-2</v>
      </c>
      <c r="J23" s="19">
        <f t="shared" si="5"/>
        <v>8.4488874556594651E-2</v>
      </c>
      <c r="L23" s="19">
        <f>SUM(B$8,B$14,B$19:B23)/B$5</f>
        <v>0.73239024390243901</v>
      </c>
      <c r="M23" s="19">
        <f>SUM(C$8,C$14,C$19:C23)/C$5</f>
        <v>0.72667660208643814</v>
      </c>
      <c r="N23" s="19">
        <f>SUM(D$8,D$14,D$19:D23)/D$5</f>
        <v>0.7481919789612097</v>
      </c>
      <c r="O23" s="19">
        <f>SUM(E$8,E$14,E$19:E23)/E$5</f>
        <v>0.68300548210254752</v>
      </c>
    </row>
    <row r="24" spans="1:15" ht="18.5" thickBot="1" x14ac:dyDescent="0.4">
      <c r="A24" s="12" t="s">
        <v>19</v>
      </c>
      <c r="B24" s="7">
        <v>2743</v>
      </c>
      <c r="C24" s="7">
        <v>2752</v>
      </c>
      <c r="D24" s="6">
        <v>766</v>
      </c>
      <c r="E24" s="6">
        <v>983</v>
      </c>
      <c r="G24" s="19">
        <f t="shared" si="2"/>
        <v>0.26760975609756099</v>
      </c>
      <c r="H24" s="19">
        <f t="shared" si="3"/>
        <v>0.2734227521112767</v>
      </c>
      <c r="I24" s="19">
        <f t="shared" si="4"/>
        <v>0.2518080210387903</v>
      </c>
      <c r="J24" s="19">
        <f t="shared" si="5"/>
        <v>0.31699451789745242</v>
      </c>
      <c r="L24" s="19">
        <f>SUM(B$8,B$14,B$19:B24)/B$5</f>
        <v>1</v>
      </c>
      <c r="M24" s="19">
        <f>SUM(C$8,C$14,C$19:C24)/C$5</f>
        <v>1.0000993541977148</v>
      </c>
      <c r="N24" s="19">
        <f>SUM(D$8,D$14,D$19:D24)/D$5</f>
        <v>1</v>
      </c>
      <c r="O24" s="19">
        <f>SUM(E$8,E$14,E$19:E24)/E$5</f>
        <v>1</v>
      </c>
    </row>
    <row r="25" spans="1:15" ht="18.5" thickBot="1" x14ac:dyDescent="0.4">
      <c r="A25" s="15" t="s">
        <v>20</v>
      </c>
      <c r="B25" s="11">
        <v>751</v>
      </c>
      <c r="C25" s="11">
        <v>657</v>
      </c>
      <c r="D25" s="11">
        <v>188</v>
      </c>
      <c r="E25" s="11">
        <v>237</v>
      </c>
      <c r="G25" s="19">
        <f t="shared" si="2"/>
        <v>7.3268292682926825E-2</v>
      </c>
      <c r="H25" s="19">
        <f t="shared" si="3"/>
        <v>6.5275707898658719E-2</v>
      </c>
      <c r="I25" s="19">
        <f t="shared" si="4"/>
        <v>6.1801446416831031E-2</v>
      </c>
      <c r="J25" s="19">
        <f t="shared" si="5"/>
        <v>7.64269590454692E-2</v>
      </c>
      <c r="L25" s="19">
        <f>SUM(B$8,B$14,B$18, B$25:B25)/B$5</f>
        <v>0.8056585365853659</v>
      </c>
      <c r="M25" s="19">
        <f>SUM(C$8,C$14,C$18, C$25:C25)/C$5</f>
        <v>0.79195230998509691</v>
      </c>
      <c r="N25" s="19">
        <f>SUM(D$8,D$14,D$18, D$25:D25)/D$5</f>
        <v>0.80999342537804075</v>
      </c>
      <c r="O25" s="19">
        <f>SUM(E$8,E$14,E$18, E$25:E25)/E$5</f>
        <v>0.75943244114801678</v>
      </c>
    </row>
    <row r="26" spans="1:15" ht="18.5" thickBot="1" x14ac:dyDescent="0.4">
      <c r="A26" s="16" t="s">
        <v>21</v>
      </c>
      <c r="B26" s="6">
        <v>809</v>
      </c>
      <c r="C26" s="6">
        <v>680</v>
      </c>
      <c r="D26" s="6">
        <v>229</v>
      </c>
      <c r="E26" s="6">
        <v>248</v>
      </c>
      <c r="G26" s="19">
        <f t="shared" si="2"/>
        <v>7.8926829268292684E-2</v>
      </c>
      <c r="H26" s="19">
        <f t="shared" si="3"/>
        <v>6.7560854446100355E-2</v>
      </c>
      <c r="I26" s="19">
        <f t="shared" si="4"/>
        <v>7.5279421433267588E-2</v>
      </c>
      <c r="J26" s="19">
        <f t="shared" si="5"/>
        <v>7.99742018703644E-2</v>
      </c>
      <c r="L26" s="19">
        <f>SUM(B$8,B$14,B$18, B$25:B26)/B$5</f>
        <v>0.88458536585365855</v>
      </c>
      <c r="M26" s="19">
        <f>SUM(C$8,C$14,C$18, C$25:C26)/C$5</f>
        <v>0.85951316443119719</v>
      </c>
      <c r="N26" s="19">
        <f>SUM(D$8,D$14,D$18, D$25:D26)/D$5</f>
        <v>0.88527284681130836</v>
      </c>
      <c r="O26" s="19">
        <f>SUM(E$8,E$14,E$18, E$25:E26)/E$5</f>
        <v>0.83940664301838119</v>
      </c>
    </row>
    <row r="27" spans="1:15" ht="18.5" thickBot="1" x14ac:dyDescent="0.4">
      <c r="A27" s="15" t="s">
        <v>22</v>
      </c>
      <c r="B27" s="11">
        <v>496</v>
      </c>
      <c r="C27" s="11">
        <v>436</v>
      </c>
      <c r="D27" s="11">
        <v>152</v>
      </c>
      <c r="E27" s="11">
        <v>209</v>
      </c>
      <c r="G27" s="19">
        <f t="shared" si="2"/>
        <v>4.8390243902439026E-2</v>
      </c>
      <c r="H27" s="19">
        <f t="shared" si="3"/>
        <v>4.3318430203676109E-2</v>
      </c>
      <c r="I27" s="19">
        <f t="shared" si="4"/>
        <v>4.9967126890203814E-2</v>
      </c>
      <c r="J27" s="19">
        <f t="shared" si="5"/>
        <v>6.7397613673008713E-2</v>
      </c>
      <c r="L27" s="19">
        <f>SUM(B$8,B$14,B$18, B$25:B27)/B$5</f>
        <v>0.93297560975609761</v>
      </c>
      <c r="M27" s="19">
        <f>SUM(C$8,C$14,C$18, C$25:C27)/C$5</f>
        <v>0.90283159463487328</v>
      </c>
      <c r="N27" s="19">
        <f>SUM(D$8,D$14,D$18, D$25:D27)/D$5</f>
        <v>0.93523997370151213</v>
      </c>
      <c r="O27" s="19">
        <f>SUM(E$8,E$14,E$18, E$25:E27)/E$5</f>
        <v>0.90680425669138986</v>
      </c>
    </row>
    <row r="28" spans="1:15" ht="18.5" thickBot="1" x14ac:dyDescent="0.4">
      <c r="A28" s="16" t="s">
        <v>23</v>
      </c>
      <c r="B28" s="6">
        <v>688</v>
      </c>
      <c r="C28" s="6">
        <v>979</v>
      </c>
      <c r="D28" s="6">
        <v>198</v>
      </c>
      <c r="E28" s="6">
        <v>290</v>
      </c>
      <c r="G28" s="19">
        <f t="shared" si="2"/>
        <v>6.7121951219512199E-2</v>
      </c>
      <c r="H28" s="19">
        <f t="shared" si="3"/>
        <v>9.7267759562841533E-2</v>
      </c>
      <c r="I28" s="19">
        <f t="shared" si="4"/>
        <v>6.5088757396449703E-2</v>
      </c>
      <c r="J28" s="19">
        <f t="shared" si="5"/>
        <v>9.3518219929055138E-2</v>
      </c>
      <c r="L28" s="19">
        <f>SUM(B$8,B$14,B$18, B$25:B28)/B$5</f>
        <v>1.0000975609756098</v>
      </c>
      <c r="M28" s="19">
        <f>SUM(C$8,C$14,C$18, C$25:C28)/C$5</f>
        <v>1.0000993541977148</v>
      </c>
      <c r="N28" s="19">
        <f>SUM(D$8,D$14,D$18, D$25:D28)/D$5</f>
        <v>1.0003287310979618</v>
      </c>
      <c r="O28" s="19">
        <f>SUM(E$8,E$14,E$18, E$25:E28)/E$5</f>
        <v>1.000322476620445</v>
      </c>
    </row>
    <row r="29" spans="1:15" x14ac:dyDescent="0.35">
      <c r="L29" s="19"/>
      <c r="M29" s="19"/>
      <c r="N29" s="19"/>
      <c r="O29" s="19"/>
    </row>
    <row r="31" spans="1:15" ht="15" thickBot="1" x14ac:dyDescent="0.4">
      <c r="A31" t="s">
        <v>34</v>
      </c>
    </row>
    <row r="32" spans="1:15" ht="17.5" x14ac:dyDescent="0.35">
      <c r="A32" s="58" t="s">
        <v>0</v>
      </c>
      <c r="C32" s="1" t="s">
        <v>1</v>
      </c>
      <c r="D32" s="1" t="s">
        <v>1</v>
      </c>
      <c r="E32" t="s">
        <v>133</v>
      </c>
      <c r="G32" t="s">
        <v>143</v>
      </c>
    </row>
    <row r="33" spans="1:8" ht="18" thickBot="1" x14ac:dyDescent="0.4">
      <c r="A33" s="59"/>
      <c r="B33" t="s">
        <v>132</v>
      </c>
      <c r="C33" s="2">
        <v>-2018</v>
      </c>
      <c r="D33" s="2">
        <v>-2019</v>
      </c>
      <c r="E33" s="2">
        <v>-2018</v>
      </c>
      <c r="F33" s="2">
        <v>-2019</v>
      </c>
      <c r="G33" s="2">
        <v>-2018</v>
      </c>
      <c r="H33" s="2">
        <v>-2019</v>
      </c>
    </row>
    <row r="34" spans="1:8" ht="18.5" thickBot="1" x14ac:dyDescent="0.4">
      <c r="A34" s="10" t="s">
        <v>25</v>
      </c>
      <c r="B34">
        <v>12.5</v>
      </c>
      <c r="C34" s="11">
        <v>128</v>
      </c>
      <c r="D34" s="11">
        <v>112</v>
      </c>
      <c r="E34" s="54">
        <f t="shared" ref="E34:E47" si="8">C34/B$5</f>
        <v>1.2487804878048781E-2</v>
      </c>
      <c r="F34" s="54">
        <f t="shared" ref="F34:F47" si="9">D34/C$5</f>
        <v>1.1127670144063587E-2</v>
      </c>
      <c r="G34">
        <f>E34*B34</f>
        <v>0.15609756097560976</v>
      </c>
      <c r="H34">
        <f>F34*B34</f>
        <v>0.13909587680079483</v>
      </c>
    </row>
    <row r="35" spans="1:8" ht="18.5" thickBot="1" x14ac:dyDescent="0.4">
      <c r="A35" s="12" t="s">
        <v>5</v>
      </c>
      <c r="B35">
        <v>14.5</v>
      </c>
      <c r="C35" s="6">
        <v>213</v>
      </c>
      <c r="D35" s="6">
        <v>176</v>
      </c>
      <c r="E35" s="54">
        <f t="shared" si="8"/>
        <v>2.078048780487805E-2</v>
      </c>
      <c r="F35" s="54">
        <f t="shared" si="9"/>
        <v>1.7486338797814208E-2</v>
      </c>
      <c r="G35">
        <f t="shared" ref="G35:G47" si="10">E35*B35</f>
        <v>0.3013170731707317</v>
      </c>
      <c r="H35">
        <f t="shared" ref="H35:H47" si="11">F35*B35</f>
        <v>0.253551912568306</v>
      </c>
    </row>
    <row r="36" spans="1:8" ht="18.5" thickBot="1" x14ac:dyDescent="0.4">
      <c r="A36" s="8" t="s">
        <v>6</v>
      </c>
      <c r="B36">
        <v>16.5</v>
      </c>
      <c r="C36" s="11">
        <v>358</v>
      </c>
      <c r="D36" s="11">
        <v>278</v>
      </c>
      <c r="E36" s="54">
        <f t="shared" si="8"/>
        <v>3.4926829268292686E-2</v>
      </c>
      <c r="F36" s="54">
        <f t="shared" si="9"/>
        <v>2.7620466964729262E-2</v>
      </c>
      <c r="G36">
        <f t="shared" si="10"/>
        <v>0.57629268292682934</v>
      </c>
      <c r="H36">
        <f t="shared" si="11"/>
        <v>0.45573770491803284</v>
      </c>
    </row>
    <row r="37" spans="1:8" ht="18.5" thickBot="1" x14ac:dyDescent="0.4">
      <c r="A37" s="8" t="s">
        <v>10</v>
      </c>
      <c r="B37">
        <v>19</v>
      </c>
      <c r="C37" s="11">
        <v>711</v>
      </c>
      <c r="D37" s="11">
        <v>578</v>
      </c>
      <c r="E37" s="54">
        <f t="shared" si="8"/>
        <v>6.9365853658536591E-2</v>
      </c>
      <c r="F37" s="54">
        <f t="shared" si="9"/>
        <v>5.7426726279185297E-2</v>
      </c>
      <c r="G37">
        <f t="shared" si="10"/>
        <v>1.3179512195121952</v>
      </c>
      <c r="H37">
        <f t="shared" si="11"/>
        <v>1.0911077993045206</v>
      </c>
    </row>
    <row r="38" spans="1:8" ht="18.5" thickBot="1" x14ac:dyDescent="0.4">
      <c r="A38" s="12" t="s">
        <v>11</v>
      </c>
      <c r="B38">
        <v>23</v>
      </c>
      <c r="C38" s="7">
        <v>1184</v>
      </c>
      <c r="D38" s="7">
        <v>1197</v>
      </c>
      <c r="E38" s="54">
        <f t="shared" si="8"/>
        <v>0.11551219512195122</v>
      </c>
      <c r="F38" s="54">
        <f t="shared" si="9"/>
        <v>0.11892697466467958</v>
      </c>
      <c r="G38">
        <f t="shared" si="10"/>
        <v>2.6567804878048782</v>
      </c>
      <c r="H38">
        <f t="shared" si="11"/>
        <v>2.7353204172876304</v>
      </c>
    </row>
    <row r="39" spans="1:8" ht="18.5" thickBot="1" x14ac:dyDescent="0.4">
      <c r="A39" s="15" t="s">
        <v>14</v>
      </c>
      <c r="B39">
        <v>27.5</v>
      </c>
      <c r="C39" s="11">
        <v>986</v>
      </c>
      <c r="D39" s="4">
        <v>1041</v>
      </c>
      <c r="E39" s="54">
        <f t="shared" si="8"/>
        <v>9.6195121951219514E-2</v>
      </c>
      <c r="F39" s="54">
        <f t="shared" si="9"/>
        <v>0.10342771982116244</v>
      </c>
      <c r="G39">
        <f t="shared" si="10"/>
        <v>2.6453658536585367</v>
      </c>
      <c r="H39">
        <f t="shared" si="11"/>
        <v>2.8442622950819674</v>
      </c>
    </row>
    <row r="40" spans="1:8" ht="18.5" thickBot="1" x14ac:dyDescent="0.4">
      <c r="A40" s="16" t="s">
        <v>15</v>
      </c>
      <c r="B40">
        <v>32</v>
      </c>
      <c r="C40" s="7">
        <v>1308</v>
      </c>
      <c r="D40" s="7">
        <v>1271</v>
      </c>
      <c r="E40" s="54">
        <f t="shared" si="8"/>
        <v>0.12760975609756098</v>
      </c>
      <c r="F40" s="54">
        <f t="shared" si="9"/>
        <v>0.12627918529557874</v>
      </c>
      <c r="G40">
        <f t="shared" si="10"/>
        <v>4.0835121951219513</v>
      </c>
      <c r="H40">
        <f t="shared" si="11"/>
        <v>4.0409339294585198</v>
      </c>
    </row>
    <row r="41" spans="1:8" ht="18.5" thickBot="1" x14ac:dyDescent="0.4">
      <c r="A41" s="15" t="s">
        <v>16</v>
      </c>
      <c r="B41">
        <v>37</v>
      </c>
      <c r="C41" s="4">
        <v>1123</v>
      </c>
      <c r="D41" s="4">
        <v>1126</v>
      </c>
      <c r="E41" s="54">
        <f t="shared" si="8"/>
        <v>0.1095609756097561</v>
      </c>
      <c r="F41" s="54">
        <f t="shared" si="9"/>
        <v>0.11187282662692499</v>
      </c>
      <c r="G41">
        <f t="shared" si="10"/>
        <v>4.0537560975609752</v>
      </c>
      <c r="H41">
        <f t="shared" si="11"/>
        <v>4.1392945851962244</v>
      </c>
    </row>
    <row r="42" spans="1:8" ht="18.5" thickBot="1" x14ac:dyDescent="0.4">
      <c r="A42" s="16" t="s">
        <v>17</v>
      </c>
      <c r="B42">
        <v>42</v>
      </c>
      <c r="C42" s="6">
        <v>788</v>
      </c>
      <c r="D42" s="6">
        <v>821</v>
      </c>
      <c r="E42" s="54">
        <f t="shared" si="8"/>
        <v>7.6878048780487804E-2</v>
      </c>
      <c r="F42" s="54">
        <f t="shared" si="9"/>
        <v>8.1569796323894689E-2</v>
      </c>
      <c r="G42">
        <f t="shared" si="10"/>
        <v>3.2288780487804876</v>
      </c>
      <c r="H42">
        <f t="shared" si="11"/>
        <v>3.425931445603577</v>
      </c>
    </row>
    <row r="43" spans="1:8" ht="18.5" thickBot="1" x14ac:dyDescent="0.4">
      <c r="A43" s="15" t="s">
        <v>18</v>
      </c>
      <c r="B43">
        <v>47</v>
      </c>
      <c r="C43" s="11">
        <v>708</v>
      </c>
      <c r="D43" s="11">
        <v>712</v>
      </c>
      <c r="E43" s="54">
        <f t="shared" si="8"/>
        <v>6.9073170731707323E-2</v>
      </c>
      <c r="F43" s="54">
        <f t="shared" si="9"/>
        <v>7.0740188772975665E-2</v>
      </c>
      <c r="G43">
        <f t="shared" si="10"/>
        <v>3.2464390243902441</v>
      </c>
      <c r="H43">
        <f t="shared" si="11"/>
        <v>3.3247888723298562</v>
      </c>
    </row>
    <row r="44" spans="1:8" ht="18.5" thickBot="1" x14ac:dyDescent="0.4">
      <c r="A44" s="15" t="s">
        <v>20</v>
      </c>
      <c r="B44">
        <v>52</v>
      </c>
      <c r="C44" s="11">
        <v>751</v>
      </c>
      <c r="D44" s="11">
        <v>657</v>
      </c>
      <c r="E44" s="54">
        <f t="shared" si="8"/>
        <v>7.3268292682926825E-2</v>
      </c>
      <c r="F44" s="54">
        <f t="shared" si="9"/>
        <v>6.5275707898658719E-2</v>
      </c>
      <c r="G44">
        <f t="shared" si="10"/>
        <v>3.809951219512195</v>
      </c>
      <c r="H44">
        <f t="shared" si="11"/>
        <v>3.3943368107302536</v>
      </c>
    </row>
    <row r="45" spans="1:8" ht="18.5" thickBot="1" x14ac:dyDescent="0.4">
      <c r="A45" s="16" t="s">
        <v>21</v>
      </c>
      <c r="B45">
        <v>57</v>
      </c>
      <c r="C45" s="6">
        <v>809</v>
      </c>
      <c r="D45" s="6">
        <v>680</v>
      </c>
      <c r="E45" s="54">
        <f t="shared" si="8"/>
        <v>7.8926829268292684E-2</v>
      </c>
      <c r="F45" s="54">
        <f t="shared" si="9"/>
        <v>6.7560854446100355E-2</v>
      </c>
      <c r="G45">
        <f t="shared" si="10"/>
        <v>4.4988292682926829</v>
      </c>
      <c r="H45">
        <f t="shared" si="11"/>
        <v>3.85096870342772</v>
      </c>
    </row>
    <row r="46" spans="1:8" ht="18.5" thickBot="1" x14ac:dyDescent="0.4">
      <c r="A46" s="15" t="s">
        <v>22</v>
      </c>
      <c r="B46">
        <v>62</v>
      </c>
      <c r="C46" s="11">
        <v>496</v>
      </c>
      <c r="D46" s="11">
        <v>436</v>
      </c>
      <c r="E46" s="54">
        <f t="shared" si="8"/>
        <v>4.8390243902439026E-2</v>
      </c>
      <c r="F46" s="54">
        <f t="shared" si="9"/>
        <v>4.3318430203676109E-2</v>
      </c>
      <c r="G46">
        <f t="shared" si="10"/>
        <v>3.0001951219512195</v>
      </c>
      <c r="H46">
        <f t="shared" si="11"/>
        <v>2.6857426726279185</v>
      </c>
    </row>
    <row r="47" spans="1:8" ht="18.5" thickBot="1" x14ac:dyDescent="0.4">
      <c r="A47" s="16" t="s">
        <v>23</v>
      </c>
      <c r="B47">
        <f>AVERAGE(AVERAGE(D72,D71),65)</f>
        <v>71.928924999999992</v>
      </c>
      <c r="C47" s="6">
        <v>688</v>
      </c>
      <c r="D47" s="6">
        <v>979</v>
      </c>
      <c r="E47" s="54">
        <f t="shared" si="8"/>
        <v>6.7121951219512199E-2</v>
      </c>
      <c r="F47" s="54">
        <f t="shared" si="9"/>
        <v>9.7267759562841533E-2</v>
      </c>
      <c r="G47">
        <f t="shared" si="10"/>
        <v>4.8280097951219512</v>
      </c>
      <c r="H47">
        <f t="shared" si="11"/>
        <v>6.9963653825136607</v>
      </c>
    </row>
    <row r="48" spans="1:8" x14ac:dyDescent="0.35">
      <c r="F48" t="s">
        <v>134</v>
      </c>
      <c r="G48">
        <f>SUM(G34:G47)</f>
        <v>38.403375648780489</v>
      </c>
      <c r="H48">
        <f>SUM(H34:H47)</f>
        <v>39.377438407848985</v>
      </c>
    </row>
    <row r="49" spans="1:9" x14ac:dyDescent="0.35">
      <c r="F49" t="s">
        <v>135</v>
      </c>
      <c r="G49" s="81">
        <v>65</v>
      </c>
      <c r="H49">
        <v>65</v>
      </c>
    </row>
    <row r="50" spans="1:9" x14ac:dyDescent="0.35">
      <c r="F50" t="s">
        <v>136</v>
      </c>
      <c r="G50" s="82">
        <f>SUM(E34:E46)</f>
        <v>0.9329756097560975</v>
      </c>
      <c r="H50" s="55">
        <f>SUM(F34:F46)</f>
        <v>0.90263288623944382</v>
      </c>
    </row>
    <row r="51" spans="1:9" x14ac:dyDescent="0.35">
      <c r="F51" t="s">
        <v>138</v>
      </c>
      <c r="G51" s="81">
        <f>B40</f>
        <v>32</v>
      </c>
      <c r="H51">
        <f>B40</f>
        <v>32</v>
      </c>
      <c r="I51" t="s">
        <v>139</v>
      </c>
    </row>
    <row r="52" spans="1:9" x14ac:dyDescent="0.35">
      <c r="A52" t="s">
        <v>146</v>
      </c>
      <c r="F52" t="s">
        <v>140</v>
      </c>
      <c r="G52">
        <f>SQRT(LN(G48)-LN(G51-12))</f>
        <v>0.80772092315129229</v>
      </c>
      <c r="H52">
        <f>SQRT((LN(H48)-LN(H51-12)))</f>
        <v>0.82308003832722443</v>
      </c>
    </row>
    <row r="53" spans="1:9" x14ac:dyDescent="0.35">
      <c r="A53" t="s">
        <v>144</v>
      </c>
      <c r="B53" t="s">
        <v>145</v>
      </c>
      <c r="C53">
        <v>2000</v>
      </c>
      <c r="D53">
        <v>76.805800000000005</v>
      </c>
      <c r="F53" t="s">
        <v>147</v>
      </c>
      <c r="G53">
        <f>LN((G51-12)/(G49-12))</f>
        <v>-0.97455963999813078</v>
      </c>
      <c r="H53">
        <f>LN((H51-12)/(H49-12))</f>
        <v>-0.97455963999813078</v>
      </c>
    </row>
    <row r="54" spans="1:9" x14ac:dyDescent="0.35">
      <c r="A54" t="s">
        <v>144</v>
      </c>
      <c r="B54" t="s">
        <v>145</v>
      </c>
      <c r="C54">
        <v>2001</v>
      </c>
      <c r="D54">
        <v>76.919399999999996</v>
      </c>
      <c r="F54" t="s">
        <v>148</v>
      </c>
      <c r="G54">
        <f>_xlfn.NORM.INV(G50,0,1)^2</f>
        <v>2.2449783977812077</v>
      </c>
      <c r="H54">
        <f>_xlfn.NORM.INV(H50,0,1)^2</f>
        <v>1.6814324107126284</v>
      </c>
    </row>
    <row r="55" spans="1:9" x14ac:dyDescent="0.35">
      <c r="A55" t="s">
        <v>144</v>
      </c>
      <c r="B55" t="s">
        <v>145</v>
      </c>
      <c r="C55">
        <v>2002</v>
      </c>
      <c r="D55">
        <v>76.988299999999995</v>
      </c>
      <c r="F55" t="s">
        <v>149</v>
      </c>
      <c r="G55">
        <f>G54-(4*G53)</f>
        <v>6.1432169577737312</v>
      </c>
      <c r="H55">
        <f>H54-(4*H53)</f>
        <v>5.5796709707051519</v>
      </c>
    </row>
    <row r="56" spans="1:9" x14ac:dyDescent="0.35">
      <c r="A56" t="s">
        <v>144</v>
      </c>
      <c r="B56" t="s">
        <v>145</v>
      </c>
      <c r="C56">
        <v>2003</v>
      </c>
      <c r="D56">
        <v>77.136899999999997</v>
      </c>
      <c r="E56" s="56"/>
      <c r="F56" t="s">
        <v>150</v>
      </c>
      <c r="G56">
        <f>SQRT(G55)</f>
        <v>2.4785513829198158</v>
      </c>
      <c r="H56">
        <f>SQRT(H55)</f>
        <v>2.3621327165731292</v>
      </c>
    </row>
    <row r="57" spans="1:9" x14ac:dyDescent="0.35">
      <c r="A57" t="s">
        <v>144</v>
      </c>
      <c r="B57" t="s">
        <v>145</v>
      </c>
      <c r="C57">
        <v>2004</v>
      </c>
      <c r="D57">
        <v>77.534999999999997</v>
      </c>
      <c r="E57" s="56"/>
      <c r="F57" t="s">
        <v>151</v>
      </c>
      <c r="G57">
        <f>_xlfn.NORM.INV(G50,0,1)*-1</f>
        <v>-1.4983251976060497</v>
      </c>
      <c r="H57">
        <f>_xlfn.NORM.INV(H50,0,1)*-1</f>
        <v>-1.2967005863778378</v>
      </c>
    </row>
    <row r="58" spans="1:9" x14ac:dyDescent="0.35">
      <c r="A58" t="s">
        <v>144</v>
      </c>
      <c r="B58" t="s">
        <v>145</v>
      </c>
      <c r="C58">
        <v>2005</v>
      </c>
      <c r="D58">
        <v>77.526399999999995</v>
      </c>
    </row>
    <row r="59" spans="1:9" x14ac:dyDescent="0.35">
      <c r="A59" t="s">
        <v>144</v>
      </c>
      <c r="B59" t="s">
        <v>145</v>
      </c>
      <c r="C59">
        <v>2006</v>
      </c>
      <c r="D59">
        <v>77.797600000000003</v>
      </c>
      <c r="E59" s="56" t="s">
        <v>141</v>
      </c>
    </row>
    <row r="60" spans="1:9" x14ac:dyDescent="0.35">
      <c r="A60" t="s">
        <v>144</v>
      </c>
      <c r="B60" t="s">
        <v>145</v>
      </c>
      <c r="C60">
        <v>2007</v>
      </c>
      <c r="D60">
        <v>78.0471</v>
      </c>
      <c r="F60" t="s">
        <v>137</v>
      </c>
      <c r="G60" s="83">
        <f>(G57+G56)/2</f>
        <v>0.49011309265688308</v>
      </c>
      <c r="H60" s="57">
        <f>(H57+H56)/2</f>
        <v>0.53271606509764569</v>
      </c>
      <c r="I60" s="57" t="s">
        <v>158</v>
      </c>
    </row>
    <row r="61" spans="1:9" x14ac:dyDescent="0.35">
      <c r="A61" t="s">
        <v>144</v>
      </c>
      <c r="B61" t="s">
        <v>145</v>
      </c>
      <c r="C61">
        <v>2008</v>
      </c>
      <c r="D61">
        <v>78.127300000000005</v>
      </c>
      <c r="F61" t="s">
        <v>152</v>
      </c>
      <c r="G61" s="83">
        <f>LN(G49-G51)+(G60^2)</f>
        <v>3.7367184050601745</v>
      </c>
      <c r="H61" s="57">
        <f>LN(H49-H51)+(H60^2)</f>
        <v>3.7802939674795994</v>
      </c>
      <c r="I61" s="57"/>
    </row>
    <row r="62" spans="1:9" x14ac:dyDescent="0.35">
      <c r="A62" t="s">
        <v>144</v>
      </c>
      <c r="B62" t="s">
        <v>145</v>
      </c>
      <c r="C62">
        <v>2009</v>
      </c>
      <c r="D62">
        <v>78.475800000000007</v>
      </c>
      <c r="F62" t="s">
        <v>153</v>
      </c>
      <c r="G62" s="57">
        <f>LN(G48)</f>
        <v>3.6481453632503666</v>
      </c>
      <c r="H62" s="57">
        <f>LN(H48)</f>
        <v>3.673193023046736</v>
      </c>
      <c r="I62" s="57"/>
    </row>
    <row r="63" spans="1:9" x14ac:dyDescent="0.35">
      <c r="A63" t="s">
        <v>144</v>
      </c>
      <c r="B63" t="s">
        <v>145</v>
      </c>
      <c r="C63">
        <v>2010</v>
      </c>
      <c r="D63">
        <v>78.668099999999995</v>
      </c>
      <c r="G63">
        <f>G62-LN(G49-21)</f>
        <v>-0.13604427066789437</v>
      </c>
    </row>
    <row r="64" spans="1:9" x14ac:dyDescent="0.35">
      <c r="A64" t="s">
        <v>144</v>
      </c>
      <c r="B64" t="s">
        <v>145</v>
      </c>
      <c r="C64">
        <v>2011</v>
      </c>
      <c r="D64">
        <v>78.702299999999994</v>
      </c>
      <c r="F64" t="s">
        <v>154</v>
      </c>
    </row>
    <row r="65" spans="1:8" x14ac:dyDescent="0.35">
      <c r="A65" t="s">
        <v>144</v>
      </c>
      <c r="B65" t="s">
        <v>145</v>
      </c>
      <c r="C65">
        <v>2012</v>
      </c>
      <c r="D65">
        <v>78.816900000000004</v>
      </c>
      <c r="F65" t="s">
        <v>155</v>
      </c>
      <c r="G65" s="57">
        <f>AVERAGE(G62:H62)</f>
        <v>3.6606691931485513</v>
      </c>
      <c r="H65" t="s">
        <v>157</v>
      </c>
    </row>
    <row r="66" spans="1:8" x14ac:dyDescent="0.35">
      <c r="A66" t="s">
        <v>144</v>
      </c>
      <c r="B66" t="s">
        <v>145</v>
      </c>
      <c r="C66">
        <v>2013</v>
      </c>
      <c r="D66">
        <v>78.817499999999995</v>
      </c>
      <c r="F66" t="s">
        <v>156</v>
      </c>
      <c r="G66">
        <f>SQRT(G60^2+H60^2)</f>
        <v>0.72387654306988947</v>
      </c>
    </row>
    <row r="67" spans="1:8" x14ac:dyDescent="0.35">
      <c r="A67" t="s">
        <v>144</v>
      </c>
      <c r="B67" t="s">
        <v>145</v>
      </c>
      <c r="C67">
        <v>2014</v>
      </c>
      <c r="D67">
        <v>78.878500000000003</v>
      </c>
    </row>
    <row r="68" spans="1:8" x14ac:dyDescent="0.35">
      <c r="A68" t="s">
        <v>144</v>
      </c>
      <c r="B68" t="s">
        <v>145</v>
      </c>
      <c r="C68">
        <v>2015</v>
      </c>
      <c r="D68">
        <v>78.721900000000005</v>
      </c>
    </row>
    <row r="69" spans="1:8" x14ac:dyDescent="0.35">
      <c r="A69" t="s">
        <v>144</v>
      </c>
      <c r="B69" t="s">
        <v>145</v>
      </c>
      <c r="C69">
        <v>2016</v>
      </c>
      <c r="D69">
        <v>78.686000000000007</v>
      </c>
    </row>
    <row r="70" spans="1:8" x14ac:dyDescent="0.35">
      <c r="A70" t="s">
        <v>144</v>
      </c>
      <c r="B70" t="s">
        <v>145</v>
      </c>
      <c r="C70">
        <v>2017</v>
      </c>
      <c r="D70">
        <v>78.648300000000006</v>
      </c>
    </row>
    <row r="71" spans="1:8" x14ac:dyDescent="0.35">
      <c r="A71" t="s">
        <v>144</v>
      </c>
      <c r="B71" t="s">
        <v>145</v>
      </c>
      <c r="C71">
        <v>2018</v>
      </c>
      <c r="D71">
        <v>78.799700000000001</v>
      </c>
    </row>
    <row r="72" spans="1:8" x14ac:dyDescent="0.35">
      <c r="A72" t="s">
        <v>144</v>
      </c>
      <c r="B72" t="s">
        <v>145</v>
      </c>
      <c r="C72">
        <v>2019</v>
      </c>
      <c r="D72">
        <v>78.915999999999997</v>
      </c>
    </row>
    <row r="73" spans="1:8" x14ac:dyDescent="0.35">
      <c r="A73" t="s">
        <v>144</v>
      </c>
      <c r="B73" t="s">
        <v>145</v>
      </c>
      <c r="C73">
        <v>2020</v>
      </c>
      <c r="D73">
        <v>77.011499999999998</v>
      </c>
    </row>
    <row r="74" spans="1:8" x14ac:dyDescent="0.35">
      <c r="A74" t="s">
        <v>144</v>
      </c>
      <c r="B74" t="s">
        <v>145</v>
      </c>
      <c r="C74">
        <v>2021</v>
      </c>
      <c r="D74">
        <v>76.383600000000001</v>
      </c>
    </row>
    <row r="75" spans="1:8" x14ac:dyDescent="0.35">
      <c r="A75" t="s">
        <v>144</v>
      </c>
      <c r="B75" t="s">
        <v>145</v>
      </c>
      <c r="C75">
        <v>2022</v>
      </c>
      <c r="D75">
        <v>77.978899999999996</v>
      </c>
    </row>
    <row r="76" spans="1:8" x14ac:dyDescent="0.35">
      <c r="A76" t="s">
        <v>144</v>
      </c>
      <c r="B76" t="s">
        <v>145</v>
      </c>
      <c r="C76">
        <v>2023</v>
      </c>
      <c r="D76">
        <v>79.304299999999998</v>
      </c>
    </row>
  </sheetData>
  <mergeCells count="2">
    <mergeCell ref="A3:A4"/>
    <mergeCell ref="A32: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9CEF-7F87-42DA-B3F7-F3526A50D60E}">
  <dimension ref="A2:E28"/>
  <sheetViews>
    <sheetView workbookViewId="0">
      <selection activeCell="I13" sqref="I13"/>
    </sheetView>
  </sheetViews>
  <sheetFormatPr defaultRowHeight="14.5" x14ac:dyDescent="0.35"/>
  <cols>
    <col min="1" max="1" width="28.08984375" customWidth="1"/>
  </cols>
  <sheetData>
    <row r="2" spans="1:5" ht="18" thickBot="1" x14ac:dyDescent="0.4">
      <c r="A2" s="18" t="s">
        <v>30</v>
      </c>
    </row>
    <row r="3" spans="1:5" ht="17.5" x14ac:dyDescent="0.35">
      <c r="A3" s="58" t="s">
        <v>26</v>
      </c>
      <c r="B3" s="1" t="s">
        <v>1</v>
      </c>
      <c r="C3" s="1" t="s">
        <v>1</v>
      </c>
      <c r="D3" s="1" t="s">
        <v>2</v>
      </c>
      <c r="E3" s="1" t="s">
        <v>2</v>
      </c>
    </row>
    <row r="4" spans="1:5" ht="18" thickBot="1" x14ac:dyDescent="0.4">
      <c r="A4" s="59"/>
      <c r="B4" s="2">
        <v>-2018</v>
      </c>
      <c r="C4" s="2">
        <v>-2019</v>
      </c>
      <c r="D4" s="2">
        <v>-2018</v>
      </c>
      <c r="E4" s="2">
        <v>-2019</v>
      </c>
    </row>
    <row r="5" spans="1:5" ht="18.5" thickBot="1" x14ac:dyDescent="0.4">
      <c r="A5" s="3" t="s">
        <v>3</v>
      </c>
      <c r="B5" s="11">
        <v>3.7</v>
      </c>
      <c r="C5" s="11">
        <v>3.7</v>
      </c>
      <c r="D5" s="11">
        <v>1.1000000000000001</v>
      </c>
      <c r="E5" s="11">
        <v>1.1000000000000001</v>
      </c>
    </row>
    <row r="6" spans="1:5" ht="18.5" thickBot="1" x14ac:dyDescent="0.4">
      <c r="A6" s="5" t="s">
        <v>24</v>
      </c>
      <c r="B6" s="6" t="s">
        <v>27</v>
      </c>
      <c r="C6" s="6">
        <v>3</v>
      </c>
      <c r="D6" s="6">
        <v>0.9</v>
      </c>
      <c r="E6" s="6">
        <v>0.8</v>
      </c>
    </row>
    <row r="7" spans="1:5" ht="18.5" thickBot="1" x14ac:dyDescent="0.4">
      <c r="A7" s="8" t="s">
        <v>4</v>
      </c>
      <c r="B7" s="11">
        <v>3.7</v>
      </c>
      <c r="C7" s="11">
        <v>3.8</v>
      </c>
      <c r="D7" s="11">
        <v>1.1000000000000001</v>
      </c>
      <c r="E7" s="11">
        <v>1.2</v>
      </c>
    </row>
    <row r="8" spans="1:5" ht="18.5" thickBot="1" x14ac:dyDescent="0.4">
      <c r="A8" s="9">
        <v>45643</v>
      </c>
      <c r="B8" s="6" t="s">
        <v>28</v>
      </c>
      <c r="C8" s="6">
        <v>2.2999999999999998</v>
      </c>
      <c r="D8" s="6">
        <v>0.7</v>
      </c>
      <c r="E8" s="6">
        <v>0.7</v>
      </c>
    </row>
    <row r="9" spans="1:5" ht="18.5" thickBot="1" x14ac:dyDescent="0.4">
      <c r="A9" s="10" t="s">
        <v>25</v>
      </c>
      <c r="B9" s="11">
        <v>1.6</v>
      </c>
      <c r="C9" s="11">
        <v>1.4</v>
      </c>
      <c r="D9" s="11">
        <v>0.3</v>
      </c>
      <c r="E9" s="11">
        <v>0.4</v>
      </c>
    </row>
    <row r="10" spans="1:5" ht="18.5" thickBot="1" x14ac:dyDescent="0.4">
      <c r="A10" s="12" t="s">
        <v>5</v>
      </c>
      <c r="B10" s="6">
        <v>2.5</v>
      </c>
      <c r="C10" s="6">
        <v>2.1</v>
      </c>
      <c r="D10" s="6">
        <v>0.6</v>
      </c>
      <c r="E10" s="6">
        <v>0.6</v>
      </c>
    </row>
    <row r="11" spans="1:5" ht="18.5" thickBot="1" x14ac:dyDescent="0.4">
      <c r="A11" s="8" t="s">
        <v>6</v>
      </c>
      <c r="B11" s="11">
        <v>4.2</v>
      </c>
      <c r="C11" s="11">
        <v>3.4</v>
      </c>
      <c r="D11" s="11">
        <v>1.1000000000000001</v>
      </c>
      <c r="E11" s="11">
        <v>0.9</v>
      </c>
    </row>
    <row r="12" spans="1:5" ht="18.5" thickBot="1" x14ac:dyDescent="0.4">
      <c r="A12" s="13" t="s">
        <v>7</v>
      </c>
      <c r="B12" s="6">
        <v>5.3</v>
      </c>
      <c r="C12" s="6">
        <v>4.9000000000000004</v>
      </c>
      <c r="D12" s="6">
        <v>1.4</v>
      </c>
      <c r="E12" s="6">
        <v>1.2</v>
      </c>
    </row>
    <row r="13" spans="1:5" ht="18.5" thickBot="1" x14ac:dyDescent="0.4">
      <c r="A13" s="3" t="s">
        <v>8</v>
      </c>
      <c r="B13" s="11">
        <v>3.8</v>
      </c>
      <c r="C13" s="11">
        <v>3.8</v>
      </c>
      <c r="D13" s="11">
        <v>1.2</v>
      </c>
      <c r="E13" s="11">
        <v>1.2</v>
      </c>
    </row>
    <row r="14" spans="1:5" ht="18.5" thickBot="1" x14ac:dyDescent="0.4">
      <c r="A14" s="14" t="s">
        <v>9</v>
      </c>
      <c r="B14" s="6">
        <v>5.6</v>
      </c>
      <c r="C14" s="6">
        <v>5.3</v>
      </c>
      <c r="D14" s="6">
        <v>1.5</v>
      </c>
      <c r="E14" s="6">
        <v>1.3</v>
      </c>
    </row>
    <row r="15" spans="1:5" ht="18.5" thickBot="1" x14ac:dyDescent="0.4">
      <c r="A15" s="8" t="s">
        <v>10</v>
      </c>
      <c r="B15" s="11" t="s">
        <v>29</v>
      </c>
      <c r="C15" s="11">
        <v>4.4000000000000004</v>
      </c>
      <c r="D15" s="11">
        <v>1.4</v>
      </c>
      <c r="E15" s="11">
        <v>1.1000000000000001</v>
      </c>
    </row>
    <row r="16" spans="1:5" ht="18.5" thickBot="1" x14ac:dyDescent="0.4">
      <c r="A16" s="12" t="s">
        <v>11</v>
      </c>
      <c r="B16" s="6">
        <v>5.6</v>
      </c>
      <c r="C16" s="6">
        <v>5.8</v>
      </c>
      <c r="D16" s="6">
        <v>1.6</v>
      </c>
      <c r="E16" s="6">
        <v>1.5</v>
      </c>
    </row>
    <row r="17" spans="1:5" ht="18.5" thickBot="1" x14ac:dyDescent="0.4">
      <c r="A17" s="3" t="s">
        <v>12</v>
      </c>
      <c r="B17" s="11">
        <v>3.6</v>
      </c>
      <c r="C17" s="11">
        <v>3.6</v>
      </c>
      <c r="D17" s="11">
        <v>1.1000000000000001</v>
      </c>
      <c r="E17" s="11">
        <v>1.2</v>
      </c>
    </row>
    <row r="18" spans="1:5" ht="18.5" thickBot="1" x14ac:dyDescent="0.4">
      <c r="A18" s="12" t="s">
        <v>13</v>
      </c>
      <c r="B18" s="6">
        <v>4.9000000000000004</v>
      </c>
      <c r="C18" s="6">
        <v>4.9000000000000004</v>
      </c>
      <c r="D18" s="6">
        <v>1.6</v>
      </c>
      <c r="E18" s="6">
        <v>1.5</v>
      </c>
    </row>
    <row r="19" spans="1:5" ht="18.5" thickBot="1" x14ac:dyDescent="0.4">
      <c r="A19" s="15" t="s">
        <v>14</v>
      </c>
      <c r="B19" s="11">
        <v>5.5</v>
      </c>
      <c r="C19" s="11">
        <v>5.8</v>
      </c>
      <c r="D19" s="11">
        <v>1.7</v>
      </c>
      <c r="E19" s="11">
        <v>1.9</v>
      </c>
    </row>
    <row r="20" spans="1:5" ht="18.5" thickBot="1" x14ac:dyDescent="0.4">
      <c r="A20" s="16" t="s">
        <v>15</v>
      </c>
      <c r="B20" s="6">
        <v>5.9</v>
      </c>
      <c r="C20" s="6">
        <v>5.7</v>
      </c>
      <c r="D20" s="6">
        <v>1.8</v>
      </c>
      <c r="E20" s="6">
        <v>1.6</v>
      </c>
    </row>
    <row r="21" spans="1:5" ht="18.5" thickBot="1" x14ac:dyDescent="0.4">
      <c r="A21" s="15" t="s">
        <v>16</v>
      </c>
      <c r="B21" s="11">
        <v>5.0999999999999996</v>
      </c>
      <c r="C21" s="11">
        <v>5.3</v>
      </c>
      <c r="D21" s="11">
        <v>1.7</v>
      </c>
      <c r="E21" s="11">
        <v>1.5</v>
      </c>
    </row>
    <row r="22" spans="1:5" ht="18.5" thickBot="1" x14ac:dyDescent="0.4">
      <c r="A22" s="16" t="s">
        <v>17</v>
      </c>
      <c r="B22" s="6">
        <v>4</v>
      </c>
      <c r="C22" s="6">
        <v>4.3</v>
      </c>
      <c r="D22" s="6">
        <v>1.4</v>
      </c>
      <c r="E22" s="6">
        <v>1.2</v>
      </c>
    </row>
    <row r="23" spans="1:5" ht="18.5" thickBot="1" x14ac:dyDescent="0.4">
      <c r="A23" s="15" t="s">
        <v>18</v>
      </c>
      <c r="B23" s="11">
        <v>3.6</v>
      </c>
      <c r="C23" s="11">
        <v>3.5</v>
      </c>
      <c r="D23" s="11">
        <v>1.3</v>
      </c>
      <c r="E23" s="11">
        <v>1.3</v>
      </c>
    </row>
    <row r="24" spans="1:5" ht="18.5" thickBot="1" x14ac:dyDescent="0.4">
      <c r="A24" s="12" t="s">
        <v>19</v>
      </c>
      <c r="B24" s="6">
        <v>2.4</v>
      </c>
      <c r="C24" s="6">
        <v>2.4</v>
      </c>
      <c r="D24" s="6">
        <v>0.7</v>
      </c>
      <c r="E24" s="6">
        <v>0.9</v>
      </c>
    </row>
    <row r="25" spans="1:5" ht="18.5" thickBot="1" x14ac:dyDescent="0.4">
      <c r="A25" s="15" t="s">
        <v>20</v>
      </c>
      <c r="B25" s="11">
        <v>3.6</v>
      </c>
      <c r="C25" s="11">
        <v>3.2</v>
      </c>
      <c r="D25" s="11">
        <v>0.9</v>
      </c>
      <c r="E25" s="11">
        <v>1.2</v>
      </c>
    </row>
    <row r="26" spans="1:5" ht="18.5" thickBot="1" x14ac:dyDescent="0.4">
      <c r="A26" s="16" t="s">
        <v>21</v>
      </c>
      <c r="B26" s="6">
        <v>3.7</v>
      </c>
      <c r="C26" s="6">
        <v>3.2</v>
      </c>
      <c r="D26" s="6">
        <v>1.1000000000000001</v>
      </c>
      <c r="E26" s="6">
        <v>1.2</v>
      </c>
    </row>
    <row r="27" spans="1:5" ht="18.5" thickBot="1" x14ac:dyDescent="0.4">
      <c r="A27" s="15" t="s">
        <v>22</v>
      </c>
      <c r="B27" s="11">
        <v>2.4</v>
      </c>
      <c r="C27" s="11">
        <v>2.1</v>
      </c>
      <c r="D27" s="11">
        <v>0.7</v>
      </c>
      <c r="E27" s="11">
        <v>1</v>
      </c>
    </row>
    <row r="28" spans="1:5" ht="18.5" thickBot="1" x14ac:dyDescent="0.4">
      <c r="A28" s="16" t="s">
        <v>23</v>
      </c>
      <c r="B28" s="6">
        <v>1.3</v>
      </c>
      <c r="C28" s="6">
        <v>1.9</v>
      </c>
      <c r="D28" s="6">
        <v>0.4</v>
      </c>
      <c r="E28" s="6">
        <v>0.5</v>
      </c>
    </row>
  </sheetData>
  <mergeCells count="1">
    <mergeCell ref="A3: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054F-C3C5-4F4F-9B0B-60E687A4152D}">
  <dimension ref="A1:S36"/>
  <sheetViews>
    <sheetView topLeftCell="A8" workbookViewId="0">
      <selection activeCell="A19" sqref="A19"/>
    </sheetView>
  </sheetViews>
  <sheetFormatPr defaultRowHeight="14.5" x14ac:dyDescent="0.35"/>
  <cols>
    <col min="1" max="1" width="40.81640625" bestFit="1" customWidth="1"/>
    <col min="11" max="11" width="40.81640625" bestFit="1" customWidth="1"/>
  </cols>
  <sheetData>
    <row r="1" spans="1:19" ht="15" thickBot="1" x14ac:dyDescent="0.4">
      <c r="A1" s="78" t="s">
        <v>113</v>
      </c>
      <c r="B1" s="79"/>
      <c r="C1" s="79"/>
      <c r="D1" s="79"/>
      <c r="E1" s="79"/>
      <c r="F1" s="79"/>
      <c r="G1" s="79"/>
      <c r="H1" s="79"/>
      <c r="I1" s="79"/>
      <c r="K1" s="78" t="s">
        <v>126</v>
      </c>
      <c r="L1" s="79"/>
      <c r="M1" s="79"/>
      <c r="N1" s="79"/>
      <c r="O1" s="79"/>
      <c r="P1" s="79"/>
      <c r="Q1" s="79"/>
      <c r="R1" s="79"/>
      <c r="S1" s="79"/>
    </row>
    <row r="2" spans="1:19" ht="17.5" x14ac:dyDescent="0.35">
      <c r="A2" s="58" t="s">
        <v>36</v>
      </c>
      <c r="B2" s="76" t="s">
        <v>37</v>
      </c>
      <c r="C2" s="77"/>
      <c r="D2" s="76" t="s">
        <v>39</v>
      </c>
      <c r="E2" s="77"/>
      <c r="F2" s="76" t="s">
        <v>41</v>
      </c>
      <c r="G2" s="77"/>
      <c r="H2" s="76" t="s">
        <v>41</v>
      </c>
      <c r="I2" s="77"/>
      <c r="K2" s="58" t="s">
        <v>36</v>
      </c>
      <c r="L2" s="76" t="s">
        <v>37</v>
      </c>
      <c r="M2" s="77"/>
      <c r="N2" s="76" t="s">
        <v>39</v>
      </c>
      <c r="O2" s="77"/>
      <c r="P2" s="76" t="s">
        <v>41</v>
      </c>
      <c r="Q2" s="77"/>
      <c r="R2" s="76" t="s">
        <v>41</v>
      </c>
      <c r="S2" s="77"/>
    </row>
    <row r="3" spans="1:19" ht="17.5" x14ac:dyDescent="0.35">
      <c r="A3" s="80"/>
      <c r="B3" s="66" t="s">
        <v>38</v>
      </c>
      <c r="C3" s="67"/>
      <c r="D3" s="66" t="s">
        <v>40</v>
      </c>
      <c r="E3" s="67"/>
      <c r="F3" s="66" t="s">
        <v>42</v>
      </c>
      <c r="G3" s="67"/>
      <c r="H3" s="66" t="s">
        <v>44</v>
      </c>
      <c r="I3" s="67"/>
      <c r="K3" s="80"/>
      <c r="L3" s="66" t="s">
        <v>38</v>
      </c>
      <c r="M3" s="67"/>
      <c r="N3" s="66" t="s">
        <v>40</v>
      </c>
      <c r="O3" s="67"/>
      <c r="P3" s="66" t="s">
        <v>42</v>
      </c>
      <c r="Q3" s="67"/>
      <c r="R3" s="66" t="s">
        <v>44</v>
      </c>
      <c r="S3" s="67"/>
    </row>
    <row r="4" spans="1:19" ht="18" thickBot="1" x14ac:dyDescent="0.4">
      <c r="A4" s="80"/>
      <c r="B4" s="68"/>
      <c r="C4" s="69"/>
      <c r="D4" s="68"/>
      <c r="E4" s="69"/>
      <c r="F4" s="68" t="s">
        <v>43</v>
      </c>
      <c r="G4" s="69"/>
      <c r="H4" s="68" t="s">
        <v>45</v>
      </c>
      <c r="I4" s="69"/>
      <c r="K4" s="80"/>
      <c r="L4" s="68"/>
      <c r="M4" s="69"/>
      <c r="N4" s="68"/>
      <c r="O4" s="69"/>
      <c r="P4" s="68" t="s">
        <v>43</v>
      </c>
      <c r="Q4" s="69"/>
      <c r="R4" s="68" t="s">
        <v>45</v>
      </c>
      <c r="S4" s="69"/>
    </row>
    <row r="5" spans="1:19" ht="18" thickBot="1" x14ac:dyDescent="0.4">
      <c r="A5" s="59"/>
      <c r="B5" s="24">
        <v>2018</v>
      </c>
      <c r="C5" s="24">
        <v>2019</v>
      </c>
      <c r="D5" s="24">
        <v>2018</v>
      </c>
      <c r="E5" s="24">
        <v>2019</v>
      </c>
      <c r="F5" s="24">
        <v>2018</v>
      </c>
      <c r="G5" s="24">
        <v>2019</v>
      </c>
      <c r="H5" s="24">
        <v>2018</v>
      </c>
      <c r="I5" s="24">
        <v>2019</v>
      </c>
      <c r="K5" s="59"/>
      <c r="L5" s="24">
        <v>2018</v>
      </c>
      <c r="M5" s="24">
        <v>2019</v>
      </c>
      <c r="N5" s="24">
        <v>2018</v>
      </c>
      <c r="O5" s="24">
        <v>2019</v>
      </c>
      <c r="P5" s="24">
        <v>2018</v>
      </c>
      <c r="Q5" s="24">
        <v>2019</v>
      </c>
      <c r="R5" s="24">
        <v>2018</v>
      </c>
      <c r="S5" s="24">
        <v>2019</v>
      </c>
    </row>
    <row r="6" spans="1:19" ht="18.5" thickBot="1" x14ac:dyDescent="0.4">
      <c r="A6" s="3" t="s">
        <v>46</v>
      </c>
      <c r="B6" s="11" t="s">
        <v>47</v>
      </c>
      <c r="C6" s="11" t="s">
        <v>47</v>
      </c>
      <c r="D6" s="11" t="s">
        <v>47</v>
      </c>
      <c r="E6" s="11" t="s">
        <v>47</v>
      </c>
      <c r="F6" s="11" t="s">
        <v>47</v>
      </c>
      <c r="G6" s="11" t="s">
        <v>47</v>
      </c>
      <c r="H6" s="11" t="s">
        <v>47</v>
      </c>
      <c r="I6" s="11" t="s">
        <v>47</v>
      </c>
      <c r="K6" s="3" t="s">
        <v>46</v>
      </c>
      <c r="L6" s="11" t="s">
        <v>47</v>
      </c>
      <c r="M6" s="11" t="s">
        <v>47</v>
      </c>
      <c r="N6" s="11" t="s">
        <v>47</v>
      </c>
      <c r="O6" s="11" t="s">
        <v>47</v>
      </c>
      <c r="P6" s="11" t="s">
        <v>47</v>
      </c>
      <c r="Q6" s="11" t="s">
        <v>47</v>
      </c>
      <c r="R6" s="11" t="s">
        <v>47</v>
      </c>
      <c r="S6" s="11" t="s">
        <v>47</v>
      </c>
    </row>
    <row r="7" spans="1:19" ht="18.5" thickBot="1" x14ac:dyDescent="0.4">
      <c r="A7" s="12" t="s">
        <v>48</v>
      </c>
      <c r="B7" s="6" t="s">
        <v>114</v>
      </c>
      <c r="C7" s="7">
        <v>3478</v>
      </c>
      <c r="D7" s="6" t="s">
        <v>115</v>
      </c>
      <c r="E7" s="6">
        <v>1.3</v>
      </c>
      <c r="F7" s="6" t="s">
        <v>85</v>
      </c>
      <c r="G7" s="6">
        <v>2.2999999999999998</v>
      </c>
      <c r="H7" s="6">
        <v>7</v>
      </c>
      <c r="I7" s="6">
        <v>7.2</v>
      </c>
      <c r="K7" s="12" t="s">
        <v>48</v>
      </c>
      <c r="L7" s="6">
        <v>103</v>
      </c>
      <c r="M7" s="6">
        <v>130</v>
      </c>
      <c r="N7" s="6">
        <v>0.04</v>
      </c>
      <c r="O7" s="6">
        <v>0.05</v>
      </c>
      <c r="P7" s="6">
        <v>7.0000000000000007E-2</v>
      </c>
      <c r="Q7" s="6">
        <v>0.09</v>
      </c>
      <c r="R7" s="6">
        <v>0.25</v>
      </c>
      <c r="S7" s="6">
        <v>0.26</v>
      </c>
    </row>
    <row r="8" spans="1:19" ht="18.5" thickBot="1" x14ac:dyDescent="0.4">
      <c r="A8" s="8" t="s">
        <v>49</v>
      </c>
      <c r="B8" s="11" t="s">
        <v>116</v>
      </c>
      <c r="C8" s="11">
        <v>671</v>
      </c>
      <c r="D8" s="11" t="s">
        <v>117</v>
      </c>
      <c r="E8" s="11">
        <v>0.2</v>
      </c>
      <c r="F8" s="11" t="s">
        <v>118</v>
      </c>
      <c r="G8" s="11">
        <v>0.3</v>
      </c>
      <c r="H8" s="11" t="s">
        <v>119</v>
      </c>
      <c r="I8" s="11">
        <v>12.3</v>
      </c>
      <c r="K8" s="8" t="s">
        <v>49</v>
      </c>
      <c r="L8" s="11">
        <v>67</v>
      </c>
      <c r="M8" s="11">
        <v>56</v>
      </c>
      <c r="N8" s="11">
        <v>0.02</v>
      </c>
      <c r="O8" s="11">
        <v>0.02</v>
      </c>
      <c r="P8" s="11">
        <v>0.03</v>
      </c>
      <c r="Q8" s="11">
        <v>0.02</v>
      </c>
      <c r="R8" s="11">
        <v>1.1499999999999999</v>
      </c>
      <c r="S8" s="11">
        <v>0.99</v>
      </c>
    </row>
    <row r="9" spans="1:19" ht="18.5" thickBot="1" x14ac:dyDescent="0.4">
      <c r="A9" s="26" t="s">
        <v>51</v>
      </c>
      <c r="B9" s="6">
        <v>101</v>
      </c>
      <c r="C9" s="6">
        <v>92</v>
      </c>
      <c r="D9" s="6">
        <v>0</v>
      </c>
      <c r="E9" s="6">
        <v>0</v>
      </c>
      <c r="F9" s="6">
        <v>0</v>
      </c>
      <c r="G9" s="6">
        <v>0</v>
      </c>
      <c r="H9" s="6">
        <v>13.3</v>
      </c>
      <c r="I9" s="6">
        <v>11.8</v>
      </c>
      <c r="K9" s="26" t="s">
        <v>51</v>
      </c>
      <c r="L9" s="6">
        <v>26</v>
      </c>
      <c r="M9" s="6">
        <v>27</v>
      </c>
      <c r="N9" s="6">
        <v>0.01</v>
      </c>
      <c r="O9" s="6">
        <v>0.01</v>
      </c>
      <c r="P9" s="6">
        <v>0.01</v>
      </c>
      <c r="Q9" s="6">
        <v>0.01</v>
      </c>
      <c r="R9" s="6">
        <v>3.31</v>
      </c>
      <c r="S9" s="6">
        <v>3.41</v>
      </c>
    </row>
    <row r="10" spans="1:19" s="48" customFormat="1" ht="18.5" thickBot="1" x14ac:dyDescent="0.4">
      <c r="A10" s="47" t="s">
        <v>52</v>
      </c>
      <c r="B10" s="46" t="s">
        <v>120</v>
      </c>
      <c r="C10" s="46">
        <v>50</v>
      </c>
      <c r="D10" s="46" t="s">
        <v>101</v>
      </c>
      <c r="E10" s="46">
        <v>0</v>
      </c>
      <c r="F10" s="46" t="s">
        <v>101</v>
      </c>
      <c r="G10" s="46">
        <v>0</v>
      </c>
      <c r="H10" s="46" t="s">
        <v>121</v>
      </c>
      <c r="I10" s="46">
        <v>6.7</v>
      </c>
      <c r="K10" s="47" t="s">
        <v>52</v>
      </c>
      <c r="L10" s="46">
        <v>24</v>
      </c>
      <c r="M10" s="46">
        <v>18</v>
      </c>
      <c r="N10" s="46">
        <v>0.01</v>
      </c>
      <c r="O10" s="46">
        <v>0.01</v>
      </c>
      <c r="P10" s="46">
        <v>0.01</v>
      </c>
      <c r="Q10" s="46">
        <v>0.01</v>
      </c>
      <c r="R10" s="46">
        <v>3.01</v>
      </c>
      <c r="S10" s="46">
        <v>2.37</v>
      </c>
    </row>
    <row r="11" spans="1:19" ht="18.5" thickBot="1" x14ac:dyDescent="0.4">
      <c r="A11" s="12" t="s">
        <v>53</v>
      </c>
      <c r="B11" s="7">
        <v>1116</v>
      </c>
      <c r="C11" s="7">
        <v>1221</v>
      </c>
      <c r="D11" s="6">
        <v>0.4</v>
      </c>
      <c r="E11" s="6">
        <v>0.4</v>
      </c>
      <c r="F11" s="6">
        <v>0.5</v>
      </c>
      <c r="G11" s="6">
        <v>0.5</v>
      </c>
      <c r="H11" s="6">
        <v>19.899999999999999</v>
      </c>
      <c r="I11" s="6">
        <v>20.3</v>
      </c>
      <c r="K11" s="12" t="s">
        <v>53</v>
      </c>
      <c r="L11" s="6">
        <v>72</v>
      </c>
      <c r="M11" s="6">
        <v>82</v>
      </c>
      <c r="N11" s="6">
        <v>0.03</v>
      </c>
      <c r="O11" s="6">
        <v>0.03</v>
      </c>
      <c r="P11" s="6">
        <v>0.03</v>
      </c>
      <c r="Q11" s="6">
        <v>0.04</v>
      </c>
      <c r="R11" s="6">
        <v>1.19</v>
      </c>
      <c r="S11" s="6">
        <v>1.21</v>
      </c>
    </row>
    <row r="12" spans="1:19" ht="18.5" thickBot="1" x14ac:dyDescent="0.4">
      <c r="A12" s="27" t="s">
        <v>54</v>
      </c>
      <c r="B12" s="11">
        <v>778</v>
      </c>
      <c r="C12" s="11">
        <v>883</v>
      </c>
      <c r="D12" s="11">
        <v>0.3</v>
      </c>
      <c r="E12" s="11">
        <v>0.3</v>
      </c>
      <c r="F12" s="11">
        <v>0.3</v>
      </c>
      <c r="G12" s="11">
        <v>0.4</v>
      </c>
      <c r="H12" s="11">
        <v>33.5</v>
      </c>
      <c r="I12" s="11">
        <v>35.799999999999997</v>
      </c>
      <c r="K12" s="27" t="s">
        <v>54</v>
      </c>
      <c r="L12" s="11">
        <v>60</v>
      </c>
      <c r="M12" s="11">
        <v>70</v>
      </c>
      <c r="N12" s="11">
        <v>0.02</v>
      </c>
      <c r="O12" s="11">
        <v>0.03</v>
      </c>
      <c r="P12" s="11">
        <v>0.02</v>
      </c>
      <c r="Q12" s="11">
        <v>0.03</v>
      </c>
      <c r="R12" s="11">
        <v>2.19</v>
      </c>
      <c r="S12" s="11">
        <v>2.2799999999999998</v>
      </c>
    </row>
    <row r="13" spans="1:19" ht="18.5" thickBot="1" x14ac:dyDescent="0.4">
      <c r="A13" s="26" t="s">
        <v>57</v>
      </c>
      <c r="B13" s="6">
        <v>14</v>
      </c>
      <c r="C13" s="6">
        <v>30</v>
      </c>
      <c r="D13" s="6">
        <v>0</v>
      </c>
      <c r="E13" s="6">
        <v>0</v>
      </c>
      <c r="F13" s="6">
        <v>0</v>
      </c>
      <c r="G13" s="6">
        <v>0</v>
      </c>
      <c r="H13" s="6" t="s">
        <v>50</v>
      </c>
      <c r="I13" s="6" t="s">
        <v>50</v>
      </c>
      <c r="K13" s="26" t="s">
        <v>57</v>
      </c>
      <c r="L13" s="6">
        <v>6</v>
      </c>
      <c r="M13" s="6">
        <v>9</v>
      </c>
      <c r="N13" s="6">
        <v>0</v>
      </c>
      <c r="O13" s="6">
        <v>0</v>
      </c>
      <c r="P13" s="6">
        <v>0</v>
      </c>
      <c r="Q13" s="6">
        <v>0</v>
      </c>
      <c r="R13" s="6" t="s">
        <v>50</v>
      </c>
      <c r="S13" s="6" t="s">
        <v>50</v>
      </c>
    </row>
    <row r="14" spans="1:19" ht="18.5" thickBot="1" x14ac:dyDescent="0.4">
      <c r="A14" s="27" t="s">
        <v>58</v>
      </c>
      <c r="B14" s="11">
        <v>722</v>
      </c>
      <c r="C14" s="11">
        <v>744</v>
      </c>
      <c r="D14" s="11">
        <v>0.3</v>
      </c>
      <c r="E14" s="11">
        <v>0.3</v>
      </c>
      <c r="F14" s="11">
        <v>0.3</v>
      </c>
      <c r="G14" s="11">
        <v>0.3</v>
      </c>
      <c r="H14" s="11">
        <v>28.7</v>
      </c>
      <c r="I14" s="11">
        <v>29.3</v>
      </c>
      <c r="K14" s="27" t="s">
        <v>58</v>
      </c>
      <c r="L14" s="11">
        <v>58</v>
      </c>
      <c r="M14" s="11">
        <v>56</v>
      </c>
      <c r="N14" s="11">
        <v>0.02</v>
      </c>
      <c r="O14" s="11">
        <v>0.02</v>
      </c>
      <c r="P14" s="11">
        <v>0.02</v>
      </c>
      <c r="Q14" s="11">
        <v>0.02</v>
      </c>
      <c r="R14" s="11">
        <v>2.04</v>
      </c>
      <c r="S14" s="11">
        <v>1.88</v>
      </c>
    </row>
    <row r="15" spans="1:19" ht="18.5" thickBot="1" x14ac:dyDescent="0.4">
      <c r="A15" s="12" t="s">
        <v>59</v>
      </c>
      <c r="B15" s="6" t="s">
        <v>122</v>
      </c>
      <c r="C15" s="6">
        <v>730</v>
      </c>
      <c r="D15" s="6" t="s">
        <v>98</v>
      </c>
      <c r="E15" s="6">
        <v>0.3</v>
      </c>
      <c r="F15" s="6" t="s">
        <v>98</v>
      </c>
      <c r="G15" s="6">
        <v>0.3</v>
      </c>
      <c r="H15" s="6">
        <v>28.8</v>
      </c>
      <c r="I15" s="6">
        <v>34.1</v>
      </c>
      <c r="K15" s="12" t="s">
        <v>59</v>
      </c>
      <c r="L15" s="6">
        <v>45</v>
      </c>
      <c r="M15" s="6">
        <v>54</v>
      </c>
      <c r="N15" s="6">
        <v>0.02</v>
      </c>
      <c r="O15" s="6">
        <v>0.02</v>
      </c>
      <c r="P15" s="6">
        <v>0.02</v>
      </c>
      <c r="Q15" s="6">
        <v>0.02</v>
      </c>
      <c r="R15" s="6">
        <v>2.19</v>
      </c>
      <c r="S15" s="6">
        <v>2.2799999999999998</v>
      </c>
    </row>
    <row r="16" spans="1:19" ht="18.5" thickBot="1" x14ac:dyDescent="0.4">
      <c r="A16" s="8" t="s">
        <v>60</v>
      </c>
      <c r="B16" s="11">
        <v>205</v>
      </c>
      <c r="C16" s="11">
        <v>184</v>
      </c>
      <c r="D16" s="11">
        <v>0.1</v>
      </c>
      <c r="E16" s="11">
        <v>0.1</v>
      </c>
      <c r="F16" s="11">
        <v>0.1</v>
      </c>
      <c r="G16" s="11">
        <v>0.1</v>
      </c>
      <c r="H16" s="11">
        <v>11</v>
      </c>
      <c r="I16" s="11">
        <v>9.1999999999999993</v>
      </c>
      <c r="K16" s="8" t="s">
        <v>60</v>
      </c>
      <c r="L16" s="11">
        <v>31</v>
      </c>
      <c r="M16" s="11">
        <v>33</v>
      </c>
      <c r="N16" s="11">
        <v>0.01</v>
      </c>
      <c r="O16" s="11">
        <v>0.01</v>
      </c>
      <c r="P16" s="11">
        <v>0.01</v>
      </c>
      <c r="Q16" s="11">
        <v>0.01</v>
      </c>
      <c r="R16" s="11">
        <v>1.58</v>
      </c>
      <c r="S16" s="11">
        <v>1.63</v>
      </c>
    </row>
    <row r="17" spans="1:19" ht="18.5" thickBot="1" x14ac:dyDescent="0.4">
      <c r="A17" s="12" t="s">
        <v>61</v>
      </c>
      <c r="B17" s="6" t="s">
        <v>47</v>
      </c>
      <c r="C17" s="6" t="s">
        <v>47</v>
      </c>
      <c r="D17" s="6" t="s">
        <v>47</v>
      </c>
      <c r="E17" s="6" t="s">
        <v>47</v>
      </c>
      <c r="F17" s="6" t="s">
        <v>47</v>
      </c>
      <c r="G17" s="6" t="s">
        <v>47</v>
      </c>
      <c r="H17" s="6" t="s">
        <v>47</v>
      </c>
      <c r="I17" s="6" t="s">
        <v>47</v>
      </c>
      <c r="K17" s="12" t="s">
        <v>61</v>
      </c>
      <c r="L17" s="6" t="s">
        <v>47</v>
      </c>
      <c r="M17" s="6" t="s">
        <v>47</v>
      </c>
      <c r="N17" s="6" t="s">
        <v>47</v>
      </c>
      <c r="O17" s="6" t="s">
        <v>47</v>
      </c>
      <c r="P17" s="6" t="s">
        <v>47</v>
      </c>
      <c r="Q17" s="6" t="s">
        <v>47</v>
      </c>
      <c r="R17" s="6" t="s">
        <v>47</v>
      </c>
      <c r="S17" s="6" t="s">
        <v>47</v>
      </c>
    </row>
    <row r="18" spans="1:19" s="48" customFormat="1" ht="18.5" thickBot="1" x14ac:dyDescent="0.4">
      <c r="A18" s="49" t="s">
        <v>62</v>
      </c>
      <c r="B18" s="50">
        <v>1908</v>
      </c>
      <c r="C18" s="50">
        <v>1607</v>
      </c>
      <c r="D18" s="46">
        <v>0.7</v>
      </c>
      <c r="E18" s="46">
        <v>0.6</v>
      </c>
      <c r="F18" s="46" t="s">
        <v>47</v>
      </c>
      <c r="G18" s="46" t="s">
        <v>47</v>
      </c>
      <c r="H18" s="46">
        <v>19.2</v>
      </c>
      <c r="I18" s="46">
        <v>16.5</v>
      </c>
      <c r="K18" s="49" t="s">
        <v>62</v>
      </c>
      <c r="L18" s="46">
        <v>121</v>
      </c>
      <c r="M18" s="46">
        <v>113</v>
      </c>
      <c r="N18" s="46">
        <v>0.04</v>
      </c>
      <c r="O18" s="46">
        <v>0.04</v>
      </c>
      <c r="P18" s="46" t="s">
        <v>47</v>
      </c>
      <c r="Q18" s="46" t="s">
        <v>47</v>
      </c>
      <c r="R18" s="46">
        <v>1.1000000000000001</v>
      </c>
      <c r="S18" s="46">
        <v>1.06</v>
      </c>
    </row>
    <row r="19" spans="1:19" ht="18.5" thickBot="1" x14ac:dyDescent="0.4">
      <c r="A19" s="26" t="s">
        <v>63</v>
      </c>
      <c r="B19" s="7">
        <v>1001</v>
      </c>
      <c r="C19" s="6">
        <v>901</v>
      </c>
      <c r="D19" s="6">
        <v>0.4</v>
      </c>
      <c r="E19" s="6">
        <v>0.3</v>
      </c>
      <c r="F19" s="6" t="s">
        <v>47</v>
      </c>
      <c r="G19" s="6" t="s">
        <v>47</v>
      </c>
      <c r="H19" s="6">
        <v>19.600000000000001</v>
      </c>
      <c r="I19" s="6">
        <v>18.3</v>
      </c>
      <c r="K19" s="26" t="s">
        <v>63</v>
      </c>
      <c r="L19" s="6">
        <v>64</v>
      </c>
      <c r="M19" s="6">
        <v>63</v>
      </c>
      <c r="N19" s="6">
        <v>0.02</v>
      </c>
      <c r="O19" s="6">
        <v>0.02</v>
      </c>
      <c r="P19" s="6" t="s">
        <v>47</v>
      </c>
      <c r="Q19" s="6" t="s">
        <v>47</v>
      </c>
      <c r="R19" s="6">
        <v>1.1200000000000001</v>
      </c>
      <c r="S19" s="6">
        <v>1.1599999999999999</v>
      </c>
    </row>
    <row r="20" spans="1:19" ht="18.5" thickBot="1" x14ac:dyDescent="0.4">
      <c r="A20" s="27" t="s">
        <v>64</v>
      </c>
      <c r="B20" s="11" t="s">
        <v>47</v>
      </c>
      <c r="C20" s="11" t="s">
        <v>47</v>
      </c>
      <c r="D20" s="11" t="s">
        <v>47</v>
      </c>
      <c r="E20" s="11" t="s">
        <v>47</v>
      </c>
      <c r="F20" s="11" t="s">
        <v>47</v>
      </c>
      <c r="G20" s="11" t="s">
        <v>47</v>
      </c>
      <c r="H20" s="11" t="s">
        <v>47</v>
      </c>
      <c r="I20" s="11" t="s">
        <v>47</v>
      </c>
      <c r="K20" s="27" t="s">
        <v>64</v>
      </c>
      <c r="L20" s="11" t="s">
        <v>47</v>
      </c>
      <c r="M20" s="11" t="s">
        <v>47</v>
      </c>
      <c r="N20" s="11" t="s">
        <v>47</v>
      </c>
      <c r="O20" s="11" t="s">
        <v>47</v>
      </c>
      <c r="P20" s="11" t="s">
        <v>47</v>
      </c>
      <c r="Q20" s="11" t="s">
        <v>47</v>
      </c>
      <c r="R20" s="11" t="s">
        <v>47</v>
      </c>
      <c r="S20" s="11" t="s">
        <v>47</v>
      </c>
    </row>
    <row r="21" spans="1:19" ht="18.5" thickBot="1" x14ac:dyDescent="0.4">
      <c r="A21" s="29" t="s">
        <v>65</v>
      </c>
      <c r="B21" s="6" t="s">
        <v>123</v>
      </c>
      <c r="C21" s="6">
        <v>949</v>
      </c>
      <c r="D21" s="6" t="s">
        <v>118</v>
      </c>
      <c r="E21" s="6">
        <v>0.3</v>
      </c>
      <c r="F21" s="6" t="s">
        <v>47</v>
      </c>
      <c r="G21" s="6" t="s">
        <v>47</v>
      </c>
      <c r="H21" s="6">
        <v>21.1</v>
      </c>
      <c r="I21" s="6">
        <v>18.2</v>
      </c>
      <c r="K21" s="29" t="s">
        <v>65</v>
      </c>
      <c r="L21" s="6">
        <v>88</v>
      </c>
      <c r="M21" s="6">
        <v>78</v>
      </c>
      <c r="N21" s="6">
        <v>0.03</v>
      </c>
      <c r="O21" s="6">
        <v>0.03</v>
      </c>
      <c r="P21" s="6" t="s">
        <v>47</v>
      </c>
      <c r="Q21" s="6" t="s">
        <v>47</v>
      </c>
      <c r="R21" s="6">
        <v>1.43</v>
      </c>
      <c r="S21" s="6">
        <v>1.41</v>
      </c>
    </row>
    <row r="22" spans="1:19" ht="18.5" thickBot="1" x14ac:dyDescent="0.4">
      <c r="A22" s="30" t="s">
        <v>66</v>
      </c>
      <c r="B22" s="11">
        <v>251</v>
      </c>
      <c r="C22" s="11">
        <v>239</v>
      </c>
      <c r="D22" s="11">
        <v>0.1</v>
      </c>
      <c r="E22" s="11">
        <v>0.1</v>
      </c>
      <c r="F22" s="11" t="s">
        <v>47</v>
      </c>
      <c r="G22" s="11" t="s">
        <v>47</v>
      </c>
      <c r="H22" s="11">
        <v>23.2</v>
      </c>
      <c r="I22" s="11">
        <v>21.8</v>
      </c>
      <c r="K22" s="30" t="s">
        <v>66</v>
      </c>
      <c r="L22" s="11">
        <v>38</v>
      </c>
      <c r="M22" s="11">
        <v>49</v>
      </c>
      <c r="N22" s="11">
        <v>0.01</v>
      </c>
      <c r="O22" s="11">
        <v>0.02</v>
      </c>
      <c r="P22" s="11" t="s">
        <v>47</v>
      </c>
      <c r="Q22" s="11" t="s">
        <v>47</v>
      </c>
      <c r="R22" s="11">
        <v>3.25</v>
      </c>
      <c r="S22" s="11">
        <v>3.97</v>
      </c>
    </row>
    <row r="23" spans="1:19" ht="18.5" thickBot="1" x14ac:dyDescent="0.4">
      <c r="A23" s="29" t="s">
        <v>67</v>
      </c>
      <c r="B23" s="6" t="s">
        <v>68</v>
      </c>
      <c r="C23" s="6" t="s">
        <v>68</v>
      </c>
      <c r="D23" s="6" t="s">
        <v>68</v>
      </c>
      <c r="E23" s="6" t="s">
        <v>68</v>
      </c>
      <c r="F23" s="6" t="s">
        <v>68</v>
      </c>
      <c r="G23" s="6" t="s">
        <v>68</v>
      </c>
      <c r="H23" s="6" t="s">
        <v>68</v>
      </c>
      <c r="I23" s="6" t="s">
        <v>68</v>
      </c>
      <c r="K23" s="29" t="s">
        <v>67</v>
      </c>
      <c r="L23" s="6" t="s">
        <v>68</v>
      </c>
      <c r="M23" s="6" t="s">
        <v>68</v>
      </c>
      <c r="N23" s="6" t="s">
        <v>68</v>
      </c>
      <c r="O23" s="6" t="s">
        <v>68</v>
      </c>
      <c r="P23" s="6" t="s">
        <v>68</v>
      </c>
      <c r="Q23" s="6" t="s">
        <v>68</v>
      </c>
      <c r="R23" s="6" t="s">
        <v>68</v>
      </c>
      <c r="S23" s="6" t="s">
        <v>68</v>
      </c>
    </row>
    <row r="24" spans="1:19" s="48" customFormat="1" ht="18.5" thickBot="1" x14ac:dyDescent="0.4">
      <c r="A24" s="47" t="s">
        <v>69</v>
      </c>
      <c r="B24" s="46" t="s">
        <v>47</v>
      </c>
      <c r="C24" s="46" t="s">
        <v>47</v>
      </c>
      <c r="D24" s="46" t="s">
        <v>47</v>
      </c>
      <c r="E24" s="46" t="s">
        <v>47</v>
      </c>
      <c r="F24" s="46" t="s">
        <v>47</v>
      </c>
      <c r="G24" s="46" t="s">
        <v>47</v>
      </c>
      <c r="H24" s="46" t="s">
        <v>47</v>
      </c>
      <c r="I24" s="46" t="s">
        <v>47</v>
      </c>
      <c r="K24" s="47" t="s">
        <v>69</v>
      </c>
      <c r="L24" s="46" t="s">
        <v>47</v>
      </c>
      <c r="M24" s="46" t="s">
        <v>47</v>
      </c>
      <c r="N24" s="46" t="s">
        <v>47</v>
      </c>
      <c r="O24" s="46" t="s">
        <v>47</v>
      </c>
      <c r="P24" s="46" t="s">
        <v>47</v>
      </c>
      <c r="Q24" s="46" t="s">
        <v>47</v>
      </c>
      <c r="R24" s="46" t="s">
        <v>47</v>
      </c>
      <c r="S24" s="46" t="s">
        <v>47</v>
      </c>
    </row>
    <row r="25" spans="1:19" ht="18.5" thickBot="1" x14ac:dyDescent="0.4">
      <c r="A25" s="12" t="s">
        <v>70</v>
      </c>
      <c r="B25" s="6" t="s">
        <v>47</v>
      </c>
      <c r="C25" s="6" t="s">
        <v>47</v>
      </c>
      <c r="D25" s="6" t="s">
        <v>47</v>
      </c>
      <c r="E25" s="6" t="s">
        <v>47</v>
      </c>
      <c r="F25" s="6" t="s">
        <v>47</v>
      </c>
      <c r="G25" s="6" t="s">
        <v>47</v>
      </c>
      <c r="H25" s="6" t="s">
        <v>47</v>
      </c>
      <c r="I25" s="6" t="s">
        <v>47</v>
      </c>
      <c r="K25" s="12" t="s">
        <v>70</v>
      </c>
      <c r="L25" s="6" t="s">
        <v>47</v>
      </c>
      <c r="M25" s="6" t="s">
        <v>47</v>
      </c>
      <c r="N25" s="6" t="s">
        <v>47</v>
      </c>
      <c r="O25" s="6" t="s">
        <v>47</v>
      </c>
      <c r="P25" s="6" t="s">
        <v>47</v>
      </c>
      <c r="Q25" s="6" t="s">
        <v>47</v>
      </c>
      <c r="R25" s="6" t="s">
        <v>47</v>
      </c>
      <c r="S25" s="6" t="s">
        <v>47</v>
      </c>
    </row>
    <row r="26" spans="1:19" ht="18.5" thickBot="1" x14ac:dyDescent="0.4">
      <c r="A26" s="3" t="s">
        <v>71</v>
      </c>
      <c r="B26" s="11" t="s">
        <v>124</v>
      </c>
      <c r="C26" s="4">
        <v>1595</v>
      </c>
      <c r="D26" s="11" t="s">
        <v>125</v>
      </c>
      <c r="E26" s="11">
        <v>0.6</v>
      </c>
      <c r="F26" s="11" t="s">
        <v>87</v>
      </c>
      <c r="G26" s="11">
        <v>1.3</v>
      </c>
      <c r="H26" s="11">
        <v>3.2</v>
      </c>
      <c r="I26" s="11">
        <v>2.9</v>
      </c>
      <c r="K26" s="3" t="s">
        <v>71</v>
      </c>
      <c r="L26" s="11">
        <v>89</v>
      </c>
      <c r="M26" s="11">
        <v>79</v>
      </c>
      <c r="N26" s="11">
        <v>0.03</v>
      </c>
      <c r="O26" s="11">
        <v>0.03</v>
      </c>
      <c r="P26" s="11">
        <v>7.0000000000000007E-2</v>
      </c>
      <c r="Q26" s="11">
        <v>0.06</v>
      </c>
      <c r="R26" s="11">
        <v>0.15</v>
      </c>
      <c r="S26" s="11">
        <v>0.15</v>
      </c>
    </row>
    <row r="27" spans="1:19" ht="18.5" thickBot="1" x14ac:dyDescent="0.4">
      <c r="A27" s="12" t="s">
        <v>72</v>
      </c>
      <c r="B27" s="6">
        <v>495</v>
      </c>
      <c r="C27" s="6">
        <v>488</v>
      </c>
      <c r="D27" s="6">
        <v>0.2</v>
      </c>
      <c r="E27" s="6">
        <v>0.2</v>
      </c>
      <c r="F27" s="6">
        <v>0.3</v>
      </c>
      <c r="G27" s="6">
        <v>0.3</v>
      </c>
      <c r="H27" s="6" t="s">
        <v>68</v>
      </c>
      <c r="I27" s="6" t="s">
        <v>68</v>
      </c>
      <c r="K27" s="12" t="s">
        <v>72</v>
      </c>
      <c r="L27" s="6">
        <v>43</v>
      </c>
      <c r="M27" s="6">
        <v>51</v>
      </c>
      <c r="N27" s="6">
        <v>0.02</v>
      </c>
      <c r="O27" s="6">
        <v>0.02</v>
      </c>
      <c r="P27" s="6">
        <v>0.02</v>
      </c>
      <c r="Q27" s="6">
        <v>0.03</v>
      </c>
      <c r="R27" s="6" t="s">
        <v>68</v>
      </c>
      <c r="S27" s="6" t="s">
        <v>68</v>
      </c>
    </row>
    <row r="28" spans="1:19" ht="18.5" thickBot="1" x14ac:dyDescent="0.4">
      <c r="A28" s="3" t="s">
        <v>73</v>
      </c>
      <c r="B28" s="11">
        <v>918</v>
      </c>
      <c r="C28" s="4">
        <v>1041</v>
      </c>
      <c r="D28" s="11">
        <v>0.3</v>
      </c>
      <c r="E28" s="11">
        <v>0.4</v>
      </c>
      <c r="F28" s="11">
        <v>0.4</v>
      </c>
      <c r="G28" s="11">
        <v>0.4</v>
      </c>
      <c r="H28" s="11">
        <v>8.4</v>
      </c>
      <c r="I28" s="11">
        <v>9.1</v>
      </c>
      <c r="K28" s="3" t="s">
        <v>73</v>
      </c>
      <c r="L28" s="11">
        <v>66</v>
      </c>
      <c r="M28" s="11">
        <v>68</v>
      </c>
      <c r="N28" s="11">
        <v>0.02</v>
      </c>
      <c r="O28" s="11">
        <v>0.02</v>
      </c>
      <c r="P28" s="11">
        <v>0.03</v>
      </c>
      <c r="Q28" s="11">
        <v>0.03</v>
      </c>
      <c r="R28" s="11">
        <v>0.59</v>
      </c>
      <c r="S28" s="11">
        <v>0.59</v>
      </c>
    </row>
    <row r="29" spans="1:19" ht="18.5" thickBot="1" x14ac:dyDescent="0.4">
      <c r="A29" s="14" t="s">
        <v>74</v>
      </c>
      <c r="B29" s="7">
        <v>2274</v>
      </c>
      <c r="C29" s="7">
        <v>2114</v>
      </c>
      <c r="D29" s="6">
        <v>0.8</v>
      </c>
      <c r="E29" s="6">
        <v>0.8</v>
      </c>
      <c r="F29" s="6">
        <v>1.2</v>
      </c>
      <c r="G29" s="6">
        <v>1.1000000000000001</v>
      </c>
      <c r="H29" s="6">
        <v>9.9</v>
      </c>
      <c r="I29" s="6">
        <v>9.5</v>
      </c>
      <c r="K29" s="14" t="s">
        <v>74</v>
      </c>
      <c r="L29" s="6">
        <v>101</v>
      </c>
      <c r="M29" s="6">
        <v>100</v>
      </c>
      <c r="N29" s="6">
        <v>0.04</v>
      </c>
      <c r="O29" s="6">
        <v>0.04</v>
      </c>
      <c r="P29" s="6">
        <v>0.05</v>
      </c>
      <c r="Q29" s="6">
        <v>0.05</v>
      </c>
      <c r="R29" s="6">
        <v>0.43</v>
      </c>
      <c r="S29" s="6">
        <v>0.45</v>
      </c>
    </row>
    <row r="30" spans="1:19" ht="18.5" thickBot="1" x14ac:dyDescent="0.4">
      <c r="A30" s="3" t="s">
        <v>75</v>
      </c>
      <c r="B30" s="4">
        <v>4878</v>
      </c>
      <c r="C30" s="4">
        <v>4879</v>
      </c>
      <c r="D30" s="11">
        <v>1.8</v>
      </c>
      <c r="E30" s="11">
        <v>1.8</v>
      </c>
      <c r="F30" s="11">
        <v>8.5</v>
      </c>
      <c r="G30" s="11">
        <v>8.1999999999999993</v>
      </c>
      <c r="H30" s="11">
        <v>2.7</v>
      </c>
      <c r="I30" s="11">
        <v>2.7</v>
      </c>
      <c r="K30" s="3" t="s">
        <v>75</v>
      </c>
      <c r="L30" s="11">
        <v>129</v>
      </c>
      <c r="M30" s="11">
        <v>136</v>
      </c>
      <c r="N30" s="11">
        <v>0.05</v>
      </c>
      <c r="O30" s="11">
        <v>0.05</v>
      </c>
      <c r="P30" s="11">
        <v>0.23</v>
      </c>
      <c r="Q30" s="11">
        <v>0.24</v>
      </c>
      <c r="R30" s="11">
        <v>7.0000000000000007E-2</v>
      </c>
      <c r="S30" s="11">
        <v>0.08</v>
      </c>
    </row>
    <row r="31" spans="1:19" ht="20.399999999999999" customHeight="1" x14ac:dyDescent="0.35">
      <c r="A31" s="70" t="s">
        <v>76</v>
      </c>
      <c r="B31" s="71"/>
      <c r="C31" s="71"/>
      <c r="D31" s="71"/>
      <c r="E31" s="71"/>
      <c r="F31" s="71"/>
      <c r="G31" s="71"/>
      <c r="H31" s="71"/>
      <c r="I31" s="72"/>
      <c r="K31" s="70" t="s">
        <v>76</v>
      </c>
      <c r="L31" s="71"/>
      <c r="M31" s="71"/>
      <c r="N31" s="71"/>
      <c r="O31" s="71"/>
      <c r="P31" s="71"/>
      <c r="Q31" s="71"/>
      <c r="R31" s="71"/>
      <c r="S31" s="72"/>
    </row>
    <row r="32" spans="1:19" ht="40.75" customHeight="1" x14ac:dyDescent="0.35">
      <c r="A32" s="60" t="s">
        <v>77</v>
      </c>
      <c r="B32" s="61"/>
      <c r="C32" s="61"/>
      <c r="D32" s="61"/>
      <c r="E32" s="61"/>
      <c r="F32" s="61"/>
      <c r="G32" s="61"/>
      <c r="H32" s="61"/>
      <c r="I32" s="62"/>
      <c r="K32" s="60" t="s">
        <v>77</v>
      </c>
      <c r="L32" s="61"/>
      <c r="M32" s="61"/>
      <c r="N32" s="61"/>
      <c r="O32" s="61"/>
      <c r="P32" s="61"/>
      <c r="Q32" s="61"/>
      <c r="R32" s="61"/>
      <c r="S32" s="62"/>
    </row>
    <row r="33" spans="1:19" ht="20.399999999999999" customHeight="1" x14ac:dyDescent="0.35">
      <c r="A33" s="73" t="s">
        <v>78</v>
      </c>
      <c r="B33" s="74"/>
      <c r="C33" s="74"/>
      <c r="D33" s="74"/>
      <c r="E33" s="74"/>
      <c r="F33" s="74"/>
      <c r="G33" s="74"/>
      <c r="H33" s="74"/>
      <c r="I33" s="75"/>
      <c r="K33" s="73" t="s">
        <v>79</v>
      </c>
      <c r="L33" s="74"/>
      <c r="M33" s="74"/>
      <c r="N33" s="74"/>
      <c r="O33" s="74"/>
      <c r="P33" s="74"/>
      <c r="Q33" s="74"/>
      <c r="R33" s="74"/>
      <c r="S33" s="75"/>
    </row>
    <row r="34" spans="1:19" ht="20.399999999999999" customHeight="1" x14ac:dyDescent="0.35">
      <c r="A34" s="73" t="s">
        <v>79</v>
      </c>
      <c r="B34" s="74"/>
      <c r="C34" s="74"/>
      <c r="D34" s="74"/>
      <c r="E34" s="74"/>
      <c r="F34" s="74"/>
      <c r="G34" s="74"/>
      <c r="H34" s="74"/>
      <c r="I34" s="75"/>
      <c r="K34" s="60" t="s">
        <v>80</v>
      </c>
      <c r="L34" s="61"/>
      <c r="M34" s="61"/>
      <c r="N34" s="61"/>
      <c r="O34" s="61"/>
      <c r="P34" s="61"/>
      <c r="Q34" s="61"/>
      <c r="R34" s="61"/>
      <c r="S34" s="62"/>
    </row>
    <row r="35" spans="1:19" ht="15" thickBot="1" x14ac:dyDescent="0.4">
      <c r="A35" s="60" t="s">
        <v>80</v>
      </c>
      <c r="B35" s="61"/>
      <c r="C35" s="61"/>
      <c r="D35" s="61"/>
      <c r="E35" s="61"/>
      <c r="F35" s="61"/>
      <c r="G35" s="61"/>
      <c r="H35" s="61"/>
      <c r="I35" s="62"/>
      <c r="K35" s="63" t="s">
        <v>81</v>
      </c>
      <c r="L35" s="64"/>
      <c r="M35" s="64"/>
      <c r="N35" s="64"/>
      <c r="O35" s="64"/>
      <c r="P35" s="64"/>
      <c r="Q35" s="64"/>
      <c r="R35" s="64"/>
      <c r="S35" s="65"/>
    </row>
    <row r="36" spans="1:19" ht="15" thickBot="1" x14ac:dyDescent="0.4">
      <c r="A36" s="63" t="s">
        <v>81</v>
      </c>
      <c r="B36" s="64"/>
      <c r="C36" s="64"/>
      <c r="D36" s="64"/>
      <c r="E36" s="64"/>
      <c r="F36" s="64"/>
      <c r="G36" s="64"/>
      <c r="H36" s="64"/>
      <c r="I36" s="65"/>
    </row>
  </sheetData>
  <mergeCells count="39">
    <mergeCell ref="A35:I35"/>
    <mergeCell ref="A36:I36"/>
    <mergeCell ref="K1:S1"/>
    <mergeCell ref="K2:K5"/>
    <mergeCell ref="L2:M2"/>
    <mergeCell ref="L3:M3"/>
    <mergeCell ref="L4:M4"/>
    <mergeCell ref="N2:O2"/>
    <mergeCell ref="F4:G4"/>
    <mergeCell ref="H2:I2"/>
    <mergeCell ref="H3:I3"/>
    <mergeCell ref="H4:I4"/>
    <mergeCell ref="A31:I31"/>
    <mergeCell ref="A32:I32"/>
    <mergeCell ref="A1:I1"/>
    <mergeCell ref="A2:A5"/>
    <mergeCell ref="R2:S2"/>
    <mergeCell ref="R3:S3"/>
    <mergeCell ref="R4:S4"/>
    <mergeCell ref="A33:I33"/>
    <mergeCell ref="A34:I34"/>
    <mergeCell ref="B2:C2"/>
    <mergeCell ref="B3:C3"/>
    <mergeCell ref="B4:C4"/>
    <mergeCell ref="D2:E2"/>
    <mergeCell ref="D3:E3"/>
    <mergeCell ref="D4:E4"/>
    <mergeCell ref="F2:G2"/>
    <mergeCell ref="F3:G3"/>
    <mergeCell ref="N3:O3"/>
    <mergeCell ref="N4:O4"/>
    <mergeCell ref="P2:Q2"/>
    <mergeCell ref="K34:S34"/>
    <mergeCell ref="K35:S35"/>
    <mergeCell ref="P3:Q3"/>
    <mergeCell ref="P4:Q4"/>
    <mergeCell ref="K31:S31"/>
    <mergeCell ref="K32:S32"/>
    <mergeCell ref="K33:S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60E79-3FA6-4801-9D8D-B0281793412D}">
  <dimension ref="A1:V36"/>
  <sheetViews>
    <sheetView topLeftCell="E1" workbookViewId="0">
      <selection activeCell="F2" sqref="F2:G2"/>
    </sheetView>
  </sheetViews>
  <sheetFormatPr defaultRowHeight="14.5" x14ac:dyDescent="0.35"/>
  <cols>
    <col min="1" max="1" width="40.81640625" bestFit="1" customWidth="1"/>
    <col min="3" max="3" width="7.90625" bestFit="1" customWidth="1"/>
    <col min="14" max="14" width="40.81640625" bestFit="1" customWidth="1"/>
  </cols>
  <sheetData>
    <row r="1" spans="1:22" ht="15" thickBot="1" x14ac:dyDescent="0.4">
      <c r="A1" s="78" t="s">
        <v>35</v>
      </c>
      <c r="B1" s="79"/>
      <c r="C1" s="79"/>
      <c r="D1" s="79"/>
      <c r="E1" s="79"/>
      <c r="F1" s="79"/>
      <c r="G1" s="79"/>
      <c r="H1" s="79"/>
      <c r="I1" s="79"/>
      <c r="N1" s="35" t="s">
        <v>104</v>
      </c>
      <c r="O1" s="34"/>
      <c r="P1" s="34"/>
      <c r="Q1" s="34"/>
      <c r="R1" s="34"/>
      <c r="S1" s="34"/>
      <c r="T1" s="34"/>
      <c r="U1" s="34"/>
      <c r="V1" s="34"/>
    </row>
    <row r="2" spans="1:22" ht="17.5" x14ac:dyDescent="0.35">
      <c r="A2" s="58" t="s">
        <v>36</v>
      </c>
      <c r="B2" s="76" t="s">
        <v>37</v>
      </c>
      <c r="C2" s="77"/>
      <c r="D2" s="76" t="s">
        <v>39</v>
      </c>
      <c r="E2" s="77"/>
      <c r="F2" s="76" t="s">
        <v>41</v>
      </c>
      <c r="G2" s="77"/>
      <c r="H2" s="76" t="s">
        <v>41</v>
      </c>
      <c r="I2" s="77"/>
      <c r="N2" s="20" t="s">
        <v>36</v>
      </c>
      <c r="O2" s="22" t="s">
        <v>37</v>
      </c>
      <c r="P2" s="37"/>
      <c r="Q2" s="22" t="s">
        <v>39</v>
      </c>
      <c r="R2" s="37"/>
      <c r="S2" s="22" t="s">
        <v>41</v>
      </c>
      <c r="T2" s="37"/>
      <c r="U2" s="22" t="s">
        <v>41</v>
      </c>
      <c r="V2" s="37"/>
    </row>
    <row r="3" spans="1:22" ht="17.5" x14ac:dyDescent="0.35">
      <c r="A3" s="80"/>
      <c r="B3" s="66" t="s">
        <v>38</v>
      </c>
      <c r="C3" s="67"/>
      <c r="D3" s="66" t="s">
        <v>40</v>
      </c>
      <c r="E3" s="67"/>
      <c r="F3" s="66" t="s">
        <v>42</v>
      </c>
      <c r="G3" s="67"/>
      <c r="H3" s="66" t="s">
        <v>44</v>
      </c>
      <c r="I3" s="67"/>
      <c r="N3" s="36"/>
      <c r="O3" s="17" t="s">
        <v>38</v>
      </c>
      <c r="P3" s="38"/>
      <c r="Q3" s="17" t="s">
        <v>40</v>
      </c>
      <c r="R3" s="38"/>
      <c r="S3" s="17" t="s">
        <v>42</v>
      </c>
      <c r="T3" s="38"/>
      <c r="U3" s="17" t="s">
        <v>44</v>
      </c>
      <c r="V3" s="38"/>
    </row>
    <row r="4" spans="1:22" ht="18" thickBot="1" x14ac:dyDescent="0.4">
      <c r="A4" s="80"/>
      <c r="B4" s="68"/>
      <c r="C4" s="69"/>
      <c r="D4" s="68"/>
      <c r="E4" s="69"/>
      <c r="F4" s="68" t="s">
        <v>43</v>
      </c>
      <c r="G4" s="69"/>
      <c r="H4" s="68" t="s">
        <v>45</v>
      </c>
      <c r="I4" s="69"/>
      <c r="N4" s="36"/>
      <c r="O4" s="23"/>
      <c r="P4" s="39"/>
      <c r="Q4" s="23"/>
      <c r="R4" s="39"/>
      <c r="S4" s="23" t="s">
        <v>43</v>
      </c>
      <c r="T4" s="39"/>
      <c r="U4" s="23" t="s">
        <v>45</v>
      </c>
      <c r="V4" s="39"/>
    </row>
    <row r="5" spans="1:22" ht="18" thickBot="1" x14ac:dyDescent="0.4">
      <c r="A5" s="59"/>
      <c r="B5" s="24">
        <v>2018</v>
      </c>
      <c r="C5" s="24">
        <v>2019</v>
      </c>
      <c r="D5" s="24">
        <v>2018</v>
      </c>
      <c r="E5" s="24">
        <v>2019</v>
      </c>
      <c r="F5" s="24">
        <v>2018</v>
      </c>
      <c r="G5" s="24">
        <v>2019</v>
      </c>
      <c r="H5" s="24">
        <v>2018</v>
      </c>
      <c r="I5" s="24">
        <v>2019</v>
      </c>
      <c r="N5" s="21"/>
      <c r="O5" s="24">
        <v>2018</v>
      </c>
      <c r="P5" s="24">
        <v>2019</v>
      </c>
      <c r="Q5" s="24">
        <v>2018</v>
      </c>
      <c r="R5" s="24">
        <v>2019</v>
      </c>
      <c r="S5" s="24">
        <v>2018</v>
      </c>
      <c r="T5" s="24">
        <v>2019</v>
      </c>
      <c r="U5" s="24">
        <v>2018</v>
      </c>
      <c r="V5" s="24">
        <v>2019</v>
      </c>
    </row>
    <row r="6" spans="1:22" ht="18.5" thickBot="1" x14ac:dyDescent="0.4">
      <c r="A6" s="3" t="s">
        <v>46</v>
      </c>
      <c r="B6" s="11" t="s">
        <v>47</v>
      </c>
      <c r="C6" s="11" t="s">
        <v>47</v>
      </c>
      <c r="D6" s="11" t="s">
        <v>47</v>
      </c>
      <c r="E6" s="11" t="s">
        <v>47</v>
      </c>
      <c r="F6" s="11" t="s">
        <v>47</v>
      </c>
      <c r="G6" s="11" t="s">
        <v>47</v>
      </c>
      <c r="H6" s="11" t="s">
        <v>47</v>
      </c>
      <c r="I6" s="11" t="s">
        <v>47</v>
      </c>
      <c r="N6" s="3" t="s">
        <v>46</v>
      </c>
      <c r="O6" s="11" t="s">
        <v>47</v>
      </c>
      <c r="P6" s="11" t="s">
        <v>47</v>
      </c>
      <c r="Q6" s="11" t="s">
        <v>47</v>
      </c>
      <c r="R6" s="11" t="s">
        <v>47</v>
      </c>
      <c r="S6" s="11" t="s">
        <v>47</v>
      </c>
      <c r="T6" s="11" t="s">
        <v>47</v>
      </c>
      <c r="U6" s="11" t="s">
        <v>47</v>
      </c>
      <c r="V6" s="11" t="s">
        <v>47</v>
      </c>
    </row>
    <row r="7" spans="1:22" ht="18.5" thickBot="1" x14ac:dyDescent="0.4">
      <c r="A7" s="12" t="s">
        <v>48</v>
      </c>
      <c r="B7" s="7">
        <v>1339</v>
      </c>
      <c r="C7" s="7">
        <v>1351</v>
      </c>
      <c r="D7" s="6">
        <v>5.4</v>
      </c>
      <c r="E7" s="6">
        <v>5.4</v>
      </c>
      <c r="F7" s="6">
        <v>6</v>
      </c>
      <c r="G7" s="6">
        <v>6.1</v>
      </c>
      <c r="H7" s="6">
        <v>43.1</v>
      </c>
      <c r="I7" s="6">
        <v>41.1</v>
      </c>
      <c r="N7" s="12" t="s">
        <v>48</v>
      </c>
      <c r="O7" s="6">
        <v>56</v>
      </c>
      <c r="P7" s="6">
        <v>58</v>
      </c>
      <c r="Q7" s="6">
        <v>0.22</v>
      </c>
      <c r="R7" s="6">
        <v>0.23</v>
      </c>
      <c r="S7" s="6">
        <v>0.25</v>
      </c>
      <c r="T7" s="6">
        <v>0.26</v>
      </c>
      <c r="U7" s="6">
        <v>1.45</v>
      </c>
      <c r="V7" s="6">
        <v>1.37</v>
      </c>
    </row>
    <row r="8" spans="1:22" ht="18.5" thickBot="1" x14ac:dyDescent="0.4">
      <c r="A8" s="8" t="s">
        <v>49</v>
      </c>
      <c r="B8" s="11">
        <v>74</v>
      </c>
      <c r="C8" s="11">
        <v>59</v>
      </c>
      <c r="D8" s="11">
        <v>0.3</v>
      </c>
      <c r="E8" s="11">
        <v>0.2</v>
      </c>
      <c r="F8" s="11">
        <v>0.3</v>
      </c>
      <c r="G8" s="11">
        <v>0.2</v>
      </c>
      <c r="H8" s="11" t="s">
        <v>50</v>
      </c>
      <c r="I8" s="11" t="s">
        <v>50</v>
      </c>
      <c r="N8" s="8" t="s">
        <v>49</v>
      </c>
      <c r="O8" s="11">
        <v>15</v>
      </c>
      <c r="P8" s="11">
        <v>14</v>
      </c>
      <c r="Q8" s="11">
        <v>0.06</v>
      </c>
      <c r="R8" s="11">
        <v>0.05</v>
      </c>
      <c r="S8" s="11">
        <v>0.06</v>
      </c>
      <c r="T8" s="11">
        <v>0.05</v>
      </c>
      <c r="U8" s="11" t="s">
        <v>50</v>
      </c>
      <c r="V8" s="11" t="s">
        <v>50</v>
      </c>
    </row>
    <row r="9" spans="1:22" ht="18.5" thickBot="1" x14ac:dyDescent="0.4">
      <c r="A9" s="26" t="s">
        <v>51</v>
      </c>
      <c r="B9" s="6">
        <v>4</v>
      </c>
      <c r="C9" s="6">
        <v>11</v>
      </c>
      <c r="D9" s="6">
        <v>0</v>
      </c>
      <c r="E9" s="6">
        <v>0</v>
      </c>
      <c r="F9" s="6">
        <v>0</v>
      </c>
      <c r="G9" s="6">
        <v>0</v>
      </c>
      <c r="H9" s="6" t="s">
        <v>50</v>
      </c>
      <c r="I9" s="6" t="s">
        <v>50</v>
      </c>
      <c r="N9" s="26" t="s">
        <v>51</v>
      </c>
      <c r="O9" s="6">
        <v>3</v>
      </c>
      <c r="P9" s="6">
        <v>7</v>
      </c>
      <c r="Q9" s="6">
        <v>0.01</v>
      </c>
      <c r="R9" s="6">
        <v>0.03</v>
      </c>
      <c r="S9" s="6">
        <v>0.01</v>
      </c>
      <c r="T9" s="6">
        <v>0.03</v>
      </c>
      <c r="U9" s="6" t="s">
        <v>50</v>
      </c>
      <c r="V9" s="6" t="s">
        <v>50</v>
      </c>
    </row>
    <row r="10" spans="1:22" s="48" customFormat="1" ht="18.5" thickBot="1" x14ac:dyDescent="0.4">
      <c r="A10" s="47" t="s">
        <v>52</v>
      </c>
      <c r="B10" s="46">
        <v>7</v>
      </c>
      <c r="C10" s="46" t="s">
        <v>50</v>
      </c>
      <c r="D10" s="46">
        <v>0</v>
      </c>
      <c r="E10" s="46" t="s">
        <v>50</v>
      </c>
      <c r="F10" s="46">
        <v>0</v>
      </c>
      <c r="G10" s="46" t="s">
        <v>50</v>
      </c>
      <c r="H10" s="46" t="s">
        <v>50</v>
      </c>
      <c r="I10" s="46" t="s">
        <v>50</v>
      </c>
      <c r="N10" s="47" t="s">
        <v>52</v>
      </c>
      <c r="O10" s="46">
        <v>4</v>
      </c>
      <c r="P10" s="46" t="s">
        <v>50</v>
      </c>
      <c r="Q10" s="46">
        <v>0.02</v>
      </c>
      <c r="R10" s="46" t="s">
        <v>50</v>
      </c>
      <c r="S10" s="46">
        <v>0.02</v>
      </c>
      <c r="T10" s="46" t="s">
        <v>50</v>
      </c>
      <c r="U10" s="46" t="s">
        <v>50</v>
      </c>
      <c r="V10" s="46" t="s">
        <v>50</v>
      </c>
    </row>
    <row r="11" spans="1:22" ht="18.5" thickBot="1" x14ac:dyDescent="0.4">
      <c r="A11" s="12" t="s">
        <v>53</v>
      </c>
      <c r="B11" s="6">
        <v>234</v>
      </c>
      <c r="C11" s="6">
        <v>281</v>
      </c>
      <c r="D11" s="6">
        <v>0.9</v>
      </c>
      <c r="E11" s="6">
        <v>1.1000000000000001</v>
      </c>
      <c r="F11" s="6">
        <v>1</v>
      </c>
      <c r="G11" s="6">
        <v>1.1000000000000001</v>
      </c>
      <c r="H11" s="6">
        <v>62.1</v>
      </c>
      <c r="I11" s="6">
        <v>64</v>
      </c>
      <c r="N11" s="12" t="s">
        <v>53</v>
      </c>
      <c r="O11" s="6">
        <v>23</v>
      </c>
      <c r="P11" s="6">
        <v>26</v>
      </c>
      <c r="Q11" s="6">
        <v>0.09</v>
      </c>
      <c r="R11" s="6">
        <v>0.11</v>
      </c>
      <c r="S11" s="6">
        <v>0.1</v>
      </c>
      <c r="T11" s="6">
        <v>0.11</v>
      </c>
      <c r="U11" s="6">
        <v>3.83</v>
      </c>
      <c r="V11" s="6">
        <v>3.8</v>
      </c>
    </row>
    <row r="12" spans="1:22" ht="18.5" thickBot="1" x14ac:dyDescent="0.4">
      <c r="A12" s="27" t="s">
        <v>54</v>
      </c>
      <c r="B12" s="11" t="s">
        <v>55</v>
      </c>
      <c r="C12" s="11">
        <v>205</v>
      </c>
      <c r="D12" s="11" t="s">
        <v>56</v>
      </c>
      <c r="E12" s="11">
        <v>0.8</v>
      </c>
      <c r="F12" s="11" t="s">
        <v>56</v>
      </c>
      <c r="G12" s="11">
        <v>0.8</v>
      </c>
      <c r="H12" s="11">
        <v>69.400000000000006</v>
      </c>
      <c r="I12" s="11">
        <v>73.599999999999994</v>
      </c>
      <c r="N12" s="27" t="s">
        <v>54</v>
      </c>
      <c r="O12" s="11">
        <v>18</v>
      </c>
      <c r="P12" s="11">
        <v>23</v>
      </c>
      <c r="Q12" s="11">
        <v>7.0000000000000007E-2</v>
      </c>
      <c r="R12" s="11">
        <v>0.09</v>
      </c>
      <c r="S12" s="11">
        <v>7.0000000000000007E-2</v>
      </c>
      <c r="T12" s="11">
        <v>0.09</v>
      </c>
      <c r="U12" s="11">
        <v>5.05</v>
      </c>
      <c r="V12" s="11">
        <v>4.47</v>
      </c>
    </row>
    <row r="13" spans="1:22" ht="18.5" thickBot="1" x14ac:dyDescent="0.4">
      <c r="A13" s="26" t="s">
        <v>57</v>
      </c>
      <c r="B13" s="6">
        <v>5</v>
      </c>
      <c r="C13" s="6">
        <v>16</v>
      </c>
      <c r="D13" s="6">
        <v>0</v>
      </c>
      <c r="E13" s="6">
        <v>0.1</v>
      </c>
      <c r="F13" s="6">
        <v>0</v>
      </c>
      <c r="G13" s="6">
        <v>0.1</v>
      </c>
      <c r="H13" s="6" t="s">
        <v>50</v>
      </c>
      <c r="I13" s="6" t="s">
        <v>50</v>
      </c>
      <c r="N13" s="26" t="s">
        <v>57</v>
      </c>
      <c r="O13" s="6">
        <v>3</v>
      </c>
      <c r="P13" s="6">
        <v>7</v>
      </c>
      <c r="Q13" s="6">
        <v>0.01</v>
      </c>
      <c r="R13" s="6">
        <v>0.03</v>
      </c>
      <c r="S13" s="6">
        <v>0.01</v>
      </c>
      <c r="T13" s="6">
        <v>0.03</v>
      </c>
      <c r="U13" s="6" t="s">
        <v>50</v>
      </c>
      <c r="V13" s="6" t="s">
        <v>50</v>
      </c>
    </row>
    <row r="14" spans="1:22" ht="18.5" thickBot="1" x14ac:dyDescent="0.4">
      <c r="A14" s="27" t="s">
        <v>58</v>
      </c>
      <c r="B14" s="11">
        <v>105</v>
      </c>
      <c r="C14" s="11">
        <v>116</v>
      </c>
      <c r="D14" s="11">
        <v>0.4</v>
      </c>
      <c r="E14" s="11">
        <v>0.5</v>
      </c>
      <c r="F14" s="11">
        <v>0.4</v>
      </c>
      <c r="G14" s="11">
        <v>0.5</v>
      </c>
      <c r="H14" s="11" t="s">
        <v>50</v>
      </c>
      <c r="I14" s="11" t="s">
        <v>50</v>
      </c>
      <c r="N14" s="27" t="s">
        <v>58</v>
      </c>
      <c r="O14" s="11">
        <v>18</v>
      </c>
      <c r="P14" s="11">
        <v>19</v>
      </c>
      <c r="Q14" s="11">
        <v>7.0000000000000007E-2</v>
      </c>
      <c r="R14" s="11">
        <v>0.08</v>
      </c>
      <c r="S14" s="11">
        <v>7.0000000000000007E-2</v>
      </c>
      <c r="T14" s="11">
        <v>0.08</v>
      </c>
      <c r="U14" s="11" t="s">
        <v>50</v>
      </c>
      <c r="V14" s="11" t="s">
        <v>50</v>
      </c>
    </row>
    <row r="15" spans="1:22" ht="18.5" thickBot="1" x14ac:dyDescent="0.4">
      <c r="A15" s="12" t="s">
        <v>59</v>
      </c>
      <c r="B15" s="6">
        <v>308</v>
      </c>
      <c r="C15" s="6">
        <v>381</v>
      </c>
      <c r="D15" s="6">
        <v>1.2</v>
      </c>
      <c r="E15" s="6">
        <v>1.5</v>
      </c>
      <c r="F15" s="6">
        <v>1.3</v>
      </c>
      <c r="G15" s="6">
        <v>1.7</v>
      </c>
      <c r="H15" s="6">
        <v>46.5</v>
      </c>
      <c r="I15" s="6">
        <v>51.3</v>
      </c>
      <c r="N15" s="12" t="s">
        <v>59</v>
      </c>
      <c r="O15" s="6">
        <v>29</v>
      </c>
      <c r="P15" s="6">
        <v>28</v>
      </c>
      <c r="Q15" s="6">
        <v>0.12</v>
      </c>
      <c r="R15" s="6">
        <v>0.11</v>
      </c>
      <c r="S15" s="6">
        <v>0.12</v>
      </c>
      <c r="T15" s="6">
        <v>0.12</v>
      </c>
      <c r="U15" s="6">
        <v>2.88</v>
      </c>
      <c r="V15" s="6">
        <v>2.88</v>
      </c>
    </row>
    <row r="16" spans="1:22" ht="18.5" thickBot="1" x14ac:dyDescent="0.4">
      <c r="A16" s="8" t="s">
        <v>60</v>
      </c>
      <c r="B16" s="11">
        <v>31</v>
      </c>
      <c r="C16" s="11">
        <v>25</v>
      </c>
      <c r="D16" s="11">
        <v>0.1</v>
      </c>
      <c r="E16" s="11">
        <v>0.1</v>
      </c>
      <c r="F16" s="11">
        <v>0.1</v>
      </c>
      <c r="G16" s="11">
        <v>0.1</v>
      </c>
      <c r="H16" s="11" t="s">
        <v>50</v>
      </c>
      <c r="I16" s="11" t="s">
        <v>50</v>
      </c>
      <c r="N16" s="8" t="s">
        <v>60</v>
      </c>
      <c r="O16" s="11">
        <v>8</v>
      </c>
      <c r="P16" s="11">
        <v>7</v>
      </c>
      <c r="Q16" s="11">
        <v>0.03</v>
      </c>
      <c r="R16" s="11">
        <v>0.03</v>
      </c>
      <c r="S16" s="11">
        <v>0.03</v>
      </c>
      <c r="T16" s="11">
        <v>0.03</v>
      </c>
      <c r="U16" s="11" t="s">
        <v>50</v>
      </c>
      <c r="V16" s="11" t="s">
        <v>50</v>
      </c>
    </row>
    <row r="17" spans="1:22" ht="18.5" thickBot="1" x14ac:dyDescent="0.4">
      <c r="A17" s="12" t="s">
        <v>61</v>
      </c>
      <c r="B17" s="6" t="s">
        <v>47</v>
      </c>
      <c r="C17" s="6" t="s">
        <v>47</v>
      </c>
      <c r="D17" s="6" t="s">
        <v>47</v>
      </c>
      <c r="E17" s="6" t="s">
        <v>47</v>
      </c>
      <c r="F17" s="6" t="s">
        <v>47</v>
      </c>
      <c r="G17" s="6" t="s">
        <v>47</v>
      </c>
      <c r="H17" s="6" t="s">
        <v>47</v>
      </c>
      <c r="I17" s="6" t="s">
        <v>47</v>
      </c>
      <c r="N17" s="12" t="s">
        <v>61</v>
      </c>
      <c r="O17" s="6" t="s">
        <v>47</v>
      </c>
      <c r="P17" s="6" t="s">
        <v>47</v>
      </c>
      <c r="Q17" s="6" t="s">
        <v>47</v>
      </c>
      <c r="R17" s="6" t="s">
        <v>47</v>
      </c>
      <c r="S17" s="6" t="s">
        <v>47</v>
      </c>
      <c r="T17" s="6" t="s">
        <v>47</v>
      </c>
      <c r="U17" s="6" t="s">
        <v>47</v>
      </c>
      <c r="V17" s="6" t="s">
        <v>47</v>
      </c>
    </row>
    <row r="18" spans="1:22" s="48" customFormat="1" ht="18.5" thickBot="1" x14ac:dyDescent="0.4">
      <c r="A18" s="49" t="s">
        <v>62</v>
      </c>
      <c r="B18" s="46">
        <v>310</v>
      </c>
      <c r="C18" s="46">
        <v>245</v>
      </c>
      <c r="D18" s="46">
        <v>1.2</v>
      </c>
      <c r="E18" s="46">
        <v>1</v>
      </c>
      <c r="F18" s="46" t="s">
        <v>47</v>
      </c>
      <c r="G18" s="46" t="s">
        <v>47</v>
      </c>
      <c r="H18" s="46">
        <v>44.6</v>
      </c>
      <c r="I18" s="46">
        <v>43.2</v>
      </c>
      <c r="N18" s="49" t="s">
        <v>62</v>
      </c>
      <c r="O18" s="46">
        <v>28</v>
      </c>
      <c r="P18" s="46">
        <v>26</v>
      </c>
      <c r="Q18" s="46">
        <v>0.11</v>
      </c>
      <c r="R18" s="46">
        <v>0.1</v>
      </c>
      <c r="S18" s="46" t="s">
        <v>47</v>
      </c>
      <c r="T18" s="46" t="s">
        <v>47</v>
      </c>
      <c r="U18" s="46">
        <v>3.14</v>
      </c>
      <c r="V18" s="46">
        <v>3.38</v>
      </c>
    </row>
    <row r="19" spans="1:22" ht="18.5" thickBot="1" x14ac:dyDescent="0.4">
      <c r="A19" s="26" t="s">
        <v>63</v>
      </c>
      <c r="B19" s="6">
        <v>181</v>
      </c>
      <c r="C19" s="6">
        <v>238</v>
      </c>
      <c r="D19" s="6">
        <v>0.7</v>
      </c>
      <c r="E19" s="6">
        <v>1</v>
      </c>
      <c r="F19" s="6" t="s">
        <v>47</v>
      </c>
      <c r="G19" s="6" t="s">
        <v>47</v>
      </c>
      <c r="H19" s="6">
        <v>49.1</v>
      </c>
      <c r="I19" s="6">
        <v>55.3</v>
      </c>
      <c r="N19" s="26" t="s">
        <v>63</v>
      </c>
      <c r="O19" s="6">
        <v>19</v>
      </c>
      <c r="P19" s="6">
        <v>26</v>
      </c>
      <c r="Q19" s="6">
        <v>0.08</v>
      </c>
      <c r="R19" s="6">
        <v>0.11</v>
      </c>
      <c r="S19" s="6" t="s">
        <v>47</v>
      </c>
      <c r="T19" s="6" t="s">
        <v>47</v>
      </c>
      <c r="U19" s="6">
        <v>3.94</v>
      </c>
      <c r="V19" s="6">
        <v>4.18</v>
      </c>
    </row>
    <row r="20" spans="1:22" ht="18.5" thickBot="1" x14ac:dyDescent="0.4">
      <c r="A20" s="27" t="s">
        <v>64</v>
      </c>
      <c r="B20" s="11" t="s">
        <v>47</v>
      </c>
      <c r="C20" s="11" t="s">
        <v>47</v>
      </c>
      <c r="D20" s="11" t="s">
        <v>47</v>
      </c>
      <c r="E20" s="11" t="s">
        <v>47</v>
      </c>
      <c r="F20" s="11" t="s">
        <v>47</v>
      </c>
      <c r="G20" s="11" t="s">
        <v>47</v>
      </c>
      <c r="H20" s="11" t="s">
        <v>47</v>
      </c>
      <c r="I20" s="11" t="s">
        <v>47</v>
      </c>
      <c r="N20" s="27" t="s">
        <v>64</v>
      </c>
      <c r="O20" s="11" t="s">
        <v>47</v>
      </c>
      <c r="P20" s="11" t="s">
        <v>47</v>
      </c>
      <c r="Q20" s="11" t="s">
        <v>47</v>
      </c>
      <c r="R20" s="11" t="s">
        <v>47</v>
      </c>
      <c r="S20" s="11" t="s">
        <v>47</v>
      </c>
      <c r="T20" s="11" t="s">
        <v>47</v>
      </c>
      <c r="U20" s="11" t="s">
        <v>47</v>
      </c>
      <c r="V20" s="11" t="s">
        <v>47</v>
      </c>
    </row>
    <row r="21" spans="1:22" ht="18.5" thickBot="1" x14ac:dyDescent="0.4">
      <c r="A21" s="29" t="s">
        <v>65</v>
      </c>
      <c r="B21" s="6">
        <v>215</v>
      </c>
      <c r="C21" s="6">
        <v>185</v>
      </c>
      <c r="D21" s="6">
        <v>0.9</v>
      </c>
      <c r="E21" s="6">
        <v>0.7</v>
      </c>
      <c r="F21" s="6" t="s">
        <v>47</v>
      </c>
      <c r="G21" s="6" t="s">
        <v>47</v>
      </c>
      <c r="H21" s="6">
        <v>51</v>
      </c>
      <c r="I21" s="6">
        <v>47.2</v>
      </c>
      <c r="N21" s="29" t="s">
        <v>65</v>
      </c>
      <c r="O21" s="6">
        <v>23</v>
      </c>
      <c r="P21" s="6">
        <v>22</v>
      </c>
      <c r="Q21" s="6">
        <v>0.09</v>
      </c>
      <c r="R21" s="6">
        <v>0.09</v>
      </c>
      <c r="S21" s="6" t="s">
        <v>47</v>
      </c>
      <c r="T21" s="6" t="s">
        <v>47</v>
      </c>
      <c r="U21" s="6">
        <v>3.74</v>
      </c>
      <c r="V21" s="6">
        <v>4.3899999999999997</v>
      </c>
    </row>
    <row r="22" spans="1:22" ht="18.5" thickBot="1" x14ac:dyDescent="0.4">
      <c r="A22" s="30" t="s">
        <v>66</v>
      </c>
      <c r="B22" s="11">
        <v>36</v>
      </c>
      <c r="C22" s="11">
        <v>23</v>
      </c>
      <c r="D22" s="11">
        <v>0.1</v>
      </c>
      <c r="E22" s="11">
        <v>0.1</v>
      </c>
      <c r="F22" s="11" t="s">
        <v>47</v>
      </c>
      <c r="G22" s="11" t="s">
        <v>47</v>
      </c>
      <c r="H22" s="11" t="s">
        <v>50</v>
      </c>
      <c r="I22" s="11" t="s">
        <v>50</v>
      </c>
      <c r="N22" s="30" t="s">
        <v>66</v>
      </c>
      <c r="O22" s="11">
        <v>10</v>
      </c>
      <c r="P22" s="11">
        <v>7</v>
      </c>
      <c r="Q22" s="11">
        <v>0.04</v>
      </c>
      <c r="R22" s="11">
        <v>0.03</v>
      </c>
      <c r="S22" s="11" t="s">
        <v>47</v>
      </c>
      <c r="T22" s="11" t="s">
        <v>47</v>
      </c>
      <c r="U22" s="11" t="s">
        <v>50</v>
      </c>
      <c r="V22" s="11" t="s">
        <v>50</v>
      </c>
    </row>
    <row r="23" spans="1:22" ht="18.5" thickBot="1" x14ac:dyDescent="0.4">
      <c r="A23" s="29" t="s">
        <v>67</v>
      </c>
      <c r="B23" s="6" t="s">
        <v>68</v>
      </c>
      <c r="C23" s="6" t="s">
        <v>68</v>
      </c>
      <c r="D23" s="6" t="s">
        <v>68</v>
      </c>
      <c r="E23" s="6" t="s">
        <v>68</v>
      </c>
      <c r="F23" s="6" t="s">
        <v>68</v>
      </c>
      <c r="G23" s="6" t="s">
        <v>68</v>
      </c>
      <c r="H23" s="6" t="s">
        <v>68</v>
      </c>
      <c r="I23" s="6" t="s">
        <v>68</v>
      </c>
      <c r="N23" s="29" t="s">
        <v>67</v>
      </c>
      <c r="O23" s="6" t="s">
        <v>68</v>
      </c>
      <c r="P23" s="6" t="s">
        <v>68</v>
      </c>
      <c r="Q23" s="6" t="s">
        <v>68</v>
      </c>
      <c r="R23" s="6" t="s">
        <v>68</v>
      </c>
      <c r="S23" s="6" t="s">
        <v>68</v>
      </c>
      <c r="T23" s="6" t="s">
        <v>68</v>
      </c>
      <c r="U23" s="6" t="s">
        <v>68</v>
      </c>
      <c r="V23" s="6" t="s">
        <v>68</v>
      </c>
    </row>
    <row r="24" spans="1:22" s="48" customFormat="1" ht="18.5" thickBot="1" x14ac:dyDescent="0.4">
      <c r="A24" s="47" t="s">
        <v>69</v>
      </c>
      <c r="B24" s="46" t="s">
        <v>47</v>
      </c>
      <c r="C24" s="46" t="s">
        <v>47</v>
      </c>
      <c r="D24" s="46" t="s">
        <v>47</v>
      </c>
      <c r="E24" s="46" t="s">
        <v>47</v>
      </c>
      <c r="F24" s="46" t="s">
        <v>47</v>
      </c>
      <c r="G24" s="46" t="s">
        <v>47</v>
      </c>
      <c r="H24" s="46" t="s">
        <v>47</v>
      </c>
      <c r="I24" s="46" t="s">
        <v>47</v>
      </c>
      <c r="N24" s="47" t="s">
        <v>69</v>
      </c>
      <c r="O24" s="46" t="s">
        <v>47</v>
      </c>
      <c r="P24" s="46" t="s">
        <v>47</v>
      </c>
      <c r="Q24" s="46" t="s">
        <v>47</v>
      </c>
      <c r="R24" s="46" t="s">
        <v>47</v>
      </c>
      <c r="S24" s="46" t="s">
        <v>47</v>
      </c>
      <c r="T24" s="46" t="s">
        <v>47</v>
      </c>
      <c r="U24" s="46" t="s">
        <v>47</v>
      </c>
      <c r="V24" s="46" t="s">
        <v>47</v>
      </c>
    </row>
    <row r="25" spans="1:22" ht="18.5" thickBot="1" x14ac:dyDescent="0.4">
      <c r="A25" s="12" t="s">
        <v>70</v>
      </c>
      <c r="B25" s="6" t="s">
        <v>47</v>
      </c>
      <c r="C25" s="6" t="s">
        <v>47</v>
      </c>
      <c r="D25" s="6" t="s">
        <v>47</v>
      </c>
      <c r="E25" s="6" t="s">
        <v>47</v>
      </c>
      <c r="F25" s="6" t="s">
        <v>47</v>
      </c>
      <c r="G25" s="6" t="s">
        <v>47</v>
      </c>
      <c r="H25" s="6" t="s">
        <v>47</v>
      </c>
      <c r="I25" s="6" t="s">
        <v>47</v>
      </c>
      <c r="N25" s="12" t="s">
        <v>70</v>
      </c>
      <c r="O25" s="6" t="s">
        <v>47</v>
      </c>
      <c r="P25" s="6" t="s">
        <v>47</v>
      </c>
      <c r="Q25" s="6" t="s">
        <v>47</v>
      </c>
      <c r="R25" s="6" t="s">
        <v>47</v>
      </c>
      <c r="S25" s="6" t="s">
        <v>47</v>
      </c>
      <c r="T25" s="6" t="s">
        <v>47</v>
      </c>
      <c r="U25" s="6" t="s">
        <v>47</v>
      </c>
      <c r="V25" s="6" t="s">
        <v>47</v>
      </c>
    </row>
    <row r="26" spans="1:22" ht="18.5" thickBot="1" x14ac:dyDescent="0.4">
      <c r="A26" s="3" t="s">
        <v>71</v>
      </c>
      <c r="B26" s="11">
        <v>571</v>
      </c>
      <c r="C26" s="11">
        <v>541</v>
      </c>
      <c r="D26" s="11">
        <v>2.2999999999999998</v>
      </c>
      <c r="E26" s="11">
        <v>2.2000000000000002</v>
      </c>
      <c r="F26" s="11">
        <v>2.5</v>
      </c>
      <c r="G26" s="11">
        <v>2.2999999999999998</v>
      </c>
      <c r="H26" s="11">
        <v>41.8</v>
      </c>
      <c r="I26" s="11">
        <v>40.6</v>
      </c>
      <c r="N26" s="3" t="s">
        <v>71</v>
      </c>
      <c r="O26" s="11">
        <v>38</v>
      </c>
      <c r="P26" s="11">
        <v>38</v>
      </c>
      <c r="Q26" s="11">
        <v>0.15</v>
      </c>
      <c r="R26" s="11">
        <v>0.15</v>
      </c>
      <c r="S26" s="11">
        <v>0.16</v>
      </c>
      <c r="T26" s="11">
        <v>0.16</v>
      </c>
      <c r="U26" s="11">
        <v>2.12</v>
      </c>
      <c r="V26" s="11">
        <v>2.2400000000000002</v>
      </c>
    </row>
    <row r="27" spans="1:22" ht="18.5" thickBot="1" x14ac:dyDescent="0.4">
      <c r="A27" s="12" t="s">
        <v>72</v>
      </c>
      <c r="B27" s="6">
        <v>63</v>
      </c>
      <c r="C27" s="6">
        <v>74</v>
      </c>
      <c r="D27" s="6">
        <v>0.3</v>
      </c>
      <c r="E27" s="6">
        <v>0.3</v>
      </c>
      <c r="F27" s="6">
        <v>0.3</v>
      </c>
      <c r="G27" s="6">
        <v>0.3</v>
      </c>
      <c r="H27" s="6" t="s">
        <v>68</v>
      </c>
      <c r="I27" s="6" t="s">
        <v>68</v>
      </c>
      <c r="N27" s="12" t="s">
        <v>72</v>
      </c>
      <c r="O27" s="6">
        <v>11</v>
      </c>
      <c r="P27" s="6">
        <v>12</v>
      </c>
      <c r="Q27" s="6">
        <v>0.04</v>
      </c>
      <c r="R27" s="6">
        <v>0.05</v>
      </c>
      <c r="S27" s="6">
        <v>0.04</v>
      </c>
      <c r="T27" s="6">
        <v>0.05</v>
      </c>
      <c r="U27" s="6" t="s">
        <v>68</v>
      </c>
      <c r="V27" s="6" t="s">
        <v>68</v>
      </c>
    </row>
    <row r="28" spans="1:22" ht="18.5" thickBot="1" x14ac:dyDescent="0.4">
      <c r="A28" s="3" t="s">
        <v>73</v>
      </c>
      <c r="B28" s="11">
        <v>307</v>
      </c>
      <c r="C28" s="11">
        <v>337</v>
      </c>
      <c r="D28" s="11">
        <v>1.2</v>
      </c>
      <c r="E28" s="11">
        <v>1.4</v>
      </c>
      <c r="F28" s="11">
        <v>1.3</v>
      </c>
      <c r="G28" s="11">
        <v>1.4</v>
      </c>
      <c r="H28" s="11">
        <v>49.1</v>
      </c>
      <c r="I28" s="11">
        <v>54.3</v>
      </c>
      <c r="N28" s="3" t="s">
        <v>73</v>
      </c>
      <c r="O28" s="11">
        <v>25</v>
      </c>
      <c r="P28" s="11">
        <v>29</v>
      </c>
      <c r="Q28" s="11">
        <v>0.1</v>
      </c>
      <c r="R28" s="11">
        <v>0.12</v>
      </c>
      <c r="S28" s="11">
        <v>0.1</v>
      </c>
      <c r="T28" s="11">
        <v>0.12</v>
      </c>
      <c r="U28" s="11">
        <v>2.75</v>
      </c>
      <c r="V28" s="11">
        <v>3.2</v>
      </c>
    </row>
    <row r="29" spans="1:22" ht="18.5" thickBot="1" x14ac:dyDescent="0.4">
      <c r="A29" s="14" t="s">
        <v>74</v>
      </c>
      <c r="B29" s="6">
        <v>493</v>
      </c>
      <c r="C29" s="6">
        <v>442</v>
      </c>
      <c r="D29" s="6">
        <v>2</v>
      </c>
      <c r="E29" s="6">
        <v>1.8</v>
      </c>
      <c r="F29" s="6">
        <v>2</v>
      </c>
      <c r="G29" s="6">
        <v>1.8</v>
      </c>
      <c r="H29" s="6">
        <v>53.1</v>
      </c>
      <c r="I29" s="6">
        <v>49.3</v>
      </c>
      <c r="N29" s="14" t="s">
        <v>74</v>
      </c>
      <c r="O29" s="6">
        <v>31</v>
      </c>
      <c r="P29" s="6">
        <v>34</v>
      </c>
      <c r="Q29" s="6">
        <v>0.12</v>
      </c>
      <c r="R29" s="6">
        <v>0.14000000000000001</v>
      </c>
      <c r="S29" s="6">
        <v>0.13</v>
      </c>
      <c r="T29" s="6">
        <v>0.14000000000000001</v>
      </c>
      <c r="U29" s="6">
        <v>2.4500000000000002</v>
      </c>
      <c r="V29" s="6">
        <v>2.77</v>
      </c>
    </row>
    <row r="30" spans="1:22" ht="18.5" thickBot="1" x14ac:dyDescent="0.4">
      <c r="A30" s="3" t="s">
        <v>75</v>
      </c>
      <c r="B30" s="4">
        <v>2380</v>
      </c>
      <c r="C30" s="4">
        <v>2259</v>
      </c>
      <c r="D30" s="11">
        <v>9.6</v>
      </c>
      <c r="E30" s="11">
        <v>9.1</v>
      </c>
      <c r="F30" s="11">
        <v>11.5</v>
      </c>
      <c r="G30" s="11">
        <v>11</v>
      </c>
      <c r="H30" s="11">
        <v>45.9</v>
      </c>
      <c r="I30" s="11">
        <v>42.8</v>
      </c>
      <c r="N30" s="3" t="s">
        <v>75</v>
      </c>
      <c r="O30" s="11">
        <v>76</v>
      </c>
      <c r="P30" s="11">
        <v>73</v>
      </c>
      <c r="Q30" s="11">
        <v>0.3</v>
      </c>
      <c r="R30" s="11">
        <v>0.28999999999999998</v>
      </c>
      <c r="S30" s="11">
        <v>0.36</v>
      </c>
      <c r="T30" s="11">
        <v>0.35</v>
      </c>
      <c r="U30" s="11">
        <v>1.1200000000000001</v>
      </c>
      <c r="V30" s="11">
        <v>1.1000000000000001</v>
      </c>
    </row>
    <row r="31" spans="1:22" ht="20.399999999999999" customHeight="1" x14ac:dyDescent="0.35">
      <c r="A31" s="70" t="s">
        <v>76</v>
      </c>
      <c r="B31" s="71"/>
      <c r="C31" s="71"/>
      <c r="D31" s="71"/>
      <c r="E31" s="71"/>
      <c r="F31" s="71"/>
      <c r="G31" s="71"/>
      <c r="H31" s="71"/>
      <c r="I31" s="72"/>
      <c r="N31" s="31" t="s">
        <v>76</v>
      </c>
      <c r="O31" s="40"/>
      <c r="P31" s="40"/>
      <c r="Q31" s="40"/>
      <c r="R31" s="40"/>
      <c r="S31" s="40"/>
      <c r="T31" s="40"/>
      <c r="U31" s="40"/>
      <c r="V31" s="41"/>
    </row>
    <row r="32" spans="1:22" ht="40.75" customHeight="1" x14ac:dyDescent="0.35">
      <c r="A32" s="60" t="s">
        <v>77</v>
      </c>
      <c r="B32" s="61"/>
      <c r="C32" s="61"/>
      <c r="D32" s="61"/>
      <c r="E32" s="61"/>
      <c r="F32" s="61"/>
      <c r="G32" s="61"/>
      <c r="H32" s="61"/>
      <c r="I32" s="62"/>
      <c r="N32" s="32" t="s">
        <v>77</v>
      </c>
      <c r="O32" s="42"/>
      <c r="P32" s="42"/>
      <c r="Q32" s="42"/>
      <c r="R32" s="42"/>
      <c r="S32" s="42"/>
      <c r="T32" s="42"/>
      <c r="U32" s="42"/>
      <c r="V32" s="43"/>
    </row>
    <row r="33" spans="1:22" ht="40.75" customHeight="1" x14ac:dyDescent="0.35">
      <c r="A33" s="73" t="s">
        <v>78</v>
      </c>
      <c r="B33" s="74"/>
      <c r="C33" s="74"/>
      <c r="D33" s="74"/>
      <c r="E33" s="74"/>
      <c r="F33" s="74"/>
      <c r="G33" s="74"/>
      <c r="H33" s="74"/>
      <c r="I33" s="75"/>
      <c r="N33" s="33" t="s">
        <v>79</v>
      </c>
      <c r="O33" s="44"/>
      <c r="P33" s="44"/>
      <c r="Q33" s="44"/>
      <c r="R33" s="44"/>
      <c r="S33" s="44"/>
      <c r="T33" s="44"/>
      <c r="U33" s="44"/>
      <c r="V33" s="45"/>
    </row>
    <row r="34" spans="1:22" ht="20.399999999999999" customHeight="1" x14ac:dyDescent="0.35">
      <c r="A34" s="73" t="s">
        <v>79</v>
      </c>
      <c r="B34" s="74"/>
      <c r="C34" s="74"/>
      <c r="D34" s="74"/>
      <c r="E34" s="74"/>
      <c r="F34" s="74"/>
      <c r="G34" s="74"/>
      <c r="H34" s="74"/>
      <c r="I34" s="75"/>
      <c r="N34" s="32" t="s">
        <v>80</v>
      </c>
      <c r="O34" s="42"/>
      <c r="P34" s="42"/>
      <c r="Q34" s="42"/>
      <c r="R34" s="42"/>
      <c r="S34" s="42"/>
      <c r="T34" s="42"/>
      <c r="U34" s="42"/>
      <c r="V34" s="43"/>
    </row>
    <row r="35" spans="1:22" ht="15" thickBot="1" x14ac:dyDescent="0.4">
      <c r="A35" s="60" t="s">
        <v>80</v>
      </c>
      <c r="B35" s="61"/>
      <c r="C35" s="61"/>
      <c r="D35" s="61"/>
      <c r="E35" s="61"/>
      <c r="F35" s="61"/>
      <c r="G35" s="61"/>
      <c r="H35" s="61"/>
      <c r="I35" s="62"/>
      <c r="N35" s="63" t="s">
        <v>81</v>
      </c>
      <c r="O35" s="64"/>
      <c r="P35" s="64"/>
      <c r="Q35" s="64"/>
      <c r="R35" s="64"/>
      <c r="S35" s="64"/>
      <c r="T35" s="64"/>
      <c r="U35" s="64"/>
      <c r="V35" s="65"/>
    </row>
    <row r="36" spans="1:22" ht="15" thickBot="1" x14ac:dyDescent="0.4">
      <c r="A36" s="63" t="s">
        <v>81</v>
      </c>
      <c r="B36" s="64"/>
      <c r="C36" s="64"/>
      <c r="D36" s="64"/>
      <c r="E36" s="64"/>
      <c r="F36" s="64"/>
      <c r="G36" s="64"/>
      <c r="H36" s="64"/>
      <c r="I36" s="65"/>
    </row>
  </sheetData>
  <mergeCells count="21">
    <mergeCell ref="A32:I32"/>
    <mergeCell ref="A1:I1"/>
    <mergeCell ref="A2:A5"/>
    <mergeCell ref="B2:C2"/>
    <mergeCell ref="B3:C3"/>
    <mergeCell ref="B4:C4"/>
    <mergeCell ref="D2:E2"/>
    <mergeCell ref="D3:E3"/>
    <mergeCell ref="D4:E4"/>
    <mergeCell ref="F2:G2"/>
    <mergeCell ref="F3:G3"/>
    <mergeCell ref="F4:G4"/>
    <mergeCell ref="H2:I2"/>
    <mergeCell ref="H3:I3"/>
    <mergeCell ref="H4:I4"/>
    <mergeCell ref="A31:I31"/>
    <mergeCell ref="N35:V35"/>
    <mergeCell ref="A33:I33"/>
    <mergeCell ref="A34:I34"/>
    <mergeCell ref="A35:I35"/>
    <mergeCell ref="A36:I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E003-FDA1-4E59-AAF8-6D6D0F365B30}">
  <dimension ref="A1:T36"/>
  <sheetViews>
    <sheetView workbookViewId="0">
      <selection activeCell="L16" sqref="L16"/>
    </sheetView>
  </sheetViews>
  <sheetFormatPr defaultRowHeight="14.5" x14ac:dyDescent="0.35"/>
  <cols>
    <col min="1" max="1" width="40.81640625" bestFit="1" customWidth="1"/>
    <col min="12" max="12" width="40.81640625" bestFit="1" customWidth="1"/>
  </cols>
  <sheetData>
    <row r="1" spans="1:20" ht="15" thickBot="1" x14ac:dyDescent="0.4">
      <c r="A1" s="78" t="s">
        <v>82</v>
      </c>
      <c r="B1" s="79"/>
      <c r="C1" s="79"/>
      <c r="D1" s="79"/>
      <c r="E1" s="79"/>
      <c r="F1" s="79"/>
      <c r="G1" s="79"/>
      <c r="H1" s="79"/>
      <c r="I1" s="79"/>
      <c r="L1" s="35" t="s">
        <v>105</v>
      </c>
      <c r="M1" s="34"/>
      <c r="N1" s="34"/>
      <c r="O1" s="34"/>
      <c r="P1" s="34"/>
      <c r="Q1" s="34"/>
      <c r="R1" s="34"/>
      <c r="S1" s="34"/>
      <c r="T1" s="34"/>
    </row>
    <row r="2" spans="1:20" ht="17.5" x14ac:dyDescent="0.35">
      <c r="A2" s="58" t="s">
        <v>36</v>
      </c>
      <c r="B2" s="76" t="s">
        <v>37</v>
      </c>
      <c r="C2" s="77"/>
      <c r="D2" s="76" t="s">
        <v>39</v>
      </c>
      <c r="E2" s="77"/>
      <c r="F2" s="76" t="s">
        <v>41</v>
      </c>
      <c r="G2" s="77"/>
      <c r="H2" s="76" t="s">
        <v>41</v>
      </c>
      <c r="I2" s="77"/>
      <c r="L2" s="20" t="s">
        <v>36</v>
      </c>
      <c r="M2" s="22" t="s">
        <v>37</v>
      </c>
      <c r="N2" s="37"/>
      <c r="O2" s="22" t="s">
        <v>39</v>
      </c>
      <c r="P2" s="37"/>
      <c r="Q2" s="22" t="s">
        <v>41</v>
      </c>
      <c r="R2" s="37"/>
      <c r="S2" s="22" t="s">
        <v>41</v>
      </c>
      <c r="T2" s="37"/>
    </row>
    <row r="3" spans="1:20" ht="17.5" x14ac:dyDescent="0.35">
      <c r="A3" s="80"/>
      <c r="B3" s="66" t="s">
        <v>38</v>
      </c>
      <c r="C3" s="67"/>
      <c r="D3" s="66" t="s">
        <v>40</v>
      </c>
      <c r="E3" s="67"/>
      <c r="F3" s="66" t="s">
        <v>42</v>
      </c>
      <c r="G3" s="67"/>
      <c r="H3" s="66" t="s">
        <v>44</v>
      </c>
      <c r="I3" s="67"/>
      <c r="L3" s="36"/>
      <c r="M3" s="17" t="s">
        <v>38</v>
      </c>
      <c r="N3" s="38"/>
      <c r="O3" s="17" t="s">
        <v>40</v>
      </c>
      <c r="P3" s="38"/>
      <c r="Q3" s="17" t="s">
        <v>42</v>
      </c>
      <c r="R3" s="38"/>
      <c r="S3" s="17" t="s">
        <v>44</v>
      </c>
      <c r="T3" s="38"/>
    </row>
    <row r="4" spans="1:20" ht="18" thickBot="1" x14ac:dyDescent="0.4">
      <c r="A4" s="80"/>
      <c r="B4" s="68"/>
      <c r="C4" s="69"/>
      <c r="D4" s="68"/>
      <c r="E4" s="69"/>
      <c r="F4" s="68" t="s">
        <v>43</v>
      </c>
      <c r="G4" s="69"/>
      <c r="H4" s="68" t="s">
        <v>45</v>
      </c>
      <c r="I4" s="69"/>
      <c r="L4" s="36"/>
      <c r="M4" s="23"/>
      <c r="N4" s="39"/>
      <c r="O4" s="23"/>
      <c r="P4" s="39"/>
      <c r="Q4" s="23" t="s">
        <v>43</v>
      </c>
      <c r="R4" s="39"/>
      <c r="S4" s="23" t="s">
        <v>45</v>
      </c>
      <c r="T4" s="39"/>
    </row>
    <row r="5" spans="1:20" ht="18" thickBot="1" x14ac:dyDescent="0.4">
      <c r="A5" s="59"/>
      <c r="B5" s="24">
        <v>2018</v>
      </c>
      <c r="C5" s="24">
        <v>2019</v>
      </c>
      <c r="D5" s="24">
        <v>2018</v>
      </c>
      <c r="E5" s="24">
        <v>2019</v>
      </c>
      <c r="F5" s="24">
        <v>2018</v>
      </c>
      <c r="G5" s="24">
        <v>2019</v>
      </c>
      <c r="H5" s="24">
        <v>2018</v>
      </c>
      <c r="I5" s="24">
        <v>2019</v>
      </c>
      <c r="L5" s="21"/>
      <c r="M5" s="24">
        <v>2018</v>
      </c>
      <c r="N5" s="24">
        <v>2019</v>
      </c>
      <c r="O5" s="24">
        <v>2018</v>
      </c>
      <c r="P5" s="24">
        <v>2019</v>
      </c>
      <c r="Q5" s="24">
        <v>2018</v>
      </c>
      <c r="R5" s="24">
        <v>2019</v>
      </c>
      <c r="S5" s="24">
        <v>2018</v>
      </c>
      <c r="T5" s="24">
        <v>2019</v>
      </c>
    </row>
    <row r="6" spans="1:20" ht="18.5" thickBot="1" x14ac:dyDescent="0.4">
      <c r="A6" s="3" t="s">
        <v>46</v>
      </c>
      <c r="B6" s="11" t="s">
        <v>47</v>
      </c>
      <c r="C6" s="11" t="s">
        <v>47</v>
      </c>
      <c r="D6" s="11" t="s">
        <v>47</v>
      </c>
      <c r="E6" s="11" t="s">
        <v>47</v>
      </c>
      <c r="F6" s="11" t="s">
        <v>47</v>
      </c>
      <c r="G6" s="11" t="s">
        <v>47</v>
      </c>
      <c r="H6" s="11" t="s">
        <v>47</v>
      </c>
      <c r="I6" s="11" t="s">
        <v>47</v>
      </c>
      <c r="L6" s="3" t="s">
        <v>46</v>
      </c>
      <c r="M6" s="11" t="s">
        <v>47</v>
      </c>
      <c r="N6" s="11" t="s">
        <v>47</v>
      </c>
      <c r="O6" s="11" t="s">
        <v>47</v>
      </c>
      <c r="P6" s="11" t="s">
        <v>47</v>
      </c>
      <c r="Q6" s="11" t="s">
        <v>47</v>
      </c>
      <c r="R6" s="11" t="s">
        <v>47</v>
      </c>
      <c r="S6" s="11" t="s">
        <v>47</v>
      </c>
      <c r="T6" s="11" t="s">
        <v>47</v>
      </c>
    </row>
    <row r="7" spans="1:20" ht="18.5" thickBot="1" x14ac:dyDescent="0.4">
      <c r="A7" s="12" t="s">
        <v>48</v>
      </c>
      <c r="B7" s="7">
        <v>1197</v>
      </c>
      <c r="C7" s="7">
        <v>1240</v>
      </c>
      <c r="D7" s="6">
        <v>3.5</v>
      </c>
      <c r="E7" s="6">
        <v>3.7</v>
      </c>
      <c r="F7" s="6">
        <v>6.8</v>
      </c>
      <c r="G7" s="6">
        <v>7.1</v>
      </c>
      <c r="H7" s="6">
        <v>10.1</v>
      </c>
      <c r="I7" s="6">
        <v>10.4</v>
      </c>
      <c r="L7" s="12" t="s">
        <v>48</v>
      </c>
      <c r="M7" s="6">
        <v>64</v>
      </c>
      <c r="N7" s="6">
        <v>65</v>
      </c>
      <c r="O7" s="6">
        <v>0.19</v>
      </c>
      <c r="P7" s="6">
        <v>0.19</v>
      </c>
      <c r="Q7" s="6">
        <v>0.35</v>
      </c>
      <c r="R7" s="6">
        <v>0.37</v>
      </c>
      <c r="S7" s="6">
        <v>0.54</v>
      </c>
      <c r="T7" s="6">
        <v>0.52</v>
      </c>
    </row>
    <row r="8" spans="1:20" ht="18.5" thickBot="1" x14ac:dyDescent="0.4">
      <c r="A8" s="8" t="s">
        <v>49</v>
      </c>
      <c r="B8" s="11" t="s">
        <v>83</v>
      </c>
      <c r="C8" s="11">
        <v>476</v>
      </c>
      <c r="D8" s="11" t="s">
        <v>84</v>
      </c>
      <c r="E8" s="11">
        <v>1.4</v>
      </c>
      <c r="F8" s="11" t="s">
        <v>85</v>
      </c>
      <c r="G8" s="11">
        <v>1.6</v>
      </c>
      <c r="H8" s="11">
        <v>31.3</v>
      </c>
      <c r="I8" s="11">
        <v>26.6</v>
      </c>
      <c r="L8" s="8" t="s">
        <v>49</v>
      </c>
      <c r="M8" s="11">
        <v>50</v>
      </c>
      <c r="N8" s="11">
        <v>42</v>
      </c>
      <c r="O8" s="11">
        <v>0.15</v>
      </c>
      <c r="P8" s="11">
        <v>0.12</v>
      </c>
      <c r="Q8" s="11">
        <v>0.16</v>
      </c>
      <c r="R8" s="11">
        <v>0.14000000000000001</v>
      </c>
      <c r="S8" s="11">
        <v>2.1</v>
      </c>
      <c r="T8" s="11">
        <v>2.12</v>
      </c>
    </row>
    <row r="9" spans="1:20" ht="18.5" thickBot="1" x14ac:dyDescent="0.4">
      <c r="A9" s="26" t="s">
        <v>51</v>
      </c>
      <c r="B9" s="6">
        <v>36</v>
      </c>
      <c r="C9" s="6">
        <v>17</v>
      </c>
      <c r="D9" s="6">
        <v>0.1</v>
      </c>
      <c r="E9" s="6">
        <v>0.1</v>
      </c>
      <c r="F9" s="6">
        <v>0.1</v>
      </c>
      <c r="G9" s="6">
        <v>0.1</v>
      </c>
      <c r="H9" s="6" t="s">
        <v>50</v>
      </c>
      <c r="I9" s="6" t="s">
        <v>50</v>
      </c>
      <c r="L9" s="26" t="s">
        <v>51</v>
      </c>
      <c r="M9" s="6">
        <v>10</v>
      </c>
      <c r="N9" s="6">
        <v>6</v>
      </c>
      <c r="O9" s="6">
        <v>0.03</v>
      </c>
      <c r="P9" s="6">
        <v>0.02</v>
      </c>
      <c r="Q9" s="6">
        <v>0.03</v>
      </c>
      <c r="R9" s="6">
        <v>0.02</v>
      </c>
      <c r="S9" s="6" t="s">
        <v>50</v>
      </c>
      <c r="T9" s="6" t="s">
        <v>50</v>
      </c>
    </row>
    <row r="10" spans="1:20" s="48" customFormat="1" ht="18.5" thickBot="1" x14ac:dyDescent="0.4">
      <c r="A10" s="47" t="s">
        <v>52</v>
      </c>
      <c r="B10" s="46">
        <v>35</v>
      </c>
      <c r="C10" s="46">
        <v>19</v>
      </c>
      <c r="D10" s="46">
        <v>0.1</v>
      </c>
      <c r="E10" s="46">
        <v>0.1</v>
      </c>
      <c r="F10" s="46">
        <v>0.1</v>
      </c>
      <c r="G10" s="46">
        <v>0.1</v>
      </c>
      <c r="H10" s="46" t="s">
        <v>50</v>
      </c>
      <c r="I10" s="46" t="s">
        <v>50</v>
      </c>
      <c r="L10" s="47" t="s">
        <v>52</v>
      </c>
      <c r="M10" s="46">
        <v>10</v>
      </c>
      <c r="N10" s="46">
        <v>8</v>
      </c>
      <c r="O10" s="46">
        <v>0.03</v>
      </c>
      <c r="P10" s="46">
        <v>0.02</v>
      </c>
      <c r="Q10" s="46">
        <v>0.03</v>
      </c>
      <c r="R10" s="46">
        <v>0.02</v>
      </c>
      <c r="S10" s="46" t="s">
        <v>50</v>
      </c>
      <c r="T10" s="46" t="s">
        <v>50</v>
      </c>
    </row>
    <row r="11" spans="1:20" ht="18.5" thickBot="1" x14ac:dyDescent="0.4">
      <c r="A11" s="12" t="s">
        <v>53</v>
      </c>
      <c r="B11" s="6">
        <v>632</v>
      </c>
      <c r="C11" s="6">
        <v>681</v>
      </c>
      <c r="D11" s="6">
        <v>1.9</v>
      </c>
      <c r="E11" s="6">
        <v>2</v>
      </c>
      <c r="F11" s="6">
        <v>2.2000000000000002</v>
      </c>
      <c r="G11" s="6">
        <v>2.4</v>
      </c>
      <c r="H11" s="6">
        <v>27.1</v>
      </c>
      <c r="I11" s="6">
        <v>28.1</v>
      </c>
      <c r="L11" s="12" t="s">
        <v>53</v>
      </c>
      <c r="M11" s="6">
        <v>51</v>
      </c>
      <c r="N11" s="6">
        <v>54</v>
      </c>
      <c r="O11" s="6">
        <v>0.15</v>
      </c>
      <c r="P11" s="6">
        <v>0.16</v>
      </c>
      <c r="Q11" s="6">
        <v>0.18</v>
      </c>
      <c r="R11" s="6">
        <v>0.19</v>
      </c>
      <c r="S11" s="6">
        <v>1.76</v>
      </c>
      <c r="T11" s="6">
        <v>1.93</v>
      </c>
    </row>
    <row r="12" spans="1:20" ht="18.5" thickBot="1" x14ac:dyDescent="0.4">
      <c r="A12" s="27" t="s">
        <v>54</v>
      </c>
      <c r="B12" s="11">
        <v>468</v>
      </c>
      <c r="C12" s="11">
        <v>460</v>
      </c>
      <c r="D12" s="11">
        <v>1.4</v>
      </c>
      <c r="E12" s="11">
        <v>1.4</v>
      </c>
      <c r="F12" s="11">
        <v>1.5</v>
      </c>
      <c r="G12" s="11">
        <v>1.5</v>
      </c>
      <c r="H12" s="11">
        <v>39.4</v>
      </c>
      <c r="I12" s="11">
        <v>38.299999999999997</v>
      </c>
      <c r="L12" s="27" t="s">
        <v>54</v>
      </c>
      <c r="M12" s="11">
        <v>42</v>
      </c>
      <c r="N12" s="11">
        <v>46</v>
      </c>
      <c r="O12" s="11">
        <v>0.12</v>
      </c>
      <c r="P12" s="11">
        <v>0.14000000000000001</v>
      </c>
      <c r="Q12" s="11">
        <v>0.14000000000000001</v>
      </c>
      <c r="R12" s="11">
        <v>0.15</v>
      </c>
      <c r="S12" s="11">
        <v>2.73</v>
      </c>
      <c r="T12" s="11">
        <v>3.01</v>
      </c>
    </row>
    <row r="13" spans="1:20" ht="18.5" thickBot="1" x14ac:dyDescent="0.4">
      <c r="A13" s="26" t="s">
        <v>57</v>
      </c>
      <c r="B13" s="6">
        <v>8</v>
      </c>
      <c r="C13" s="6">
        <v>15</v>
      </c>
      <c r="D13" s="6">
        <v>0</v>
      </c>
      <c r="E13" s="6">
        <v>0</v>
      </c>
      <c r="F13" s="6">
        <v>0</v>
      </c>
      <c r="G13" s="6">
        <v>0</v>
      </c>
      <c r="H13" s="6" t="s">
        <v>50</v>
      </c>
      <c r="I13" s="6" t="s">
        <v>50</v>
      </c>
      <c r="L13" s="26" t="s">
        <v>57</v>
      </c>
      <c r="M13" s="6">
        <v>5</v>
      </c>
      <c r="N13" s="6">
        <v>6</v>
      </c>
      <c r="O13" s="6">
        <v>0.01</v>
      </c>
      <c r="P13" s="6">
        <v>0.02</v>
      </c>
      <c r="Q13" s="6">
        <v>0.01</v>
      </c>
      <c r="R13" s="6">
        <v>0.02</v>
      </c>
      <c r="S13" s="6" t="s">
        <v>50</v>
      </c>
      <c r="T13" s="6" t="s">
        <v>50</v>
      </c>
    </row>
    <row r="14" spans="1:20" ht="18.5" thickBot="1" x14ac:dyDescent="0.4">
      <c r="A14" s="27" t="s">
        <v>58</v>
      </c>
      <c r="B14" s="11">
        <v>460</v>
      </c>
      <c r="C14" s="11">
        <v>448</v>
      </c>
      <c r="D14" s="11">
        <v>1.4</v>
      </c>
      <c r="E14" s="11">
        <v>1.3</v>
      </c>
      <c r="F14" s="11">
        <v>1.5</v>
      </c>
      <c r="G14" s="11">
        <v>1.5</v>
      </c>
      <c r="H14" s="11">
        <v>43.3</v>
      </c>
      <c r="I14" s="11">
        <v>41.2</v>
      </c>
      <c r="L14" s="27" t="s">
        <v>58</v>
      </c>
      <c r="M14" s="11">
        <v>45</v>
      </c>
      <c r="N14" s="11">
        <v>41</v>
      </c>
      <c r="O14" s="11">
        <v>0.13</v>
      </c>
      <c r="P14" s="11">
        <v>0.12</v>
      </c>
      <c r="Q14" s="11">
        <v>0.15</v>
      </c>
      <c r="R14" s="11">
        <v>0.13</v>
      </c>
      <c r="S14" s="11">
        <v>2.89</v>
      </c>
      <c r="T14" s="11">
        <v>2.84</v>
      </c>
    </row>
    <row r="15" spans="1:20" ht="18.5" thickBot="1" x14ac:dyDescent="0.4">
      <c r="A15" s="12" t="s">
        <v>59</v>
      </c>
      <c r="B15" s="6">
        <v>210</v>
      </c>
      <c r="C15" s="6">
        <v>250</v>
      </c>
      <c r="D15" s="6">
        <v>0.6</v>
      </c>
      <c r="E15" s="6">
        <v>0.7</v>
      </c>
      <c r="F15" s="6">
        <v>0.7</v>
      </c>
      <c r="G15" s="6">
        <v>0.8</v>
      </c>
      <c r="H15" s="6">
        <v>42.5</v>
      </c>
      <c r="I15" s="6">
        <v>43.4</v>
      </c>
      <c r="L15" s="12" t="s">
        <v>59</v>
      </c>
      <c r="M15" s="6">
        <v>27</v>
      </c>
      <c r="N15" s="6">
        <v>30</v>
      </c>
      <c r="O15" s="6">
        <v>0.08</v>
      </c>
      <c r="P15" s="6">
        <v>0.09</v>
      </c>
      <c r="Q15" s="6">
        <v>0.09</v>
      </c>
      <c r="R15" s="6">
        <v>0.1</v>
      </c>
      <c r="S15" s="6">
        <v>4.33</v>
      </c>
      <c r="T15" s="6">
        <v>3.87</v>
      </c>
    </row>
    <row r="16" spans="1:20" ht="18.5" thickBot="1" x14ac:dyDescent="0.4">
      <c r="A16" s="8" t="s">
        <v>60</v>
      </c>
      <c r="B16" s="11">
        <v>68</v>
      </c>
      <c r="C16" s="11">
        <v>63</v>
      </c>
      <c r="D16" s="11">
        <v>0.2</v>
      </c>
      <c r="E16" s="11">
        <v>0.2</v>
      </c>
      <c r="F16" s="11">
        <v>0.2</v>
      </c>
      <c r="G16" s="11">
        <v>0.2</v>
      </c>
      <c r="H16" s="11">
        <v>24.9</v>
      </c>
      <c r="I16" s="11">
        <v>22.9</v>
      </c>
      <c r="L16" s="8" t="s">
        <v>60</v>
      </c>
      <c r="M16" s="11">
        <v>14</v>
      </c>
      <c r="N16" s="11">
        <v>14</v>
      </c>
      <c r="O16" s="11">
        <v>0.04</v>
      </c>
      <c r="P16" s="11">
        <v>0.04</v>
      </c>
      <c r="Q16" s="11">
        <v>0.04</v>
      </c>
      <c r="R16" s="11">
        <v>0.04</v>
      </c>
      <c r="S16" s="11">
        <v>4.57</v>
      </c>
      <c r="T16" s="11">
        <v>4.4400000000000004</v>
      </c>
    </row>
    <row r="17" spans="1:20" ht="18" customHeight="1" thickBot="1" x14ac:dyDescent="0.4">
      <c r="A17" s="12" t="s">
        <v>61</v>
      </c>
      <c r="B17" s="6" t="s">
        <v>47</v>
      </c>
      <c r="C17" s="6" t="s">
        <v>47</v>
      </c>
      <c r="D17" s="6" t="s">
        <v>47</v>
      </c>
      <c r="E17" s="6" t="s">
        <v>47</v>
      </c>
      <c r="F17" s="6" t="s">
        <v>47</v>
      </c>
      <c r="G17" s="6" t="s">
        <v>47</v>
      </c>
      <c r="H17" s="6" t="s">
        <v>47</v>
      </c>
      <c r="I17" s="6" t="s">
        <v>47</v>
      </c>
      <c r="L17" s="12" t="s">
        <v>61</v>
      </c>
      <c r="M17" s="6" t="s">
        <v>47</v>
      </c>
      <c r="N17" s="6" t="s">
        <v>47</v>
      </c>
      <c r="O17" s="6" t="s">
        <v>47</v>
      </c>
      <c r="P17" s="6" t="s">
        <v>47</v>
      </c>
      <c r="Q17" s="6" t="s">
        <v>47</v>
      </c>
      <c r="R17" s="6" t="s">
        <v>47</v>
      </c>
      <c r="S17" s="6" t="s">
        <v>47</v>
      </c>
      <c r="T17" s="6" t="s">
        <v>47</v>
      </c>
    </row>
    <row r="18" spans="1:20" s="48" customFormat="1" ht="18.5" thickBot="1" x14ac:dyDescent="0.4">
      <c r="A18" s="49" t="s">
        <v>62</v>
      </c>
      <c r="B18" s="46">
        <v>464</v>
      </c>
      <c r="C18" s="46">
        <v>404</v>
      </c>
      <c r="D18" s="46">
        <v>1.4</v>
      </c>
      <c r="E18" s="46">
        <v>1.2</v>
      </c>
      <c r="F18" s="46" t="s">
        <v>47</v>
      </c>
      <c r="G18" s="46" t="s">
        <v>47</v>
      </c>
      <c r="H18" s="46">
        <v>25</v>
      </c>
      <c r="I18" s="46">
        <v>23</v>
      </c>
      <c r="L18" s="49" t="s">
        <v>62</v>
      </c>
      <c r="M18" s="46">
        <v>36</v>
      </c>
      <c r="N18" s="46">
        <v>34</v>
      </c>
      <c r="O18" s="46">
        <v>0.11</v>
      </c>
      <c r="P18" s="46">
        <v>0.1</v>
      </c>
      <c r="Q18" s="46" t="s">
        <v>47</v>
      </c>
      <c r="R18" s="46" t="s">
        <v>47</v>
      </c>
      <c r="S18" s="46">
        <v>1.67</v>
      </c>
      <c r="T18" s="46">
        <v>1.66</v>
      </c>
    </row>
    <row r="19" spans="1:20" ht="18.5" thickBot="1" x14ac:dyDescent="0.4">
      <c r="A19" s="26" t="s">
        <v>63</v>
      </c>
      <c r="B19" s="6" t="s">
        <v>86</v>
      </c>
      <c r="C19" s="6">
        <v>364</v>
      </c>
      <c r="D19" s="6" t="s">
        <v>87</v>
      </c>
      <c r="E19" s="6">
        <v>1.1000000000000001</v>
      </c>
      <c r="F19" s="6" t="s">
        <v>47</v>
      </c>
      <c r="G19" s="6" t="s">
        <v>47</v>
      </c>
      <c r="H19" s="6" t="s">
        <v>88</v>
      </c>
      <c r="I19" s="6">
        <v>18.7</v>
      </c>
      <c r="L19" s="26" t="s">
        <v>63</v>
      </c>
      <c r="M19" s="6">
        <v>40</v>
      </c>
      <c r="N19" s="6">
        <v>37</v>
      </c>
      <c r="O19" s="6">
        <v>0.12</v>
      </c>
      <c r="P19" s="6">
        <v>0.11</v>
      </c>
      <c r="Q19" s="6" t="s">
        <v>47</v>
      </c>
      <c r="R19" s="6" t="s">
        <v>47</v>
      </c>
      <c r="S19" s="6">
        <v>1.57</v>
      </c>
      <c r="T19" s="6">
        <v>1.58</v>
      </c>
    </row>
    <row r="20" spans="1:20" ht="18.5" thickBot="1" x14ac:dyDescent="0.4">
      <c r="A20" s="27" t="s">
        <v>64</v>
      </c>
      <c r="B20" s="11" t="s">
        <v>47</v>
      </c>
      <c r="C20" s="11" t="s">
        <v>47</v>
      </c>
      <c r="D20" s="11" t="s">
        <v>47</v>
      </c>
      <c r="E20" s="11" t="s">
        <v>47</v>
      </c>
      <c r="F20" s="11" t="s">
        <v>47</v>
      </c>
      <c r="G20" s="11" t="s">
        <v>47</v>
      </c>
      <c r="H20" s="11" t="s">
        <v>47</v>
      </c>
      <c r="I20" s="11" t="s">
        <v>47</v>
      </c>
      <c r="L20" s="27" t="s">
        <v>64</v>
      </c>
      <c r="M20" s="11" t="s">
        <v>47</v>
      </c>
      <c r="N20" s="11" t="s">
        <v>47</v>
      </c>
      <c r="O20" s="11" t="s">
        <v>47</v>
      </c>
      <c r="P20" s="11" t="s">
        <v>47</v>
      </c>
      <c r="Q20" s="11" t="s">
        <v>47</v>
      </c>
      <c r="R20" s="11" t="s">
        <v>47</v>
      </c>
      <c r="S20" s="11" t="s">
        <v>47</v>
      </c>
      <c r="T20" s="11" t="s">
        <v>47</v>
      </c>
    </row>
    <row r="21" spans="1:20" ht="18.5" thickBot="1" x14ac:dyDescent="0.4">
      <c r="A21" s="29" t="s">
        <v>65</v>
      </c>
      <c r="B21" s="6" t="s">
        <v>89</v>
      </c>
      <c r="C21" s="6">
        <v>329</v>
      </c>
      <c r="D21" s="6">
        <v>1.3</v>
      </c>
      <c r="E21" s="6">
        <v>1</v>
      </c>
      <c r="F21" s="6" t="s">
        <v>47</v>
      </c>
      <c r="G21" s="6" t="s">
        <v>47</v>
      </c>
      <c r="H21" s="6">
        <v>27.7</v>
      </c>
      <c r="I21" s="6">
        <v>25.1</v>
      </c>
      <c r="L21" s="29" t="s">
        <v>65</v>
      </c>
      <c r="M21" s="6">
        <v>38</v>
      </c>
      <c r="N21" s="6">
        <v>38</v>
      </c>
      <c r="O21" s="6">
        <v>0.11</v>
      </c>
      <c r="P21" s="6">
        <v>0.11</v>
      </c>
      <c r="Q21" s="6" t="s">
        <v>47</v>
      </c>
      <c r="R21" s="6" t="s">
        <v>47</v>
      </c>
      <c r="S21" s="6">
        <v>1.99</v>
      </c>
      <c r="T21" s="6">
        <v>2.42</v>
      </c>
    </row>
    <row r="22" spans="1:20" ht="18.5" thickBot="1" x14ac:dyDescent="0.4">
      <c r="A22" s="30" t="s">
        <v>66</v>
      </c>
      <c r="B22" s="11">
        <v>73</v>
      </c>
      <c r="C22" s="11">
        <v>39</v>
      </c>
      <c r="D22" s="11">
        <v>0.2</v>
      </c>
      <c r="E22" s="11">
        <v>0.1</v>
      </c>
      <c r="F22" s="11" t="s">
        <v>47</v>
      </c>
      <c r="G22" s="11" t="s">
        <v>47</v>
      </c>
      <c r="H22" s="11" t="s">
        <v>50</v>
      </c>
      <c r="I22" s="11" t="s">
        <v>50</v>
      </c>
      <c r="L22" s="30" t="s">
        <v>66</v>
      </c>
      <c r="M22" s="11">
        <v>16</v>
      </c>
      <c r="N22" s="11">
        <v>11</v>
      </c>
      <c r="O22" s="11">
        <v>0.05</v>
      </c>
      <c r="P22" s="11">
        <v>0.03</v>
      </c>
      <c r="Q22" s="11" t="s">
        <v>47</v>
      </c>
      <c r="R22" s="11" t="s">
        <v>47</v>
      </c>
      <c r="S22" s="11" t="s">
        <v>50</v>
      </c>
      <c r="T22" s="11" t="s">
        <v>50</v>
      </c>
    </row>
    <row r="23" spans="1:20" ht="18.5" thickBot="1" x14ac:dyDescent="0.4">
      <c r="A23" s="29" t="s">
        <v>67</v>
      </c>
      <c r="B23" s="6" t="s">
        <v>68</v>
      </c>
      <c r="C23" s="6" t="s">
        <v>68</v>
      </c>
      <c r="D23" s="6" t="s">
        <v>68</v>
      </c>
      <c r="E23" s="6" t="s">
        <v>68</v>
      </c>
      <c r="F23" s="6" t="s">
        <v>68</v>
      </c>
      <c r="G23" s="6" t="s">
        <v>68</v>
      </c>
      <c r="H23" s="6" t="s">
        <v>68</v>
      </c>
      <c r="I23" s="6" t="s">
        <v>68</v>
      </c>
      <c r="L23" s="29" t="s">
        <v>67</v>
      </c>
      <c r="M23" s="6" t="s">
        <v>68</v>
      </c>
      <c r="N23" s="6" t="s">
        <v>68</v>
      </c>
      <c r="O23" s="6" t="s">
        <v>68</v>
      </c>
      <c r="P23" s="6" t="s">
        <v>68</v>
      </c>
      <c r="Q23" s="6" t="s">
        <v>68</v>
      </c>
      <c r="R23" s="6" t="s">
        <v>68</v>
      </c>
      <c r="S23" s="6" t="s">
        <v>68</v>
      </c>
      <c r="T23" s="6" t="s">
        <v>68</v>
      </c>
    </row>
    <row r="24" spans="1:20" s="48" customFormat="1" ht="18.5" thickBot="1" x14ac:dyDescent="0.4">
      <c r="A24" s="47" t="s">
        <v>69</v>
      </c>
      <c r="B24" s="46" t="s">
        <v>47</v>
      </c>
      <c r="C24" s="46" t="s">
        <v>47</v>
      </c>
      <c r="D24" s="46" t="s">
        <v>47</v>
      </c>
      <c r="E24" s="46" t="s">
        <v>47</v>
      </c>
      <c r="F24" s="46" t="s">
        <v>47</v>
      </c>
      <c r="G24" s="46" t="s">
        <v>47</v>
      </c>
      <c r="H24" s="46" t="s">
        <v>47</v>
      </c>
      <c r="I24" s="46" t="s">
        <v>47</v>
      </c>
      <c r="L24" s="47" t="s">
        <v>69</v>
      </c>
      <c r="M24" s="46" t="s">
        <v>47</v>
      </c>
      <c r="N24" s="46" t="s">
        <v>47</v>
      </c>
      <c r="O24" s="46" t="s">
        <v>47</v>
      </c>
      <c r="P24" s="46" t="s">
        <v>47</v>
      </c>
      <c r="Q24" s="46" t="s">
        <v>47</v>
      </c>
      <c r="R24" s="46" t="s">
        <v>47</v>
      </c>
      <c r="S24" s="46" t="s">
        <v>47</v>
      </c>
      <c r="T24" s="46" t="s">
        <v>47</v>
      </c>
    </row>
    <row r="25" spans="1:20" ht="18.5" thickBot="1" x14ac:dyDescent="0.4">
      <c r="A25" s="12" t="s">
        <v>70</v>
      </c>
      <c r="B25" s="6" t="s">
        <v>47</v>
      </c>
      <c r="C25" s="6" t="s">
        <v>47</v>
      </c>
      <c r="D25" s="6" t="s">
        <v>47</v>
      </c>
      <c r="E25" s="6" t="s">
        <v>47</v>
      </c>
      <c r="F25" s="6" t="s">
        <v>47</v>
      </c>
      <c r="G25" s="6" t="s">
        <v>47</v>
      </c>
      <c r="H25" s="6" t="s">
        <v>47</v>
      </c>
      <c r="I25" s="6" t="s">
        <v>47</v>
      </c>
      <c r="L25" s="12" t="s">
        <v>70</v>
      </c>
      <c r="M25" s="6" t="s">
        <v>47</v>
      </c>
      <c r="N25" s="6" t="s">
        <v>47</v>
      </c>
      <c r="O25" s="6" t="s">
        <v>47</v>
      </c>
      <c r="P25" s="6" t="s">
        <v>47</v>
      </c>
      <c r="Q25" s="6" t="s">
        <v>47</v>
      </c>
      <c r="R25" s="6" t="s">
        <v>47</v>
      </c>
      <c r="S25" s="6" t="s">
        <v>47</v>
      </c>
      <c r="T25" s="6" t="s">
        <v>47</v>
      </c>
    </row>
    <row r="26" spans="1:20" ht="18.5" thickBot="1" x14ac:dyDescent="0.4">
      <c r="A26" s="3" t="s">
        <v>71</v>
      </c>
      <c r="B26" s="11" t="s">
        <v>90</v>
      </c>
      <c r="C26" s="11">
        <v>964</v>
      </c>
      <c r="D26" s="11" t="s">
        <v>91</v>
      </c>
      <c r="E26" s="11">
        <v>2.9</v>
      </c>
      <c r="F26" s="11" t="s">
        <v>92</v>
      </c>
      <c r="G26" s="11">
        <v>4.8</v>
      </c>
      <c r="H26" s="11">
        <v>12</v>
      </c>
      <c r="I26" s="11">
        <v>11.1</v>
      </c>
      <c r="L26" s="3" t="s">
        <v>71</v>
      </c>
      <c r="M26" s="11">
        <v>65</v>
      </c>
      <c r="N26" s="11">
        <v>56</v>
      </c>
      <c r="O26" s="11">
        <v>0.19</v>
      </c>
      <c r="P26" s="11">
        <v>0.17</v>
      </c>
      <c r="Q26" s="11">
        <v>0.33</v>
      </c>
      <c r="R26" s="11">
        <v>0.28000000000000003</v>
      </c>
      <c r="S26" s="11">
        <v>0.65</v>
      </c>
      <c r="T26" s="11">
        <v>0.64</v>
      </c>
    </row>
    <row r="27" spans="1:20" ht="18.5" thickBot="1" x14ac:dyDescent="0.4">
      <c r="A27" s="12" t="s">
        <v>72</v>
      </c>
      <c r="B27" s="6" t="s">
        <v>93</v>
      </c>
      <c r="C27" s="6">
        <v>235</v>
      </c>
      <c r="D27" s="6" t="s">
        <v>94</v>
      </c>
      <c r="E27" s="6">
        <v>0.7</v>
      </c>
      <c r="F27" s="6" t="s">
        <v>95</v>
      </c>
      <c r="G27" s="6">
        <v>0.8</v>
      </c>
      <c r="H27" s="6" t="s">
        <v>68</v>
      </c>
      <c r="I27" s="6" t="s">
        <v>68</v>
      </c>
      <c r="L27" s="12" t="s">
        <v>72</v>
      </c>
      <c r="M27" s="6">
        <v>35</v>
      </c>
      <c r="N27" s="6">
        <v>25</v>
      </c>
      <c r="O27" s="6">
        <v>0.1</v>
      </c>
      <c r="P27" s="6">
        <v>0.08</v>
      </c>
      <c r="Q27" s="6">
        <v>0.12</v>
      </c>
      <c r="R27" s="6">
        <v>0.09</v>
      </c>
      <c r="S27" s="6" t="s">
        <v>68</v>
      </c>
      <c r="T27" s="6" t="s">
        <v>68</v>
      </c>
    </row>
    <row r="28" spans="1:20" ht="18.5" thickBot="1" x14ac:dyDescent="0.4">
      <c r="A28" s="3" t="s">
        <v>73</v>
      </c>
      <c r="B28" s="11">
        <v>414</v>
      </c>
      <c r="C28" s="11">
        <v>424</v>
      </c>
      <c r="D28" s="11">
        <v>1.2</v>
      </c>
      <c r="E28" s="11">
        <v>1.3</v>
      </c>
      <c r="F28" s="11">
        <v>1.4</v>
      </c>
      <c r="G28" s="11">
        <v>1.5</v>
      </c>
      <c r="H28" s="11">
        <v>17.2</v>
      </c>
      <c r="I28" s="11">
        <v>16.399999999999999</v>
      </c>
      <c r="L28" s="3" t="s">
        <v>73</v>
      </c>
      <c r="M28" s="11">
        <v>38</v>
      </c>
      <c r="N28" s="11">
        <v>37</v>
      </c>
      <c r="O28" s="11">
        <v>0.11</v>
      </c>
      <c r="P28" s="11">
        <v>0.11</v>
      </c>
      <c r="Q28" s="11">
        <v>0.13</v>
      </c>
      <c r="R28" s="11">
        <v>0.13</v>
      </c>
      <c r="S28" s="11">
        <v>1.4</v>
      </c>
      <c r="T28" s="11">
        <v>1.36</v>
      </c>
    </row>
    <row r="29" spans="1:20" ht="18.5" thickBot="1" x14ac:dyDescent="0.4">
      <c r="A29" s="14" t="s">
        <v>74</v>
      </c>
      <c r="B29" s="7">
        <v>1246</v>
      </c>
      <c r="C29" s="7">
        <v>1154</v>
      </c>
      <c r="D29" s="6">
        <v>3.7</v>
      </c>
      <c r="E29" s="6">
        <v>3.4</v>
      </c>
      <c r="F29" s="6">
        <v>5.2</v>
      </c>
      <c r="G29" s="6">
        <v>4.7</v>
      </c>
      <c r="H29" s="6">
        <v>21.4</v>
      </c>
      <c r="I29" s="6">
        <v>21</v>
      </c>
      <c r="L29" s="14" t="s">
        <v>74</v>
      </c>
      <c r="M29" s="6">
        <v>64</v>
      </c>
      <c r="N29" s="6">
        <v>64</v>
      </c>
      <c r="O29" s="6">
        <v>0.19</v>
      </c>
      <c r="P29" s="6">
        <v>0.19</v>
      </c>
      <c r="Q29" s="6">
        <v>0.26</v>
      </c>
      <c r="R29" s="6">
        <v>0.26</v>
      </c>
      <c r="S29" s="6">
        <v>0.97</v>
      </c>
      <c r="T29" s="6">
        <v>1.04</v>
      </c>
    </row>
    <row r="30" spans="1:20" ht="18.5" thickBot="1" x14ac:dyDescent="0.4">
      <c r="A30" s="3" t="s">
        <v>75</v>
      </c>
      <c r="B30" s="4">
        <v>2436</v>
      </c>
      <c r="C30" s="4">
        <v>2415</v>
      </c>
      <c r="D30" s="11">
        <v>7.2</v>
      </c>
      <c r="E30" s="11">
        <v>7.2</v>
      </c>
      <c r="F30" s="11">
        <v>26</v>
      </c>
      <c r="G30" s="11">
        <v>25.3</v>
      </c>
      <c r="H30" s="11">
        <v>9.8000000000000007</v>
      </c>
      <c r="I30" s="11">
        <v>9.9</v>
      </c>
      <c r="L30" s="3" t="s">
        <v>75</v>
      </c>
      <c r="M30" s="11">
        <v>86</v>
      </c>
      <c r="N30" s="11">
        <v>88</v>
      </c>
      <c r="O30" s="11">
        <v>0.25</v>
      </c>
      <c r="P30" s="11">
        <v>0.26</v>
      </c>
      <c r="Q30" s="11">
        <v>0.81</v>
      </c>
      <c r="R30" s="11">
        <v>0.85</v>
      </c>
      <c r="S30" s="11">
        <v>0.35</v>
      </c>
      <c r="T30" s="11">
        <v>0.35</v>
      </c>
    </row>
    <row r="31" spans="1:20" ht="20.399999999999999" customHeight="1" x14ac:dyDescent="0.35">
      <c r="A31" s="70" t="s">
        <v>76</v>
      </c>
      <c r="B31" s="71"/>
      <c r="C31" s="71"/>
      <c r="D31" s="71"/>
      <c r="E31" s="71"/>
      <c r="F31" s="71"/>
      <c r="G31" s="71"/>
      <c r="H31" s="71"/>
      <c r="I31" s="72"/>
      <c r="L31" s="31" t="s">
        <v>76</v>
      </c>
      <c r="M31" s="40"/>
      <c r="N31" s="40"/>
      <c r="O31" s="40"/>
      <c r="P31" s="40"/>
      <c r="Q31" s="40"/>
      <c r="R31" s="40"/>
      <c r="S31" s="40"/>
      <c r="T31" s="41"/>
    </row>
    <row r="32" spans="1:20" ht="40.75" customHeight="1" x14ac:dyDescent="0.35">
      <c r="A32" s="60" t="s">
        <v>77</v>
      </c>
      <c r="B32" s="61"/>
      <c r="C32" s="61"/>
      <c r="D32" s="61"/>
      <c r="E32" s="61"/>
      <c r="F32" s="61"/>
      <c r="G32" s="61"/>
      <c r="H32" s="61"/>
      <c r="I32" s="62"/>
      <c r="L32" s="32" t="s">
        <v>77</v>
      </c>
      <c r="M32" s="42"/>
      <c r="N32" s="42"/>
      <c r="O32" s="42"/>
      <c r="P32" s="42"/>
      <c r="Q32" s="42"/>
      <c r="R32" s="42"/>
      <c r="S32" s="42"/>
      <c r="T32" s="43"/>
    </row>
    <row r="33" spans="1:20" ht="40.75" customHeight="1" x14ac:dyDescent="0.35">
      <c r="A33" s="73" t="s">
        <v>78</v>
      </c>
      <c r="B33" s="74"/>
      <c r="C33" s="74"/>
      <c r="D33" s="74"/>
      <c r="E33" s="74"/>
      <c r="F33" s="74"/>
      <c r="G33" s="74"/>
      <c r="H33" s="74"/>
      <c r="I33" s="75"/>
      <c r="L33" s="33" t="s">
        <v>79</v>
      </c>
      <c r="M33" s="44"/>
      <c r="N33" s="44"/>
      <c r="O33" s="44"/>
      <c r="P33" s="44"/>
      <c r="Q33" s="44"/>
      <c r="R33" s="44"/>
      <c r="S33" s="44"/>
      <c r="T33" s="45"/>
    </row>
    <row r="34" spans="1:20" ht="20.399999999999999" customHeight="1" x14ac:dyDescent="0.35">
      <c r="A34" s="73" t="s">
        <v>79</v>
      </c>
      <c r="B34" s="74"/>
      <c r="C34" s="74"/>
      <c r="D34" s="74"/>
      <c r="E34" s="74"/>
      <c r="F34" s="74"/>
      <c r="G34" s="74"/>
      <c r="H34" s="74"/>
      <c r="I34" s="75"/>
      <c r="L34" s="32" t="s">
        <v>80</v>
      </c>
      <c r="M34" s="42"/>
      <c r="N34" s="42"/>
      <c r="O34" s="42"/>
      <c r="P34" s="42"/>
      <c r="Q34" s="42"/>
      <c r="R34" s="42"/>
      <c r="S34" s="42"/>
      <c r="T34" s="43"/>
    </row>
    <row r="35" spans="1:20" ht="15" thickBot="1" x14ac:dyDescent="0.4">
      <c r="A35" s="60" t="s">
        <v>80</v>
      </c>
      <c r="B35" s="61"/>
      <c r="C35" s="61"/>
      <c r="D35" s="61"/>
      <c r="E35" s="61"/>
      <c r="F35" s="61"/>
      <c r="G35" s="61"/>
      <c r="H35" s="61"/>
      <c r="I35" s="62"/>
      <c r="L35" s="63" t="s">
        <v>81</v>
      </c>
      <c r="M35" s="64"/>
      <c r="N35" s="64"/>
      <c r="O35" s="64"/>
      <c r="P35" s="64"/>
      <c r="Q35" s="64"/>
      <c r="R35" s="64"/>
      <c r="S35" s="64"/>
      <c r="T35" s="65"/>
    </row>
    <row r="36" spans="1:20" ht="15" thickBot="1" x14ac:dyDescent="0.4">
      <c r="A36" s="63" t="s">
        <v>81</v>
      </c>
      <c r="B36" s="64"/>
      <c r="C36" s="64"/>
      <c r="D36" s="64"/>
      <c r="E36" s="64"/>
      <c r="F36" s="64"/>
      <c r="G36" s="64"/>
      <c r="H36" s="64"/>
      <c r="I36" s="65"/>
    </row>
  </sheetData>
  <mergeCells count="21">
    <mergeCell ref="A32:I32"/>
    <mergeCell ref="A1:I1"/>
    <mergeCell ref="A2:A5"/>
    <mergeCell ref="B2:C2"/>
    <mergeCell ref="B3:C3"/>
    <mergeCell ref="B4:C4"/>
    <mergeCell ref="D2:E2"/>
    <mergeCell ref="D3:E3"/>
    <mergeCell ref="D4:E4"/>
    <mergeCell ref="F2:G2"/>
    <mergeCell ref="F3:G3"/>
    <mergeCell ref="F4:G4"/>
    <mergeCell ref="H2:I2"/>
    <mergeCell ref="H3:I3"/>
    <mergeCell ref="H4:I4"/>
    <mergeCell ref="A31:I31"/>
    <mergeCell ref="L35:T35"/>
    <mergeCell ref="A33:I33"/>
    <mergeCell ref="A34:I34"/>
    <mergeCell ref="A35:I35"/>
    <mergeCell ref="A36:I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F880-A219-440C-9DAA-7001D0EB0EC7}">
  <dimension ref="A1:T37"/>
  <sheetViews>
    <sheetView topLeftCell="B1" workbookViewId="0">
      <selection activeCell="A25" activeCellId="2" sqref="A11:XFD11 A19:XFD19 A25:XFD25"/>
    </sheetView>
  </sheetViews>
  <sheetFormatPr defaultRowHeight="14.5" x14ac:dyDescent="0.35"/>
  <cols>
    <col min="1" max="1" width="40.81640625" bestFit="1" customWidth="1"/>
    <col min="12" max="12" width="40.81640625" bestFit="1" customWidth="1"/>
  </cols>
  <sheetData>
    <row r="1" spans="1:20" ht="18" x14ac:dyDescent="0.4">
      <c r="A1" s="28">
        <v>416</v>
      </c>
      <c r="L1" s="28">
        <v>200416</v>
      </c>
    </row>
    <row r="2" spans="1:20" ht="15" thickBot="1" x14ac:dyDescent="0.4">
      <c r="A2" s="78" t="s">
        <v>96</v>
      </c>
      <c r="B2" s="79"/>
      <c r="C2" s="79"/>
      <c r="D2" s="79"/>
      <c r="E2" s="79"/>
      <c r="F2" s="79"/>
      <c r="G2" s="79"/>
      <c r="H2" s="79"/>
      <c r="I2" s="79"/>
      <c r="L2" s="78" t="s">
        <v>106</v>
      </c>
      <c r="M2" s="79"/>
      <c r="N2" s="79"/>
      <c r="O2" s="79"/>
      <c r="P2" s="79"/>
      <c r="Q2" s="79"/>
      <c r="R2" s="79"/>
      <c r="S2" s="79"/>
      <c r="T2" s="79"/>
    </row>
    <row r="3" spans="1:20" ht="17.5" x14ac:dyDescent="0.35">
      <c r="A3" s="58" t="s">
        <v>36</v>
      </c>
      <c r="B3" s="76" t="s">
        <v>37</v>
      </c>
      <c r="C3" s="77"/>
      <c r="D3" s="76" t="s">
        <v>39</v>
      </c>
      <c r="E3" s="77"/>
      <c r="F3" s="76" t="s">
        <v>41</v>
      </c>
      <c r="G3" s="77"/>
      <c r="H3" s="76" t="s">
        <v>41</v>
      </c>
      <c r="I3" s="77"/>
      <c r="L3" s="58" t="s">
        <v>36</v>
      </c>
      <c r="M3" s="76" t="s">
        <v>37</v>
      </c>
      <c r="N3" s="77"/>
      <c r="O3" s="76" t="s">
        <v>39</v>
      </c>
      <c r="P3" s="77"/>
      <c r="Q3" s="76" t="s">
        <v>41</v>
      </c>
      <c r="R3" s="77"/>
      <c r="S3" s="76" t="s">
        <v>41</v>
      </c>
      <c r="T3" s="77"/>
    </row>
    <row r="4" spans="1:20" ht="17.5" x14ac:dyDescent="0.35">
      <c r="A4" s="80"/>
      <c r="B4" s="66" t="s">
        <v>38</v>
      </c>
      <c r="C4" s="67"/>
      <c r="D4" s="66" t="s">
        <v>40</v>
      </c>
      <c r="E4" s="67"/>
      <c r="F4" s="66" t="s">
        <v>42</v>
      </c>
      <c r="G4" s="67"/>
      <c r="H4" s="66" t="s">
        <v>44</v>
      </c>
      <c r="I4" s="67"/>
      <c r="L4" s="80"/>
      <c r="M4" s="66" t="s">
        <v>38</v>
      </c>
      <c r="N4" s="67"/>
      <c r="O4" s="66" t="s">
        <v>40</v>
      </c>
      <c r="P4" s="67"/>
      <c r="Q4" s="66" t="s">
        <v>42</v>
      </c>
      <c r="R4" s="67"/>
      <c r="S4" s="66" t="s">
        <v>44</v>
      </c>
      <c r="T4" s="67"/>
    </row>
    <row r="5" spans="1:20" ht="18" thickBot="1" x14ac:dyDescent="0.4">
      <c r="A5" s="80"/>
      <c r="B5" s="68"/>
      <c r="C5" s="69"/>
      <c r="D5" s="68"/>
      <c r="E5" s="69"/>
      <c r="F5" s="68" t="s">
        <v>43</v>
      </c>
      <c r="G5" s="69"/>
      <c r="H5" s="68" t="s">
        <v>45</v>
      </c>
      <c r="I5" s="69"/>
      <c r="L5" s="80"/>
      <c r="M5" s="68"/>
      <c r="N5" s="69"/>
      <c r="O5" s="68"/>
      <c r="P5" s="69"/>
      <c r="Q5" s="68" t="s">
        <v>43</v>
      </c>
      <c r="R5" s="69"/>
      <c r="S5" s="68" t="s">
        <v>45</v>
      </c>
      <c r="T5" s="69"/>
    </row>
    <row r="6" spans="1:20" ht="18" thickBot="1" x14ac:dyDescent="0.4">
      <c r="A6" s="59"/>
      <c r="B6" s="24">
        <v>2018</v>
      </c>
      <c r="C6" s="24">
        <v>2019</v>
      </c>
      <c r="D6" s="24">
        <v>2018</v>
      </c>
      <c r="E6" s="24">
        <v>2019</v>
      </c>
      <c r="F6" s="24">
        <v>2018</v>
      </c>
      <c r="G6" s="24">
        <v>2019</v>
      </c>
      <c r="H6" s="24">
        <v>2018</v>
      </c>
      <c r="I6" s="24">
        <v>2019</v>
      </c>
      <c r="L6" s="59"/>
      <c r="M6" s="24">
        <v>2018</v>
      </c>
      <c r="N6" s="24">
        <v>2019</v>
      </c>
      <c r="O6" s="24">
        <v>2018</v>
      </c>
      <c r="P6" s="24">
        <v>2019</v>
      </c>
      <c r="Q6" s="24">
        <v>2018</v>
      </c>
      <c r="R6" s="24">
        <v>2019</v>
      </c>
      <c r="S6" s="24">
        <v>2018</v>
      </c>
      <c r="T6" s="24">
        <v>2019</v>
      </c>
    </row>
    <row r="7" spans="1:20" ht="18.5" thickBot="1" x14ac:dyDescent="0.4">
      <c r="A7" s="3" t="s">
        <v>46</v>
      </c>
      <c r="B7" s="11" t="s">
        <v>47</v>
      </c>
      <c r="C7" s="11" t="s">
        <v>47</v>
      </c>
      <c r="D7" s="11" t="s">
        <v>47</v>
      </c>
      <c r="E7" s="11" t="s">
        <v>47</v>
      </c>
      <c r="F7" s="11" t="s">
        <v>47</v>
      </c>
      <c r="G7" s="11" t="s">
        <v>47</v>
      </c>
      <c r="H7" s="11" t="s">
        <v>47</v>
      </c>
      <c r="I7" s="11" t="s">
        <v>47</v>
      </c>
      <c r="L7" s="3" t="s">
        <v>46</v>
      </c>
      <c r="M7" s="11" t="s">
        <v>47</v>
      </c>
      <c r="N7" s="11" t="s">
        <v>47</v>
      </c>
      <c r="O7" s="11" t="s">
        <v>47</v>
      </c>
      <c r="P7" s="11" t="s">
        <v>47</v>
      </c>
      <c r="Q7" s="11" t="s">
        <v>47</v>
      </c>
      <c r="R7" s="11" t="s">
        <v>47</v>
      </c>
      <c r="S7" s="11" t="s">
        <v>47</v>
      </c>
      <c r="T7" s="11" t="s">
        <v>47</v>
      </c>
    </row>
    <row r="8" spans="1:20" ht="18.5" thickBot="1" x14ac:dyDescent="0.4">
      <c r="A8" s="12" t="s">
        <v>48</v>
      </c>
      <c r="B8" s="6" t="s">
        <v>97</v>
      </c>
      <c r="C8" s="6">
        <v>887</v>
      </c>
      <c r="D8" s="6" t="s">
        <v>98</v>
      </c>
      <c r="E8" s="6">
        <v>0.4</v>
      </c>
      <c r="F8" s="6" t="s">
        <v>99</v>
      </c>
      <c r="G8" s="6">
        <v>0.8</v>
      </c>
      <c r="H8" s="6" t="s">
        <v>84</v>
      </c>
      <c r="I8" s="6">
        <v>2.7</v>
      </c>
      <c r="L8" s="12" t="s">
        <v>48</v>
      </c>
      <c r="M8" s="6">
        <v>61</v>
      </c>
      <c r="N8" s="6">
        <v>94</v>
      </c>
      <c r="O8" s="6">
        <v>0.03</v>
      </c>
      <c r="P8" s="6">
        <v>0.04</v>
      </c>
      <c r="Q8" s="6">
        <v>0.05</v>
      </c>
      <c r="R8" s="6">
        <v>0.08</v>
      </c>
      <c r="S8" s="6">
        <v>0.21</v>
      </c>
      <c r="T8" s="6">
        <v>0.28000000000000003</v>
      </c>
    </row>
    <row r="9" spans="1:20" ht="18.5" thickBot="1" x14ac:dyDescent="0.4">
      <c r="A9" s="8" t="s">
        <v>49</v>
      </c>
      <c r="B9" s="11">
        <v>184</v>
      </c>
      <c r="C9" s="11">
        <v>135</v>
      </c>
      <c r="D9" s="11">
        <v>0.1</v>
      </c>
      <c r="E9" s="11">
        <v>0.1</v>
      </c>
      <c r="F9" s="11">
        <v>0.1</v>
      </c>
      <c r="G9" s="11">
        <v>0.1</v>
      </c>
      <c r="H9" s="11">
        <v>5.3</v>
      </c>
      <c r="I9" s="11">
        <v>3.8</v>
      </c>
      <c r="L9" s="8" t="s">
        <v>49</v>
      </c>
      <c r="M9" s="11">
        <v>34</v>
      </c>
      <c r="N9" s="11">
        <v>32</v>
      </c>
      <c r="O9" s="11">
        <v>0.02</v>
      </c>
      <c r="P9" s="11">
        <v>0.01</v>
      </c>
      <c r="Q9" s="11">
        <v>0.02</v>
      </c>
      <c r="R9" s="11">
        <v>0.02</v>
      </c>
      <c r="S9" s="11">
        <v>0.98</v>
      </c>
      <c r="T9" s="11">
        <v>0.88</v>
      </c>
    </row>
    <row r="10" spans="1:20" ht="18.5" thickBot="1" x14ac:dyDescent="0.4">
      <c r="A10" s="26" t="s">
        <v>51</v>
      </c>
      <c r="B10" s="6">
        <v>61</v>
      </c>
      <c r="C10" s="6">
        <v>63</v>
      </c>
      <c r="D10" s="6">
        <v>0</v>
      </c>
      <c r="E10" s="6">
        <v>0</v>
      </c>
      <c r="F10" s="6">
        <v>0</v>
      </c>
      <c r="G10" s="6">
        <v>0</v>
      </c>
      <c r="H10" s="6">
        <v>9.1999999999999993</v>
      </c>
      <c r="I10" s="6" t="s">
        <v>50</v>
      </c>
      <c r="L10" s="26" t="s">
        <v>51</v>
      </c>
      <c r="M10" s="6">
        <v>23</v>
      </c>
      <c r="N10" s="6">
        <v>26</v>
      </c>
      <c r="O10" s="6">
        <v>0.01</v>
      </c>
      <c r="P10" s="6">
        <v>0.01</v>
      </c>
      <c r="Q10" s="6">
        <v>0.01</v>
      </c>
      <c r="R10" s="6">
        <v>0.01</v>
      </c>
      <c r="S10" s="6">
        <v>3.37</v>
      </c>
      <c r="T10" s="6" t="s">
        <v>50</v>
      </c>
    </row>
    <row r="11" spans="1:20" s="48" customFormat="1" ht="18.5" thickBot="1" x14ac:dyDescent="0.4">
      <c r="A11" s="47" t="s">
        <v>52</v>
      </c>
      <c r="B11" s="46">
        <v>75</v>
      </c>
      <c r="C11" s="46">
        <v>31</v>
      </c>
      <c r="D11" s="46">
        <v>0</v>
      </c>
      <c r="E11" s="46">
        <v>0</v>
      </c>
      <c r="F11" s="46">
        <v>0</v>
      </c>
      <c r="G11" s="46">
        <v>0</v>
      </c>
      <c r="H11" s="46">
        <v>11.7</v>
      </c>
      <c r="I11" s="46">
        <v>4.7</v>
      </c>
      <c r="L11" s="47" t="s">
        <v>52</v>
      </c>
      <c r="M11" s="46">
        <v>22</v>
      </c>
      <c r="N11" s="46">
        <v>16</v>
      </c>
      <c r="O11" s="46">
        <v>0.01</v>
      </c>
      <c r="P11" s="46">
        <v>0.01</v>
      </c>
      <c r="Q11" s="46">
        <v>0.01</v>
      </c>
      <c r="R11" s="46">
        <v>0.01</v>
      </c>
      <c r="S11" s="46">
        <v>3.36</v>
      </c>
      <c r="T11" s="46">
        <v>2.4</v>
      </c>
    </row>
    <row r="12" spans="1:20" ht="18.5" thickBot="1" x14ac:dyDescent="0.4">
      <c r="A12" s="12" t="s">
        <v>53</v>
      </c>
      <c r="B12" s="6">
        <v>250</v>
      </c>
      <c r="C12" s="6">
        <v>259</v>
      </c>
      <c r="D12" s="6">
        <v>0.1</v>
      </c>
      <c r="E12" s="6">
        <v>0.1</v>
      </c>
      <c r="F12" s="6">
        <v>0.1</v>
      </c>
      <c r="G12" s="6">
        <v>0.1</v>
      </c>
      <c r="H12" s="6">
        <v>8.6999999999999993</v>
      </c>
      <c r="I12" s="6">
        <v>8.1999999999999993</v>
      </c>
      <c r="L12" s="12" t="s">
        <v>53</v>
      </c>
      <c r="M12" s="6">
        <v>43</v>
      </c>
      <c r="N12" s="6">
        <v>47</v>
      </c>
      <c r="O12" s="6">
        <v>0.02</v>
      </c>
      <c r="P12" s="6">
        <v>0.02</v>
      </c>
      <c r="Q12" s="6">
        <v>0.02</v>
      </c>
      <c r="R12" s="6">
        <v>0.03</v>
      </c>
      <c r="S12" s="6">
        <v>1.48</v>
      </c>
      <c r="T12" s="6">
        <v>1.43</v>
      </c>
    </row>
    <row r="13" spans="1:20" ht="18.5" thickBot="1" x14ac:dyDescent="0.4">
      <c r="A13" s="27" t="s">
        <v>54</v>
      </c>
      <c r="B13" s="11">
        <v>169</v>
      </c>
      <c r="C13" s="11">
        <v>219</v>
      </c>
      <c r="D13" s="11">
        <v>0.1</v>
      </c>
      <c r="E13" s="11">
        <v>0.1</v>
      </c>
      <c r="F13" s="11">
        <v>0.1</v>
      </c>
      <c r="G13" s="11">
        <v>0.1</v>
      </c>
      <c r="H13" s="11">
        <v>18.100000000000001</v>
      </c>
      <c r="I13" s="11">
        <v>22.1</v>
      </c>
      <c r="L13" s="27" t="s">
        <v>54</v>
      </c>
      <c r="M13" s="11">
        <v>35</v>
      </c>
      <c r="N13" s="11">
        <v>44</v>
      </c>
      <c r="O13" s="11">
        <v>0.02</v>
      </c>
      <c r="P13" s="11">
        <v>0.02</v>
      </c>
      <c r="Q13" s="11">
        <v>0.02</v>
      </c>
      <c r="R13" s="11">
        <v>0.02</v>
      </c>
      <c r="S13" s="11">
        <v>3.48</v>
      </c>
      <c r="T13" s="11">
        <v>3.9</v>
      </c>
    </row>
    <row r="14" spans="1:20" ht="18.5" thickBot="1" x14ac:dyDescent="0.4">
      <c r="A14" s="26" t="s">
        <v>57</v>
      </c>
      <c r="B14" s="6" t="s">
        <v>50</v>
      </c>
      <c r="C14" s="6" t="s">
        <v>50</v>
      </c>
      <c r="D14" s="6" t="s">
        <v>50</v>
      </c>
      <c r="E14" s="6" t="s">
        <v>50</v>
      </c>
      <c r="F14" s="6" t="s">
        <v>50</v>
      </c>
      <c r="G14" s="6" t="s">
        <v>50</v>
      </c>
      <c r="H14" s="6" t="s">
        <v>50</v>
      </c>
      <c r="I14" s="6" t="s">
        <v>50</v>
      </c>
      <c r="L14" s="26" t="s">
        <v>57</v>
      </c>
      <c r="M14" s="6" t="s">
        <v>50</v>
      </c>
      <c r="N14" s="6" t="s">
        <v>50</v>
      </c>
      <c r="O14" s="6" t="s">
        <v>50</v>
      </c>
      <c r="P14" s="6" t="s">
        <v>50</v>
      </c>
      <c r="Q14" s="6" t="s">
        <v>50</v>
      </c>
      <c r="R14" s="6" t="s">
        <v>50</v>
      </c>
      <c r="S14" s="6" t="s">
        <v>50</v>
      </c>
      <c r="T14" s="6" t="s">
        <v>50</v>
      </c>
    </row>
    <row r="15" spans="1:20" ht="18.5" thickBot="1" x14ac:dyDescent="0.4">
      <c r="A15" s="27" t="s">
        <v>58</v>
      </c>
      <c r="B15" s="11">
        <v>157</v>
      </c>
      <c r="C15" s="11">
        <v>180</v>
      </c>
      <c r="D15" s="11">
        <v>0.1</v>
      </c>
      <c r="E15" s="11">
        <v>0.1</v>
      </c>
      <c r="F15" s="11">
        <v>0.1</v>
      </c>
      <c r="G15" s="11">
        <v>0.1</v>
      </c>
      <c r="H15" s="11">
        <v>11.9</v>
      </c>
      <c r="I15" s="11">
        <v>13.8</v>
      </c>
      <c r="L15" s="27" t="s">
        <v>58</v>
      </c>
      <c r="M15" s="11">
        <v>33</v>
      </c>
      <c r="N15" s="11">
        <v>36</v>
      </c>
      <c r="O15" s="11">
        <v>0.02</v>
      </c>
      <c r="P15" s="11">
        <v>0.02</v>
      </c>
      <c r="Q15" s="11">
        <v>0.02</v>
      </c>
      <c r="R15" s="11">
        <v>0.02</v>
      </c>
      <c r="S15" s="11">
        <v>2.41</v>
      </c>
      <c r="T15" s="11">
        <v>2.5299999999999998</v>
      </c>
    </row>
    <row r="16" spans="1:20" ht="18.5" thickBot="1" x14ac:dyDescent="0.4">
      <c r="A16" s="12" t="s">
        <v>59</v>
      </c>
      <c r="B16" s="6">
        <v>58</v>
      </c>
      <c r="C16" s="6">
        <v>99</v>
      </c>
      <c r="D16" s="6">
        <v>0</v>
      </c>
      <c r="E16" s="6">
        <v>0</v>
      </c>
      <c r="F16" s="6">
        <v>0</v>
      </c>
      <c r="G16" s="6">
        <v>0.1</v>
      </c>
      <c r="H16" s="6">
        <v>6.9</v>
      </c>
      <c r="I16" s="6">
        <v>12.1</v>
      </c>
      <c r="L16" s="12" t="s">
        <v>59</v>
      </c>
      <c r="M16" s="6">
        <v>19</v>
      </c>
      <c r="N16" s="6">
        <v>30</v>
      </c>
      <c r="O16" s="6">
        <v>0.01</v>
      </c>
      <c r="P16" s="6">
        <v>0.01</v>
      </c>
      <c r="Q16" s="6">
        <v>0.01</v>
      </c>
      <c r="R16" s="6">
        <v>0.02</v>
      </c>
      <c r="S16" s="6">
        <v>2.19</v>
      </c>
      <c r="T16" s="6">
        <v>3.54</v>
      </c>
    </row>
    <row r="17" spans="1:20" ht="18.5" thickBot="1" x14ac:dyDescent="0.4">
      <c r="A17" s="8" t="s">
        <v>60</v>
      </c>
      <c r="B17" s="11">
        <v>106</v>
      </c>
      <c r="C17" s="11">
        <v>96</v>
      </c>
      <c r="D17" s="11">
        <v>0</v>
      </c>
      <c r="E17" s="11">
        <v>0</v>
      </c>
      <c r="F17" s="11">
        <v>0.1</v>
      </c>
      <c r="G17" s="11">
        <v>0</v>
      </c>
      <c r="H17" s="11">
        <v>6.8</v>
      </c>
      <c r="I17" s="11">
        <v>5.7</v>
      </c>
      <c r="L17" s="8" t="s">
        <v>60</v>
      </c>
      <c r="M17" s="11">
        <v>25</v>
      </c>
      <c r="N17" s="11">
        <v>29</v>
      </c>
      <c r="O17" s="11">
        <v>0.01</v>
      </c>
      <c r="P17" s="11">
        <v>0.01</v>
      </c>
      <c r="Q17" s="11">
        <v>0.01</v>
      </c>
      <c r="R17" s="11">
        <v>0.01</v>
      </c>
      <c r="S17" s="11">
        <v>1.58</v>
      </c>
      <c r="T17" s="11">
        <v>1.69</v>
      </c>
    </row>
    <row r="18" spans="1:20" ht="18.5" thickBot="1" x14ac:dyDescent="0.4">
      <c r="A18" s="12" t="s">
        <v>61</v>
      </c>
      <c r="B18" s="6" t="s">
        <v>47</v>
      </c>
      <c r="C18" s="6" t="s">
        <v>47</v>
      </c>
      <c r="D18" s="6" t="s">
        <v>47</v>
      </c>
      <c r="E18" s="6" t="s">
        <v>47</v>
      </c>
      <c r="F18" s="6" t="s">
        <v>47</v>
      </c>
      <c r="G18" s="6" t="s">
        <v>47</v>
      </c>
      <c r="H18" s="6" t="s">
        <v>47</v>
      </c>
      <c r="I18" s="6" t="s">
        <v>47</v>
      </c>
      <c r="L18" s="12" t="s">
        <v>61</v>
      </c>
      <c r="M18" s="6" t="s">
        <v>47</v>
      </c>
      <c r="N18" s="6" t="s">
        <v>47</v>
      </c>
      <c r="O18" s="6" t="s">
        <v>47</v>
      </c>
      <c r="P18" s="6" t="s">
        <v>47</v>
      </c>
      <c r="Q18" s="6" t="s">
        <v>47</v>
      </c>
      <c r="R18" s="6" t="s">
        <v>47</v>
      </c>
      <c r="S18" s="6" t="s">
        <v>47</v>
      </c>
      <c r="T18" s="6" t="s">
        <v>47</v>
      </c>
    </row>
    <row r="19" spans="1:20" s="48" customFormat="1" ht="18.5" thickBot="1" x14ac:dyDescent="0.4">
      <c r="A19" s="49" t="s">
        <v>62</v>
      </c>
      <c r="B19" s="50">
        <v>1134</v>
      </c>
      <c r="C19" s="46">
        <v>958</v>
      </c>
      <c r="D19" s="46">
        <v>0.5</v>
      </c>
      <c r="E19" s="46">
        <v>0.4</v>
      </c>
      <c r="F19" s="46" t="s">
        <v>47</v>
      </c>
      <c r="G19" s="46" t="s">
        <v>47</v>
      </c>
      <c r="H19" s="46">
        <v>15.3</v>
      </c>
      <c r="I19" s="46">
        <v>12.9</v>
      </c>
      <c r="L19" s="49" t="s">
        <v>62</v>
      </c>
      <c r="M19" s="46">
        <v>109</v>
      </c>
      <c r="N19" s="46">
        <v>105</v>
      </c>
      <c r="O19" s="46">
        <v>0.05</v>
      </c>
      <c r="P19" s="46">
        <v>0.05</v>
      </c>
      <c r="Q19" s="46" t="s">
        <v>47</v>
      </c>
      <c r="R19" s="46" t="s">
        <v>47</v>
      </c>
      <c r="S19" s="46">
        <v>1.34</v>
      </c>
      <c r="T19" s="46">
        <v>1.31</v>
      </c>
    </row>
    <row r="20" spans="1:20" ht="20.399999999999999" customHeight="1" thickBot="1" x14ac:dyDescent="0.4">
      <c r="A20" s="26" t="s">
        <v>63</v>
      </c>
      <c r="B20" s="6">
        <v>302</v>
      </c>
      <c r="C20" s="6">
        <v>299</v>
      </c>
      <c r="D20" s="6">
        <v>0.1</v>
      </c>
      <c r="E20" s="6">
        <v>0.1</v>
      </c>
      <c r="F20" s="6" t="s">
        <v>47</v>
      </c>
      <c r="G20" s="6" t="s">
        <v>47</v>
      </c>
      <c r="H20" s="6">
        <v>12</v>
      </c>
      <c r="I20" s="6">
        <v>11.7</v>
      </c>
      <c r="L20" s="26" t="s">
        <v>63</v>
      </c>
      <c r="M20" s="6">
        <v>46</v>
      </c>
      <c r="N20" s="6">
        <v>45</v>
      </c>
      <c r="O20" s="6">
        <v>0.02</v>
      </c>
      <c r="P20" s="6">
        <v>0.02</v>
      </c>
      <c r="Q20" s="6" t="s">
        <v>47</v>
      </c>
      <c r="R20" s="6" t="s">
        <v>47</v>
      </c>
      <c r="S20" s="6">
        <v>1.7</v>
      </c>
      <c r="T20" s="6">
        <v>1.68</v>
      </c>
    </row>
    <row r="21" spans="1:20" ht="40.75" customHeight="1" thickBot="1" x14ac:dyDescent="0.4">
      <c r="A21" s="27" t="s">
        <v>64</v>
      </c>
      <c r="B21" s="11" t="s">
        <v>47</v>
      </c>
      <c r="C21" s="11" t="s">
        <v>47</v>
      </c>
      <c r="D21" s="11" t="s">
        <v>47</v>
      </c>
      <c r="E21" s="11" t="s">
        <v>47</v>
      </c>
      <c r="F21" s="11" t="s">
        <v>47</v>
      </c>
      <c r="G21" s="11" t="s">
        <v>47</v>
      </c>
      <c r="H21" s="11" t="s">
        <v>47</v>
      </c>
      <c r="I21" s="11" t="s">
        <v>47</v>
      </c>
      <c r="L21" s="27" t="s">
        <v>64</v>
      </c>
      <c r="M21" s="11" t="s">
        <v>47</v>
      </c>
      <c r="N21" s="11" t="s">
        <v>47</v>
      </c>
      <c r="O21" s="11" t="s">
        <v>47</v>
      </c>
      <c r="P21" s="11" t="s">
        <v>47</v>
      </c>
      <c r="Q21" s="11" t="s">
        <v>47</v>
      </c>
      <c r="R21" s="11" t="s">
        <v>47</v>
      </c>
      <c r="S21" s="11" t="s">
        <v>47</v>
      </c>
      <c r="T21" s="11" t="s">
        <v>47</v>
      </c>
    </row>
    <row r="22" spans="1:20" ht="20.399999999999999" customHeight="1" thickBot="1" x14ac:dyDescent="0.4">
      <c r="A22" s="29" t="s">
        <v>65</v>
      </c>
      <c r="B22" s="6">
        <v>560</v>
      </c>
      <c r="C22" s="6">
        <v>435</v>
      </c>
      <c r="D22" s="6">
        <v>0.3</v>
      </c>
      <c r="E22" s="6">
        <v>0.2</v>
      </c>
      <c r="F22" s="6" t="s">
        <v>47</v>
      </c>
      <c r="G22" s="6" t="s">
        <v>47</v>
      </c>
      <c r="H22" s="6">
        <v>14.9</v>
      </c>
      <c r="I22" s="6">
        <v>12.4</v>
      </c>
      <c r="L22" s="29" t="s">
        <v>65</v>
      </c>
      <c r="M22" s="6">
        <v>76</v>
      </c>
      <c r="N22" s="6">
        <v>64</v>
      </c>
      <c r="O22" s="6">
        <v>0.04</v>
      </c>
      <c r="P22" s="6">
        <v>0.03</v>
      </c>
      <c r="Q22" s="6" t="s">
        <v>47</v>
      </c>
      <c r="R22" s="6" t="s">
        <v>47</v>
      </c>
      <c r="S22" s="6">
        <v>1.9</v>
      </c>
      <c r="T22" s="6">
        <v>1.73</v>
      </c>
    </row>
    <row r="23" spans="1:20" ht="18.649999999999999" customHeight="1" thickBot="1" x14ac:dyDescent="0.4">
      <c r="A23" s="30" t="s">
        <v>66</v>
      </c>
      <c r="B23" s="11">
        <v>143</v>
      </c>
      <c r="C23" s="11">
        <v>176</v>
      </c>
      <c r="D23" s="11">
        <v>0.1</v>
      </c>
      <c r="E23" s="11">
        <v>0.1</v>
      </c>
      <c r="F23" s="11" t="s">
        <v>47</v>
      </c>
      <c r="G23" s="11" t="s">
        <v>47</v>
      </c>
      <c r="H23" s="11">
        <v>17.3</v>
      </c>
      <c r="I23" s="11">
        <v>21</v>
      </c>
      <c r="L23" s="30" t="s">
        <v>66</v>
      </c>
      <c r="M23" s="11">
        <v>33</v>
      </c>
      <c r="N23" s="11">
        <v>47</v>
      </c>
      <c r="O23" s="11">
        <v>0.02</v>
      </c>
      <c r="P23" s="11">
        <v>0.02</v>
      </c>
      <c r="Q23" s="11" t="s">
        <v>47</v>
      </c>
      <c r="R23" s="11" t="s">
        <v>47</v>
      </c>
      <c r="S23" s="11">
        <v>3.69</v>
      </c>
      <c r="T23" s="11">
        <v>4.92</v>
      </c>
    </row>
    <row r="24" spans="1:20" ht="18.649999999999999" customHeight="1" thickBot="1" x14ac:dyDescent="0.4">
      <c r="A24" s="29" t="s">
        <v>67</v>
      </c>
      <c r="B24" s="6" t="s">
        <v>68</v>
      </c>
      <c r="C24" s="6" t="s">
        <v>68</v>
      </c>
      <c r="D24" s="6" t="s">
        <v>68</v>
      </c>
      <c r="E24" s="6" t="s">
        <v>68</v>
      </c>
      <c r="F24" s="6" t="s">
        <v>68</v>
      </c>
      <c r="G24" s="6" t="s">
        <v>68</v>
      </c>
      <c r="H24" s="6" t="s">
        <v>68</v>
      </c>
      <c r="I24" s="6" t="s">
        <v>68</v>
      </c>
      <c r="L24" s="29" t="s">
        <v>67</v>
      </c>
      <c r="M24" s="6" t="s">
        <v>68</v>
      </c>
      <c r="N24" s="6" t="s">
        <v>68</v>
      </c>
      <c r="O24" s="6" t="s">
        <v>68</v>
      </c>
      <c r="P24" s="6" t="s">
        <v>68</v>
      </c>
      <c r="Q24" s="6" t="s">
        <v>68</v>
      </c>
      <c r="R24" s="6" t="s">
        <v>68</v>
      </c>
      <c r="S24" s="6" t="s">
        <v>68</v>
      </c>
      <c r="T24" s="6" t="s">
        <v>68</v>
      </c>
    </row>
    <row r="25" spans="1:20" s="48" customFormat="1" ht="18.5" thickBot="1" x14ac:dyDescent="0.4">
      <c r="A25" s="47" t="s">
        <v>69</v>
      </c>
      <c r="B25" s="46" t="s">
        <v>47</v>
      </c>
      <c r="C25" s="46" t="s">
        <v>47</v>
      </c>
      <c r="D25" s="46" t="s">
        <v>47</v>
      </c>
      <c r="E25" s="46" t="s">
        <v>47</v>
      </c>
      <c r="F25" s="46" t="s">
        <v>47</v>
      </c>
      <c r="G25" s="46" t="s">
        <v>47</v>
      </c>
      <c r="H25" s="46" t="s">
        <v>47</v>
      </c>
      <c r="I25" s="46" t="s">
        <v>47</v>
      </c>
      <c r="L25" s="47" t="s">
        <v>69</v>
      </c>
      <c r="M25" s="46" t="s">
        <v>47</v>
      </c>
      <c r="N25" s="46" t="s">
        <v>47</v>
      </c>
      <c r="O25" s="46" t="s">
        <v>47</v>
      </c>
      <c r="P25" s="46" t="s">
        <v>47</v>
      </c>
      <c r="Q25" s="46" t="s">
        <v>47</v>
      </c>
      <c r="R25" s="46" t="s">
        <v>47</v>
      </c>
      <c r="S25" s="46" t="s">
        <v>47</v>
      </c>
      <c r="T25" s="46" t="s">
        <v>47</v>
      </c>
    </row>
    <row r="26" spans="1:20" ht="18.5" thickBot="1" x14ac:dyDescent="0.4">
      <c r="A26" s="12" t="s">
        <v>70</v>
      </c>
      <c r="B26" s="6" t="s">
        <v>47</v>
      </c>
      <c r="C26" s="6" t="s">
        <v>47</v>
      </c>
      <c r="D26" s="6" t="s">
        <v>47</v>
      </c>
      <c r="E26" s="6" t="s">
        <v>47</v>
      </c>
      <c r="F26" s="6" t="s">
        <v>47</v>
      </c>
      <c r="G26" s="6" t="s">
        <v>47</v>
      </c>
      <c r="H26" s="6" t="s">
        <v>47</v>
      </c>
      <c r="I26" s="6" t="s">
        <v>47</v>
      </c>
      <c r="L26" s="12" t="s">
        <v>70</v>
      </c>
      <c r="M26" s="6" t="s">
        <v>47</v>
      </c>
      <c r="N26" s="6" t="s">
        <v>47</v>
      </c>
      <c r="O26" s="6" t="s">
        <v>47</v>
      </c>
      <c r="P26" s="6" t="s">
        <v>47</v>
      </c>
      <c r="Q26" s="6" t="s">
        <v>47</v>
      </c>
      <c r="R26" s="6" t="s">
        <v>47</v>
      </c>
      <c r="S26" s="6" t="s">
        <v>47</v>
      </c>
      <c r="T26" s="6" t="s">
        <v>47</v>
      </c>
    </row>
    <row r="27" spans="1:20" ht="18.5" thickBot="1" x14ac:dyDescent="0.4">
      <c r="A27" s="3" t="s">
        <v>71</v>
      </c>
      <c r="B27" s="11">
        <v>113</v>
      </c>
      <c r="C27" s="11">
        <v>90</v>
      </c>
      <c r="D27" s="11">
        <v>0.1</v>
      </c>
      <c r="E27" s="11">
        <v>0</v>
      </c>
      <c r="F27" s="11">
        <v>0.1</v>
      </c>
      <c r="G27" s="11">
        <v>0.1</v>
      </c>
      <c r="H27" s="11">
        <v>0.2</v>
      </c>
      <c r="I27" s="11">
        <v>0.2</v>
      </c>
      <c r="L27" s="3" t="s">
        <v>71</v>
      </c>
      <c r="M27" s="11">
        <v>29</v>
      </c>
      <c r="N27" s="11">
        <v>25</v>
      </c>
      <c r="O27" s="11">
        <v>0.01</v>
      </c>
      <c r="P27" s="11">
        <v>0.01</v>
      </c>
      <c r="Q27" s="11">
        <v>0.04</v>
      </c>
      <c r="R27" s="11">
        <v>0.03</v>
      </c>
      <c r="S27" s="11">
        <v>0.06</v>
      </c>
      <c r="T27" s="11">
        <v>0.05</v>
      </c>
    </row>
    <row r="28" spans="1:20" ht="18.5" thickBot="1" x14ac:dyDescent="0.4">
      <c r="A28" s="12" t="s">
        <v>72</v>
      </c>
      <c r="B28" s="6" t="s">
        <v>100</v>
      </c>
      <c r="C28" s="6">
        <v>180</v>
      </c>
      <c r="D28" s="6" t="s">
        <v>101</v>
      </c>
      <c r="E28" s="6">
        <v>0.1</v>
      </c>
      <c r="F28" s="6" t="s">
        <v>102</v>
      </c>
      <c r="G28" s="6">
        <v>0.1</v>
      </c>
      <c r="H28" s="6" t="s">
        <v>68</v>
      </c>
      <c r="I28" s="6" t="s">
        <v>68</v>
      </c>
      <c r="L28" s="12" t="s">
        <v>72</v>
      </c>
      <c r="M28" s="6">
        <v>24</v>
      </c>
      <c r="N28" s="6">
        <v>43</v>
      </c>
      <c r="O28" s="6">
        <v>0.01</v>
      </c>
      <c r="P28" s="6">
        <v>0.02</v>
      </c>
      <c r="Q28" s="6">
        <v>0.02</v>
      </c>
      <c r="R28" s="6">
        <v>0.03</v>
      </c>
      <c r="S28" s="6" t="s">
        <v>68</v>
      </c>
      <c r="T28" s="6" t="s">
        <v>68</v>
      </c>
    </row>
    <row r="29" spans="1:20" ht="18.5" thickBot="1" x14ac:dyDescent="0.4">
      <c r="A29" s="3" t="s">
        <v>73</v>
      </c>
      <c r="B29" s="11">
        <v>197</v>
      </c>
      <c r="C29" s="11">
        <v>280</v>
      </c>
      <c r="D29" s="11">
        <v>0.1</v>
      </c>
      <c r="E29" s="11">
        <v>0.1</v>
      </c>
      <c r="F29" s="11">
        <v>0.1</v>
      </c>
      <c r="G29" s="11">
        <v>0.2</v>
      </c>
      <c r="H29" s="11">
        <v>2.5</v>
      </c>
      <c r="I29" s="11">
        <v>3.4</v>
      </c>
      <c r="L29" s="3" t="s">
        <v>73</v>
      </c>
      <c r="M29" s="11">
        <v>46</v>
      </c>
      <c r="N29" s="11">
        <v>50</v>
      </c>
      <c r="O29" s="11">
        <v>0.02</v>
      </c>
      <c r="P29" s="11">
        <v>0.02</v>
      </c>
      <c r="Q29" s="11">
        <v>0.03</v>
      </c>
      <c r="R29" s="11">
        <v>0.03</v>
      </c>
      <c r="S29" s="11">
        <v>0.56999999999999995</v>
      </c>
      <c r="T29" s="11">
        <v>0.59</v>
      </c>
    </row>
    <row r="30" spans="1:20" ht="18.5" thickBot="1" x14ac:dyDescent="0.4">
      <c r="A30" s="14" t="s">
        <v>74</v>
      </c>
      <c r="B30" s="6">
        <v>535</v>
      </c>
      <c r="C30" s="6">
        <v>518</v>
      </c>
      <c r="D30" s="6">
        <v>0.2</v>
      </c>
      <c r="E30" s="6">
        <v>0.2</v>
      </c>
      <c r="F30" s="6">
        <v>0.4</v>
      </c>
      <c r="G30" s="6">
        <v>0.4</v>
      </c>
      <c r="H30" s="6">
        <v>3.3</v>
      </c>
      <c r="I30" s="6">
        <v>3.3</v>
      </c>
      <c r="L30" s="14" t="s">
        <v>74</v>
      </c>
      <c r="M30" s="6">
        <v>62</v>
      </c>
      <c r="N30" s="6">
        <v>69</v>
      </c>
      <c r="O30" s="6">
        <v>0.03</v>
      </c>
      <c r="P30" s="6">
        <v>0.03</v>
      </c>
      <c r="Q30" s="6">
        <v>0.04</v>
      </c>
      <c r="R30" s="6">
        <v>0.05</v>
      </c>
      <c r="S30" s="6">
        <v>0.38</v>
      </c>
      <c r="T30" s="6">
        <v>0.43</v>
      </c>
    </row>
    <row r="31" spans="1:20" ht="18.5" thickBot="1" x14ac:dyDescent="0.4">
      <c r="A31" s="3" t="s">
        <v>75</v>
      </c>
      <c r="B31" s="11" t="s">
        <v>103</v>
      </c>
      <c r="C31" s="11">
        <v>205</v>
      </c>
      <c r="D31" s="11" t="s">
        <v>101</v>
      </c>
      <c r="E31" s="11">
        <v>0.1</v>
      </c>
      <c r="F31" s="11" t="s">
        <v>98</v>
      </c>
      <c r="G31" s="11">
        <v>0.7</v>
      </c>
      <c r="H31" s="11" t="s">
        <v>101</v>
      </c>
      <c r="I31" s="11">
        <v>0.1</v>
      </c>
      <c r="L31" s="3" t="s">
        <v>75</v>
      </c>
      <c r="M31" s="11">
        <v>16</v>
      </c>
      <c r="N31" s="11">
        <v>40</v>
      </c>
      <c r="O31" s="11">
        <v>0.01</v>
      </c>
      <c r="P31" s="11">
        <v>0.02</v>
      </c>
      <c r="Q31" s="11">
        <v>0.06</v>
      </c>
      <c r="R31" s="11">
        <v>0.14000000000000001</v>
      </c>
      <c r="S31" s="11">
        <v>0.01</v>
      </c>
      <c r="T31" s="11">
        <v>0.03</v>
      </c>
    </row>
    <row r="32" spans="1:20" ht="20.399999999999999" customHeight="1" x14ac:dyDescent="0.35">
      <c r="A32" s="70" t="s">
        <v>76</v>
      </c>
      <c r="B32" s="71"/>
      <c r="C32" s="71"/>
      <c r="D32" s="71"/>
      <c r="E32" s="71"/>
      <c r="F32" s="71"/>
      <c r="G32" s="71"/>
      <c r="H32" s="71"/>
      <c r="I32" s="72"/>
      <c r="L32" s="70" t="s">
        <v>76</v>
      </c>
      <c r="M32" s="71"/>
      <c r="N32" s="71"/>
      <c r="O32" s="71"/>
      <c r="P32" s="71"/>
      <c r="Q32" s="71"/>
      <c r="R32" s="71"/>
      <c r="S32" s="71"/>
      <c r="T32" s="72"/>
    </row>
    <row r="33" spans="1:20" ht="40.75" customHeight="1" x14ac:dyDescent="0.35">
      <c r="A33" s="60" t="s">
        <v>77</v>
      </c>
      <c r="B33" s="61"/>
      <c r="C33" s="61"/>
      <c r="D33" s="61"/>
      <c r="E33" s="61"/>
      <c r="F33" s="61"/>
      <c r="G33" s="61"/>
      <c r="H33" s="61"/>
      <c r="I33" s="62"/>
      <c r="L33" s="60" t="s">
        <v>77</v>
      </c>
      <c r="M33" s="61"/>
      <c r="N33" s="61"/>
      <c r="O33" s="61"/>
      <c r="P33" s="61"/>
      <c r="Q33" s="61"/>
      <c r="R33" s="61"/>
      <c r="S33" s="61"/>
      <c r="T33" s="62"/>
    </row>
    <row r="34" spans="1:20" ht="20.399999999999999" customHeight="1" x14ac:dyDescent="0.35">
      <c r="A34" s="73" t="s">
        <v>78</v>
      </c>
      <c r="B34" s="74"/>
      <c r="C34" s="74"/>
      <c r="D34" s="74"/>
      <c r="E34" s="74"/>
      <c r="F34" s="74"/>
      <c r="G34" s="74"/>
      <c r="H34" s="74"/>
      <c r="I34" s="75"/>
      <c r="L34" s="73" t="s">
        <v>79</v>
      </c>
      <c r="M34" s="74"/>
      <c r="N34" s="74"/>
      <c r="O34" s="74"/>
      <c r="P34" s="74"/>
      <c r="Q34" s="74"/>
      <c r="R34" s="74"/>
      <c r="S34" s="74"/>
      <c r="T34" s="75"/>
    </row>
    <row r="35" spans="1:20" ht="20.399999999999999" customHeight="1" x14ac:dyDescent="0.35">
      <c r="A35" s="73" t="s">
        <v>79</v>
      </c>
      <c r="B35" s="74"/>
      <c r="C35" s="74"/>
      <c r="D35" s="74"/>
      <c r="E35" s="74"/>
      <c r="F35" s="74"/>
      <c r="G35" s="74"/>
      <c r="H35" s="74"/>
      <c r="I35" s="75"/>
      <c r="L35" s="60" t="s">
        <v>80</v>
      </c>
      <c r="M35" s="61"/>
      <c r="N35" s="61"/>
      <c r="O35" s="61"/>
      <c r="P35" s="61"/>
      <c r="Q35" s="61"/>
      <c r="R35" s="61"/>
      <c r="S35" s="61"/>
      <c r="T35" s="62"/>
    </row>
    <row r="36" spans="1:20" ht="15" thickBot="1" x14ac:dyDescent="0.4">
      <c r="A36" s="60" t="s">
        <v>80</v>
      </c>
      <c r="B36" s="61"/>
      <c r="C36" s="61"/>
      <c r="D36" s="61"/>
      <c r="E36" s="61"/>
      <c r="F36" s="61"/>
      <c r="G36" s="61"/>
      <c r="H36" s="61"/>
      <c r="I36" s="62"/>
      <c r="L36" s="63" t="s">
        <v>81</v>
      </c>
      <c r="M36" s="64"/>
      <c r="N36" s="64"/>
      <c r="O36" s="64"/>
      <c r="P36" s="64"/>
      <c r="Q36" s="64"/>
      <c r="R36" s="64"/>
      <c r="S36" s="64"/>
      <c r="T36" s="65"/>
    </row>
    <row r="37" spans="1:20" ht="15" thickBot="1" x14ac:dyDescent="0.4">
      <c r="A37" s="63" t="s">
        <v>81</v>
      </c>
      <c r="B37" s="64"/>
      <c r="C37" s="64"/>
      <c r="D37" s="64"/>
      <c r="E37" s="64"/>
      <c r="F37" s="64"/>
      <c r="G37" s="64"/>
      <c r="H37" s="64"/>
      <c r="I37" s="65"/>
    </row>
  </sheetData>
  <mergeCells count="39">
    <mergeCell ref="A33:I33"/>
    <mergeCell ref="A2:I2"/>
    <mergeCell ref="A3:A6"/>
    <mergeCell ref="B3:C3"/>
    <mergeCell ref="B4:C4"/>
    <mergeCell ref="B5:C5"/>
    <mergeCell ref="D3:E3"/>
    <mergeCell ref="D4:E4"/>
    <mergeCell ref="D5:E5"/>
    <mergeCell ref="F3:G3"/>
    <mergeCell ref="F4:G4"/>
    <mergeCell ref="F5:G5"/>
    <mergeCell ref="H3:I3"/>
    <mergeCell ref="H4:I4"/>
    <mergeCell ref="H5:I5"/>
    <mergeCell ref="A32:I32"/>
    <mergeCell ref="A34:I34"/>
    <mergeCell ref="A35:I35"/>
    <mergeCell ref="A36:I36"/>
    <mergeCell ref="A37:I37"/>
    <mergeCell ref="L34:T34"/>
    <mergeCell ref="L35:T35"/>
    <mergeCell ref="L36:T36"/>
    <mergeCell ref="L32:T32"/>
    <mergeCell ref="L33:T33"/>
    <mergeCell ref="L2:T2"/>
    <mergeCell ref="L3:L6"/>
    <mergeCell ref="M3:N3"/>
    <mergeCell ref="M4:N4"/>
    <mergeCell ref="M5:N5"/>
    <mergeCell ref="O3:P3"/>
    <mergeCell ref="O4:P4"/>
    <mergeCell ref="O5:P5"/>
    <mergeCell ref="Q3:R3"/>
    <mergeCell ref="Q4:R4"/>
    <mergeCell ref="Q5:R5"/>
    <mergeCell ref="S3:T3"/>
    <mergeCell ref="S4:T4"/>
    <mergeCell ref="S5:T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C28A-CD62-4095-AE7E-4D26C92BB721}">
  <dimension ref="A1:Q33"/>
  <sheetViews>
    <sheetView workbookViewId="0">
      <selection activeCell="N20" sqref="N20"/>
    </sheetView>
  </sheetViews>
  <sheetFormatPr defaultRowHeight="14.5" x14ac:dyDescent="0.35"/>
  <cols>
    <col min="1" max="1" width="21.453125" bestFit="1" customWidth="1"/>
    <col min="4" max="4" width="15.90625" bestFit="1" customWidth="1"/>
    <col min="6" max="6" width="11.36328125" bestFit="1" customWidth="1"/>
  </cols>
  <sheetData>
    <row r="1" spans="1:17" ht="58" x14ac:dyDescent="0.35">
      <c r="A1" s="51" t="s">
        <v>112</v>
      </c>
      <c r="B1" s="51" t="s">
        <v>107</v>
      </c>
      <c r="C1" s="51" t="s">
        <v>108</v>
      </c>
      <c r="D1" s="51" t="s">
        <v>107</v>
      </c>
      <c r="E1" s="51" t="s">
        <v>108</v>
      </c>
      <c r="F1" s="51" t="s">
        <v>107</v>
      </c>
      <c r="G1" s="51" t="s">
        <v>108</v>
      </c>
      <c r="H1" s="51" t="s">
        <v>107</v>
      </c>
      <c r="I1" s="51" t="s">
        <v>108</v>
      </c>
      <c r="J1" t="s">
        <v>128</v>
      </c>
      <c r="K1" t="s">
        <v>129</v>
      </c>
      <c r="L1" t="s">
        <v>128</v>
      </c>
      <c r="M1" t="s">
        <v>129</v>
      </c>
      <c r="N1" t="s">
        <v>128</v>
      </c>
      <c r="O1" t="s">
        <v>129</v>
      </c>
      <c r="P1" t="s">
        <v>128</v>
      </c>
      <c r="Q1" t="s">
        <v>129</v>
      </c>
    </row>
    <row r="2" spans="1:17" ht="29.5" thickBot="1" x14ac:dyDescent="0.4">
      <c r="A2" s="51" t="s">
        <v>109</v>
      </c>
      <c r="B2" s="51" t="s">
        <v>32</v>
      </c>
      <c r="C2" s="51" t="s">
        <v>32</v>
      </c>
      <c r="D2" s="51" t="s">
        <v>110</v>
      </c>
      <c r="E2" s="51" t="s">
        <v>110</v>
      </c>
      <c r="F2" s="51" t="s">
        <v>111</v>
      </c>
      <c r="G2" s="51" t="s">
        <v>111</v>
      </c>
      <c r="H2" s="51" t="s">
        <v>127</v>
      </c>
      <c r="I2" s="51" t="s">
        <v>127</v>
      </c>
      <c r="J2" t="s">
        <v>32</v>
      </c>
      <c r="K2" t="s">
        <v>32</v>
      </c>
      <c r="L2" t="s">
        <v>110</v>
      </c>
      <c r="M2" t="s">
        <v>110</v>
      </c>
      <c r="N2" t="s">
        <v>111</v>
      </c>
      <c r="O2" t="s">
        <v>111</v>
      </c>
      <c r="P2" t="s">
        <v>127</v>
      </c>
      <c r="Q2" t="s">
        <v>127</v>
      </c>
    </row>
    <row r="3" spans="1:17" ht="18.5" thickBot="1" x14ac:dyDescent="0.4">
      <c r="A3" s="52" t="s">
        <v>161</v>
      </c>
      <c r="B3" s="51">
        <f>'Table 4.5B'!B10</f>
        <v>7</v>
      </c>
      <c r="C3" s="51">
        <f>'Table 4.5B'!O10</f>
        <v>4</v>
      </c>
      <c r="D3" s="51">
        <f>'Table 4.7B'!B10</f>
        <v>35</v>
      </c>
      <c r="E3" s="51">
        <f>'Table 4.7B'!M10</f>
        <v>10</v>
      </c>
      <c r="F3" s="51">
        <f>'Table 4.8'!B11</f>
        <v>75</v>
      </c>
      <c r="G3" s="51">
        <f>'Table 4.8'!M11</f>
        <v>22</v>
      </c>
      <c r="H3" s="51">
        <v>117</v>
      </c>
      <c r="I3" s="51">
        <f>'Table 4.4'!L10</f>
        <v>24</v>
      </c>
      <c r="J3">
        <f>'Table 4.5B'!F10</f>
        <v>0</v>
      </c>
      <c r="K3" t="str">
        <f>'Table 4.5B'!H10</f>
        <v>*</v>
      </c>
      <c r="L3" t="str">
        <f>'Table 4.5B'!U10</f>
        <v>*</v>
      </c>
      <c r="M3" t="str">
        <f>'Table 4.7B'!H10</f>
        <v>*</v>
      </c>
      <c r="N3">
        <f>'Table 4.8'!H11</f>
        <v>11.7</v>
      </c>
      <c r="O3">
        <f>'Table 4.8'!S11</f>
        <v>3.36</v>
      </c>
      <c r="P3" t="str">
        <f>'Table 4.4'!H10</f>
        <v>14.5a</v>
      </c>
      <c r="Q3">
        <f>'Table 4.4'!R10</f>
        <v>3.01</v>
      </c>
    </row>
    <row r="4" spans="1:17" ht="36.5" thickBot="1" x14ac:dyDescent="0.4">
      <c r="A4" s="52" t="s">
        <v>160</v>
      </c>
      <c r="B4" s="51">
        <f>'Table 4.5B'!B18</f>
        <v>310</v>
      </c>
      <c r="C4" s="51">
        <f>'Table 4.5B'!O18</f>
        <v>28</v>
      </c>
      <c r="D4" s="51">
        <f>'Table 4.7B'!B18</f>
        <v>464</v>
      </c>
      <c r="E4" s="51">
        <f>'Table 4.7B'!M18</f>
        <v>36</v>
      </c>
      <c r="F4" s="53">
        <f>'Table 4.8'!B19</f>
        <v>1134</v>
      </c>
      <c r="G4" s="51">
        <f>'Table 4.8'!M19</f>
        <v>109</v>
      </c>
      <c r="H4" s="53">
        <f>'Table 4.4'!B18</f>
        <v>1908</v>
      </c>
      <c r="I4" s="51">
        <f>'Table 4.4'!L18</f>
        <v>121</v>
      </c>
      <c r="J4" t="str">
        <f>'Table 4.5B'!F18</f>
        <v>nr</v>
      </c>
      <c r="K4">
        <f>'Table 4.5B'!H18</f>
        <v>44.6</v>
      </c>
      <c r="L4">
        <f>'Table 4.5B'!U18</f>
        <v>3.14</v>
      </c>
      <c r="M4">
        <f>'Table 4.7B'!H18</f>
        <v>25</v>
      </c>
      <c r="N4" s="25">
        <f>'Table 4.8'!H19</f>
        <v>15.3</v>
      </c>
      <c r="O4">
        <f>'Table 4.8'!S19</f>
        <v>1.34</v>
      </c>
      <c r="P4" s="25">
        <f>'Table 4.4'!H18</f>
        <v>19.2</v>
      </c>
      <c r="Q4">
        <f>'Table 4.5B'!U18</f>
        <v>3.14</v>
      </c>
    </row>
    <row r="5" spans="1:17" ht="15" thickBot="1" x14ac:dyDescent="0.4">
      <c r="A5" s="51" t="s">
        <v>159</v>
      </c>
      <c r="B5" s="51">
        <f>B4+B3</f>
        <v>317</v>
      </c>
      <c r="C5" s="51">
        <f>SQRT(C3^2+C4^2)</f>
        <v>28.284271247461902</v>
      </c>
      <c r="D5" s="51">
        <f t="shared" ref="D5:F5" si="0">D4+D3</f>
        <v>499</v>
      </c>
      <c r="E5" s="51">
        <f>SQRT(E3^2+E4^2)</f>
        <v>37.363083384538811</v>
      </c>
      <c r="F5" s="51">
        <f t="shared" si="0"/>
        <v>1209</v>
      </c>
      <c r="G5" s="51">
        <f>SQRT(G3^2+G4^2)</f>
        <v>111.19802156513397</v>
      </c>
      <c r="H5" s="51">
        <f t="shared" ref="H5" si="1">H4+H3</f>
        <v>2025</v>
      </c>
      <c r="I5" s="51">
        <f>SQRT(I3^2+I4^2)</f>
        <v>123.35720489699821</v>
      </c>
      <c r="J5" t="e">
        <f>J4+J3</f>
        <v>#VALUE!</v>
      </c>
      <c r="K5" t="e">
        <f>SQRT(K3^2+K4^2)</f>
        <v>#VALUE!</v>
      </c>
      <c r="L5" t="e">
        <f t="shared" ref="L5" si="2">L4+L3</f>
        <v>#VALUE!</v>
      </c>
      <c r="M5" t="e">
        <f>SQRT(M3^2+M4^2)</f>
        <v>#VALUE!</v>
      </c>
      <c r="N5">
        <f t="shared" ref="N5" si="3">N4+N3</f>
        <v>27</v>
      </c>
      <c r="O5">
        <f>SQRT(O3^2+O4^2)</f>
        <v>3.6173470942114467</v>
      </c>
      <c r="P5" t="e">
        <f t="shared" ref="P5" si="4">P4+P3</f>
        <v>#VALUE!</v>
      </c>
      <c r="Q5">
        <f>SQRT(Q3^2+Q4^2)</f>
        <v>4.3496781490128669</v>
      </c>
    </row>
    <row r="6" spans="1:17" ht="18.5" thickBot="1" x14ac:dyDescent="0.4">
      <c r="A6" s="52" t="s">
        <v>162</v>
      </c>
      <c r="B6" s="51" t="str">
        <f>'Table 4.5B'!C10</f>
        <v>*</v>
      </c>
      <c r="C6" s="51" t="str">
        <f>'Table 4.5B'!P10</f>
        <v>*</v>
      </c>
      <c r="D6" s="51">
        <f>'Table 4.7B'!C10</f>
        <v>19</v>
      </c>
      <c r="E6" s="51">
        <f>'Table 4.7B'!N10</f>
        <v>8</v>
      </c>
      <c r="F6" s="51">
        <f>'Table 4.8'!C11</f>
        <v>31</v>
      </c>
      <c r="G6" s="51">
        <f>'Table 4.8'!N11</f>
        <v>16</v>
      </c>
      <c r="H6" s="51">
        <f>'Table 4.4'!C10</f>
        <v>50</v>
      </c>
      <c r="I6" s="51"/>
    </row>
    <row r="7" spans="1:17" ht="36.5" thickBot="1" x14ac:dyDescent="0.4">
      <c r="A7" s="52" t="s">
        <v>163</v>
      </c>
      <c r="B7" s="51">
        <f>'Table 4.5B'!C18</f>
        <v>245</v>
      </c>
      <c r="C7" s="51">
        <f>'Table 4.5B'!P18</f>
        <v>26</v>
      </c>
      <c r="D7" s="51">
        <f>'Table 4.7B'!C18</f>
        <v>404</v>
      </c>
      <c r="E7" s="51">
        <f>'Table 4.7B'!N18</f>
        <v>34</v>
      </c>
      <c r="F7" s="51">
        <f>'Table 4.8'!C19</f>
        <v>958</v>
      </c>
      <c r="G7" s="51">
        <f>'Table 4.8'!N19</f>
        <v>105</v>
      </c>
      <c r="H7" s="53">
        <f>'Table 4.4'!C18</f>
        <v>1607</v>
      </c>
      <c r="I7" s="51"/>
    </row>
    <row r="8" spans="1:17" x14ac:dyDescent="0.35">
      <c r="A8" s="51" t="s">
        <v>164</v>
      </c>
      <c r="B8" s="51">
        <f>H8-SUM(D8,F8)</f>
        <v>245</v>
      </c>
      <c r="C8" s="51">
        <f>C7</f>
        <v>26</v>
      </c>
      <c r="D8" s="51">
        <f t="shared" ref="D8:H8" si="5">D7+D6</f>
        <v>423</v>
      </c>
      <c r="E8" s="51">
        <f>SQRT(E6^2+E7^2)</f>
        <v>34.928498393145958</v>
      </c>
      <c r="F8" s="51">
        <f t="shared" si="5"/>
        <v>989</v>
      </c>
      <c r="G8" s="51">
        <f>SQRT(G6^2+G7^2)</f>
        <v>106.21205204683694</v>
      </c>
      <c r="H8" s="51">
        <f t="shared" si="5"/>
        <v>1657</v>
      </c>
      <c r="I8" s="51">
        <f>SQRT(I6^2+I7^2)</f>
        <v>0</v>
      </c>
      <c r="J8">
        <f>J7+J6</f>
        <v>0</v>
      </c>
      <c r="K8">
        <f>SQRT(K6^2+K7^2)</f>
        <v>0</v>
      </c>
      <c r="L8">
        <f t="shared" ref="L8" si="6">L7+L6</f>
        <v>0</v>
      </c>
      <c r="M8">
        <f>SQRT(M6^2+M7^2)</f>
        <v>0</v>
      </c>
      <c r="N8">
        <f t="shared" ref="N8" si="7">N7+N6</f>
        <v>0</v>
      </c>
      <c r="O8">
        <f>SQRT(O6^2+O7^2)</f>
        <v>0</v>
      </c>
      <c r="P8">
        <f t="shared" ref="P8" si="8">P7+P6</f>
        <v>0</v>
      </c>
      <c r="Q8">
        <f>SQRT(Q6^2+Q7^2)</f>
        <v>0</v>
      </c>
    </row>
    <row r="9" spans="1:17" x14ac:dyDescent="0.35">
      <c r="A9" s="51"/>
      <c r="B9" s="51"/>
      <c r="C9" s="51"/>
      <c r="D9" s="51"/>
      <c r="E9" s="51"/>
      <c r="F9" s="51"/>
      <c r="G9" s="51"/>
      <c r="H9" s="51"/>
      <c r="I9" s="51"/>
    </row>
    <row r="10" spans="1:17" x14ac:dyDescent="0.35">
      <c r="C10">
        <v>2018</v>
      </c>
      <c r="D10">
        <v>2019</v>
      </c>
      <c r="E10">
        <v>2018</v>
      </c>
      <c r="F10">
        <v>2019</v>
      </c>
    </row>
    <row r="11" spans="1:17" x14ac:dyDescent="0.35">
      <c r="A11" t="s">
        <v>130</v>
      </c>
      <c r="B11" t="s">
        <v>142</v>
      </c>
      <c r="C11" t="s">
        <v>131</v>
      </c>
      <c r="E11" t="s">
        <v>165</v>
      </c>
      <c r="F11" t="s">
        <v>165</v>
      </c>
    </row>
    <row r="12" spans="1:17" x14ac:dyDescent="0.35">
      <c r="A12" s="51" t="s">
        <v>32</v>
      </c>
      <c r="B12">
        <f>AVERAGE(12,17)</f>
        <v>14.5</v>
      </c>
      <c r="C12">
        <f>B5/H5</f>
        <v>0.15654320987654322</v>
      </c>
      <c r="D12">
        <f>B8/H8</f>
        <v>0.14785757392878696</v>
      </c>
      <c r="E12">
        <f>C12*B12</f>
        <v>2.2698765432098766</v>
      </c>
      <c r="F12">
        <f>D12*B12</f>
        <v>2.1439348219674108</v>
      </c>
      <c r="H12">
        <f>C12/6</f>
        <v>2.609053497942387E-2</v>
      </c>
      <c r="I12">
        <f>D12/6</f>
        <v>2.4642928988131158E-2</v>
      </c>
    </row>
    <row r="13" spans="1:17" x14ac:dyDescent="0.35">
      <c r="A13" s="51" t="s">
        <v>110</v>
      </c>
      <c r="B13">
        <f>AVERAGE(18,25)</f>
        <v>21.5</v>
      </c>
      <c r="C13">
        <f>D5/H5</f>
        <v>0.24641975308641975</v>
      </c>
      <c r="D13">
        <f>D8/H8</f>
        <v>0.25528062764031384</v>
      </c>
      <c r="E13">
        <f t="shared" ref="E13" si="9">C13*B13</f>
        <v>5.2980246913580249</v>
      </c>
      <c r="F13">
        <f t="shared" ref="F13:F14" si="10">D13*B13</f>
        <v>5.4885334942667479</v>
      </c>
      <c r="H13">
        <f>C13/8</f>
        <v>3.0802469135802469E-2</v>
      </c>
      <c r="I13">
        <f>D13/8</f>
        <v>3.191007845503923E-2</v>
      </c>
    </row>
    <row r="14" spans="1:17" x14ac:dyDescent="0.35">
      <c r="A14" s="51" t="s">
        <v>111</v>
      </c>
      <c r="B14">
        <f>AVERAGE(AVERAGE('Table 1.19A'!D71,'Table 1.19A'!D72),26)</f>
        <v>52.428925</v>
      </c>
      <c r="C14">
        <f>F5/H5</f>
        <v>0.59703703703703703</v>
      </c>
      <c r="D14">
        <f>F8/H8</f>
        <v>0.59686179843089926</v>
      </c>
      <c r="E14">
        <f>C14*B14</f>
        <v>31.302010037037036</v>
      </c>
      <c r="F14">
        <f t="shared" si="10"/>
        <v>31.292822465298734</v>
      </c>
      <c r="H14">
        <f>C14/(71-26)</f>
        <v>1.3267489711934156E-2</v>
      </c>
      <c r="I14">
        <f>D14/(71-26)</f>
        <v>1.326359552068665E-2</v>
      </c>
    </row>
    <row r="15" spans="1:17" x14ac:dyDescent="0.35">
      <c r="D15" t="s">
        <v>134</v>
      </c>
      <c r="E15">
        <f>SUM(E12:E14)</f>
        <v>38.869911271604934</v>
      </c>
      <c r="F15">
        <f>SUM(F12:F14)</f>
        <v>38.925290781532894</v>
      </c>
    </row>
    <row r="16" spans="1:17" x14ac:dyDescent="0.35">
      <c r="D16" t="s">
        <v>135</v>
      </c>
      <c r="E16">
        <v>26</v>
      </c>
      <c r="F16" s="81">
        <v>26</v>
      </c>
    </row>
    <row r="17" spans="2:6" x14ac:dyDescent="0.35">
      <c r="D17" t="s">
        <v>136</v>
      </c>
      <c r="E17">
        <f>1-C14</f>
        <v>0.40296296296296297</v>
      </c>
      <c r="F17" s="84">
        <f>1-D14</f>
        <v>0.40313820156910074</v>
      </c>
    </row>
    <row r="18" spans="2:6" x14ac:dyDescent="0.35">
      <c r="D18" t="s">
        <v>138</v>
      </c>
      <c r="E18">
        <v>21.5</v>
      </c>
      <c r="F18" s="81">
        <f>E18</f>
        <v>21.5</v>
      </c>
    </row>
    <row r="19" spans="2:6" x14ac:dyDescent="0.35">
      <c r="D19" t="s">
        <v>140</v>
      </c>
      <c r="E19">
        <f>SQRT(LN(E15)-LN(E18-12))</f>
        <v>1.1869830089596864</v>
      </c>
      <c r="F19">
        <f>SQRT((LN(F15)-LN(F18-12)))</f>
        <v>1.1875825821341317</v>
      </c>
    </row>
    <row r="20" spans="2:6" x14ac:dyDescent="0.35">
      <c r="D20" t="s">
        <v>147</v>
      </c>
      <c r="E20">
        <f>LN((E18-12)/(E16-12))</f>
        <v>-0.38776553100876343</v>
      </c>
      <c r="F20">
        <f>LN((F18-12)/(F16-12))</f>
        <v>-0.38776553100876343</v>
      </c>
    </row>
    <row r="21" spans="2:6" x14ac:dyDescent="0.35">
      <c r="D21" t="s">
        <v>148</v>
      </c>
      <c r="E21">
        <f>_xlfn.NORM.INV(E17,0,1)^2</f>
        <v>6.0361219956935483E-2</v>
      </c>
      <c r="F21">
        <f>_xlfn.NORM.INV(F17,0,1)^2</f>
        <v>6.0138985412618647E-2</v>
      </c>
    </row>
    <row r="22" spans="2:6" x14ac:dyDescent="0.35">
      <c r="B22" s="56" t="s">
        <v>141</v>
      </c>
      <c r="C22" s="56"/>
      <c r="D22" t="s">
        <v>149</v>
      </c>
      <c r="E22">
        <f>E21-(4*E20)</f>
        <v>1.6114233439919892</v>
      </c>
      <c r="F22">
        <f>F21-(4*F20)</f>
        <v>1.6112011094476724</v>
      </c>
    </row>
    <row r="23" spans="2:6" x14ac:dyDescent="0.35">
      <c r="B23" s="56"/>
      <c r="C23" s="56"/>
      <c r="D23" t="s">
        <v>150</v>
      </c>
      <c r="E23">
        <f>SQRT(E22)</f>
        <v>1.2694185062429133</v>
      </c>
      <c r="F23">
        <f>SQRT(F22)</f>
        <v>1.2693309692305126</v>
      </c>
    </row>
    <row r="24" spans="2:6" x14ac:dyDescent="0.35">
      <c r="B24" s="56"/>
      <c r="C24" s="56"/>
      <c r="D24" t="s">
        <v>151</v>
      </c>
      <c r="E24">
        <f>_xlfn.NORM.INV(E17,0,1)*-1</f>
        <v>0.24568520500212357</v>
      </c>
      <c r="F24">
        <f>_xlfn.NORM.INV(F17,0,1)*-1</f>
        <v>0.24523251295988191</v>
      </c>
    </row>
    <row r="27" spans="2:6" x14ac:dyDescent="0.35">
      <c r="D27" t="s">
        <v>137</v>
      </c>
      <c r="E27" s="57">
        <f>(E24+E23)/2</f>
        <v>0.75755185562251848</v>
      </c>
      <c r="F27" s="83">
        <f>(F24+F23)/2</f>
        <v>0.7572817410951973</v>
      </c>
    </row>
    <row r="28" spans="2:6" x14ac:dyDescent="0.35">
      <c r="D28" t="s">
        <v>152</v>
      </c>
      <c r="E28" s="57">
        <f>LN(E16-E18)+(E27^2)</f>
        <v>2.0779622107333955</v>
      </c>
      <c r="F28" s="83">
        <f>LN(F16-F18)+(F27^2)</f>
        <v>2.0775530321724478</v>
      </c>
    </row>
    <row r="29" spans="2:6" x14ac:dyDescent="0.35">
      <c r="D29" t="s">
        <v>153</v>
      </c>
      <c r="E29" s="57">
        <f>LN(E15)</f>
        <v>3.6602204621654866</v>
      </c>
      <c r="F29" s="57">
        <f>LN(F15)</f>
        <v>3.6616441879948671</v>
      </c>
    </row>
    <row r="30" spans="2:6" x14ac:dyDescent="0.35">
      <c r="E30">
        <f>E29-LN(E16-21)</f>
        <v>2.0507825497313865</v>
      </c>
    </row>
    <row r="31" spans="2:6" x14ac:dyDescent="0.35">
      <c r="D31" t="s">
        <v>154</v>
      </c>
    </row>
    <row r="32" spans="2:6" x14ac:dyDescent="0.35">
      <c r="D32" t="s">
        <v>155</v>
      </c>
      <c r="E32" s="57">
        <f>AVERAGE(E29:F29)</f>
        <v>3.6609323250801769</v>
      </c>
      <c r="F32" t="s">
        <v>157</v>
      </c>
    </row>
    <row r="33" spans="4:5" x14ac:dyDescent="0.35">
      <c r="D33" t="s">
        <v>156</v>
      </c>
      <c r="E33">
        <f>SQRT(E27^2+F27^2)</f>
        <v>1.0711491256371797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1.19A</vt:lpstr>
      <vt:lpstr>Table 1.19B</vt:lpstr>
      <vt:lpstr>Table 4.4</vt:lpstr>
      <vt:lpstr>Table 4.5B</vt:lpstr>
      <vt:lpstr>Table 4.7B</vt:lpstr>
      <vt:lpstr>Table 4.8</vt:lpstr>
      <vt:lpstr>Table 4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White</dc:creator>
  <cp:lastModifiedBy>Veronica White</cp:lastModifiedBy>
  <dcterms:created xsi:type="dcterms:W3CDTF">2015-06-05T18:17:20Z</dcterms:created>
  <dcterms:modified xsi:type="dcterms:W3CDTF">2025-02-12T19:40:01Z</dcterms:modified>
</cp:coreProperties>
</file>